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comments8.xml" ContentType="application/vnd.openxmlformats-officedocument.spreadsheetml.comments+xml"/>
  <Override PartName="/xl/threadedComments/threadedComment7.xml" ContentType="application/vnd.ms-excel.threadedcomments+xml"/>
  <Override PartName="/xl/comments9.xml" ContentType="application/vnd.openxmlformats-officedocument.spreadsheetml.comments+xml"/>
  <Override PartName="/xl/threadedComments/threadedComment8.xml" ContentType="application/vnd.ms-excel.threadedcomments+xml"/>
  <Override PartName="/xl/comments10.xml" ContentType="application/vnd.openxmlformats-officedocument.spreadsheetml.comments+xml"/>
  <Override PartName="/xl/threadedComments/threadedComment9.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comments11.xml" ContentType="application/vnd.openxmlformats-officedocument.spreadsheetml.comments+xml"/>
  <Override PartName="/xl/threadedComments/threadedComment10.xml" ContentType="application/vnd.ms-excel.threadedcomments+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comments12.xml" ContentType="application/vnd.openxmlformats-officedocument.spreadsheetml.comments+xml"/>
  <Override PartName="/xl/threadedComments/threadedComment11.xml" ContentType="application/vnd.ms-excel.threadedcomments+xml"/>
  <Override PartName="/xl/comments13.xml" ContentType="application/vnd.openxmlformats-officedocument.spreadsheetml.comments+xml"/>
  <Override PartName="/xl/comments14.xml" ContentType="application/vnd.openxmlformats-officedocument.spreadsheetml.comments+xml"/>
  <Override PartName="/xl/threadedComments/threadedComment1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updateLinks="never" codeName="ThisWorkbook" hidePivotFieldList="1"/>
  <mc:AlternateContent xmlns:mc="http://schemas.openxmlformats.org/markup-compatibility/2006">
    <mc:Choice Requires="x15">
      <x15ac:absPath xmlns:x15ac="http://schemas.microsoft.com/office/spreadsheetml/2010/11/ac" url="https://energyefficiencyalberta.sharepoint.com/sites/int/Data Sharing Project/Public Data Assets/2 Policy Outreach/Technical Reference Manual/"/>
    </mc:Choice>
  </mc:AlternateContent>
  <xr:revisionPtr revIDLastSave="8" documentId="8_{28844F65-2FE4-490D-AE1B-F238E913CC59}" xr6:coauthVersionLast="45" xr6:coauthVersionMax="45" xr10:uidLastSave="{FDA9C17D-CEB8-4BD0-B9AD-C724A305838E}"/>
  <workbookProtection workbookAlgorithmName="SHA-512" workbookHashValue="joLg9UWseQ60CBprrfCupKxxkFCExFWUXKX9Qy0841dXz6Pfeozd3FbQ7JBM/5TYQiC12C1OJ/XhlQ3LZBGaFA==" workbookSaltValue="e21hSIgRyrm9AGj957gAtw==" workbookSpinCount="100000" lockStructure="1"/>
  <bookViews>
    <workbookView xWindow="-110" yWindow="-110" windowWidth="19420" windowHeight="10420" tabRatio="752" xr2:uid="{A801AFCD-3D7E-48A6-9415-8277CFA9C021}"/>
  </bookViews>
  <sheets>
    <sheet name="Introduction" sheetId="619" r:id="rId1"/>
    <sheet name="Dashboard" sheetId="607" r:id="rId2"/>
    <sheet name="Beta (HIDE)" sheetId="617" state="hidden" r:id="rId3"/>
    <sheet name="Measure Summary" sheetId="334" r:id="rId4"/>
    <sheet name="Definitions" sheetId="615" r:id="rId5"/>
    <sheet name="Protocol Template" sheetId="341" state="hidden" r:id="rId6"/>
    <sheet name="Residential --&gt;" sheetId="541" r:id="rId7"/>
    <sheet name="R-HC-001" sheetId="491" r:id="rId8"/>
    <sheet name="R-HC-002" sheetId="523" r:id="rId9"/>
    <sheet name="R-HC-003" sheetId="507" r:id="rId10"/>
    <sheet name="R-HC-004" sheetId="494" r:id="rId11"/>
    <sheet name="R-HC-005" sheetId="531" r:id="rId12"/>
    <sheet name="R-HC-006" sheetId="532" r:id="rId13"/>
    <sheet name="R-HC-007" sheetId="606" r:id="rId14"/>
    <sheet name="R-HC-008" sheetId="605" r:id="rId15"/>
    <sheet name="R-HC-009" sheetId="596" r:id="rId16"/>
    <sheet name="R-L-001" sheetId="555" r:id="rId17"/>
    <sheet name="R-L-002" sheetId="492" r:id="rId18"/>
    <sheet name="R-L-003" sheetId="581" r:id="rId19"/>
    <sheet name="R-W-001" sheetId="527" r:id="rId20"/>
    <sheet name="R-W-002" sheetId="509" r:id="rId21"/>
    <sheet name="R-W-003" sheetId="533" r:id="rId22"/>
    <sheet name="R-WB-001" sheetId="526" r:id="rId23"/>
    <sheet name="R-WB-002" sheetId="566" r:id="rId24"/>
    <sheet name="R-WB-003" sheetId="565" r:id="rId25"/>
    <sheet name="R-WB-004" sheetId="564" r:id="rId26"/>
    <sheet name="R-WB-005" sheetId="525" r:id="rId27"/>
    <sheet name="R-WB-006" sheetId="597" r:id="rId28"/>
    <sheet name="R-WB-007" sheetId="598" r:id="rId29"/>
    <sheet name="Commercial --&gt;" sheetId="539" r:id="rId30"/>
    <sheet name="C-K-001" sheetId="546" r:id="rId31"/>
    <sheet name="C-K-002" sheetId="559" r:id="rId32"/>
    <sheet name="C-HC-001" sheetId="542" r:id="rId33"/>
    <sheet name="C-HC-002" sheetId="552" r:id="rId34"/>
    <sheet name="C-HC-003" sheetId="572" r:id="rId35"/>
    <sheet name="C-HC-004" sheetId="582" r:id="rId36"/>
    <sheet name="C-HC-005" sheetId="488" r:id="rId37"/>
    <sheet name="C-HC-006" sheetId="540" r:id="rId38"/>
    <sheet name="C-HC-007" sheetId="496" r:id="rId39"/>
    <sheet name="C-HC-008" sheetId="580" r:id="rId40"/>
    <sheet name="C-HC-009" sheetId="553" r:id="rId41"/>
    <sheet name="C-HC-010" sheetId="563" r:id="rId42"/>
    <sheet name="C-HC-011" sheetId="568" r:id="rId43"/>
    <sheet name="C-HC-012" sheetId="570" r:id="rId44"/>
    <sheet name="C-HC-013" sheetId="482" r:id="rId45"/>
    <sheet name="C-HC-014" sheetId="585" r:id="rId46"/>
    <sheet name="C-HC-015" sheetId="586" r:id="rId47"/>
    <sheet name="C-HC-016" sheetId="521" r:id="rId48"/>
    <sheet name="C-L-001" sheetId="498" r:id="rId49"/>
    <sheet name="C-L-002" sheetId="500" r:id="rId50"/>
    <sheet name="C-L-003" sheetId="503" r:id="rId51"/>
    <sheet name="C-L-004" sheetId="483" r:id="rId52"/>
    <sheet name="C-L-005" sheetId="487" r:id="rId53"/>
    <sheet name="C-L-006" sheetId="484" r:id="rId54"/>
    <sheet name="C-L-007" sheetId="480" r:id="rId55"/>
    <sheet name="C-L-008" sheetId="504" r:id="rId56"/>
    <sheet name="C-L-009" sheetId="481" r:id="rId57"/>
    <sheet name="C-R-001" sheetId="584" r:id="rId58"/>
    <sheet name="C-R-002" sheetId="587" r:id="rId59"/>
    <sheet name="C-R-003" sheetId="589" r:id="rId60"/>
    <sheet name="C-R-004" sheetId="590" r:id="rId61"/>
    <sheet name="C-R-005" sheetId="560" r:id="rId62"/>
    <sheet name="C-R-006" sheetId="548" r:id="rId63"/>
    <sheet name="C-R-007" sheetId="547" r:id="rId64"/>
    <sheet name="C-R-008" sheetId="549" r:id="rId65"/>
    <sheet name="C-R-009" sheetId="608" r:id="rId66"/>
    <sheet name="C-R-010" sheetId="551" r:id="rId67"/>
    <sheet name="C-R-011" sheetId="561" r:id="rId68"/>
    <sheet name="C-W-001" sheetId="583" r:id="rId69"/>
    <sheet name="C-W-002" sheetId="554" r:id="rId70"/>
    <sheet name="C-W-003" sheetId="544" r:id="rId71"/>
    <sheet name="C-W-004" sheetId="562" r:id="rId72"/>
    <sheet name="C-WB-001" sheetId="575" r:id="rId73"/>
    <sheet name="C-WB-002" sheetId="604" r:id="rId74"/>
    <sheet name="C-WB-003" sheetId="601" r:id="rId75"/>
    <sheet name="C-WB-004" sheetId="602" r:id="rId76"/>
    <sheet name="C-WB-005" sheetId="603" r:id="rId77"/>
    <sheet name="DER-001" sheetId="611" r:id="rId78"/>
    <sheet name="DER-002" sheetId="612" r:id="rId79"/>
    <sheet name="DER-003" sheetId="613" r:id="rId80"/>
    <sheet name="DER-004" sheetId="614" r:id="rId81"/>
    <sheet name="Global Data --&gt;" sheetId="182" r:id="rId82"/>
    <sheet name="Variables" sheetId="490" r:id="rId83"/>
    <sheet name="Value of Savings" sheetId="522" r:id="rId84"/>
    <sheet name="Climate Data" sheetId="204" r:id="rId85"/>
    <sheet name="Building Data" sheetId="180" r:id="rId86"/>
    <sheet name="Validation" sheetId="536" r:id="rId87"/>
    <sheet name="Sources --&gt;" sheetId="516" state="hidden" r:id="rId88"/>
    <sheet name="Savings_AC" sheetId="609" state="hidden" r:id="rId89"/>
    <sheet name="Savings_BS" sheetId="610" state="hidden" r:id="rId90"/>
    <sheet name="Commercial_Baseline" sheetId="594" state="hidden" r:id="rId91"/>
    <sheet name="Electric_Space_Heat" sheetId="593" state="hidden" r:id="rId92"/>
    <sheet name="Motors" sheetId="571" state="hidden" r:id="rId93"/>
    <sheet name="Lighting" sheetId="217" state="hidden" r:id="rId94"/>
    <sheet name="Water_Consumption" sheetId="557" state="hidden" r:id="rId95"/>
    <sheet name="HDD_CDD" sheetId="558" state="hidden" r:id="rId96"/>
    <sheet name="Setpoint Temperature" sheetId="595" state="hidden" r:id="rId97"/>
    <sheet name="Export --&gt;" sheetId="616" state="hidden" r:id="rId98"/>
    <sheet name="LOOKUP" sheetId="579" state="hidden" r:id="rId99"/>
    <sheet name="TRM_INDEX" sheetId="618" state="hidden" r:id="rId100"/>
  </sheets>
  <externalReferences>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__123Graph_A" localSheetId="32" hidden="1">'[1]Ptnr Returns'!#REF!</definedName>
    <definedName name="__123Graph_A" localSheetId="33" hidden="1">'[1]Ptnr Returns'!#REF!</definedName>
    <definedName name="__123Graph_A" localSheetId="34" hidden="1">'[1]Ptnr Returns'!#REF!</definedName>
    <definedName name="__123Graph_A" localSheetId="35" hidden="1">'[1]Ptnr Returns'!#REF!</definedName>
    <definedName name="__123Graph_A" localSheetId="36" hidden="1">'[1]Ptnr Returns'!#REF!</definedName>
    <definedName name="__123Graph_A" localSheetId="37" hidden="1">'[1]Ptnr Returns'!#REF!</definedName>
    <definedName name="__123Graph_A" localSheetId="38" hidden="1">'[1]Ptnr Returns'!#REF!</definedName>
    <definedName name="__123Graph_A" localSheetId="39" hidden="1">'[1]Ptnr Returns'!#REF!</definedName>
    <definedName name="__123Graph_A" localSheetId="40" hidden="1">'[1]Ptnr Returns'!#REF!</definedName>
    <definedName name="__123Graph_A" localSheetId="41" hidden="1">'[1]Ptnr Returns'!#REF!</definedName>
    <definedName name="__123Graph_A" localSheetId="42" hidden="1">'[1]Ptnr Returns'!#REF!</definedName>
    <definedName name="__123Graph_A" localSheetId="43" hidden="1">'[1]Ptnr Returns'!#REF!</definedName>
    <definedName name="__123Graph_A" localSheetId="44" hidden="1">'[1]Ptnr Returns'!#REF!</definedName>
    <definedName name="__123Graph_A" localSheetId="45" hidden="1">'[1]Ptnr Returns'!#REF!</definedName>
    <definedName name="__123Graph_A" localSheetId="46" hidden="1">'[1]Ptnr Returns'!#REF!</definedName>
    <definedName name="__123Graph_A" localSheetId="47" hidden="1">'[1]Ptnr Returns'!#REF!</definedName>
    <definedName name="__123Graph_A" localSheetId="30" hidden="1">'[1]Ptnr Returns'!#REF!</definedName>
    <definedName name="__123Graph_A" localSheetId="31" hidden="1">'[1]Ptnr Returns'!#REF!</definedName>
    <definedName name="__123Graph_A" localSheetId="48" hidden="1">'[1]Ptnr Returns'!#REF!</definedName>
    <definedName name="__123Graph_A" localSheetId="49" hidden="1">'[1]Ptnr Returns'!#REF!</definedName>
    <definedName name="__123Graph_A" localSheetId="50" hidden="1">'[1]Ptnr Returns'!#REF!</definedName>
    <definedName name="__123Graph_A" localSheetId="51" hidden="1">'[1]Ptnr Returns'!#REF!</definedName>
    <definedName name="__123Graph_A" localSheetId="52" hidden="1">'[1]Ptnr Returns'!#REF!</definedName>
    <definedName name="__123Graph_A" localSheetId="53" hidden="1">'[1]Ptnr Returns'!#REF!</definedName>
    <definedName name="__123Graph_A" localSheetId="54" hidden="1">'[1]Ptnr Returns'!#REF!</definedName>
    <definedName name="__123Graph_A" localSheetId="55" hidden="1">'[1]Ptnr Returns'!#REF!</definedName>
    <definedName name="__123Graph_A" localSheetId="56" hidden="1">'[1]Ptnr Returns'!#REF!</definedName>
    <definedName name="__123Graph_A" localSheetId="57" hidden="1">'[1]Ptnr Returns'!#REF!</definedName>
    <definedName name="__123Graph_A" localSheetId="58" hidden="1">'[1]Ptnr Returns'!#REF!</definedName>
    <definedName name="__123Graph_A" localSheetId="59" hidden="1">'[1]Ptnr Returns'!#REF!</definedName>
    <definedName name="__123Graph_A" localSheetId="60" hidden="1">'[1]Ptnr Returns'!#REF!</definedName>
    <definedName name="__123Graph_A" localSheetId="61" hidden="1">'[1]Ptnr Returns'!#REF!</definedName>
    <definedName name="__123Graph_A" localSheetId="62" hidden="1">'[1]Ptnr Returns'!#REF!</definedName>
    <definedName name="__123Graph_A" localSheetId="63" hidden="1">'[1]Ptnr Returns'!#REF!</definedName>
    <definedName name="__123Graph_A" localSheetId="64" hidden="1">'[1]Ptnr Returns'!#REF!</definedName>
    <definedName name="__123Graph_A" localSheetId="65" hidden="1">'[1]Ptnr Returns'!#REF!</definedName>
    <definedName name="__123Graph_A" localSheetId="66" hidden="1">'[1]Ptnr Returns'!#REF!</definedName>
    <definedName name="__123Graph_A" localSheetId="67" hidden="1">'[1]Ptnr Returns'!#REF!</definedName>
    <definedName name="__123Graph_A" localSheetId="68" hidden="1">'[1]Ptnr Returns'!#REF!</definedName>
    <definedName name="__123Graph_A" localSheetId="69" hidden="1">'[1]Ptnr Returns'!#REF!</definedName>
    <definedName name="__123Graph_A" localSheetId="71" hidden="1">'[1]Ptnr Returns'!#REF!</definedName>
    <definedName name="__123Graph_A" localSheetId="72" hidden="1">'[1]Ptnr Returns'!#REF!</definedName>
    <definedName name="__123Graph_A" localSheetId="73" hidden="1">'[1]Ptnr Returns'!#REF!</definedName>
    <definedName name="__123Graph_A" localSheetId="74" hidden="1">'[1]Ptnr Returns'!#REF!</definedName>
    <definedName name="__123Graph_A" localSheetId="75" hidden="1">'[1]Ptnr Returns'!#REF!</definedName>
    <definedName name="__123Graph_A" localSheetId="76" hidden="1">'[1]Ptnr Returns'!#REF!</definedName>
    <definedName name="__123Graph_A" localSheetId="77" hidden="1">'[1]Ptnr Returns'!#REF!</definedName>
    <definedName name="__123Graph_A" localSheetId="78" hidden="1">'[1]Ptnr Returns'!#REF!</definedName>
    <definedName name="__123Graph_A" localSheetId="79" hidden="1">'[1]Ptnr Returns'!#REF!</definedName>
    <definedName name="__123Graph_A" localSheetId="80" hidden="1">'[1]Ptnr Returns'!#REF!</definedName>
    <definedName name="__123Graph_A" localSheetId="5" hidden="1">'[1]Ptnr Returns'!#REF!</definedName>
    <definedName name="__123Graph_A" localSheetId="7" hidden="1">'[1]Ptnr Returns'!#REF!</definedName>
    <definedName name="__123Graph_A" localSheetId="8" hidden="1">'[1]Ptnr Returns'!#REF!</definedName>
    <definedName name="__123Graph_A" localSheetId="9" hidden="1">'[1]Ptnr Returns'!#REF!</definedName>
    <definedName name="__123Graph_A" localSheetId="10" hidden="1">'[1]Ptnr Returns'!#REF!</definedName>
    <definedName name="__123Graph_A" localSheetId="11" hidden="1">'[1]Ptnr Returns'!#REF!</definedName>
    <definedName name="__123Graph_A" localSheetId="12" hidden="1">'[1]Ptnr Returns'!#REF!</definedName>
    <definedName name="__123Graph_A" localSheetId="13" hidden="1">'[1]Ptnr Returns'!#REF!</definedName>
    <definedName name="__123Graph_A" localSheetId="14" hidden="1">'[1]Ptnr Returns'!#REF!</definedName>
    <definedName name="__123Graph_A" localSheetId="15" hidden="1">'[1]Ptnr Returns'!#REF!</definedName>
    <definedName name="__123Graph_A" localSheetId="16" hidden="1">'[1]Ptnr Returns'!#REF!</definedName>
    <definedName name="__123Graph_A" localSheetId="17" hidden="1">'[1]Ptnr Returns'!#REF!</definedName>
    <definedName name="__123Graph_A" localSheetId="18" hidden="1">'[1]Ptnr Returns'!#REF!</definedName>
    <definedName name="__123Graph_A" localSheetId="19" hidden="1">'[1]Ptnr Returns'!#REF!</definedName>
    <definedName name="__123Graph_A" localSheetId="20" hidden="1">'[1]Ptnr Returns'!#REF!</definedName>
    <definedName name="__123Graph_A" localSheetId="21" hidden="1">'[1]Ptnr Returns'!#REF!</definedName>
    <definedName name="__123Graph_A" localSheetId="22" hidden="1">'[1]Ptnr Returns'!#REF!</definedName>
    <definedName name="__123Graph_A" localSheetId="23" hidden="1">'[1]Ptnr Returns'!#REF!</definedName>
    <definedName name="__123Graph_A" localSheetId="24" hidden="1">'[1]Ptnr Returns'!#REF!</definedName>
    <definedName name="__123Graph_A" localSheetId="25" hidden="1">'[1]Ptnr Returns'!#REF!</definedName>
    <definedName name="__123Graph_A" localSheetId="26" hidden="1">'[1]Ptnr Returns'!#REF!</definedName>
    <definedName name="__123Graph_A" localSheetId="27" hidden="1">'[1]Ptnr Returns'!#REF!</definedName>
    <definedName name="__123Graph_A" localSheetId="28" hidden="1">'[1]Ptnr Returns'!#REF!</definedName>
    <definedName name="__123Graph_A" localSheetId="82" hidden="1">'[2]Ptnr Returns'!#REF!</definedName>
    <definedName name="__123Graph_A2" localSheetId="32" hidden="1">'[3]August 2009'!#REF!</definedName>
    <definedName name="__123Graph_A2" localSheetId="33" hidden="1">'[3]August 2009'!#REF!</definedName>
    <definedName name="__123Graph_A2" localSheetId="34" hidden="1">'[3]August 2009'!#REF!</definedName>
    <definedName name="__123Graph_A2" localSheetId="37" hidden="1">'[3]August 2009'!#REF!</definedName>
    <definedName name="__123Graph_A2" hidden="1">'[3]August 2009'!#REF!</definedName>
    <definedName name="__123Graph_ADSM" localSheetId="32" hidden="1">'C-HC-001'!#REF!</definedName>
    <definedName name="__123Graph_ADSM" localSheetId="33" hidden="1">'C-HC-002'!#REF!</definedName>
    <definedName name="__123Graph_ADSM" localSheetId="37" hidden="1">#REF!</definedName>
    <definedName name="__123Graph_ADSM" hidden="1">#REF!</definedName>
    <definedName name="__123Graph_AGROSSREQ" localSheetId="32" hidden="1">'C-HC-001'!#REF!</definedName>
    <definedName name="__123Graph_AGROSSREQ" localSheetId="33" hidden="1">'C-HC-002'!#REF!</definedName>
    <definedName name="__123Graph_AGROSSREQ" localSheetId="37" hidden="1">#REF!</definedName>
    <definedName name="__123Graph_AGROSSREQ" hidden="1">#REF!</definedName>
    <definedName name="__123Graph_APEAKS" localSheetId="32" hidden="1">'C-HC-001'!#REF!</definedName>
    <definedName name="__123Graph_APEAKS" localSheetId="33" hidden="1">'C-HC-002'!#REF!</definedName>
    <definedName name="__123Graph_APEAKS" localSheetId="37" hidden="1">#REF!</definedName>
    <definedName name="__123Graph_APEAKS" hidden="1">#REF!</definedName>
    <definedName name="__123Graph_APKDEMAND" localSheetId="32" hidden="1">'C-HC-001'!#REF!</definedName>
    <definedName name="__123Graph_APKDEMAND" localSheetId="33" hidden="1">'C-HC-002'!#REF!</definedName>
    <definedName name="__123Graph_APKDEMAND" localSheetId="37" hidden="1">#REF!</definedName>
    <definedName name="__123Graph_APKDEMAND" hidden="1">#REF!</definedName>
    <definedName name="__123Graph_APOPSALES" localSheetId="32" hidden="1">'C-HC-001'!#REF!</definedName>
    <definedName name="__123Graph_APOPSALES" localSheetId="33" hidden="1">'C-HC-002'!#REF!</definedName>
    <definedName name="__123Graph_APOPSALES" localSheetId="37" hidden="1">#REF!</definedName>
    <definedName name="__123Graph_APOPSALES" hidden="1">#REF!</definedName>
    <definedName name="__123Graph_ASALEBAND" localSheetId="32" hidden="1">'C-HC-001'!#REF!</definedName>
    <definedName name="__123Graph_ASALEBAND" localSheetId="33" hidden="1">'C-HC-002'!#REF!</definedName>
    <definedName name="__123Graph_ASALEBAND" localSheetId="37" hidden="1">#REF!</definedName>
    <definedName name="__123Graph_ASALEBAND" hidden="1">#REF!</definedName>
    <definedName name="__123Graph_ASALECOMP" localSheetId="32" hidden="1">'C-HC-001'!#REF!</definedName>
    <definedName name="__123Graph_ASALECOMP" localSheetId="33" hidden="1">'C-HC-002'!#REF!</definedName>
    <definedName name="__123Graph_ASALECOMP" localSheetId="37" hidden="1">#REF!</definedName>
    <definedName name="__123Graph_ASALECOMP" hidden="1">#REF!</definedName>
    <definedName name="__123Graph_ASALES" localSheetId="32" hidden="1">'C-HC-001'!#REF!</definedName>
    <definedName name="__123Graph_ASALES" localSheetId="33" hidden="1">'C-HC-002'!#REF!</definedName>
    <definedName name="__123Graph_ASALES" localSheetId="37" hidden="1">#REF!</definedName>
    <definedName name="__123Graph_ASALES" hidden="1">#REF!</definedName>
    <definedName name="__123Graph_ATAB13" localSheetId="32" hidden="1">'C-HC-001'!#REF!</definedName>
    <definedName name="__123Graph_ATAB13" localSheetId="33" hidden="1">'C-HC-002'!#REF!</definedName>
    <definedName name="__123Graph_ATAB13" localSheetId="37" hidden="1">#REF!</definedName>
    <definedName name="__123Graph_ATAB13" hidden="1">#REF!</definedName>
    <definedName name="__123Graph_AUSERATE" localSheetId="32" hidden="1">'C-HC-001'!#REF!</definedName>
    <definedName name="__123Graph_AUSERATE" localSheetId="33" hidden="1">'C-HC-002'!#REF!</definedName>
    <definedName name="__123Graph_AUSERATE" localSheetId="37" hidden="1">#REF!</definedName>
    <definedName name="__123Graph_AUSERATE" hidden="1">#REF!</definedName>
    <definedName name="__123Graph_B" localSheetId="32" hidden="1">'[4]Forecast Fuel'!#REF!</definedName>
    <definedName name="__123Graph_B" localSheetId="33" hidden="1">'[4]Forecast Fuel'!#REF!</definedName>
    <definedName name="__123Graph_B" localSheetId="34" hidden="1">'[4]Forecast Fuel'!#REF!</definedName>
    <definedName name="__123Graph_B" localSheetId="35" hidden="1">'[4]Forecast Fuel'!#REF!</definedName>
    <definedName name="__123Graph_B" localSheetId="36" hidden="1">'[4]Forecast Fuel'!#REF!</definedName>
    <definedName name="__123Graph_B" localSheetId="37" hidden="1">'[4]Forecast Fuel'!#REF!</definedName>
    <definedName name="__123Graph_B" localSheetId="38" hidden="1">'[4]Forecast Fuel'!#REF!</definedName>
    <definedName name="__123Graph_B" localSheetId="39" hidden="1">'[4]Forecast Fuel'!#REF!</definedName>
    <definedName name="__123Graph_B" localSheetId="40" hidden="1">'[4]Forecast Fuel'!#REF!</definedName>
    <definedName name="__123Graph_B" localSheetId="41" hidden="1">'[4]Forecast Fuel'!#REF!</definedName>
    <definedName name="__123Graph_B" localSheetId="42" hidden="1">'[4]Forecast Fuel'!#REF!</definedName>
    <definedName name="__123Graph_B" localSheetId="43" hidden="1">'[4]Forecast Fuel'!#REF!</definedName>
    <definedName name="__123Graph_B" localSheetId="44" hidden="1">'[4]Forecast Fuel'!#REF!</definedName>
    <definedName name="__123Graph_B" localSheetId="45" hidden="1">'[4]Forecast Fuel'!#REF!</definedName>
    <definedName name="__123Graph_B" localSheetId="46" hidden="1">'[4]Forecast Fuel'!#REF!</definedName>
    <definedName name="__123Graph_B" localSheetId="47" hidden="1">'[4]Forecast Fuel'!#REF!</definedName>
    <definedName name="__123Graph_B" localSheetId="30" hidden="1">'[4]Forecast Fuel'!#REF!</definedName>
    <definedName name="__123Graph_B" localSheetId="31" hidden="1">'[4]Forecast Fuel'!#REF!</definedName>
    <definedName name="__123Graph_B" localSheetId="48" hidden="1">'[4]Forecast Fuel'!#REF!</definedName>
    <definedName name="__123Graph_B" localSheetId="49" hidden="1">'[4]Forecast Fuel'!#REF!</definedName>
    <definedName name="__123Graph_B" localSheetId="50" hidden="1">'[4]Forecast Fuel'!#REF!</definedName>
    <definedName name="__123Graph_B" localSheetId="51" hidden="1">'[4]Forecast Fuel'!#REF!</definedName>
    <definedName name="__123Graph_B" localSheetId="52" hidden="1">'[4]Forecast Fuel'!#REF!</definedName>
    <definedName name="__123Graph_B" localSheetId="53" hidden="1">'[4]Forecast Fuel'!#REF!</definedName>
    <definedName name="__123Graph_B" localSheetId="54" hidden="1">'[4]Forecast Fuel'!#REF!</definedName>
    <definedName name="__123Graph_B" localSheetId="55" hidden="1">'[4]Forecast Fuel'!#REF!</definedName>
    <definedName name="__123Graph_B" localSheetId="56" hidden="1">'[4]Forecast Fuel'!#REF!</definedName>
    <definedName name="__123Graph_B" localSheetId="57" hidden="1">'[4]Forecast Fuel'!#REF!</definedName>
    <definedName name="__123Graph_B" localSheetId="58" hidden="1">'[4]Forecast Fuel'!#REF!</definedName>
    <definedName name="__123Graph_B" localSheetId="59" hidden="1">'[4]Forecast Fuel'!#REF!</definedName>
    <definedName name="__123Graph_B" localSheetId="60" hidden="1">'[4]Forecast Fuel'!#REF!</definedName>
    <definedName name="__123Graph_B" localSheetId="61" hidden="1">'[4]Forecast Fuel'!#REF!</definedName>
    <definedName name="__123Graph_B" localSheetId="62" hidden="1">'[4]Forecast Fuel'!#REF!</definedName>
    <definedName name="__123Graph_B" localSheetId="63" hidden="1">'[4]Forecast Fuel'!#REF!</definedName>
    <definedName name="__123Graph_B" localSheetId="64" hidden="1">'[4]Forecast Fuel'!#REF!</definedName>
    <definedName name="__123Graph_B" localSheetId="65" hidden="1">'[4]Forecast Fuel'!#REF!</definedName>
    <definedName name="__123Graph_B" localSheetId="66" hidden="1">'[4]Forecast Fuel'!#REF!</definedName>
    <definedName name="__123Graph_B" localSheetId="67" hidden="1">'[4]Forecast Fuel'!#REF!</definedName>
    <definedName name="__123Graph_B" localSheetId="68" hidden="1">'[4]Forecast Fuel'!#REF!</definedName>
    <definedName name="__123Graph_B" localSheetId="69" hidden="1">'[4]Forecast Fuel'!#REF!</definedName>
    <definedName name="__123Graph_B" localSheetId="71" hidden="1">'[4]Forecast Fuel'!#REF!</definedName>
    <definedName name="__123Graph_B" localSheetId="72" hidden="1">'[4]Forecast Fuel'!#REF!</definedName>
    <definedName name="__123Graph_B" localSheetId="73" hidden="1">'[4]Forecast Fuel'!#REF!</definedName>
    <definedName name="__123Graph_B" localSheetId="74" hidden="1">'[4]Forecast Fuel'!#REF!</definedName>
    <definedName name="__123Graph_B" localSheetId="75" hidden="1">'[4]Forecast Fuel'!#REF!</definedName>
    <definedName name="__123Graph_B" localSheetId="76" hidden="1">'[4]Forecast Fuel'!#REF!</definedName>
    <definedName name="__123Graph_B" localSheetId="77" hidden="1">'[4]Forecast Fuel'!#REF!</definedName>
    <definedName name="__123Graph_B" localSheetId="78" hidden="1">'[4]Forecast Fuel'!#REF!</definedName>
    <definedName name="__123Graph_B" localSheetId="79" hidden="1">'[4]Forecast Fuel'!#REF!</definedName>
    <definedName name="__123Graph_B" localSheetId="80" hidden="1">'[4]Forecast Fuel'!#REF!</definedName>
    <definedName name="__123Graph_B" localSheetId="5" hidden="1">'[4]Forecast Fuel'!#REF!</definedName>
    <definedName name="__123Graph_B" localSheetId="7" hidden="1">'[4]Forecast Fuel'!#REF!</definedName>
    <definedName name="__123Graph_B" localSheetId="8" hidden="1">'[4]Forecast Fuel'!#REF!</definedName>
    <definedName name="__123Graph_B" localSheetId="9" hidden="1">'[4]Forecast Fuel'!#REF!</definedName>
    <definedName name="__123Graph_B" localSheetId="10" hidden="1">'[4]Forecast Fuel'!#REF!</definedName>
    <definedName name="__123Graph_B" localSheetId="11" hidden="1">'[4]Forecast Fuel'!#REF!</definedName>
    <definedName name="__123Graph_B" localSheetId="12" hidden="1">'[4]Forecast Fuel'!#REF!</definedName>
    <definedName name="__123Graph_B" localSheetId="13" hidden="1">'[4]Forecast Fuel'!#REF!</definedName>
    <definedName name="__123Graph_B" localSheetId="14" hidden="1">'[4]Forecast Fuel'!#REF!</definedName>
    <definedName name="__123Graph_B" localSheetId="15" hidden="1">'[4]Forecast Fuel'!#REF!</definedName>
    <definedName name="__123Graph_B" localSheetId="16" hidden="1">'[4]Forecast Fuel'!#REF!</definedName>
    <definedName name="__123Graph_B" localSheetId="17" hidden="1">'[4]Forecast Fuel'!#REF!</definedName>
    <definedName name="__123Graph_B" localSheetId="18" hidden="1">'[4]Forecast Fuel'!#REF!</definedName>
    <definedName name="__123Graph_B" localSheetId="19" hidden="1">'[4]Forecast Fuel'!#REF!</definedName>
    <definedName name="__123Graph_B" localSheetId="20" hidden="1">'[4]Forecast Fuel'!#REF!</definedName>
    <definedName name="__123Graph_B" localSheetId="21" hidden="1">'[4]Forecast Fuel'!#REF!</definedName>
    <definedName name="__123Graph_B" localSheetId="22" hidden="1">'[4]Forecast Fuel'!#REF!</definedName>
    <definedName name="__123Graph_B" localSheetId="23" hidden="1">'[4]Forecast Fuel'!#REF!</definedName>
    <definedName name="__123Graph_B" localSheetId="24" hidden="1">'[4]Forecast Fuel'!#REF!</definedName>
    <definedName name="__123Graph_B" localSheetId="25" hidden="1">'[4]Forecast Fuel'!#REF!</definedName>
    <definedName name="__123Graph_B" localSheetId="26" hidden="1">'[4]Forecast Fuel'!#REF!</definedName>
    <definedName name="__123Graph_B" localSheetId="27" hidden="1">'[4]Forecast Fuel'!#REF!</definedName>
    <definedName name="__123Graph_B" localSheetId="28" hidden="1">'[4]Forecast Fuel'!#REF!</definedName>
    <definedName name="__123Graph_B" localSheetId="82" hidden="1">'[5]Forecast Fuel'!#REF!</definedName>
    <definedName name="__123Graph_BGROSSREQ" localSheetId="32" hidden="1">'C-HC-001'!#REF!</definedName>
    <definedName name="__123Graph_BGROSSREQ" localSheetId="33" hidden="1">'C-HC-002'!#REF!</definedName>
    <definedName name="__123Graph_BGROSSREQ" localSheetId="37" hidden="1">#REF!</definedName>
    <definedName name="__123Graph_BGROSSREQ" hidden="1">#REF!</definedName>
    <definedName name="__123Graph_BPEAKS" localSheetId="32" hidden="1">'C-HC-001'!#REF!</definedName>
    <definedName name="__123Graph_BPEAKS" localSheetId="33" hidden="1">'C-HC-002'!#REF!</definedName>
    <definedName name="__123Graph_BPEAKS" localSheetId="37" hidden="1">#REF!</definedName>
    <definedName name="__123Graph_BPEAKS" hidden="1">#REF!</definedName>
    <definedName name="__123Graph_BPKDEMAND" localSheetId="32" hidden="1">'C-HC-001'!#REF!</definedName>
    <definedName name="__123Graph_BPKDEMAND" localSheetId="33" hidden="1">'C-HC-002'!#REF!</definedName>
    <definedName name="__123Graph_BPKDEMAND" localSheetId="37" hidden="1">#REF!</definedName>
    <definedName name="__123Graph_BPKDEMAND" hidden="1">#REF!</definedName>
    <definedName name="__123Graph_BPOPSALES" localSheetId="32" hidden="1">'C-HC-001'!#REF!</definedName>
    <definedName name="__123Graph_BPOPSALES" localSheetId="33" hidden="1">'C-HC-002'!#REF!</definedName>
    <definedName name="__123Graph_BPOPSALES" localSheetId="37" hidden="1">#REF!</definedName>
    <definedName name="__123Graph_BPOPSALES" hidden="1">#REF!</definedName>
    <definedName name="__123Graph_BSALEBAND" localSheetId="32" hidden="1">'C-HC-001'!#REF!</definedName>
    <definedName name="__123Graph_BSALEBAND" localSheetId="33" hidden="1">'C-HC-002'!#REF!</definedName>
    <definedName name="__123Graph_BSALEBAND" localSheetId="37" hidden="1">#REF!</definedName>
    <definedName name="__123Graph_BSALEBAND" hidden="1">#REF!</definedName>
    <definedName name="__123Graph_BSALECOMP" localSheetId="32" hidden="1">'C-HC-001'!#REF!</definedName>
    <definedName name="__123Graph_BSALECOMP" localSheetId="33" hidden="1">'C-HC-002'!#REF!</definedName>
    <definedName name="__123Graph_BSALECOMP" localSheetId="37" hidden="1">#REF!</definedName>
    <definedName name="__123Graph_BSALECOMP" hidden="1">#REF!</definedName>
    <definedName name="__123Graph_BSALES" localSheetId="32" hidden="1">'C-HC-001'!#REF!</definedName>
    <definedName name="__123Graph_BSALES" localSheetId="33" hidden="1">'C-HC-002'!#REF!</definedName>
    <definedName name="__123Graph_BSALES" localSheetId="37" hidden="1">#REF!</definedName>
    <definedName name="__123Graph_BSALES" hidden="1">#REF!</definedName>
    <definedName name="__123Graph_BTAB13" localSheetId="32" hidden="1">'C-HC-001'!#REF!</definedName>
    <definedName name="__123Graph_BTAB13" localSheetId="33" hidden="1">'C-HC-002'!#REF!</definedName>
    <definedName name="__123Graph_BTAB13" localSheetId="37" hidden="1">#REF!</definedName>
    <definedName name="__123Graph_BTAB13" hidden="1">#REF!</definedName>
    <definedName name="__123Graph_BUSERATE" localSheetId="32" hidden="1">'C-HC-001'!#REF!</definedName>
    <definedName name="__123Graph_BUSERATE" localSheetId="33" hidden="1">'C-HC-002'!#REF!</definedName>
    <definedName name="__123Graph_BUSERATE" localSheetId="37" hidden="1">#REF!</definedName>
    <definedName name="__123Graph_BUSERATE" hidden="1">#REF!</definedName>
    <definedName name="__123Graph_C" localSheetId="32" hidden="1">'C-HC-001'!#REF!</definedName>
    <definedName name="__123Graph_C" localSheetId="33" hidden="1">'C-HC-002'!#REF!</definedName>
    <definedName name="__123Graph_C" localSheetId="37" hidden="1">#REF!</definedName>
    <definedName name="__123Graph_C" hidden="1">#REF!</definedName>
    <definedName name="__123Graph_CGROSSREQ" localSheetId="32" hidden="1">'C-HC-001'!#REF!</definedName>
    <definedName name="__123Graph_CGROSSREQ" localSheetId="33" hidden="1">'C-HC-002'!#REF!</definedName>
    <definedName name="__123Graph_CGROSSREQ" localSheetId="37" hidden="1">#REF!</definedName>
    <definedName name="__123Graph_CGROSSREQ" hidden="1">#REF!</definedName>
    <definedName name="__123Graph_CPEAKS" localSheetId="32" hidden="1">'C-HC-001'!#REF!</definedName>
    <definedName name="__123Graph_CPEAKS" localSheetId="33" hidden="1">'C-HC-002'!#REF!</definedName>
    <definedName name="__123Graph_CPEAKS" localSheetId="37" hidden="1">#REF!</definedName>
    <definedName name="__123Graph_CPEAKS" hidden="1">#REF!</definedName>
    <definedName name="__123Graph_CPKDEMAND" localSheetId="32" hidden="1">'C-HC-001'!#REF!</definedName>
    <definedName name="__123Graph_CPKDEMAND" localSheetId="33" hidden="1">'C-HC-002'!#REF!</definedName>
    <definedName name="__123Graph_CPKDEMAND" localSheetId="37" hidden="1">#REF!</definedName>
    <definedName name="__123Graph_CPKDEMAND" hidden="1">#REF!</definedName>
    <definedName name="__123Graph_CSALEBAND" localSheetId="32" hidden="1">'C-HC-001'!#REF!</definedName>
    <definedName name="__123Graph_CSALEBAND" localSheetId="33" hidden="1">'C-HC-002'!#REF!</definedName>
    <definedName name="__123Graph_CSALEBAND" localSheetId="37" hidden="1">#REF!</definedName>
    <definedName name="__123Graph_CSALEBAND" hidden="1">#REF!</definedName>
    <definedName name="__123Graph_CSALES" localSheetId="32" hidden="1">'C-HC-001'!#REF!</definedName>
    <definedName name="__123Graph_CSALES" localSheetId="33" hidden="1">'C-HC-002'!#REF!</definedName>
    <definedName name="__123Graph_CSALES" localSheetId="37" hidden="1">#REF!</definedName>
    <definedName name="__123Graph_CSALES" hidden="1">#REF!</definedName>
    <definedName name="__123Graph_CTAB13" localSheetId="32" hidden="1">'C-HC-001'!#REF!</definedName>
    <definedName name="__123Graph_CTAB13" localSheetId="33" hidden="1">'C-HC-002'!#REF!</definedName>
    <definedName name="__123Graph_CTAB13" localSheetId="37" hidden="1">#REF!</definedName>
    <definedName name="__123Graph_CTAB13" hidden="1">#REF!</definedName>
    <definedName name="__123Graph_D" localSheetId="32" hidden="1">'C-HC-001'!#REF!</definedName>
    <definedName name="__123Graph_D" localSheetId="33" hidden="1">'C-HC-002'!#REF!</definedName>
    <definedName name="__123Graph_D" localSheetId="37" hidden="1">#REF!</definedName>
    <definedName name="__123Graph_D" hidden="1">#REF!</definedName>
    <definedName name="__123Graph_DPEAKS" localSheetId="32" hidden="1">'C-HC-001'!#REF!</definedName>
    <definedName name="__123Graph_DPEAKS" localSheetId="33" hidden="1">'C-HC-002'!#REF!</definedName>
    <definedName name="__123Graph_DPEAKS" localSheetId="37" hidden="1">#REF!</definedName>
    <definedName name="__123Graph_DPEAKS" hidden="1">#REF!</definedName>
    <definedName name="__123Graph_DSALES" localSheetId="32" hidden="1">'C-HC-001'!#REF!</definedName>
    <definedName name="__123Graph_DSALES" localSheetId="33" hidden="1">'C-HC-002'!#REF!</definedName>
    <definedName name="__123Graph_DSALES" localSheetId="37" hidden="1">#REF!</definedName>
    <definedName name="__123Graph_DSALES" hidden="1">#REF!</definedName>
    <definedName name="__123Graph_DTAB13" localSheetId="32" hidden="1">'C-HC-001'!#REF!</definedName>
    <definedName name="__123Graph_DTAB13" localSheetId="33" hidden="1">'C-HC-002'!#REF!</definedName>
    <definedName name="__123Graph_DTAB13" localSheetId="37" hidden="1">#REF!</definedName>
    <definedName name="__123Graph_DTAB13" hidden="1">#REF!</definedName>
    <definedName name="__123Graph_ETAB13" localSheetId="32" hidden="1">'C-HC-001'!#REF!</definedName>
    <definedName name="__123Graph_ETAB13" localSheetId="33" hidden="1">'C-HC-002'!#REF!</definedName>
    <definedName name="__123Graph_ETAB13" localSheetId="37" hidden="1">#REF!</definedName>
    <definedName name="__123Graph_ETAB13" hidden="1">#REF!</definedName>
    <definedName name="__123Graph_FTAB13" localSheetId="32" hidden="1">'C-HC-001'!#REF!</definedName>
    <definedName name="__123Graph_FTAB13" localSheetId="33" hidden="1">'C-HC-002'!#REF!</definedName>
    <definedName name="__123Graph_FTAB13" localSheetId="37" hidden="1">#REF!</definedName>
    <definedName name="__123Graph_FTAB13" hidden="1">#REF!</definedName>
    <definedName name="__123Graph_X" localSheetId="32" hidden="1">'C-HC-001'!#REF!</definedName>
    <definedName name="__123Graph_X" localSheetId="33" hidden="1">'C-HC-002'!#REF!</definedName>
    <definedName name="__123Graph_X" localSheetId="37" hidden="1">#REF!</definedName>
    <definedName name="__123Graph_X" hidden="1">#REF!</definedName>
    <definedName name="__123Graph_XDSM" localSheetId="32" hidden="1">'C-HC-001'!#REF!</definedName>
    <definedName name="__123Graph_XDSM" localSheetId="33" hidden="1">'C-HC-002'!#REF!</definedName>
    <definedName name="__123Graph_XDSM" localSheetId="37" hidden="1">#REF!</definedName>
    <definedName name="__123Graph_XDSM" hidden="1">#REF!</definedName>
    <definedName name="__123Graph_XGROSSREQ" localSheetId="32" hidden="1">'C-HC-001'!#REF!</definedName>
    <definedName name="__123Graph_XGROSSREQ" localSheetId="33" hidden="1">'C-HC-002'!#REF!</definedName>
    <definedName name="__123Graph_XGROSSREQ" localSheetId="37" hidden="1">#REF!</definedName>
    <definedName name="__123Graph_XGROSSREQ" hidden="1">#REF!</definedName>
    <definedName name="__123Graph_XPEAKS" localSheetId="32" hidden="1">'C-HC-001'!#REF!</definedName>
    <definedName name="__123Graph_XPEAKS" localSheetId="33" hidden="1">'C-HC-002'!#REF!</definedName>
    <definedName name="__123Graph_XPEAKS" localSheetId="37" hidden="1">#REF!</definedName>
    <definedName name="__123Graph_XPEAKS" hidden="1">#REF!</definedName>
    <definedName name="__123Graph_XPKDEMAND" localSheetId="32" hidden="1">'C-HC-001'!#REF!</definedName>
    <definedName name="__123Graph_XPKDEMAND" localSheetId="33" hidden="1">'C-HC-002'!#REF!</definedName>
    <definedName name="__123Graph_XPKDEMAND" localSheetId="37" hidden="1">#REF!</definedName>
    <definedName name="__123Graph_XPKDEMAND" hidden="1">#REF!</definedName>
    <definedName name="__123Graph_XPOPSALES" localSheetId="32" hidden="1">'C-HC-001'!#REF!</definedName>
    <definedName name="__123Graph_XPOPSALES" localSheetId="33" hidden="1">'C-HC-002'!#REF!</definedName>
    <definedName name="__123Graph_XPOPSALES" localSheetId="37" hidden="1">#REF!</definedName>
    <definedName name="__123Graph_XPOPSALES" hidden="1">#REF!</definedName>
    <definedName name="__123Graph_XSALEBAND" localSheetId="32" hidden="1">'C-HC-001'!#REF!</definedName>
    <definedName name="__123Graph_XSALEBAND" localSheetId="33" hidden="1">'C-HC-002'!#REF!</definedName>
    <definedName name="__123Graph_XSALEBAND" localSheetId="37" hidden="1">#REF!</definedName>
    <definedName name="__123Graph_XSALEBAND" hidden="1">#REF!</definedName>
    <definedName name="__123Graph_XSALECOMP" localSheetId="32" hidden="1">'C-HC-001'!#REF!</definedName>
    <definedName name="__123Graph_XSALECOMP" localSheetId="33" hidden="1">'C-HC-002'!#REF!</definedName>
    <definedName name="__123Graph_XSALECOMP" localSheetId="37" hidden="1">#REF!</definedName>
    <definedName name="__123Graph_XSALECOMP" hidden="1">#REF!</definedName>
    <definedName name="__123Graph_XSALES" localSheetId="32" hidden="1">'C-HC-001'!#REF!</definedName>
    <definedName name="__123Graph_XSALES" localSheetId="33" hidden="1">'C-HC-002'!#REF!</definedName>
    <definedName name="__123Graph_XSALES" localSheetId="37" hidden="1">#REF!</definedName>
    <definedName name="__123Graph_XSALES" hidden="1">#REF!</definedName>
    <definedName name="__123Graph_XTAB13" localSheetId="32" hidden="1">'C-HC-001'!#REF!</definedName>
    <definedName name="__123Graph_XTAB13" localSheetId="33" hidden="1">'C-HC-002'!#REF!</definedName>
    <definedName name="__123Graph_XTAB13" localSheetId="37" hidden="1">#REF!</definedName>
    <definedName name="__123Graph_XTAB13" hidden="1">#REF!</definedName>
    <definedName name="__123Graph_XUSERATE" localSheetId="32" hidden="1">'C-HC-001'!#REF!</definedName>
    <definedName name="__123Graph_XUSERATE" localSheetId="33" hidden="1">'C-HC-002'!#REF!</definedName>
    <definedName name="__123Graph_XUSERATE" localSheetId="37" hidden="1">#REF!</definedName>
    <definedName name="__123Graph_XUSERATE" hidden="1">#REF!</definedName>
    <definedName name="__IntlFixup" hidden="1">TRUE</definedName>
    <definedName name="_1__123Graph_ACHART_1" localSheetId="32" hidden="1">[6]Potash!$H$10:$H$29</definedName>
    <definedName name="_1__123Graph_ACHART_1" localSheetId="33" hidden="1">[6]Potash!$H$10:$H$29</definedName>
    <definedName name="_1__123Graph_ACHART_1" localSheetId="37" hidden="1">[6]Potash!$H$10:$H$29</definedName>
    <definedName name="_1__123Graph_ACHART_1" hidden="1">[6]Potash!$H$10:$H$29</definedName>
    <definedName name="_10__123Graph_DCHART_1" localSheetId="32" hidden="1">[6]Potash!$K$10:$K$64</definedName>
    <definedName name="_10__123Graph_DCHART_1" localSheetId="33" hidden="1">[6]Potash!$K$10:$K$64</definedName>
    <definedName name="_10__123Graph_DCHART_1" localSheetId="37" hidden="1">[6]Potash!$K$10:$K$64</definedName>
    <definedName name="_10__123Graph_DCHART_1" hidden="1">[6]Potash!$K$10:$K$64</definedName>
    <definedName name="_11__123Graph_DCHART_3" localSheetId="32" hidden="1">'C-HC-001'!#REF!</definedName>
    <definedName name="_11__123Graph_DCHART_3" localSheetId="33" hidden="1">'C-HC-002'!#REF!</definedName>
    <definedName name="_11__123Graph_DCHART_3" localSheetId="37" hidden="1">#REF!</definedName>
    <definedName name="_11__123Graph_DCHART_3" hidden="1">#REF!</definedName>
    <definedName name="_2__123Graph_ACHART_2" localSheetId="32" hidden="1">'[6]Pot Drivers'!$J$6:$J$60</definedName>
    <definedName name="_2__123Graph_ACHART_2" localSheetId="33" hidden="1">'[6]Pot Drivers'!$J$6:$J$60</definedName>
    <definedName name="_2__123Graph_ACHART_2" localSheetId="37" hidden="1">'[6]Pot Drivers'!$J$6:$J$60</definedName>
    <definedName name="_2__123Graph_ACHART_2" hidden="1">'[6]Pot Drivers'!$J$6:$J$60</definedName>
    <definedName name="_3__123Graph_ACHART_3" localSheetId="32" hidden="1">'C-HC-001'!#REF!</definedName>
    <definedName name="_3__123Graph_ACHART_3" localSheetId="33" hidden="1">'C-HC-002'!#REF!</definedName>
    <definedName name="_3__123Graph_ACHART_3" localSheetId="37" hidden="1">#REF!</definedName>
    <definedName name="_3__123Graph_ACHART_3" hidden="1">#REF!</definedName>
    <definedName name="_4__123Graph_BCHART_1" localSheetId="32" hidden="1">[6]Potash!$J$10:$J$64</definedName>
    <definedName name="_4__123Graph_BCHART_1" localSheetId="33" hidden="1">[6]Potash!$J$10:$J$64</definedName>
    <definedName name="_4__123Graph_BCHART_1" localSheetId="37" hidden="1">[6]Potash!$J$10:$J$64</definedName>
    <definedName name="_4__123Graph_BCHART_1" hidden="1">[6]Potash!$J$10:$J$64</definedName>
    <definedName name="_5__123Graph_BCHART_2" localSheetId="32" hidden="1">'[6]Pot Drivers'!$I$6:$I$61</definedName>
    <definedName name="_5__123Graph_BCHART_2" localSheetId="33" hidden="1">'[6]Pot Drivers'!$I$6:$I$61</definedName>
    <definedName name="_5__123Graph_BCHART_2" localSheetId="37" hidden="1">'[6]Pot Drivers'!$I$6:$I$61</definedName>
    <definedName name="_5__123Graph_BCHART_2" hidden="1">'[6]Pot Drivers'!$I$6:$I$61</definedName>
    <definedName name="_6__123Graph_BCHART_3" localSheetId="32" hidden="1">'C-HC-001'!#REF!</definedName>
    <definedName name="_6__123Graph_BCHART_3" localSheetId="33" hidden="1">'C-HC-002'!#REF!</definedName>
    <definedName name="_6__123Graph_BCHART_3" localSheetId="37" hidden="1">#REF!</definedName>
    <definedName name="_6__123Graph_BCHART_3" hidden="1">#REF!</definedName>
    <definedName name="_7__123Graph_CCHART_1" localSheetId="32" hidden="1">[6]Potash!$D$9:$D$66</definedName>
    <definedName name="_7__123Graph_CCHART_1" localSheetId="33" hidden="1">[6]Potash!$D$9:$D$66</definedName>
    <definedName name="_7__123Graph_CCHART_1" localSheetId="37" hidden="1">[6]Potash!$D$9:$D$66</definedName>
    <definedName name="_7__123Graph_CCHART_1" hidden="1">[6]Potash!$D$9:$D$66</definedName>
    <definedName name="_8__123Graph_CCHART_2" localSheetId="32" hidden="1">'[6]Pot Drivers'!$H$6:$H$62</definedName>
    <definedName name="_8__123Graph_CCHART_2" localSheetId="33" hidden="1">'[6]Pot Drivers'!$H$6:$H$62</definedName>
    <definedName name="_8__123Graph_CCHART_2" localSheetId="37" hidden="1">'[6]Pot Drivers'!$H$6:$H$62</definedName>
    <definedName name="_8__123Graph_CCHART_2" hidden="1">'[6]Pot Drivers'!$H$6:$H$62</definedName>
    <definedName name="_9__123Graph_CCHART_3" localSheetId="32" hidden="1">'C-HC-001'!#REF!</definedName>
    <definedName name="_9__123Graph_CCHART_3" localSheetId="33" hidden="1">'C-HC-002'!#REF!</definedName>
    <definedName name="_9__123Graph_CCHART_3" localSheetId="37" hidden="1">#REF!</definedName>
    <definedName name="_9__123Graph_CCHART_3"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32" hidden="1">[7]Capital!#REF!</definedName>
    <definedName name="_Fill" localSheetId="33" hidden="1">[7]Capital!#REF!</definedName>
    <definedName name="_Fill" localSheetId="34" hidden="1">[8]Capital!#REF!</definedName>
    <definedName name="_Fill" localSheetId="35" hidden="1">[8]Capital!#REF!</definedName>
    <definedName name="_Fill" localSheetId="36" hidden="1">[8]Capital!#REF!</definedName>
    <definedName name="_Fill" localSheetId="37" hidden="1">[7]Capital!#REF!</definedName>
    <definedName name="_Fill" localSheetId="38" hidden="1">[8]Capital!#REF!</definedName>
    <definedName name="_Fill" localSheetId="39" hidden="1">[8]Capital!#REF!</definedName>
    <definedName name="_Fill" localSheetId="40" hidden="1">[8]Capital!#REF!</definedName>
    <definedName name="_Fill" localSheetId="41" hidden="1">[8]Capital!#REF!</definedName>
    <definedName name="_Fill" localSheetId="42" hidden="1">[8]Capital!#REF!</definedName>
    <definedName name="_Fill" localSheetId="43" hidden="1">[8]Capital!#REF!</definedName>
    <definedName name="_Fill" localSheetId="44" hidden="1">[8]Capital!#REF!</definedName>
    <definedName name="_Fill" localSheetId="45" hidden="1">[8]Capital!#REF!</definedName>
    <definedName name="_Fill" localSheetId="46" hidden="1">[8]Capital!#REF!</definedName>
    <definedName name="_Fill" localSheetId="47" hidden="1">[8]Capital!#REF!</definedName>
    <definedName name="_Fill" localSheetId="30" hidden="1">[7]Capital!#REF!</definedName>
    <definedName name="_Fill" localSheetId="31" hidden="1">[7]Capital!#REF!</definedName>
    <definedName name="_Fill" localSheetId="48" hidden="1">[8]Capital!#REF!</definedName>
    <definedName name="_Fill" localSheetId="49" hidden="1">[8]Capital!#REF!</definedName>
    <definedName name="_Fill" localSheetId="50" hidden="1">[8]Capital!#REF!</definedName>
    <definedName name="_Fill" localSheetId="51" hidden="1">[8]Capital!#REF!</definedName>
    <definedName name="_Fill" localSheetId="52" hidden="1">[8]Capital!#REF!</definedName>
    <definedName name="_Fill" localSheetId="53" hidden="1">[8]Capital!#REF!</definedName>
    <definedName name="_Fill" localSheetId="54" hidden="1">[8]Capital!#REF!</definedName>
    <definedName name="_Fill" localSheetId="55" hidden="1">[8]Capital!#REF!</definedName>
    <definedName name="_Fill" localSheetId="56" hidden="1">[8]Capital!#REF!</definedName>
    <definedName name="_Fill" localSheetId="57" hidden="1">[8]Capital!#REF!</definedName>
    <definedName name="_Fill" localSheetId="58" hidden="1">[8]Capital!#REF!</definedName>
    <definedName name="_Fill" localSheetId="59" hidden="1">[8]Capital!#REF!</definedName>
    <definedName name="_Fill" localSheetId="60" hidden="1">[8]Capital!#REF!</definedName>
    <definedName name="_Fill" localSheetId="61" hidden="1">[8]Capital!#REF!</definedName>
    <definedName name="_Fill" localSheetId="62" hidden="1">[8]Capital!#REF!</definedName>
    <definedName name="_Fill" localSheetId="63" hidden="1">[8]Capital!#REF!</definedName>
    <definedName name="_Fill" localSheetId="64" hidden="1">[8]Capital!#REF!</definedName>
    <definedName name="_Fill" localSheetId="65" hidden="1">[8]Capital!#REF!</definedName>
    <definedName name="_Fill" localSheetId="66" hidden="1">[8]Capital!#REF!</definedName>
    <definedName name="_Fill" localSheetId="67" hidden="1">[8]Capital!#REF!</definedName>
    <definedName name="_Fill" localSheetId="68" hidden="1">[8]Capital!#REF!</definedName>
    <definedName name="_Fill" localSheetId="69" hidden="1">[8]Capital!#REF!</definedName>
    <definedName name="_Fill" localSheetId="71" hidden="1">[8]Capital!#REF!</definedName>
    <definedName name="_Fill" localSheetId="72" hidden="1">[8]Capital!#REF!</definedName>
    <definedName name="_Fill" localSheetId="73" hidden="1">[8]Capital!#REF!</definedName>
    <definedName name="_Fill" localSheetId="74" hidden="1">[8]Capital!#REF!</definedName>
    <definedName name="_Fill" localSheetId="75" hidden="1">[8]Capital!#REF!</definedName>
    <definedName name="_Fill" localSheetId="76" hidden="1">[8]Capital!#REF!</definedName>
    <definedName name="_Fill" localSheetId="77" hidden="1">[8]Capital!#REF!</definedName>
    <definedName name="_Fill" localSheetId="78" hidden="1">[8]Capital!#REF!</definedName>
    <definedName name="_Fill" localSheetId="79" hidden="1">[8]Capital!#REF!</definedName>
    <definedName name="_Fill" localSheetId="80" hidden="1">[8]Capital!#REF!</definedName>
    <definedName name="_Fill" localSheetId="3" hidden="1">[8]Capital!#REF!</definedName>
    <definedName name="_Fill" localSheetId="5" hidden="1">[8]Capital!#REF!</definedName>
    <definedName name="_Fill" localSheetId="7" hidden="1">[8]Capital!#REF!</definedName>
    <definedName name="_Fill" localSheetId="8" hidden="1">[8]Capital!#REF!</definedName>
    <definedName name="_Fill" localSheetId="9" hidden="1">[8]Capital!#REF!</definedName>
    <definedName name="_Fill" localSheetId="10" hidden="1">[8]Capital!#REF!</definedName>
    <definedName name="_Fill" localSheetId="11" hidden="1">[8]Capital!#REF!</definedName>
    <definedName name="_Fill" localSheetId="12" hidden="1">[8]Capital!#REF!</definedName>
    <definedName name="_Fill" localSheetId="13" hidden="1">[8]Capital!#REF!</definedName>
    <definedName name="_Fill" localSheetId="14" hidden="1">[8]Capital!#REF!</definedName>
    <definedName name="_Fill" localSheetId="15" hidden="1">[8]Capital!#REF!</definedName>
    <definedName name="_Fill" localSheetId="16" hidden="1">[8]Capital!#REF!</definedName>
    <definedName name="_Fill" localSheetId="17" hidden="1">[8]Capital!#REF!</definedName>
    <definedName name="_Fill" localSheetId="18" hidden="1">[8]Capital!#REF!</definedName>
    <definedName name="_Fill" localSheetId="19" hidden="1">[8]Capital!#REF!</definedName>
    <definedName name="_Fill" localSheetId="20" hidden="1">[8]Capital!#REF!</definedName>
    <definedName name="_Fill" localSheetId="21" hidden="1">[8]Capital!#REF!</definedName>
    <definedName name="_Fill" localSheetId="22" hidden="1">[8]Capital!#REF!</definedName>
    <definedName name="_Fill" localSheetId="23" hidden="1">[8]Capital!#REF!</definedName>
    <definedName name="_Fill" localSheetId="24" hidden="1">[8]Capital!#REF!</definedName>
    <definedName name="_Fill" localSheetId="25" hidden="1">[8]Capital!#REF!</definedName>
    <definedName name="_Fill" localSheetId="26" hidden="1">[8]Capital!#REF!</definedName>
    <definedName name="_Fill" localSheetId="27" hidden="1">[8]Capital!#REF!</definedName>
    <definedName name="_Fill" localSheetId="28" hidden="1">[8]Capital!#REF!</definedName>
    <definedName name="_Fill" localSheetId="82" hidden="1">[8]Capital!#REF!</definedName>
    <definedName name="_xlnm._FilterDatabase" localSheetId="85" hidden="1">'Building Data'!$B$5:$AF$5</definedName>
    <definedName name="_xlnm._FilterDatabase" localSheetId="4" hidden="1">Definitions!$A$1:$F$74</definedName>
    <definedName name="_xlnm._FilterDatabase" localSheetId="3" hidden="1">'Measure Summary'!$A$2:$AD$75</definedName>
    <definedName name="_xlnm._FilterDatabase" localSheetId="10" hidden="1">'R-HC-004'!$F$2:$F$116</definedName>
    <definedName name="_xlnm._FilterDatabase" localSheetId="88" hidden="1">Savings_AC!$A$1:$H$361</definedName>
    <definedName name="_xlnm._FilterDatabase" localSheetId="89" hidden="1">Savings_BS!$A$1:$H$361</definedName>
    <definedName name="_xlnm._FilterDatabase" localSheetId="99" hidden="1">TRM_INDEX!$A$1:$J$74</definedName>
    <definedName name="_Key1" localSheetId="32" hidden="1">'C-HC-001'!#REF!</definedName>
    <definedName name="_Key1" localSheetId="33" hidden="1">'C-HC-002'!#REF!</definedName>
    <definedName name="_Key1" localSheetId="34" hidden="1">'C-HC-003'!#REF!</definedName>
    <definedName name="_Key1" localSheetId="35" hidden="1">'C-HC-004'!#REF!</definedName>
    <definedName name="_Key1" localSheetId="36" hidden="1">#REF!</definedName>
    <definedName name="_Key1" localSheetId="37" hidden="1">#REF!</definedName>
    <definedName name="_Key1" localSheetId="38" hidden="1">#REF!</definedName>
    <definedName name="_Key1" localSheetId="39" hidden="1">'C-HC-008'!#REF!</definedName>
    <definedName name="_Key1" localSheetId="40" hidden="1">'C-HC-009'!#REF!</definedName>
    <definedName name="_Key1" localSheetId="41" hidden="1">'C-HC-010'!#REF!</definedName>
    <definedName name="_Key1" localSheetId="42" hidden="1">'C-HC-011'!#REF!</definedName>
    <definedName name="_Key1" localSheetId="43" hidden="1">'C-HC-012'!#REF!</definedName>
    <definedName name="_Key1" localSheetId="44" hidden="1">'C-HC-013'!#REF!</definedName>
    <definedName name="_Key1" localSheetId="45" hidden="1">'C-HC-014'!#REF!</definedName>
    <definedName name="_Key1" localSheetId="46" hidden="1">'C-HC-015'!#REF!</definedName>
    <definedName name="_Key1" localSheetId="47" hidden="1">#REF!</definedName>
    <definedName name="_Key1" localSheetId="30" hidden="1">#REF!</definedName>
    <definedName name="_Key1" localSheetId="31" hidden="1">#REF!</definedName>
    <definedName name="_Key1" localSheetId="48" hidden="1">#REF!</definedName>
    <definedName name="_Key1" localSheetId="49" hidden="1">#REF!</definedName>
    <definedName name="_Key1" localSheetId="50" hidden="1">#REF!</definedName>
    <definedName name="_Key1" localSheetId="51" hidden="1">#REF!</definedName>
    <definedName name="_Key1" localSheetId="52" hidden="1">#REF!</definedName>
    <definedName name="_Key1" localSheetId="53" hidden="1">#REF!</definedName>
    <definedName name="_Key1" localSheetId="54" hidden="1">#REF!</definedName>
    <definedName name="_Key1" localSheetId="55" hidden="1">#REF!</definedName>
    <definedName name="_Key1" localSheetId="56" hidden="1">#REF!</definedName>
    <definedName name="_Key1" localSheetId="57" hidden="1">#REF!</definedName>
    <definedName name="_Key1" localSheetId="58" hidden="1">#REF!</definedName>
    <definedName name="_Key1" localSheetId="59" hidden="1">'C-R-003'!#REF!</definedName>
    <definedName name="_Key1" localSheetId="60" hidden="1">#REF!</definedName>
    <definedName name="_Key1" localSheetId="61" hidden="1">#REF!</definedName>
    <definedName name="_Key1" localSheetId="62" hidden="1">#REF!</definedName>
    <definedName name="_Key1" localSheetId="63" hidden="1">#REF!</definedName>
    <definedName name="_Key1" localSheetId="64" hidden="1">#REF!</definedName>
    <definedName name="_Key1" localSheetId="65" hidden="1">#REF!</definedName>
    <definedName name="_Key1" localSheetId="66" hidden="1">'C-R-010'!#REF!</definedName>
    <definedName name="_Key1" localSheetId="67" hidden="1">'C-R-011'!#REF!</definedName>
    <definedName name="_Key1" localSheetId="68" hidden="1">#REF!</definedName>
    <definedName name="_Key1" localSheetId="69" hidden="1">#REF!</definedName>
    <definedName name="_Key1" localSheetId="71" hidden="1">#REF!</definedName>
    <definedName name="_Key1" localSheetId="72" hidden="1">'C-WB-001'!#REF!</definedName>
    <definedName name="_Key1" localSheetId="73" hidden="1">'C-WB-002'!#REF!</definedName>
    <definedName name="_Key1" localSheetId="74" hidden="1">'C-WB-003'!#REF!</definedName>
    <definedName name="_Key1" localSheetId="75" hidden="1">'C-WB-004'!#REF!</definedName>
    <definedName name="_Key1" localSheetId="76" hidden="1">'C-WB-005'!#REF!</definedName>
    <definedName name="_Key1" localSheetId="77" hidden="1">'DER-001'!#REF!</definedName>
    <definedName name="_Key1" localSheetId="78" hidden="1">'DER-002'!#REF!</definedName>
    <definedName name="_Key1" localSheetId="79" hidden="1">'DER-003'!#REF!</definedName>
    <definedName name="_Key1" localSheetId="80" hidden="1">'DER-004'!#REF!</definedName>
    <definedName name="_Key1" localSheetId="93" hidden="1">#REF!</definedName>
    <definedName name="_Key1" localSheetId="5" hidden="1">#REF!</definedName>
    <definedName name="_Key1" localSheetId="7" hidden="1">'R-HC-001'!#REF!</definedName>
    <definedName name="_Key1" localSheetId="8" hidden="1">'R-HC-002'!#REF!</definedName>
    <definedName name="_Key1" localSheetId="9" hidden="1">'R-HC-003'!#REF!</definedName>
    <definedName name="_Key1" localSheetId="10" hidden="1">#REF!</definedName>
    <definedName name="_Key1" localSheetId="11" hidden="1">'R-HC-005'!#REF!</definedName>
    <definedName name="_Key1" localSheetId="12" hidden="1">'R-HC-006'!#REF!</definedName>
    <definedName name="_Key1" localSheetId="13" hidden="1">'R-HC-007'!#REF!</definedName>
    <definedName name="_Key1" localSheetId="14" hidden="1">'R-HC-008'!#REF!</definedName>
    <definedName name="_Key1" localSheetId="15" hidden="1">'R-HC-009'!#REF!</definedName>
    <definedName name="_Key1" localSheetId="16" hidden="1">'R-L-001'!#REF!</definedName>
    <definedName name="_Key1" localSheetId="17" hidden="1">'R-L-002'!#REF!</definedName>
    <definedName name="_Key1" localSheetId="18" hidden="1">'R-L-003'!#REF!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82" hidden="1">#REF!</definedName>
    <definedName name="_Key2" localSheetId="32" hidden="1">'C-HC-001'!#REF!</definedName>
    <definedName name="_Key2" localSheetId="33" hidden="1">'C-HC-002'!#REF!</definedName>
    <definedName name="_Key2" localSheetId="34" hidden="1">'C-HC-003'!#REF!</definedName>
    <definedName name="_Key2" localSheetId="35" hidden="1">'C-HC-004'!#REF!</definedName>
    <definedName name="_Key2" localSheetId="36" hidden="1">#REF!</definedName>
    <definedName name="_Key2" localSheetId="37" hidden="1">#REF!</definedName>
    <definedName name="_Key2" localSheetId="38" hidden="1">#REF!</definedName>
    <definedName name="_Key2" localSheetId="39" hidden="1">'C-HC-008'!#REF!</definedName>
    <definedName name="_Key2" localSheetId="40" hidden="1">'C-HC-009'!#REF!</definedName>
    <definedName name="_Key2" localSheetId="41" hidden="1">'C-HC-010'!#REF!</definedName>
    <definedName name="_Key2" localSheetId="42" hidden="1">'C-HC-011'!#REF!</definedName>
    <definedName name="_Key2" localSheetId="43" hidden="1">'C-HC-012'!#REF!</definedName>
    <definedName name="_Key2" localSheetId="44" hidden="1">'C-HC-013'!#REF!</definedName>
    <definedName name="_Key2" localSheetId="45" hidden="1">'C-HC-014'!#REF!</definedName>
    <definedName name="_Key2" localSheetId="46" hidden="1">'C-HC-015'!#REF!</definedName>
    <definedName name="_Key2" localSheetId="47" hidden="1">#REF!</definedName>
    <definedName name="_Key2" localSheetId="30" hidden="1">#REF!</definedName>
    <definedName name="_Key2" localSheetId="31" hidden="1">#REF!</definedName>
    <definedName name="_Key2" localSheetId="48" hidden="1">#REF!</definedName>
    <definedName name="_Key2" localSheetId="49" hidden="1">#REF!</definedName>
    <definedName name="_Key2" localSheetId="50" hidden="1">#REF!</definedName>
    <definedName name="_Key2" localSheetId="51" hidden="1">#REF!</definedName>
    <definedName name="_Key2" localSheetId="52" hidden="1">#REF!</definedName>
    <definedName name="_Key2" localSheetId="53" hidden="1">#REF!</definedName>
    <definedName name="_Key2" localSheetId="54" hidden="1">#REF!</definedName>
    <definedName name="_Key2" localSheetId="55" hidden="1">#REF!</definedName>
    <definedName name="_Key2" localSheetId="56" hidden="1">#REF!</definedName>
    <definedName name="_Key2" localSheetId="57" hidden="1">#REF!</definedName>
    <definedName name="_Key2" localSheetId="58" hidden="1">#REF!</definedName>
    <definedName name="_Key2" localSheetId="59" hidden="1">'C-R-003'!#REF!</definedName>
    <definedName name="_Key2" localSheetId="60" hidden="1">#REF!</definedName>
    <definedName name="_Key2" localSheetId="61" hidden="1">#REF!</definedName>
    <definedName name="_Key2" localSheetId="62" hidden="1">#REF!</definedName>
    <definedName name="_Key2" localSheetId="63" hidden="1">#REF!</definedName>
    <definedName name="_Key2" localSheetId="64" hidden="1">#REF!</definedName>
    <definedName name="_Key2" localSheetId="65" hidden="1">#REF!</definedName>
    <definedName name="_Key2" localSheetId="66" hidden="1">'C-R-010'!#REF!</definedName>
    <definedName name="_Key2" localSheetId="67" hidden="1">'C-R-011'!#REF!</definedName>
    <definedName name="_Key2" localSheetId="68" hidden="1">#REF!</definedName>
    <definedName name="_Key2" localSheetId="69" hidden="1">#REF!</definedName>
    <definedName name="_Key2" localSheetId="71" hidden="1">#REF!</definedName>
    <definedName name="_Key2" localSheetId="72" hidden="1">'C-WB-001'!#REF!</definedName>
    <definedName name="_Key2" localSheetId="73" hidden="1">'C-WB-002'!#REF!</definedName>
    <definedName name="_Key2" localSheetId="74" hidden="1">'C-WB-003'!#REF!</definedName>
    <definedName name="_Key2" localSheetId="75" hidden="1">'C-WB-004'!#REF!</definedName>
    <definedName name="_Key2" localSheetId="76" hidden="1">'C-WB-005'!#REF!</definedName>
    <definedName name="_Key2" localSheetId="77" hidden="1">'DER-001'!#REF!</definedName>
    <definedName name="_Key2" localSheetId="78" hidden="1">'DER-002'!#REF!</definedName>
    <definedName name="_Key2" localSheetId="79" hidden="1">'DER-003'!#REF!</definedName>
    <definedName name="_Key2" localSheetId="80" hidden="1">'DER-004'!#REF!</definedName>
    <definedName name="_key2" localSheetId="93" hidden="1">#REF!</definedName>
    <definedName name="_Key2" localSheetId="5" hidden="1">#REF!</definedName>
    <definedName name="_Key2" localSheetId="7" hidden="1">'R-HC-001'!#REF!</definedName>
    <definedName name="_Key2" localSheetId="8" hidden="1">'R-HC-002'!#REF!</definedName>
    <definedName name="_Key2" localSheetId="9" hidden="1">'R-HC-003'!#REF!</definedName>
    <definedName name="_Key2" localSheetId="10" hidden="1">#REF!</definedName>
    <definedName name="_Key2" localSheetId="11" hidden="1">'R-HC-005'!#REF!</definedName>
    <definedName name="_Key2" localSheetId="12" hidden="1">'R-HC-006'!#REF!</definedName>
    <definedName name="_Key2" localSheetId="13" hidden="1">'R-HC-007'!#REF!</definedName>
    <definedName name="_Key2" localSheetId="14" hidden="1">'R-HC-008'!#REF!</definedName>
    <definedName name="_Key2" localSheetId="15" hidden="1">'R-HC-009'!#REF!</definedName>
    <definedName name="_Key2" localSheetId="16" hidden="1">'R-L-001'!#REF!</definedName>
    <definedName name="_Key2" localSheetId="17" hidden="1">'R-L-002'!#REF!</definedName>
    <definedName name="_Key2" localSheetId="18" hidden="1">'R-L-003'!#REF!</definedName>
    <definedName name="_Key2" localSheetId="19" hidden="1">#REF!</definedName>
    <definedName name="_Key2" localSheetId="20" hidden="1">#REF!</definedName>
    <definedName name="_Key2" localSheetId="21" hidden="1">#REF!</definedName>
    <definedName name="_Key2" localSheetId="22" hidden="1">#REF!</definedName>
    <definedName name="_Key2" localSheetId="23" hidden="1">#REF!</definedName>
    <definedName name="_Key2" localSheetId="24" hidden="1">#REF!</definedName>
    <definedName name="_Key2" localSheetId="25" hidden="1">#REF!</definedName>
    <definedName name="_Key2" localSheetId="26" hidden="1">#REF!</definedName>
    <definedName name="_Key2" localSheetId="27" hidden="1">#REF!</definedName>
    <definedName name="_Key2" localSheetId="28" hidden="1">#REF!</definedName>
    <definedName name="_Key2" localSheetId="82" hidden="1">#REF!</definedName>
    <definedName name="_Order1" hidden="1">255</definedName>
    <definedName name="_Order2" hidden="1">255</definedName>
    <definedName name="_Regression_Out" localSheetId="32" hidden="1">'C-HC-001'!#REF!</definedName>
    <definedName name="_Regression_Out" localSheetId="33" hidden="1">'C-HC-002'!#REF!</definedName>
    <definedName name="_Regression_Out" localSheetId="37" hidden="1">#REF!</definedName>
    <definedName name="_Regression_Out" hidden="1">#REF!</definedName>
    <definedName name="_Regression_X" localSheetId="32" hidden="1">'C-HC-001'!#REF!</definedName>
    <definedName name="_Regression_X" localSheetId="33" hidden="1">'C-HC-002'!#REF!</definedName>
    <definedName name="_Regression_X" localSheetId="37" hidden="1">#REF!</definedName>
    <definedName name="_Regression_X" hidden="1">#REF!</definedName>
    <definedName name="_Regression_Y" localSheetId="32" hidden="1">'C-HC-001'!#REF!</definedName>
    <definedName name="_Regression_Y" localSheetId="33" hidden="1">'C-HC-002'!#REF!</definedName>
    <definedName name="_Regression_Y" localSheetId="37" hidden="1">#REF!</definedName>
    <definedName name="_Regression_Y" hidden="1">#REF!</definedName>
    <definedName name="_Sort" localSheetId="32" hidden="1">'C-HC-001'!#REF!</definedName>
    <definedName name="_Sort" localSheetId="33" hidden="1">'C-HC-002'!#REF!</definedName>
    <definedName name="_Sort" localSheetId="34" hidden="1">'C-HC-003'!#REF!</definedName>
    <definedName name="_Sort" localSheetId="35" hidden="1">'C-HC-004'!#REF!</definedName>
    <definedName name="_Sort" localSheetId="36" hidden="1">#REF!</definedName>
    <definedName name="_Sort" localSheetId="37" hidden="1">#REF!</definedName>
    <definedName name="_Sort" localSheetId="38" hidden="1">#REF!</definedName>
    <definedName name="_Sort" localSheetId="39" hidden="1">'C-HC-008'!#REF!</definedName>
    <definedName name="_Sort" localSheetId="40" hidden="1">'C-HC-009'!#REF!</definedName>
    <definedName name="_Sort" localSheetId="41" hidden="1">'C-HC-010'!#REF!</definedName>
    <definedName name="_Sort" localSheetId="42" hidden="1">'C-HC-011'!#REF!</definedName>
    <definedName name="_Sort" localSheetId="43" hidden="1">'C-HC-012'!#REF!</definedName>
    <definedName name="_Sort" localSheetId="44" hidden="1">'C-HC-013'!#REF!</definedName>
    <definedName name="_Sort" localSheetId="45" hidden="1">'C-HC-014'!#REF!</definedName>
    <definedName name="_Sort" localSheetId="46" hidden="1">'C-HC-015'!#REF!</definedName>
    <definedName name="_Sort" localSheetId="47" hidden="1">#REF!</definedName>
    <definedName name="_Sort" localSheetId="30" hidden="1">#REF!</definedName>
    <definedName name="_Sort" localSheetId="31" hidden="1">#REF!</definedName>
    <definedName name="_Sort" localSheetId="48"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53"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58" hidden="1">#REF!</definedName>
    <definedName name="_Sort" localSheetId="59" hidden="1">'C-R-003'!#REF!</definedName>
    <definedName name="_Sort" localSheetId="60" hidden="1">#REF!</definedName>
    <definedName name="_Sort" localSheetId="61" hidden="1">#REF!</definedName>
    <definedName name="_Sort" localSheetId="62" hidden="1">#REF!</definedName>
    <definedName name="_Sort" localSheetId="63" hidden="1">#REF!</definedName>
    <definedName name="_Sort" localSheetId="64" hidden="1">#REF!</definedName>
    <definedName name="_Sort" localSheetId="65" hidden="1">#REF!</definedName>
    <definedName name="_Sort" localSheetId="66" hidden="1">'C-R-010'!#REF!</definedName>
    <definedName name="_Sort" localSheetId="67" hidden="1">'C-R-011'!#REF!</definedName>
    <definedName name="_Sort" localSheetId="68" hidden="1">#REF!</definedName>
    <definedName name="_Sort" localSheetId="69" hidden="1">#REF!</definedName>
    <definedName name="_Sort" localSheetId="71" hidden="1">#REF!</definedName>
    <definedName name="_Sort" localSheetId="72" hidden="1">'C-WB-001'!#REF!</definedName>
    <definedName name="_Sort" localSheetId="73" hidden="1">'C-WB-002'!#REF!</definedName>
    <definedName name="_Sort" localSheetId="74" hidden="1">'C-WB-003'!#REF!</definedName>
    <definedName name="_Sort" localSheetId="75" hidden="1">'C-WB-004'!#REF!</definedName>
    <definedName name="_Sort" localSheetId="76" hidden="1">'C-WB-005'!#REF!</definedName>
    <definedName name="_Sort" localSheetId="77" hidden="1">'DER-001'!#REF!</definedName>
    <definedName name="_Sort" localSheetId="78" hidden="1">'DER-002'!#REF!</definedName>
    <definedName name="_Sort" localSheetId="79" hidden="1">'DER-003'!#REF!</definedName>
    <definedName name="_Sort" localSheetId="80" hidden="1">'DER-004'!#REF!</definedName>
    <definedName name="_Sort" localSheetId="93" hidden="1">#REF!</definedName>
    <definedName name="_Sort" localSheetId="5" hidden="1">#REF!</definedName>
    <definedName name="_Sort" localSheetId="7" hidden="1">'R-HC-001'!#REF!</definedName>
    <definedName name="_Sort" localSheetId="8" hidden="1">'R-HC-002'!#REF!</definedName>
    <definedName name="_Sort" localSheetId="9" hidden="1">'R-HC-003'!#REF!</definedName>
    <definedName name="_Sort" localSheetId="10" hidden="1">#REF!</definedName>
    <definedName name="_Sort" localSheetId="11" hidden="1">'R-HC-005'!#REF!</definedName>
    <definedName name="_Sort" localSheetId="12" hidden="1">'R-HC-006'!#REF!</definedName>
    <definedName name="_Sort" localSheetId="13" hidden="1">'R-HC-007'!#REF!</definedName>
    <definedName name="_Sort" localSheetId="14" hidden="1">'R-HC-008'!#REF!</definedName>
    <definedName name="_Sort" localSheetId="15" hidden="1">'R-HC-009'!#REF!</definedName>
    <definedName name="_Sort" localSheetId="16" hidden="1">'R-L-001'!#REF!</definedName>
    <definedName name="_Sort" localSheetId="17" hidden="1">'R-L-002'!#REF!</definedName>
    <definedName name="_Sort" localSheetId="18" hidden="1">'R-L-003'!#REF!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82" hidden="1">#REF!</definedName>
    <definedName name="_Sort2" localSheetId="32" hidden="1">'C-HC-001'!#REF!</definedName>
    <definedName name="_Sort2" localSheetId="33" hidden="1">'C-HC-002'!#REF!</definedName>
    <definedName name="_Sort2" localSheetId="37" hidden="1">#REF!</definedName>
    <definedName name="_Sort2"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ccessDatabase" hidden="1">"J:\data\PS\pso\IO&amp;RM\jdb\r2d2\MCMResults.mdb"</definedName>
    <definedName name="adsa2" localSheetId="32" hidden="1">'[1]Ptnr Returns'!#REF!</definedName>
    <definedName name="adsa2" localSheetId="33" hidden="1">'[1]Ptnr Returns'!#REF!</definedName>
    <definedName name="adsa2" localSheetId="34" hidden="1">'[1]Ptnr Returns'!#REF!</definedName>
    <definedName name="adsa2" localSheetId="35" hidden="1">'[1]Ptnr Returns'!#REF!</definedName>
    <definedName name="adsa2" localSheetId="36" hidden="1">'[1]Ptnr Returns'!#REF!</definedName>
    <definedName name="adsa2" localSheetId="37" hidden="1">'[1]Ptnr Returns'!#REF!</definedName>
    <definedName name="adsa2" localSheetId="38" hidden="1">'[1]Ptnr Returns'!#REF!</definedName>
    <definedName name="adsa2" localSheetId="39" hidden="1">'[1]Ptnr Returns'!#REF!</definedName>
    <definedName name="adsa2" localSheetId="40" hidden="1">'[1]Ptnr Returns'!#REF!</definedName>
    <definedName name="adsa2" localSheetId="41" hidden="1">'[1]Ptnr Returns'!#REF!</definedName>
    <definedName name="adsa2" localSheetId="42" hidden="1">'[1]Ptnr Returns'!#REF!</definedName>
    <definedName name="adsa2" localSheetId="43" hidden="1">'[1]Ptnr Returns'!#REF!</definedName>
    <definedName name="adsa2" localSheetId="44" hidden="1">'[1]Ptnr Returns'!#REF!</definedName>
    <definedName name="adsa2" localSheetId="45" hidden="1">'[1]Ptnr Returns'!#REF!</definedName>
    <definedName name="adsa2" localSheetId="46" hidden="1">'[1]Ptnr Returns'!#REF!</definedName>
    <definedName name="adsa2" localSheetId="47" hidden="1">'[1]Ptnr Returns'!#REF!</definedName>
    <definedName name="adsa2" localSheetId="30" hidden="1">'[1]Ptnr Returns'!#REF!</definedName>
    <definedName name="adsa2" localSheetId="31" hidden="1">'[1]Ptnr Returns'!#REF!</definedName>
    <definedName name="adsa2" localSheetId="48" hidden="1">'[1]Ptnr Returns'!#REF!</definedName>
    <definedName name="adsa2" localSheetId="49" hidden="1">'[1]Ptnr Returns'!#REF!</definedName>
    <definedName name="adsa2" localSheetId="50" hidden="1">'[1]Ptnr Returns'!#REF!</definedName>
    <definedName name="adsa2" localSheetId="51" hidden="1">'[1]Ptnr Returns'!#REF!</definedName>
    <definedName name="adsa2" localSheetId="52" hidden="1">'[1]Ptnr Returns'!#REF!</definedName>
    <definedName name="adsa2" localSheetId="53" hidden="1">'[1]Ptnr Returns'!#REF!</definedName>
    <definedName name="adsa2" localSheetId="54" hidden="1">'[1]Ptnr Returns'!#REF!</definedName>
    <definedName name="adsa2" localSheetId="55" hidden="1">'[1]Ptnr Returns'!#REF!</definedName>
    <definedName name="adsa2" localSheetId="56" hidden="1">'[1]Ptnr Returns'!#REF!</definedName>
    <definedName name="adsa2" localSheetId="57" hidden="1">'[1]Ptnr Returns'!#REF!</definedName>
    <definedName name="adsa2" localSheetId="58" hidden="1">'[1]Ptnr Returns'!#REF!</definedName>
    <definedName name="adsa2" localSheetId="59" hidden="1">'[1]Ptnr Returns'!#REF!</definedName>
    <definedName name="adsa2" localSheetId="60" hidden="1">'[1]Ptnr Returns'!#REF!</definedName>
    <definedName name="adsa2" localSheetId="61" hidden="1">'[1]Ptnr Returns'!#REF!</definedName>
    <definedName name="adsa2" localSheetId="62" hidden="1">'[1]Ptnr Returns'!#REF!</definedName>
    <definedName name="adsa2" localSheetId="63" hidden="1">'[1]Ptnr Returns'!#REF!</definedName>
    <definedName name="adsa2" localSheetId="64" hidden="1">'[1]Ptnr Returns'!#REF!</definedName>
    <definedName name="adsa2" localSheetId="65" hidden="1">'[1]Ptnr Returns'!#REF!</definedName>
    <definedName name="adsa2" localSheetId="66" hidden="1">'[1]Ptnr Returns'!#REF!</definedName>
    <definedName name="adsa2" localSheetId="67" hidden="1">'[1]Ptnr Returns'!#REF!</definedName>
    <definedName name="adsa2" localSheetId="68" hidden="1">'[1]Ptnr Returns'!#REF!</definedName>
    <definedName name="adsa2" localSheetId="69" hidden="1">'[1]Ptnr Returns'!#REF!</definedName>
    <definedName name="adsa2" localSheetId="71" hidden="1">'[1]Ptnr Returns'!#REF!</definedName>
    <definedName name="adsa2" localSheetId="72" hidden="1">'[1]Ptnr Returns'!#REF!</definedName>
    <definedName name="adsa2" localSheetId="73" hidden="1">'[1]Ptnr Returns'!#REF!</definedName>
    <definedName name="adsa2" localSheetId="74" hidden="1">'[1]Ptnr Returns'!#REF!</definedName>
    <definedName name="adsa2" localSheetId="75" hidden="1">'[1]Ptnr Returns'!#REF!</definedName>
    <definedName name="adsa2" localSheetId="76" hidden="1">'[1]Ptnr Returns'!#REF!</definedName>
    <definedName name="adsa2" localSheetId="77" hidden="1">'[1]Ptnr Returns'!#REF!</definedName>
    <definedName name="adsa2" localSheetId="78" hidden="1">'[1]Ptnr Returns'!#REF!</definedName>
    <definedName name="adsa2" localSheetId="79" hidden="1">'[1]Ptnr Returns'!#REF!</definedName>
    <definedName name="adsa2" localSheetId="80" hidden="1">'[1]Ptnr Returns'!#REF!</definedName>
    <definedName name="adsa2" localSheetId="5" hidden="1">'[1]Ptnr Returns'!#REF!</definedName>
    <definedName name="adsa2" localSheetId="7" hidden="1">'[1]Ptnr Returns'!#REF!</definedName>
    <definedName name="adsa2" localSheetId="8" hidden="1">'[1]Ptnr Returns'!#REF!</definedName>
    <definedName name="adsa2" localSheetId="9" hidden="1">'[1]Ptnr Returns'!#REF!</definedName>
    <definedName name="adsa2" localSheetId="10" hidden="1">'[1]Ptnr Returns'!#REF!</definedName>
    <definedName name="adsa2" localSheetId="11" hidden="1">'[1]Ptnr Returns'!#REF!</definedName>
    <definedName name="adsa2" localSheetId="12" hidden="1">'[1]Ptnr Returns'!#REF!</definedName>
    <definedName name="adsa2" localSheetId="13" hidden="1">'[1]Ptnr Returns'!#REF!</definedName>
    <definedName name="adsa2" localSheetId="14" hidden="1">'[1]Ptnr Returns'!#REF!</definedName>
    <definedName name="adsa2" localSheetId="15" hidden="1">'[1]Ptnr Returns'!#REF!</definedName>
    <definedName name="adsa2" localSheetId="16" hidden="1">'[1]Ptnr Returns'!#REF!</definedName>
    <definedName name="adsa2" localSheetId="17" hidden="1">'[1]Ptnr Returns'!#REF!</definedName>
    <definedName name="adsa2" localSheetId="18" hidden="1">'[1]Ptnr Returns'!#REF!</definedName>
    <definedName name="adsa2" localSheetId="19" hidden="1">'[1]Ptnr Returns'!#REF!</definedName>
    <definedName name="adsa2" localSheetId="20" hidden="1">'[1]Ptnr Returns'!#REF!</definedName>
    <definedName name="adsa2" localSheetId="21" hidden="1">'[1]Ptnr Returns'!#REF!</definedName>
    <definedName name="adsa2" localSheetId="22" hidden="1">'[1]Ptnr Returns'!#REF!</definedName>
    <definedName name="adsa2" localSheetId="23" hidden="1">'[1]Ptnr Returns'!#REF!</definedName>
    <definedName name="adsa2" localSheetId="24" hidden="1">'[1]Ptnr Returns'!#REF!</definedName>
    <definedName name="adsa2" localSheetId="25" hidden="1">'[1]Ptnr Returns'!#REF!</definedName>
    <definedName name="adsa2" localSheetId="26" hidden="1">'[1]Ptnr Returns'!#REF!</definedName>
    <definedName name="adsa2" localSheetId="27" hidden="1">'[1]Ptnr Returns'!#REF!</definedName>
    <definedName name="adsa2" localSheetId="28" hidden="1">'[1]Ptnr Returns'!#REF!</definedName>
    <definedName name="Air.HeatCapacity.IMP">Variables!$D$69</definedName>
    <definedName name="Air.T.Ambient.K">Variables!$D$66</definedName>
    <definedName name="Air.T.Indoor.IMP">Variables!$D$67</definedName>
    <definedName name="Air.T.Indoor.SI">Variables!$D$68</definedName>
    <definedName name="BTU_per_kWh">Variables!$D$40</definedName>
    <definedName name="CAD_per_USD">Variables!$D$47</definedName>
    <definedName name="CBWorkbookPriority" hidden="1">-284672641</definedName>
    <definedName name="Consumption.R">Variables!$D$61</definedName>
    <definedName name="Consumption.R.E">Variables!$D$60</definedName>
    <definedName name="Consumption.R.NG">Variables!$D$59</definedName>
    <definedName name="Days_per_Year">Variables!$D$48</definedName>
    <definedName name="Default.BuildingType.C">'Beta (HIDE)'!$B$7</definedName>
    <definedName name="Default.BuildingType.R">'Beta (HIDE)'!$B$6</definedName>
    <definedName name="Default.Region">Dashboard!$G$8</definedName>
    <definedName name="Default.ReplacementType">'Beta (HIDE)'!$B$5</definedName>
    <definedName name="Default.SpaceHeatingFuel">'Beta (HIDE)'!$B$8</definedName>
    <definedName name="Default.WaterHeatingFuel">'Beta (HIDE)'!$B$9</definedName>
    <definedName name="DeltaC_per_DeltaF">Variables!$D$46</definedName>
    <definedName name="Discount.Rate.Nominal">Variables!$D$5</definedName>
    <definedName name="Discount.Rate.Real">Variables!$D$6</definedName>
    <definedName name="Equivalent.Cars">Variables!$D$62</definedName>
    <definedName name="Equivalent.Homes">Variables!$D$60</definedName>
    <definedName name="Equivalent.Pools">Variables!$D$63</definedName>
    <definedName name="f" localSheetId="32" hidden="1">'C-HC-001'!#REF!</definedName>
    <definedName name="f" localSheetId="33" hidden="1">'C-HC-002'!#REF!</definedName>
    <definedName name="f" localSheetId="37" hidden="1">#REF!</definedName>
    <definedName name="f" hidden="1">#REF!</definedName>
    <definedName name="FPM_per_MPH">Variables!$D$56</definedName>
    <definedName name="g" localSheetId="32" hidden="1">'C-HC-001'!#REF!</definedName>
    <definedName name="g" localSheetId="33" hidden="1">'C-HC-002'!#REF!</definedName>
    <definedName name="g" localSheetId="37" hidden="1">#REF!</definedName>
    <definedName name="g" hidden="1">#REF!</definedName>
    <definedName name="GDPFactor.E">Variables!$D$16</definedName>
    <definedName name="GDPFactor.NG">Variables!$D$15</definedName>
    <definedName name="GDPFactor.Solar">Variables!$D$17</definedName>
    <definedName name="GHG.E">Variables!$D$32</definedName>
    <definedName name="GHG.E.FY17">Variables!$D$31</definedName>
    <definedName name="GHG.NG">Variables!$D$28</definedName>
    <definedName name="GJ_per_BTU">Variables!$D$38</definedName>
    <definedName name="GJ_per_kWh">Variables!$D$37</definedName>
    <definedName name="GJ_per_m3">Variables!$D$42</definedName>
    <definedName name="GJ_per_MCF">Variables!$D$41</definedName>
    <definedName name="GJ_per_MWh">Variables!$D$44</definedName>
    <definedName name="GJ_per_Therm">Variables!$D$43</definedName>
    <definedName name="Gravity.IMP">Variables!$D$76</definedName>
    <definedName name="Hours_per_Day">Variables!$D$49</definedName>
    <definedName name="Hours_per_Year">Variables!$D$50</definedName>
    <definedName name="HTML_CodePage" hidden="1">1252</definedName>
    <definedName name="HTML_Control" localSheetId="32" hidden="1">{0}</definedName>
    <definedName name="HTML_Control" localSheetId="33" hidden="1">{0}</definedName>
    <definedName name="HTML_Control" localSheetId="34" hidden="1">{"'Output'!$B$1:$E$30"}</definedName>
    <definedName name="HTML_Control" localSheetId="35" hidden="1">{0}</definedName>
    <definedName name="HTML_Control" localSheetId="37" hidden="1">{"'Output'!$B$1:$E$30"}</definedName>
    <definedName name="HTML_Control" localSheetId="39" hidden="1">{"'Output'!$B$1:$E$30"}</definedName>
    <definedName name="HTML_Control" localSheetId="40" hidden="1">{"'Output'!$B$1:$E$30"}</definedName>
    <definedName name="HTML_Control" localSheetId="41" hidden="1">{"'Output'!$B$1:$E$30"}</definedName>
    <definedName name="HTML_Control" localSheetId="42" hidden="1">{"'Output'!$B$1:$E$30"}</definedName>
    <definedName name="HTML_Control" localSheetId="31" hidden="1">{"'Output'!$B$1:$E$30"}</definedName>
    <definedName name="HTML_Control" localSheetId="68" hidden="1">{"'Output'!$B$1:$E$30"}</definedName>
    <definedName name="HTML_Control" localSheetId="71" hidden="1">{"'Output'!$B$1:$E$30"}</definedName>
    <definedName name="HTML_Control" localSheetId="98" hidden="1">{"'Output'!$B$1:$E$30"}</definedName>
    <definedName name="HTML_Control" localSheetId="3" hidden="1">{"'Output'!$B$1:$E$30"}</definedName>
    <definedName name="HTML_Control" localSheetId="9" hidden="1">{"'Output'!$B$1:$E$30"}</definedName>
    <definedName name="HTML_Control" localSheetId="11" hidden="1">{"'Output'!$B$1:$E$30"}</definedName>
    <definedName name="HTML_Control" localSheetId="12" hidden="1">{"'Output'!$B$1:$E$30"}</definedName>
    <definedName name="HTML_Control" localSheetId="13" hidden="1">{"'Output'!$B$1:$E$30"}</definedName>
    <definedName name="HTML_Control" localSheetId="14" hidden="1">{"'Output'!$B$1:$E$30"}</definedName>
    <definedName name="HTML_Control" localSheetId="15" hidden="1">{"'Output'!$B$1:$E$30"}</definedName>
    <definedName name="HTML_Control" localSheetId="19" hidden="1">{"'Output'!$B$1:$E$30"}</definedName>
    <definedName name="HTML_Control" localSheetId="20" hidden="1">{"'Output'!$B$1:$E$30"}</definedName>
    <definedName name="HTML_Control" localSheetId="21" hidden="1">{"'Output'!$B$1:$E$30"}</definedName>
    <definedName name="HTML_Control" localSheetId="82" hidden="1">{"'Output'!$B$1:$E$30"}</definedName>
    <definedName name="HTML_Control" hidden="1">{"'Output'!$B$1:$E$30"}</definedName>
    <definedName name="HTML_Control_1_1" localSheetId="32" hidden="1">{7.2961047532202E-48}</definedName>
    <definedName name="HTML_Control_1_1" localSheetId="33" hidden="1">{0}</definedName>
    <definedName name="HTML_Control_1_1" localSheetId="34" hidden="1">{"'Output'!$B$1:$E$30"}</definedName>
    <definedName name="HTML_Control_1_1" localSheetId="35" hidden="1">{0}</definedName>
    <definedName name="HTML_Control_1_1" localSheetId="37" hidden="1">{"'Output'!$B$1:$E$30"}</definedName>
    <definedName name="HTML_Control_1_1" localSheetId="39" hidden="1">{"'Output'!$B$1:$E$30"}</definedName>
    <definedName name="HTML_Control_1_1" localSheetId="40" hidden="1">{"'Output'!$B$1:$E$30"}</definedName>
    <definedName name="HTML_Control_1_1" localSheetId="41" hidden="1">{"'Output'!$B$1:$E$30"}</definedName>
    <definedName name="HTML_Control_1_1" localSheetId="42" hidden="1">{"'Output'!$B$1:$E$30"}</definedName>
    <definedName name="HTML_Control_1_1" localSheetId="31" hidden="1">{"'Output'!$B$1:$E$30"}</definedName>
    <definedName name="HTML_Control_1_1" localSheetId="68" hidden="1">{"'Output'!$B$1:$E$30"}</definedName>
    <definedName name="HTML_Control_1_1" localSheetId="71" hidden="1">{"'Output'!$B$1:$E$30"}</definedName>
    <definedName name="HTML_Control_1_1" localSheetId="98" hidden="1">{"'Output'!$B$1:$E$30"}</definedName>
    <definedName name="HTML_Control_1_1" localSheetId="9" hidden="1">{"'Output'!$B$1:$E$30"}</definedName>
    <definedName name="HTML_Control_1_1" localSheetId="11" hidden="1">{"'Output'!$B$1:$E$30"}</definedName>
    <definedName name="HTML_Control_1_1" localSheetId="12" hidden="1">{"'Output'!$B$1:$E$30"}</definedName>
    <definedName name="HTML_Control_1_1" localSheetId="13" hidden="1">{"'Output'!$B$1:$E$30"}</definedName>
    <definedName name="HTML_Control_1_1" localSheetId="14" hidden="1">{"'Output'!$B$1:$E$30"}</definedName>
    <definedName name="HTML_Control_1_1" localSheetId="15" hidden="1">{"'Output'!$B$1:$E$30"}</definedName>
    <definedName name="HTML_Control_1_1" localSheetId="19" hidden="1">{"'Output'!$B$1:$E$30"}</definedName>
    <definedName name="HTML_Control_1_1" localSheetId="20" hidden="1">{"'Output'!$B$1:$E$30"}</definedName>
    <definedName name="HTML_Control_1_1" localSheetId="21" hidden="1">{"'Output'!$B$1:$E$30"}</definedName>
    <definedName name="HTML_Control_1_1" hidden="1">{"'Output'!$B$1:$E$30"}</definedName>
    <definedName name="HTML_Control_2" localSheetId="32" hidden="1">{0}</definedName>
    <definedName name="HTML_Control_2" localSheetId="33" hidden="1">{0}</definedName>
    <definedName name="HTML_Control_2" localSheetId="34" hidden="1">{"'Output'!$B$1:$E$30"}</definedName>
    <definedName name="HTML_Control_2" localSheetId="35" hidden="1">{0}</definedName>
    <definedName name="HTML_Control_2" localSheetId="37" hidden="1">{"'Output'!$B$1:$E$30"}</definedName>
    <definedName name="HTML_Control_2" localSheetId="39" hidden="1">{"'Output'!$B$1:$E$30"}</definedName>
    <definedName name="HTML_Control_2" localSheetId="40" hidden="1">{"'Output'!$B$1:$E$30"}</definedName>
    <definedName name="HTML_Control_2" localSheetId="41" hidden="1">{"'Output'!$B$1:$E$30"}</definedName>
    <definedName name="HTML_Control_2" localSheetId="42" hidden="1">{"'Output'!$B$1:$E$30"}</definedName>
    <definedName name="HTML_Control_2" localSheetId="31" hidden="1">{"'Output'!$B$1:$E$30"}</definedName>
    <definedName name="HTML_Control_2" localSheetId="68" hidden="1">{"'Output'!$B$1:$E$30"}</definedName>
    <definedName name="HTML_Control_2" localSheetId="71" hidden="1">{"'Output'!$B$1:$E$30"}</definedName>
    <definedName name="HTML_Control_2" localSheetId="98" hidden="1">{"'Output'!$B$1:$E$30"}</definedName>
    <definedName name="HTML_Control_2" localSheetId="9" hidden="1">{"'Output'!$B$1:$E$30"}</definedName>
    <definedName name="HTML_Control_2" localSheetId="11" hidden="1">{"'Output'!$B$1:$E$30"}</definedName>
    <definedName name="HTML_Control_2" localSheetId="12" hidden="1">{"'Output'!$B$1:$E$30"}</definedName>
    <definedName name="HTML_Control_2" localSheetId="13" hidden="1">{"'Output'!$B$1:$E$30"}</definedName>
    <definedName name="HTML_Control_2" localSheetId="14" hidden="1">{"'Output'!$B$1:$E$30"}</definedName>
    <definedName name="HTML_Control_2" localSheetId="15" hidden="1">{"'Output'!$B$1:$E$30"}</definedName>
    <definedName name="HTML_Control_2" localSheetId="19" hidden="1">{"'Output'!$B$1:$E$30"}</definedName>
    <definedName name="HTML_Control_2" localSheetId="20" hidden="1">{"'Output'!$B$1:$E$30"}</definedName>
    <definedName name="HTML_Control_2" localSheetId="21" hidden="1">{"'Output'!$B$1:$E$30"}</definedName>
    <definedName name="HTML_Control_2" hidden="1">{"'Output'!$B$1:$E$30"}</definedName>
    <definedName name="HTML_Control_2_1" localSheetId="32" hidden="1">{0}</definedName>
    <definedName name="HTML_Control_2_1" localSheetId="33" hidden="1">{0}</definedName>
    <definedName name="HTML_Control_2_1" localSheetId="34" hidden="1">{"'Output'!$B$1:$E$30"}</definedName>
    <definedName name="HTML_Control_2_1" localSheetId="35" hidden="1">{0}</definedName>
    <definedName name="HTML_Control_2_1" localSheetId="37" hidden="1">{"'Output'!$B$1:$E$30"}</definedName>
    <definedName name="HTML_Control_2_1" localSheetId="39" hidden="1">{"'Output'!$B$1:$E$30"}</definedName>
    <definedName name="HTML_Control_2_1" localSheetId="40" hidden="1">{"'Output'!$B$1:$E$30"}</definedName>
    <definedName name="HTML_Control_2_1" localSheetId="41" hidden="1">{"'Output'!$B$1:$E$30"}</definedName>
    <definedName name="HTML_Control_2_1" localSheetId="42" hidden="1">{"'Output'!$B$1:$E$30"}</definedName>
    <definedName name="HTML_Control_2_1" localSheetId="31" hidden="1">{"'Output'!$B$1:$E$30"}</definedName>
    <definedName name="HTML_Control_2_1" localSheetId="68" hidden="1">{"'Output'!$B$1:$E$30"}</definedName>
    <definedName name="HTML_Control_2_1" localSheetId="71" hidden="1">{"'Output'!$B$1:$E$30"}</definedName>
    <definedName name="HTML_Control_2_1" localSheetId="98" hidden="1">{"'Output'!$B$1:$E$30"}</definedName>
    <definedName name="HTML_Control_2_1" localSheetId="9" hidden="1">{"'Output'!$B$1:$E$30"}</definedName>
    <definedName name="HTML_Control_2_1" localSheetId="11" hidden="1">{"'Output'!$B$1:$E$30"}</definedName>
    <definedName name="HTML_Control_2_1" localSheetId="12" hidden="1">{"'Output'!$B$1:$E$30"}</definedName>
    <definedName name="HTML_Control_2_1" localSheetId="13" hidden="1">{"'Output'!$B$1:$E$30"}</definedName>
    <definedName name="HTML_Control_2_1" localSheetId="14" hidden="1">{"'Output'!$B$1:$E$30"}</definedName>
    <definedName name="HTML_Control_2_1" localSheetId="15" hidden="1">{"'Output'!$B$1:$E$30"}</definedName>
    <definedName name="HTML_Control_2_1" localSheetId="19" hidden="1">{"'Output'!$B$1:$E$30"}</definedName>
    <definedName name="HTML_Control_2_1" localSheetId="20" hidden="1">{"'Output'!$B$1:$E$30"}</definedName>
    <definedName name="HTML_Control_2_1" localSheetId="21" hidden="1">{"'Output'!$B$1:$E$30"}</definedName>
    <definedName name="HTML_Control_2_1" hidden="1">{"'Output'!$B$1:$E$30"}</definedName>
    <definedName name="HTML_Control_3" localSheetId="32" hidden="1">{0}</definedName>
    <definedName name="HTML_Control_3" localSheetId="33" hidden="1">{0}</definedName>
    <definedName name="HTML_Control_3" localSheetId="34" hidden="1">{"'Output'!$B$1:$E$30"}</definedName>
    <definedName name="HTML_Control_3" localSheetId="35" hidden="1">{0}</definedName>
    <definedName name="HTML_Control_3" localSheetId="37" hidden="1">{"'Output'!$B$1:$E$30"}</definedName>
    <definedName name="HTML_Control_3" localSheetId="39" hidden="1">{"'Output'!$B$1:$E$30"}</definedName>
    <definedName name="HTML_Control_3" localSheetId="40" hidden="1">{"'Output'!$B$1:$E$30"}</definedName>
    <definedName name="HTML_Control_3" localSheetId="41" hidden="1">{"'Output'!$B$1:$E$30"}</definedName>
    <definedName name="HTML_Control_3" localSheetId="42" hidden="1">{"'Output'!$B$1:$E$30"}</definedName>
    <definedName name="HTML_Control_3" localSheetId="31" hidden="1">{"'Output'!$B$1:$E$30"}</definedName>
    <definedName name="HTML_Control_3" localSheetId="68" hidden="1">{"'Output'!$B$1:$E$30"}</definedName>
    <definedName name="HTML_Control_3" localSheetId="71" hidden="1">{"'Output'!$B$1:$E$30"}</definedName>
    <definedName name="HTML_Control_3" localSheetId="98" hidden="1">{"'Output'!$B$1:$E$30"}</definedName>
    <definedName name="HTML_Control_3" localSheetId="9" hidden="1">{"'Output'!$B$1:$E$30"}</definedName>
    <definedName name="HTML_Control_3" localSheetId="11" hidden="1">{"'Output'!$B$1:$E$30"}</definedName>
    <definedName name="HTML_Control_3" localSheetId="12" hidden="1">{"'Output'!$B$1:$E$30"}</definedName>
    <definedName name="HTML_Control_3" localSheetId="13" hidden="1">{"'Output'!$B$1:$E$30"}</definedName>
    <definedName name="HTML_Control_3" localSheetId="14" hidden="1">{"'Output'!$B$1:$E$30"}</definedName>
    <definedName name="HTML_Control_3" localSheetId="15" hidden="1">{"'Output'!$B$1:$E$30"}</definedName>
    <definedName name="HTML_Control_3" localSheetId="19" hidden="1">{"'Output'!$B$1:$E$30"}</definedName>
    <definedName name="HTML_Control_3" localSheetId="20" hidden="1">{"'Output'!$B$1:$E$30"}</definedName>
    <definedName name="HTML_Control_3" localSheetId="21" hidden="1">{"'Output'!$B$1:$E$30"}</definedName>
    <definedName name="HTML_Control_3" hidden="1">{"'Output'!$B$1:$E$30"}</definedName>
    <definedName name="HTML_Control_4" localSheetId="32" hidden="1">{7.29760818336956E-48}</definedName>
    <definedName name="HTML_Control_4" localSheetId="33" hidden="1">{0}</definedName>
    <definedName name="HTML_Control_4" localSheetId="34" hidden="1">{"'Output'!$B$1:$E$30"}</definedName>
    <definedName name="HTML_Control_4" localSheetId="35" hidden="1">{0}</definedName>
    <definedName name="HTML_Control_4" localSheetId="37" hidden="1">{"'Output'!$B$1:$E$30"}</definedName>
    <definedName name="HTML_Control_4" localSheetId="39" hidden="1">{"'Output'!$B$1:$E$30"}</definedName>
    <definedName name="HTML_Control_4" localSheetId="40" hidden="1">{"'Output'!$B$1:$E$30"}</definedName>
    <definedName name="HTML_Control_4" localSheetId="41" hidden="1">{"'Output'!$B$1:$E$30"}</definedName>
    <definedName name="HTML_Control_4" localSheetId="42" hidden="1">{"'Output'!$B$1:$E$30"}</definedName>
    <definedName name="HTML_Control_4" localSheetId="31" hidden="1">{"'Output'!$B$1:$E$30"}</definedName>
    <definedName name="HTML_Control_4" localSheetId="68" hidden="1">{"'Output'!$B$1:$E$30"}</definedName>
    <definedName name="HTML_Control_4" localSheetId="71" hidden="1">{"'Output'!$B$1:$E$30"}</definedName>
    <definedName name="HTML_Control_4" localSheetId="98" hidden="1">{"'Output'!$B$1:$E$30"}</definedName>
    <definedName name="HTML_Control_4" localSheetId="9" hidden="1">{"'Output'!$B$1:$E$30"}</definedName>
    <definedName name="HTML_Control_4" localSheetId="11" hidden="1">{"'Output'!$B$1:$E$30"}</definedName>
    <definedName name="HTML_Control_4" localSheetId="12" hidden="1">{"'Output'!$B$1:$E$30"}</definedName>
    <definedName name="HTML_Control_4" localSheetId="13" hidden="1">{"'Output'!$B$1:$E$30"}</definedName>
    <definedName name="HTML_Control_4" localSheetId="14" hidden="1">{"'Output'!$B$1:$E$30"}</definedName>
    <definedName name="HTML_Control_4" localSheetId="15" hidden="1">{"'Output'!$B$1:$E$30"}</definedName>
    <definedName name="HTML_Control_4" localSheetId="19" hidden="1">{"'Output'!$B$1:$E$30"}</definedName>
    <definedName name="HTML_Control_4" localSheetId="20" hidden="1">{"'Output'!$B$1:$E$30"}</definedName>
    <definedName name="HTML_Control_4" localSheetId="21" hidden="1">{"'Output'!$B$1:$E$30"}</definedName>
    <definedName name="HTML_Control_4" hidden="1">{"'Output'!$B$1:$E$30"}</definedName>
    <definedName name="HTML_Control_5" localSheetId="32" hidden="1">{0}</definedName>
    <definedName name="HTML_Control_5" localSheetId="33" hidden="1">{0}</definedName>
    <definedName name="HTML_Control_5" localSheetId="34" hidden="1">{"'Output'!$B$1:$E$30"}</definedName>
    <definedName name="HTML_Control_5" localSheetId="35" hidden="1">{0}</definedName>
    <definedName name="HTML_Control_5" localSheetId="37" hidden="1">{"'Output'!$B$1:$E$30"}</definedName>
    <definedName name="HTML_Control_5" localSheetId="39" hidden="1">{"'Output'!$B$1:$E$30"}</definedName>
    <definedName name="HTML_Control_5" localSheetId="40" hidden="1">{"'Output'!$B$1:$E$30"}</definedName>
    <definedName name="HTML_Control_5" localSheetId="41" hidden="1">{"'Output'!$B$1:$E$30"}</definedName>
    <definedName name="HTML_Control_5" localSheetId="42" hidden="1">{"'Output'!$B$1:$E$30"}</definedName>
    <definedName name="HTML_Control_5" localSheetId="31" hidden="1">{"'Output'!$B$1:$E$30"}</definedName>
    <definedName name="HTML_Control_5" localSheetId="68" hidden="1">{"'Output'!$B$1:$E$30"}</definedName>
    <definedName name="HTML_Control_5" localSheetId="71" hidden="1">{"'Output'!$B$1:$E$30"}</definedName>
    <definedName name="HTML_Control_5" localSheetId="98" hidden="1">{"'Output'!$B$1:$E$30"}</definedName>
    <definedName name="HTML_Control_5" localSheetId="9" hidden="1">{"'Output'!$B$1:$E$30"}</definedName>
    <definedName name="HTML_Control_5" localSheetId="11" hidden="1">{"'Output'!$B$1:$E$30"}</definedName>
    <definedName name="HTML_Control_5" localSheetId="12" hidden="1">{"'Output'!$B$1:$E$30"}</definedName>
    <definedName name="HTML_Control_5" localSheetId="13" hidden="1">{"'Output'!$B$1:$E$30"}</definedName>
    <definedName name="HTML_Control_5" localSheetId="14" hidden="1">{"'Output'!$B$1:$E$30"}</definedName>
    <definedName name="HTML_Control_5" localSheetId="15" hidden="1">{"'Output'!$B$1:$E$30"}</definedName>
    <definedName name="HTML_Control_5" localSheetId="19" hidden="1">{"'Output'!$B$1:$E$30"}</definedName>
    <definedName name="HTML_Control_5" localSheetId="20" hidden="1">{"'Output'!$B$1:$E$30"}</definedName>
    <definedName name="HTML_Control_5" localSheetId="21" hidden="1">{"'Output'!$B$1:$E$30"}</definedName>
    <definedName name="HTML_Control_5" hidden="1">{"'Output'!$B$1:$E$30"}</definedName>
    <definedName name="HTML_Description" hidden="1">""</definedName>
    <definedName name="HTML_Email" hidden="1">""</definedName>
    <definedName name="HTML_Header" hidden="1">"Output"</definedName>
    <definedName name="HTML_LastUpdate" hidden="1">"2/16/00"</definedName>
    <definedName name="HTML_LineAfter" hidden="1">FALSE</definedName>
    <definedName name="HTML_LineBefore" hidden="1">FALSE</definedName>
    <definedName name="HTML_Name" hidden="1">"RC"</definedName>
    <definedName name="HTML_OBDlg2" hidden="1">TRUE</definedName>
    <definedName name="HTML_OBDlg4" hidden="1">TRUE</definedName>
    <definedName name="HTML_OS" hidden="1">0</definedName>
    <definedName name="HTML_PathFile" hidden="1">"J:\PS\pso\Resource Coordination\Resource Coordinator\System Lambda\SystemLambda.htm"</definedName>
    <definedName name="HTML_Title" hidden="1">"System Lambda Temp"</definedName>
    <definedName name="Inflation">Variables!$D$7</definedName>
    <definedName name="JobFactor.E">Variables!$D$14</definedName>
    <definedName name="JobFactor.NG">Variables!$D$13</definedName>
    <definedName name="JobFactor.Solar">Variables!$D$12</definedName>
    <definedName name="JobFactor.Solar.C">Variables!$D$11</definedName>
    <definedName name="JobFactor.Solar.R">Variables!$D$10</definedName>
    <definedName name="kW_per_HP">Variables!$D$45</definedName>
    <definedName name="kWh_per_BTU">Variables!$D$39</definedName>
    <definedName name="kWh_per_GJ">Variables!$D$36</definedName>
    <definedName name="LightingUseDay.R">Variables!$D$86</definedName>
    <definedName name="LineLoss.E">Variables!$D$24</definedName>
    <definedName name="LineLoss.NG">Variables!$D$25</definedName>
    <definedName name="Litre_per_Gallon">Variables!$D$53</definedName>
    <definedName name="Litre_per_m3">Variables!$D$55</definedName>
    <definedName name="m3_per_Gallon">Variables!$D$54</definedName>
    <definedName name="Minutes_per_Hour">Variables!$D$51</definedName>
    <definedName name="old_1" localSheetId="82" hidden="1">[9]old!$V$5</definedName>
    <definedName name="old_1" hidden="1">[10]old!$V$5</definedName>
    <definedName name="Pal_Workbook_GUID" hidden="1">"ZNKQLAX5J3K18YY4TKR1FKU4"</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6</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SavingsType">'Value of Savings'!$D$6</definedName>
    <definedName name="Seconds_per_Minute">Variables!$D$52</definedName>
    <definedName name="SensItManyInOneOutRefEditBaseCase" localSheetId="32" hidden="1">'C-HC-001'!$S$62:$S$75</definedName>
    <definedName name="SensItManyInOneOutRefEditBaseCase" localSheetId="33" hidden="1">'C-HC-002'!$S$62:$S$69</definedName>
    <definedName name="SensItManyInOneOutRefEditBaseCase" localSheetId="34" hidden="1">'C-HC-003'!$S$62:$S$70</definedName>
    <definedName name="SensItManyInOneOutRefEditBaseCase" localSheetId="35" hidden="1">'C-HC-004'!$S$62:$S$70</definedName>
    <definedName name="SensItManyInOneOutRefEditBaseCase" localSheetId="36" hidden="1">'C-HC-005'!$S$62:$S$67</definedName>
    <definedName name="SensItManyInOneOutRefEditBaseCase" localSheetId="37" hidden="1">'C-HC-006'!$S$62:$S$70</definedName>
    <definedName name="SensItManyInOneOutRefEditBaseCase" localSheetId="38" hidden="1">'C-HC-007'!$S$62:$S$70</definedName>
    <definedName name="SensItManyInOneOutRefEditBaseCase" localSheetId="39" hidden="1">'C-HC-008'!$S$62:$S$70</definedName>
    <definedName name="SensItManyInOneOutRefEditBaseCase" localSheetId="40" hidden="1">'C-HC-009'!$S$62:$S$70</definedName>
    <definedName name="SensItManyInOneOutRefEditBaseCase" localSheetId="41" hidden="1">'C-HC-010'!$S$62:$S$70</definedName>
    <definedName name="SensItManyInOneOutRefEditBaseCase" localSheetId="42" hidden="1">'C-HC-011'!$S$62:$S$70</definedName>
    <definedName name="SensItManyInOneOutRefEditBaseCase" localSheetId="43" hidden="1">'C-HC-012'!$S$62:$S$70</definedName>
    <definedName name="SensItManyInOneOutRefEditBaseCase" localSheetId="44" hidden="1">'C-HC-013'!$S$62:$S$70</definedName>
    <definedName name="SensItManyInOneOutRefEditBaseCase" localSheetId="45" hidden="1">'C-HC-014'!$S$62:$S$70</definedName>
    <definedName name="SensItManyInOneOutRefEditBaseCase" localSheetId="46" hidden="1">'C-HC-015'!$S$62:$S$70</definedName>
    <definedName name="SensItManyInOneOutRefEditBaseCase" localSheetId="47" hidden="1">'C-HC-016'!$S$62:$S$70</definedName>
    <definedName name="SensItManyInOneOutRefEditBaseCase" localSheetId="30" hidden="1">'C-K-001'!$S$62:$S$70</definedName>
    <definedName name="SensItManyInOneOutRefEditBaseCase" localSheetId="31" hidden="1">'C-K-002'!$S$62:$S$69</definedName>
    <definedName name="SensItManyInOneOutRefEditBaseCase" localSheetId="48" hidden="1">'C-L-001'!$S$62:$S$70</definedName>
    <definedName name="SensItManyInOneOutRefEditBaseCase" localSheetId="49" hidden="1">'C-L-002'!$S$62:$S$69</definedName>
    <definedName name="SensItManyInOneOutRefEditBaseCase" localSheetId="50" hidden="1">'C-L-003'!$S$62:$S$68</definedName>
    <definedName name="SensItManyInOneOutRefEditBaseCase" localSheetId="51" hidden="1">'C-L-004'!$S$62:$S$70</definedName>
    <definedName name="SensItManyInOneOutRefEditBaseCase" localSheetId="52" hidden="1">'C-L-005'!$S$62:$S$69</definedName>
    <definedName name="SensItManyInOneOutRefEditBaseCase" localSheetId="53" hidden="1">'C-L-006'!$S$62:$S$69</definedName>
    <definedName name="SensItManyInOneOutRefEditBaseCase" localSheetId="54" hidden="1">'C-L-007'!$S$62:$S$69</definedName>
    <definedName name="SensItManyInOneOutRefEditBaseCase" localSheetId="55" hidden="1">'C-L-008'!$S$62:$S$68</definedName>
    <definedName name="SensItManyInOneOutRefEditBaseCase" localSheetId="56" hidden="1">'C-L-009'!$S$62:$S$69</definedName>
    <definedName name="SensItManyInOneOutRefEditBaseCase" localSheetId="57" hidden="1">'C-R-001'!$S$62:$S$70</definedName>
    <definedName name="SensItManyInOneOutRefEditBaseCase" localSheetId="58" hidden="1">'C-R-002'!$S$62:$S$70</definedName>
    <definedName name="SensItManyInOneOutRefEditBaseCase" localSheetId="59" hidden="1">'C-R-003'!$S$62:$S$70</definedName>
    <definedName name="SensItManyInOneOutRefEditBaseCase" localSheetId="60" hidden="1">'C-R-004'!$S$62:$S$70</definedName>
    <definedName name="SensItManyInOneOutRefEditBaseCase" localSheetId="61" hidden="1">'C-R-005'!$S$62:$S$70</definedName>
    <definedName name="SensItManyInOneOutRefEditBaseCase" localSheetId="62" hidden="1">'C-R-006'!$S$62:$S$70</definedName>
    <definedName name="SensItManyInOneOutRefEditBaseCase" localSheetId="63" hidden="1">'C-R-007'!$S$62:$S$70</definedName>
    <definedName name="SensItManyInOneOutRefEditBaseCase" localSheetId="64" hidden="1">'C-R-008'!$S$62:$S$70</definedName>
    <definedName name="SensItManyInOneOutRefEditBaseCase" localSheetId="65" hidden="1">'C-R-009'!$S$62:$S$70</definedName>
    <definedName name="SensItManyInOneOutRefEditBaseCase" localSheetId="66" hidden="1">'C-R-010'!$S$62:$S$71</definedName>
    <definedName name="SensItManyInOneOutRefEditBaseCase" localSheetId="67" hidden="1">'C-R-011'!$S$62:$S$70</definedName>
    <definedName name="SensItManyInOneOutRefEditBaseCase" localSheetId="68" hidden="1">'C-W-001'!$S$62:$S$70</definedName>
    <definedName name="SensItManyInOneOutRefEditBaseCase" localSheetId="69" hidden="1">'C-W-002'!$S$62:$S$70</definedName>
    <definedName name="SensItManyInOneOutRefEditBaseCase" localSheetId="71" hidden="1">'C-W-004'!$S$62:$S$69</definedName>
    <definedName name="SensItManyInOneOutRefEditBaseCase" localSheetId="72" hidden="1">'C-WB-001'!$S$62:$S$69</definedName>
    <definedName name="SensItManyInOneOutRefEditBaseCase" localSheetId="73" hidden="1">'C-WB-002'!$S$62:$S$70</definedName>
    <definedName name="SensItManyInOneOutRefEditBaseCase" localSheetId="74" hidden="1">'C-WB-003'!$S$62:$S$70</definedName>
    <definedName name="SensItManyInOneOutRefEditBaseCase" localSheetId="75" hidden="1">'C-WB-004'!$S$62:$S$70</definedName>
    <definedName name="SensItManyInOneOutRefEditBaseCase" localSheetId="76" hidden="1">'C-WB-005'!$S$62:$S$70</definedName>
    <definedName name="SensItManyInOneOutRefEditBaseCase" localSheetId="77" hidden="1">'DER-001'!$S$62:$S$70</definedName>
    <definedName name="SensItManyInOneOutRefEditBaseCase" localSheetId="78" hidden="1">'DER-002'!$S$62:$S$70</definedName>
    <definedName name="SensItManyInOneOutRefEditBaseCase" localSheetId="79" hidden="1">'DER-003'!$S$62:$S$70</definedName>
    <definedName name="SensItManyInOneOutRefEditBaseCase" localSheetId="80" hidden="1">'DER-004'!$S$62:$S$70</definedName>
    <definedName name="SensItManyInOneOutRefEditBaseCase" localSheetId="5" hidden="1">'Protocol Template'!$S$62:$S$70</definedName>
    <definedName name="SensItManyInOneOutRefEditBaseCase" localSheetId="7" hidden="1">'R-HC-001'!$S$62:$S$69</definedName>
    <definedName name="SensItManyInOneOutRefEditBaseCase" localSheetId="8" hidden="1">'R-HC-002'!$S$62:$S$70</definedName>
    <definedName name="SensItManyInOneOutRefEditBaseCase" localSheetId="9" hidden="1">'R-HC-003'!$S$62:$S$70</definedName>
    <definedName name="SensItManyInOneOutRefEditBaseCase" localSheetId="10" hidden="1">'R-HC-004'!$S$62:$S$70</definedName>
    <definedName name="SensItManyInOneOutRefEditBaseCase" localSheetId="11" hidden="1">'R-HC-005'!$S$62:$S$70</definedName>
    <definedName name="SensItManyInOneOutRefEditBaseCase" localSheetId="12" hidden="1">'R-HC-006'!$S$62:$S$70</definedName>
    <definedName name="SensItManyInOneOutRefEditBaseCase" localSheetId="13" hidden="1">'R-HC-007'!$S$62:$S$70</definedName>
    <definedName name="SensItManyInOneOutRefEditBaseCase" localSheetId="14" hidden="1">'R-HC-008'!$S$62:$S$70</definedName>
    <definedName name="SensItManyInOneOutRefEditBaseCase" localSheetId="15" hidden="1">'R-HC-009'!$S$62:$S$70</definedName>
    <definedName name="SensItManyInOneOutRefEditBaseCase" localSheetId="16" hidden="1">'R-L-001'!$S$62:$S$70</definedName>
    <definedName name="SensItManyInOneOutRefEditBaseCase" localSheetId="17" hidden="1">'R-L-002'!$S$62:$S$70</definedName>
    <definedName name="SensItManyInOneOutRefEditBaseCase" localSheetId="18" hidden="1">'R-L-003'!$S$62:$S$70</definedName>
    <definedName name="SensItManyInOneOutRefEditBaseCase" localSheetId="19" hidden="1">'R-W-001'!$S$62:$S$70</definedName>
    <definedName name="SensItManyInOneOutRefEditBaseCase" localSheetId="20" hidden="1">'R-W-002'!$S$62:$S$70</definedName>
    <definedName name="SensItManyInOneOutRefEditBaseCase" localSheetId="21" hidden="1">'R-W-003'!$S$62:$S$70</definedName>
    <definedName name="SensItManyInOneOutRefEditBaseCase" localSheetId="22" hidden="1">'R-WB-001'!$S$62:$S$69</definedName>
    <definedName name="SensItManyInOneOutRefEditBaseCase" localSheetId="23" hidden="1">'R-WB-002'!$S$62:$S$69</definedName>
    <definedName name="SensItManyInOneOutRefEditBaseCase" localSheetId="24" hidden="1">'R-WB-003'!$S$62:$S$69</definedName>
    <definedName name="SensItManyInOneOutRefEditBaseCase" localSheetId="25" hidden="1">'R-WB-004'!$S$62:$S$69</definedName>
    <definedName name="SensItManyInOneOutRefEditBaseCase" localSheetId="26" hidden="1">'R-WB-005'!$S$62:$S$70</definedName>
    <definedName name="SensItManyInOneOutRefEditBaseCase" localSheetId="27" hidden="1">'R-WB-006'!$S$62:$S$70</definedName>
    <definedName name="SensItManyInOneOutRefEditBaseCase" localSheetId="28" hidden="1">'R-WB-007'!$S$62:$S$70</definedName>
    <definedName name="SensItManyInOneOutRefEditInputLabels" localSheetId="32" hidden="1">'C-HC-001'!$C$62:$C$75</definedName>
    <definedName name="SensItManyInOneOutRefEditInputLabels" localSheetId="33" hidden="1">'C-HC-002'!$C$63:$C$69</definedName>
    <definedName name="SensItManyInOneOutRefEditInputLabels" localSheetId="34" hidden="1">'C-HC-003'!$C$62:$C$70</definedName>
    <definedName name="SensItManyInOneOutRefEditInputLabels" localSheetId="35" hidden="1">'C-HC-004'!$C$62:$C$70</definedName>
    <definedName name="SensItManyInOneOutRefEditInputLabels" localSheetId="36" hidden="1">'C-HC-005'!$C$62:$C$67</definedName>
    <definedName name="SensItManyInOneOutRefEditInputLabels" localSheetId="37" hidden="1">'C-HC-006'!$C$62:$C$70</definedName>
    <definedName name="SensItManyInOneOutRefEditInputLabels" localSheetId="38" hidden="1">'C-HC-007'!$C$62:$C$70</definedName>
    <definedName name="SensItManyInOneOutRefEditInputLabels" localSheetId="39" hidden="1">'C-HC-008'!$C$62:$C$69</definedName>
    <definedName name="SensItManyInOneOutRefEditInputLabels" localSheetId="40" hidden="1">'C-HC-009'!$C$62:$C$70</definedName>
    <definedName name="SensItManyInOneOutRefEditInputLabels" localSheetId="41" hidden="1">'C-HC-010'!$C$62:$C$70</definedName>
    <definedName name="SensItManyInOneOutRefEditInputLabels" localSheetId="42" hidden="1">'C-HC-011'!$C$62:$C$68</definedName>
    <definedName name="SensItManyInOneOutRefEditInputLabels" localSheetId="43" hidden="1">'C-HC-012'!$C$62:$C$70</definedName>
    <definedName name="SensItManyInOneOutRefEditInputLabels" localSheetId="44" hidden="1">'C-HC-013'!$C$62:$C$70</definedName>
    <definedName name="SensItManyInOneOutRefEditInputLabels" localSheetId="45" hidden="1">'C-HC-014'!$C$62:$C$70</definedName>
    <definedName name="SensItManyInOneOutRefEditInputLabels" localSheetId="46" hidden="1">'C-HC-015'!$C$62:$C$70</definedName>
    <definedName name="SensItManyInOneOutRefEditInputLabels" localSheetId="47" hidden="1">'C-HC-016'!$C$62:$C$68</definedName>
    <definedName name="SensItManyInOneOutRefEditInputLabels" localSheetId="30" hidden="1">'C-K-001'!$C$64:$C$71</definedName>
    <definedName name="SensItManyInOneOutRefEditInputLabels" localSheetId="31" hidden="1">'C-K-002'!$C$65:$C$70</definedName>
    <definedName name="SensItManyInOneOutRefEditInputLabels" localSheetId="48" hidden="1">'C-L-001'!$C$62:$C$70</definedName>
    <definedName name="SensItManyInOneOutRefEditInputLabels" localSheetId="49" hidden="1">'C-L-002'!$C$62:$C$69</definedName>
    <definedName name="SensItManyInOneOutRefEditInputLabels" localSheetId="50" hidden="1">'C-L-003'!$C$62:$C$68</definedName>
    <definedName name="SensItManyInOneOutRefEditInputLabels" localSheetId="51" hidden="1">'C-L-004'!$C$62:$C$70</definedName>
    <definedName name="SensItManyInOneOutRefEditInputLabels" localSheetId="52" hidden="1">'C-L-005'!$C$62:$C$69</definedName>
    <definedName name="SensItManyInOneOutRefEditInputLabels" localSheetId="53" hidden="1">'C-L-006'!$C$62:$C$69</definedName>
    <definedName name="SensItManyInOneOutRefEditInputLabels" localSheetId="54" hidden="1">'C-L-007'!$C$62:$C$69</definedName>
    <definedName name="SensItManyInOneOutRefEditInputLabels" localSheetId="55" hidden="1">'C-L-008'!$C$62:$C$68</definedName>
    <definedName name="SensItManyInOneOutRefEditInputLabels" localSheetId="56" hidden="1">'C-L-009'!$C$62:$C$69</definedName>
    <definedName name="SensItManyInOneOutRefEditInputLabels" localSheetId="57" hidden="1">'C-R-001'!$C$62:$C$70</definedName>
    <definedName name="SensItManyInOneOutRefEditInputLabels" localSheetId="58" hidden="1">'C-R-002'!$C$64:$C$70</definedName>
    <definedName name="SensItManyInOneOutRefEditInputLabels" localSheetId="59" hidden="1">'C-R-003'!$C$62:$C$70</definedName>
    <definedName name="SensItManyInOneOutRefEditInputLabels" localSheetId="60" hidden="1">'C-R-004'!$C$64:$C$74</definedName>
    <definedName name="SensItManyInOneOutRefEditInputLabels" localSheetId="61" hidden="1">'C-R-005'!$C$62:$C$70</definedName>
    <definedName name="SensItManyInOneOutRefEditInputLabels" localSheetId="62" hidden="1">'C-R-006'!$C$62:$C$70</definedName>
    <definedName name="SensItManyInOneOutRefEditInputLabels" localSheetId="63" hidden="1">'C-R-007'!$C$64:$C$70</definedName>
    <definedName name="SensItManyInOneOutRefEditInputLabels" localSheetId="64" hidden="1">'C-R-008'!$C$62:$C$70</definedName>
    <definedName name="SensItManyInOneOutRefEditInputLabels" localSheetId="65" hidden="1">'C-R-009'!$C$64:$C$74</definedName>
    <definedName name="SensItManyInOneOutRefEditInputLabels" localSheetId="66" hidden="1">'C-R-010'!$C$62:$C$71</definedName>
    <definedName name="SensItManyInOneOutRefEditInputLabels" localSheetId="67" hidden="1">'C-R-011'!$C$62:$C$70</definedName>
    <definedName name="SensItManyInOneOutRefEditInputLabels" localSheetId="68" hidden="1">'C-W-001'!$C$63:$C$70</definedName>
    <definedName name="SensItManyInOneOutRefEditInputLabels" localSheetId="69" hidden="1">'C-W-002'!$C$62:$C$70</definedName>
    <definedName name="SensItManyInOneOutRefEditInputLabels" localSheetId="71" hidden="1">'C-W-004'!$C$62:$C$65</definedName>
    <definedName name="SensItManyInOneOutRefEditInputLabels" localSheetId="72" hidden="1">'C-WB-001'!$C$62:$C$75</definedName>
    <definedName name="SensItManyInOneOutRefEditInputLabels" localSheetId="73" hidden="1">'C-WB-002'!$C$62:$C$76</definedName>
    <definedName name="SensItManyInOneOutRefEditInputLabels" localSheetId="74" hidden="1">'C-WB-003'!$C$62:$C$76</definedName>
    <definedName name="SensItManyInOneOutRefEditInputLabels" localSheetId="75" hidden="1">'C-WB-004'!$C$62:$C$76</definedName>
    <definedName name="SensItManyInOneOutRefEditInputLabels" localSheetId="76" hidden="1">'C-WB-005'!$C$62:$C$76</definedName>
    <definedName name="SensItManyInOneOutRefEditInputLabels" localSheetId="77" hidden="1">'DER-001'!$C$62:$C$76</definedName>
    <definedName name="SensItManyInOneOutRefEditInputLabels" localSheetId="78" hidden="1">'DER-002'!$C$62:$C$76</definedName>
    <definedName name="SensItManyInOneOutRefEditInputLabels" localSheetId="79" hidden="1">'DER-003'!$C$62:$C$76</definedName>
    <definedName name="SensItManyInOneOutRefEditInputLabels" localSheetId="80" hidden="1">'DER-004'!$C$62:$C$76</definedName>
    <definedName name="SensItManyInOneOutRefEditInputLabels" localSheetId="5" hidden="1">'Protocol Template'!$C$62:$C$70</definedName>
    <definedName name="SensItManyInOneOutRefEditInputLabels" localSheetId="7" hidden="1">'R-HC-001'!$C$62:$C$69</definedName>
    <definedName name="SensItManyInOneOutRefEditInputLabels" localSheetId="8" hidden="1">'R-HC-002'!$C$62:$C$69</definedName>
    <definedName name="SensItManyInOneOutRefEditInputLabels" localSheetId="9" hidden="1">'R-HC-003'!$C$62:$C$70</definedName>
    <definedName name="SensItManyInOneOutRefEditInputLabels" localSheetId="10" hidden="1">'R-HC-004'!$C$62:$C$70</definedName>
    <definedName name="SensItManyInOneOutRefEditInputLabels" localSheetId="11" hidden="1">'R-HC-005'!$C$62:$C$70</definedName>
    <definedName name="SensItManyInOneOutRefEditInputLabels" localSheetId="12" hidden="1">'R-HC-006'!$C$62:$C$70</definedName>
    <definedName name="SensItManyInOneOutRefEditInputLabels" localSheetId="13" hidden="1">'R-HC-007'!$C$62:$C$69</definedName>
    <definedName name="SensItManyInOneOutRefEditInputLabels" localSheetId="14" hidden="1">'R-HC-008'!$C$62:$C$70</definedName>
    <definedName name="SensItManyInOneOutRefEditInputLabels" localSheetId="15" hidden="1">'R-HC-009'!$C$62:$C$70</definedName>
    <definedName name="SensItManyInOneOutRefEditInputLabels" localSheetId="16" hidden="1">'R-L-001'!$C$62:$C$70</definedName>
    <definedName name="SensItManyInOneOutRefEditInputLabels" localSheetId="17" hidden="1">'R-L-002'!$C$62:$C$70</definedName>
    <definedName name="SensItManyInOneOutRefEditInputLabels" localSheetId="18" hidden="1">'R-L-003'!$C$62:$C$70</definedName>
    <definedName name="SensItManyInOneOutRefEditInputLabels" localSheetId="19" hidden="1">'R-W-001'!$C$62:$C$65</definedName>
    <definedName name="SensItManyInOneOutRefEditInputLabels" localSheetId="20" hidden="1">'R-W-002'!$C$62:$C$67</definedName>
    <definedName name="SensItManyInOneOutRefEditInputLabels" localSheetId="21" hidden="1">'R-W-003'!$C$62:$C$67</definedName>
    <definedName name="SensItManyInOneOutRefEditInputLabels" localSheetId="22" hidden="1">'R-WB-001'!$C$62:$C$76</definedName>
    <definedName name="SensItManyInOneOutRefEditInputLabels" localSheetId="23" hidden="1">'R-WB-002'!$C$64:$C$76</definedName>
    <definedName name="SensItManyInOneOutRefEditInputLabels" localSheetId="24" hidden="1">'R-WB-003'!$C$64:$C$68</definedName>
    <definedName name="SensItManyInOneOutRefEditInputLabels" localSheetId="25" hidden="1">'R-WB-004'!$C$64:$C$76</definedName>
    <definedName name="SensItManyInOneOutRefEditInputLabels" localSheetId="26" hidden="1">'R-WB-005'!$C$62:$C$70</definedName>
    <definedName name="SensItManyInOneOutRefEditInputLabels" localSheetId="27" hidden="1">'R-WB-006'!$C$62:$C$70</definedName>
    <definedName name="SensItManyInOneOutRefEditInputLabels" localSheetId="28" hidden="1">'R-WB-007'!$C$62:$C$70</definedName>
    <definedName name="SensItManyInOneOutRefEditInputValues" localSheetId="32" hidden="1">'C-HC-001'!$H$62:$H$75</definedName>
    <definedName name="SensItManyInOneOutRefEditInputValues" localSheetId="33" hidden="1">'C-HC-002'!$H$63:$H$69</definedName>
    <definedName name="SensItManyInOneOutRefEditInputValues" localSheetId="34" hidden="1">'C-HC-003'!$H$62:$H$70</definedName>
    <definedName name="SensItManyInOneOutRefEditInputValues" localSheetId="35" hidden="1">'C-HC-004'!$H$62:$H$70</definedName>
    <definedName name="SensItManyInOneOutRefEditInputValues" localSheetId="36" hidden="1">'C-HC-005'!$H$62:$H$67</definedName>
    <definedName name="SensItManyInOneOutRefEditInputValues" localSheetId="37" hidden="1">'C-HC-006'!$H$62:$H$70</definedName>
    <definedName name="SensItManyInOneOutRefEditInputValues" localSheetId="38" hidden="1">'C-HC-007'!$H$62:$H$70</definedName>
    <definedName name="SensItManyInOneOutRefEditInputValues" localSheetId="39" hidden="1">'C-HC-008'!$H$62:$H$69</definedName>
    <definedName name="SensItManyInOneOutRefEditInputValues" localSheetId="40" hidden="1">'C-HC-009'!$H$62:$H$70</definedName>
    <definedName name="SensItManyInOneOutRefEditInputValues" localSheetId="41" hidden="1">'C-HC-010'!$H$62:$H$70</definedName>
    <definedName name="SensItManyInOneOutRefEditInputValues" localSheetId="42" hidden="1">'C-HC-011'!$H$62:$H$69</definedName>
    <definedName name="SensItManyInOneOutRefEditInputValues" localSheetId="43" hidden="1">'C-HC-012'!$H$62:$H$70</definedName>
    <definedName name="SensItManyInOneOutRefEditInputValues" localSheetId="44" hidden="1">'C-HC-013'!$H$62:$H$70</definedName>
    <definedName name="SensItManyInOneOutRefEditInputValues" localSheetId="45" hidden="1">'C-HC-014'!$H$62:$H$70</definedName>
    <definedName name="SensItManyInOneOutRefEditInputValues" localSheetId="46" hidden="1">'C-HC-015'!$H$62:$H$70</definedName>
    <definedName name="SensItManyInOneOutRefEditInputValues" localSheetId="47" hidden="1">'C-HC-016'!$H$62:$H$68</definedName>
    <definedName name="SensItManyInOneOutRefEditInputValues" localSheetId="30" hidden="1">'C-K-001'!$H$64:$H$71</definedName>
    <definedName name="SensItManyInOneOutRefEditInputValues" localSheetId="31" hidden="1">'C-K-002'!$H$65:$H$70</definedName>
    <definedName name="SensItManyInOneOutRefEditInputValues" localSheetId="48" hidden="1">'C-L-001'!$H$62:$H$70</definedName>
    <definedName name="SensItManyInOneOutRefEditInputValues" localSheetId="49" hidden="1">'C-L-002'!$H$62:$H$69</definedName>
    <definedName name="SensItManyInOneOutRefEditInputValues" localSheetId="50" hidden="1">'C-L-003'!$H$62:$H$68</definedName>
    <definedName name="SensItManyInOneOutRefEditInputValues" localSheetId="51" hidden="1">'C-L-004'!$H$62:$H$70</definedName>
    <definedName name="SensItManyInOneOutRefEditInputValues" localSheetId="52" hidden="1">'C-L-005'!$H$62:$H$69</definedName>
    <definedName name="SensItManyInOneOutRefEditInputValues" localSheetId="53" hidden="1">'C-L-006'!$H$62:$H$69</definedName>
    <definedName name="SensItManyInOneOutRefEditInputValues" localSheetId="54" hidden="1">'C-L-007'!$H$62:$H$69</definedName>
    <definedName name="SensItManyInOneOutRefEditInputValues" localSheetId="55" hidden="1">'C-L-008'!$H$62:$H$68</definedName>
    <definedName name="SensItManyInOneOutRefEditInputValues" localSheetId="56" hidden="1">'C-L-009'!$H$62:$H$69</definedName>
    <definedName name="SensItManyInOneOutRefEditInputValues" localSheetId="57" hidden="1">'C-R-001'!$H$62:$H$70</definedName>
    <definedName name="SensItManyInOneOutRefEditInputValues" localSheetId="58" hidden="1">'C-R-002'!$H$64:$H$70</definedName>
    <definedName name="SensItManyInOneOutRefEditInputValues" localSheetId="59" hidden="1">'C-R-003'!$H$62:$H$70</definedName>
    <definedName name="SensItManyInOneOutRefEditInputValues" localSheetId="60" hidden="1">'C-R-004'!$H$64:$H$71</definedName>
    <definedName name="SensItManyInOneOutRefEditInputValues" localSheetId="61" hidden="1">'C-R-005'!$H$62:$H$70</definedName>
    <definedName name="SensItManyInOneOutRefEditInputValues" localSheetId="62" hidden="1">'C-R-006'!$H$62:$H$70</definedName>
    <definedName name="SensItManyInOneOutRefEditInputValues" localSheetId="63" hidden="1">'C-R-007'!$H$64:$H$70</definedName>
    <definedName name="SensItManyInOneOutRefEditInputValues" localSheetId="64" hidden="1">'C-R-008'!$H$62:$H$70</definedName>
    <definedName name="SensItManyInOneOutRefEditInputValues" localSheetId="65" hidden="1">'C-R-009'!$H$64:$H$71</definedName>
    <definedName name="SensItManyInOneOutRefEditInputValues" localSheetId="66" hidden="1">'C-R-010'!$H$62:$H$71</definedName>
    <definedName name="SensItManyInOneOutRefEditInputValues" localSheetId="67" hidden="1">'C-R-011'!$H$62:$H$70</definedName>
    <definedName name="SensItManyInOneOutRefEditInputValues" localSheetId="68" hidden="1">'C-W-001'!$H$63:$H$70</definedName>
    <definedName name="SensItManyInOneOutRefEditInputValues" localSheetId="69" hidden="1">'C-W-002'!$H$62:$H$70</definedName>
    <definedName name="SensItManyInOneOutRefEditInputValues" localSheetId="71" hidden="1">'C-W-004'!$H$62:$H$66</definedName>
    <definedName name="SensItManyInOneOutRefEditInputValues" localSheetId="72" hidden="1">'C-WB-001'!$H$62:$H$75</definedName>
    <definedName name="SensItManyInOneOutRefEditInputValues" localSheetId="73" hidden="1">'C-WB-002'!$H$62:$H$76</definedName>
    <definedName name="SensItManyInOneOutRefEditInputValues" localSheetId="74" hidden="1">'C-WB-003'!$H$62:$H$76</definedName>
    <definedName name="SensItManyInOneOutRefEditInputValues" localSheetId="75" hidden="1">'C-WB-004'!$H$62:$H$76</definedName>
    <definedName name="SensItManyInOneOutRefEditInputValues" localSheetId="76" hidden="1">'C-WB-005'!$H$62:$H$76</definedName>
    <definedName name="SensItManyInOneOutRefEditInputValues" localSheetId="77" hidden="1">'DER-001'!$H$62:$H$76</definedName>
    <definedName name="SensItManyInOneOutRefEditInputValues" localSheetId="78" hidden="1">'DER-002'!$H$62:$H$76</definedName>
    <definedName name="SensItManyInOneOutRefEditInputValues" localSheetId="79" hidden="1">'DER-003'!$H$62:$H$76</definedName>
    <definedName name="SensItManyInOneOutRefEditInputValues" localSheetId="80" hidden="1">'DER-004'!$H$62:$H$76</definedName>
    <definedName name="SensItManyInOneOutRefEditInputValues" localSheetId="5" hidden="1">'Protocol Template'!$H$62:$H$70</definedName>
    <definedName name="SensItManyInOneOutRefEditInputValues" localSheetId="7" hidden="1">'R-HC-001'!$H$62:$H$69</definedName>
    <definedName name="SensItManyInOneOutRefEditInputValues" localSheetId="8" hidden="1">'R-HC-002'!$H$62:$H$69</definedName>
    <definedName name="SensItManyInOneOutRefEditInputValues" localSheetId="9" hidden="1">'R-HC-003'!$H$62:$H$70</definedName>
    <definedName name="SensItManyInOneOutRefEditInputValues" localSheetId="10" hidden="1">'R-HC-004'!$H$62:$H$70</definedName>
    <definedName name="SensItManyInOneOutRefEditInputValues" localSheetId="11" hidden="1">'R-HC-005'!$H$62:$H$70</definedName>
    <definedName name="SensItManyInOneOutRefEditInputValues" localSheetId="12" hidden="1">'R-HC-006'!$H$62:$H$70</definedName>
    <definedName name="SensItManyInOneOutRefEditInputValues" localSheetId="13" hidden="1">'R-HC-007'!$H$62:$H$69</definedName>
    <definedName name="SensItManyInOneOutRefEditInputValues" localSheetId="14" hidden="1">'R-HC-008'!$H$62:$H$70</definedName>
    <definedName name="SensItManyInOneOutRefEditInputValues" localSheetId="15" hidden="1">'R-HC-009'!$H$62:$H$70</definedName>
    <definedName name="SensItManyInOneOutRefEditInputValues" localSheetId="16" hidden="1">'R-L-001'!$H$62:$H$70</definedName>
    <definedName name="SensItManyInOneOutRefEditInputValues" localSheetId="17" hidden="1">'R-L-002'!$H$62:$H$70</definedName>
    <definedName name="SensItManyInOneOutRefEditInputValues" localSheetId="18" hidden="1">'R-L-003'!$H$62:$H$70</definedName>
    <definedName name="SensItManyInOneOutRefEditInputValues" localSheetId="19" hidden="1">'R-W-001'!$H$62:$H$66</definedName>
    <definedName name="SensItManyInOneOutRefEditInputValues" localSheetId="20" hidden="1">'R-W-002'!$H$62:$H$69</definedName>
    <definedName name="SensItManyInOneOutRefEditInputValues" localSheetId="21" hidden="1">'R-W-003'!$H$62:$H$64</definedName>
    <definedName name="SensItManyInOneOutRefEditInputValues" localSheetId="22" hidden="1">'R-WB-001'!$H$62:$H$76</definedName>
    <definedName name="SensItManyInOneOutRefEditInputValues" localSheetId="23" hidden="1">'R-WB-002'!$H$64:$H$76</definedName>
    <definedName name="SensItManyInOneOutRefEditInputValues" localSheetId="24" hidden="1">'R-WB-003'!$H$64:$H$68</definedName>
    <definedName name="SensItManyInOneOutRefEditInputValues" localSheetId="25" hidden="1">'R-WB-004'!$H$64:$H$76</definedName>
    <definedName name="SensItManyInOneOutRefEditInputValues" localSheetId="26" hidden="1">'R-WB-005'!$H$62:$H$70</definedName>
    <definedName name="SensItManyInOneOutRefEditInputValues" localSheetId="27" hidden="1">'R-WB-006'!$H$62:$H$70</definedName>
    <definedName name="SensItManyInOneOutRefEditInputValues" localSheetId="28" hidden="1">'R-WB-007'!$H$62:$H$70</definedName>
    <definedName name="SensItManyInOneOutRefEditOneExtreme" localSheetId="32" hidden="1">'C-HC-001'!$R$62:$R$75</definedName>
    <definedName name="SensItManyInOneOutRefEditOneExtreme" localSheetId="33" hidden="1">'C-HC-002'!$R$62:$R$69</definedName>
    <definedName name="SensItManyInOneOutRefEditOneExtreme" localSheetId="34" hidden="1">'C-HC-003'!$R$62:$R$70</definedName>
    <definedName name="SensItManyInOneOutRefEditOneExtreme" localSheetId="35" hidden="1">'C-HC-004'!$R$62:$R$70</definedName>
    <definedName name="SensItManyInOneOutRefEditOneExtreme" localSheetId="36" hidden="1">'C-HC-005'!$R$62:$R$67</definedName>
    <definedName name="SensItManyInOneOutRefEditOneExtreme" localSheetId="37" hidden="1">'C-HC-006'!$R$62:$R$70</definedName>
    <definedName name="SensItManyInOneOutRefEditOneExtreme" localSheetId="38" hidden="1">'C-HC-007'!$R$62:$R$70</definedName>
    <definedName name="SensItManyInOneOutRefEditOneExtreme" localSheetId="39" hidden="1">'C-HC-008'!$R$62:$R$70</definedName>
    <definedName name="SensItManyInOneOutRefEditOneExtreme" localSheetId="40" hidden="1">'C-HC-009'!$R$62:$R$70</definedName>
    <definedName name="SensItManyInOneOutRefEditOneExtreme" localSheetId="41" hidden="1">'C-HC-010'!$R$62:$R$70</definedName>
    <definedName name="SensItManyInOneOutRefEditOneExtreme" localSheetId="42" hidden="1">'C-HC-011'!$R$62:$R$70</definedName>
    <definedName name="SensItManyInOneOutRefEditOneExtreme" localSheetId="43" hidden="1">'C-HC-012'!$R$62:$R$70</definedName>
    <definedName name="SensItManyInOneOutRefEditOneExtreme" localSheetId="44" hidden="1">'C-HC-013'!$R$62:$R$70</definedName>
    <definedName name="SensItManyInOneOutRefEditOneExtreme" localSheetId="45" hidden="1">'C-HC-014'!$R$62:$R$70</definedName>
    <definedName name="SensItManyInOneOutRefEditOneExtreme" localSheetId="46" hidden="1">'C-HC-015'!$R$62:$R$70</definedName>
    <definedName name="SensItManyInOneOutRefEditOneExtreme" localSheetId="47" hidden="1">'C-HC-016'!$R$62:$R$70</definedName>
    <definedName name="SensItManyInOneOutRefEditOneExtreme" localSheetId="30" hidden="1">'C-K-001'!$R$62:$R$70</definedName>
    <definedName name="SensItManyInOneOutRefEditOneExtreme" localSheetId="31" hidden="1">'C-K-002'!$R$62:$R$69</definedName>
    <definedName name="SensItManyInOneOutRefEditOneExtreme" localSheetId="48" hidden="1">'C-L-001'!$R$62:$R$70</definedName>
    <definedName name="SensItManyInOneOutRefEditOneExtreme" localSheetId="49" hidden="1">'C-L-002'!$R$62:$R$69</definedName>
    <definedName name="SensItManyInOneOutRefEditOneExtreme" localSheetId="50" hidden="1">'C-L-003'!$R$62:$R$68</definedName>
    <definedName name="SensItManyInOneOutRefEditOneExtreme" localSheetId="51" hidden="1">'C-L-004'!$R$62:$R$70</definedName>
    <definedName name="SensItManyInOneOutRefEditOneExtreme" localSheetId="52" hidden="1">'C-L-005'!$R$62:$R$69</definedName>
    <definedName name="SensItManyInOneOutRefEditOneExtreme" localSheetId="53" hidden="1">'C-L-006'!$R$62:$R$69</definedName>
    <definedName name="SensItManyInOneOutRefEditOneExtreme" localSheetId="54" hidden="1">'C-L-007'!$R$62:$R$69</definedName>
    <definedName name="SensItManyInOneOutRefEditOneExtreme" localSheetId="55" hidden="1">'C-L-008'!$R$62:$R$68</definedName>
    <definedName name="SensItManyInOneOutRefEditOneExtreme" localSheetId="56" hidden="1">'C-L-009'!$R$62:$R$69</definedName>
    <definedName name="SensItManyInOneOutRefEditOneExtreme" localSheetId="57" hidden="1">'C-R-001'!$R$62:$R$70</definedName>
    <definedName name="SensItManyInOneOutRefEditOneExtreme" localSheetId="58" hidden="1">'C-R-002'!$R$62:$R$70</definedName>
    <definedName name="SensItManyInOneOutRefEditOneExtreme" localSheetId="59" hidden="1">'C-R-003'!$R$62:$R$70</definedName>
    <definedName name="SensItManyInOneOutRefEditOneExtreme" localSheetId="60" hidden="1">'C-R-004'!$R$62:$R$70</definedName>
    <definedName name="SensItManyInOneOutRefEditOneExtreme" localSheetId="61" hidden="1">'C-R-005'!$R$62:$R$70</definedName>
    <definedName name="SensItManyInOneOutRefEditOneExtreme" localSheetId="62" hidden="1">'C-R-006'!$R$62:$R$70</definedName>
    <definedName name="SensItManyInOneOutRefEditOneExtreme" localSheetId="63" hidden="1">'C-R-007'!$R$62:$R$70</definedName>
    <definedName name="SensItManyInOneOutRefEditOneExtreme" localSheetId="64" hidden="1">'C-R-008'!$R$62:$R$70</definedName>
    <definedName name="SensItManyInOneOutRefEditOneExtreme" localSheetId="65" hidden="1">'C-R-009'!$R$62:$R$70</definedName>
    <definedName name="SensItManyInOneOutRefEditOneExtreme" localSheetId="66" hidden="1">'C-R-010'!$R$62:$R$71</definedName>
    <definedName name="SensItManyInOneOutRefEditOneExtreme" localSheetId="67" hidden="1">'C-R-011'!$R$62:$R$70</definedName>
    <definedName name="SensItManyInOneOutRefEditOneExtreme" localSheetId="68" hidden="1">'C-W-001'!$R$62:$R$70</definedName>
    <definedName name="SensItManyInOneOutRefEditOneExtreme" localSheetId="69" hidden="1">'C-W-002'!$R$62:$R$70</definedName>
    <definedName name="SensItManyInOneOutRefEditOneExtreme" localSheetId="71" hidden="1">'C-W-004'!$R$62:$R$69</definedName>
    <definedName name="SensItManyInOneOutRefEditOneExtreme" localSheetId="72" hidden="1">'C-WB-001'!$R$62:$R$69</definedName>
    <definedName name="SensItManyInOneOutRefEditOneExtreme" localSheetId="73" hidden="1">'C-WB-002'!$R$62:$R$70</definedName>
    <definedName name="SensItManyInOneOutRefEditOneExtreme" localSheetId="74" hidden="1">'C-WB-003'!$R$62:$R$70</definedName>
    <definedName name="SensItManyInOneOutRefEditOneExtreme" localSheetId="75" hidden="1">'C-WB-004'!$R$62:$R$70</definedName>
    <definedName name="SensItManyInOneOutRefEditOneExtreme" localSheetId="76" hidden="1">'C-WB-005'!$R$62:$R$70</definedName>
    <definedName name="SensItManyInOneOutRefEditOneExtreme" localSheetId="77" hidden="1">'DER-001'!$R$62:$R$70</definedName>
    <definedName name="SensItManyInOneOutRefEditOneExtreme" localSheetId="78" hidden="1">'DER-002'!$R$62:$R$70</definedName>
    <definedName name="SensItManyInOneOutRefEditOneExtreme" localSheetId="79" hidden="1">'DER-003'!$R$62:$R$70</definedName>
    <definedName name="SensItManyInOneOutRefEditOneExtreme" localSheetId="80" hidden="1">'DER-004'!$R$62:$R$70</definedName>
    <definedName name="SensItManyInOneOutRefEditOneExtreme" localSheetId="5" hidden="1">'Protocol Template'!$R$62:$R$70</definedName>
    <definedName name="SensItManyInOneOutRefEditOneExtreme" localSheetId="7" hidden="1">'R-HC-001'!$R$62:$R$69</definedName>
    <definedName name="SensItManyInOneOutRefEditOneExtreme" localSheetId="8" hidden="1">'R-HC-002'!$R$62:$R$70</definedName>
    <definedName name="SensItManyInOneOutRefEditOneExtreme" localSheetId="9" hidden="1">'R-HC-003'!$R$62:$R$70</definedName>
    <definedName name="SensItManyInOneOutRefEditOneExtreme" localSheetId="10" hidden="1">'R-HC-004'!$R$62:$R$70</definedName>
    <definedName name="SensItManyInOneOutRefEditOneExtreme" localSheetId="11" hidden="1">'R-HC-005'!$R$62:$R$70</definedName>
    <definedName name="SensItManyInOneOutRefEditOneExtreme" localSheetId="12" hidden="1">'R-HC-006'!$R$62:$R$70</definedName>
    <definedName name="SensItManyInOneOutRefEditOneExtreme" localSheetId="13" hidden="1">'R-HC-007'!$R$62:$R$70</definedName>
    <definedName name="SensItManyInOneOutRefEditOneExtreme" localSheetId="14" hidden="1">'R-HC-008'!$R$62:$R$70</definedName>
    <definedName name="SensItManyInOneOutRefEditOneExtreme" localSheetId="15" hidden="1">'R-HC-009'!$R$62:$R$70</definedName>
    <definedName name="SensItManyInOneOutRefEditOneExtreme" localSheetId="16" hidden="1">'R-L-001'!$R$62:$R$70</definedName>
    <definedName name="SensItManyInOneOutRefEditOneExtreme" localSheetId="17" hidden="1">'R-L-002'!$R$62:$R$70</definedName>
    <definedName name="SensItManyInOneOutRefEditOneExtreme" localSheetId="18" hidden="1">'R-L-003'!$R$62:$R$70</definedName>
    <definedName name="SensItManyInOneOutRefEditOneExtreme" localSheetId="19" hidden="1">'R-W-001'!$R$62:$R$70</definedName>
    <definedName name="SensItManyInOneOutRefEditOneExtreme" localSheetId="20" hidden="1">'R-W-002'!$R$62:$R$70</definedName>
    <definedName name="SensItManyInOneOutRefEditOneExtreme" localSheetId="21" hidden="1">'R-W-003'!$R$62:$R$70</definedName>
    <definedName name="SensItManyInOneOutRefEditOneExtreme" localSheetId="22" hidden="1">'R-WB-001'!$R$62:$R$69</definedName>
    <definedName name="SensItManyInOneOutRefEditOneExtreme" localSheetId="23" hidden="1">'R-WB-002'!$R$62:$R$69</definedName>
    <definedName name="SensItManyInOneOutRefEditOneExtreme" localSheetId="24" hidden="1">'R-WB-003'!$R$62:$R$69</definedName>
    <definedName name="SensItManyInOneOutRefEditOneExtreme" localSheetId="25" hidden="1">'R-WB-004'!$R$62:$R$69</definedName>
    <definedName name="SensItManyInOneOutRefEditOneExtreme" localSheetId="26" hidden="1">'R-WB-005'!$R$62:$R$70</definedName>
    <definedName name="SensItManyInOneOutRefEditOneExtreme" localSheetId="27" hidden="1">'R-WB-006'!$R$62:$R$70</definedName>
    <definedName name="SensItManyInOneOutRefEditOneExtreme" localSheetId="28" hidden="1">'R-WB-007'!$R$62:$R$70</definedName>
    <definedName name="SensItManyInOneOutRefEditOtherExtreme" localSheetId="32" hidden="1">'C-HC-001'!$T$62:$T$75</definedName>
    <definedName name="SensItManyInOneOutRefEditOtherExtreme" localSheetId="33" hidden="1">'C-HC-002'!$T$62:$T$69</definedName>
    <definedName name="SensItManyInOneOutRefEditOtherExtreme" localSheetId="34" hidden="1">'C-HC-003'!$T$62:$T$70</definedName>
    <definedName name="SensItManyInOneOutRefEditOtherExtreme" localSheetId="35" hidden="1">'C-HC-004'!$T$62:$T$70</definedName>
    <definedName name="SensItManyInOneOutRefEditOtherExtreme" localSheetId="36" hidden="1">'C-HC-005'!$T$62:$T$67</definedName>
    <definedName name="SensItManyInOneOutRefEditOtherExtreme" localSheetId="37" hidden="1">'C-HC-006'!$T$62:$T$70</definedName>
    <definedName name="SensItManyInOneOutRefEditOtherExtreme" localSheetId="38" hidden="1">'C-HC-007'!$T$62:$T$70</definedName>
    <definedName name="SensItManyInOneOutRefEditOtherExtreme" localSheetId="39" hidden="1">'C-HC-008'!$T$62:$T$70</definedName>
    <definedName name="SensItManyInOneOutRefEditOtherExtreme" localSheetId="40" hidden="1">'C-HC-009'!$T$62:$T$70</definedName>
    <definedName name="SensItManyInOneOutRefEditOtherExtreme" localSheetId="41" hidden="1">'C-HC-010'!$T$62:$T$70</definedName>
    <definedName name="SensItManyInOneOutRefEditOtherExtreme" localSheetId="42" hidden="1">'C-HC-011'!$T$62:$T$70</definedName>
    <definedName name="SensItManyInOneOutRefEditOtherExtreme" localSheetId="43" hidden="1">'C-HC-012'!$T$62:$T$70</definedName>
    <definedName name="SensItManyInOneOutRefEditOtherExtreme" localSheetId="44" hidden="1">'C-HC-013'!$T$62:$T$70</definedName>
    <definedName name="SensItManyInOneOutRefEditOtherExtreme" localSheetId="45" hidden="1">'C-HC-014'!$T$62:$T$70</definedName>
    <definedName name="SensItManyInOneOutRefEditOtherExtreme" localSheetId="46" hidden="1">'C-HC-015'!$T$62:$T$70</definedName>
    <definedName name="SensItManyInOneOutRefEditOtherExtreme" localSheetId="47" hidden="1">'C-HC-016'!$T$62:$T$70</definedName>
    <definedName name="SensItManyInOneOutRefEditOtherExtreme" localSheetId="30" hidden="1">'C-K-001'!$T$62:$T$70</definedName>
    <definedName name="SensItManyInOneOutRefEditOtherExtreme" localSheetId="31" hidden="1">'C-K-002'!$T$62:$T$69</definedName>
    <definedName name="SensItManyInOneOutRefEditOtherExtreme" localSheetId="48" hidden="1">'C-L-001'!$T$62:$T$70</definedName>
    <definedName name="SensItManyInOneOutRefEditOtherExtreme" localSheetId="49" hidden="1">'C-L-002'!$T$62:$T$69</definedName>
    <definedName name="SensItManyInOneOutRefEditOtherExtreme" localSheetId="50" hidden="1">'C-L-003'!$T$62:$T$68</definedName>
    <definedName name="SensItManyInOneOutRefEditOtherExtreme" localSheetId="51" hidden="1">'C-L-004'!$T$62:$T$70</definedName>
    <definedName name="SensItManyInOneOutRefEditOtherExtreme" localSheetId="52" hidden="1">'C-L-005'!$T$62:$T$69</definedName>
    <definedName name="SensItManyInOneOutRefEditOtherExtreme" localSheetId="53" hidden="1">'C-L-006'!$T$62:$T$69</definedName>
    <definedName name="SensItManyInOneOutRefEditOtherExtreme" localSheetId="54" hidden="1">'C-L-007'!$T$62:$T$69</definedName>
    <definedName name="SensItManyInOneOutRefEditOtherExtreme" localSheetId="55" hidden="1">'C-L-008'!$T$62:$T$68</definedName>
    <definedName name="SensItManyInOneOutRefEditOtherExtreme" localSheetId="56" hidden="1">'C-L-009'!$T$62:$T$69</definedName>
    <definedName name="SensItManyInOneOutRefEditOtherExtreme" localSheetId="57" hidden="1">'C-R-001'!$T$62:$T$70</definedName>
    <definedName name="SensItManyInOneOutRefEditOtherExtreme" localSheetId="58" hidden="1">'C-R-002'!$T$62:$T$70</definedName>
    <definedName name="SensItManyInOneOutRefEditOtherExtreme" localSheetId="59" hidden="1">'C-R-003'!$T$62:$T$70</definedName>
    <definedName name="SensItManyInOneOutRefEditOtherExtreme" localSheetId="60" hidden="1">'C-R-004'!$T$62:$T$70</definedName>
    <definedName name="SensItManyInOneOutRefEditOtherExtreme" localSheetId="61" hidden="1">'C-R-005'!$T$62:$T$70</definedName>
    <definedName name="SensItManyInOneOutRefEditOtherExtreme" localSheetId="62" hidden="1">'C-R-006'!$T$62:$T$70</definedName>
    <definedName name="SensItManyInOneOutRefEditOtherExtreme" localSheetId="63" hidden="1">'C-R-007'!$T$62:$T$70</definedName>
    <definedName name="SensItManyInOneOutRefEditOtherExtreme" localSheetId="64" hidden="1">'C-R-008'!$T$62:$T$70</definedName>
    <definedName name="SensItManyInOneOutRefEditOtherExtreme" localSheetId="65" hidden="1">'C-R-009'!$T$62:$T$70</definedName>
    <definedName name="SensItManyInOneOutRefEditOtherExtreme" localSheetId="66" hidden="1">'C-R-010'!$T$62:$T$71</definedName>
    <definedName name="SensItManyInOneOutRefEditOtherExtreme" localSheetId="67" hidden="1">'C-R-011'!$T$62:$T$70</definedName>
    <definedName name="SensItManyInOneOutRefEditOtherExtreme" localSheetId="68" hidden="1">'C-W-001'!$T$62:$T$70</definedName>
    <definedName name="SensItManyInOneOutRefEditOtherExtreme" localSheetId="69" hidden="1">'C-W-002'!$T$62:$T$70</definedName>
    <definedName name="SensItManyInOneOutRefEditOtherExtreme" localSheetId="71" hidden="1">'C-W-004'!$T$62:$T$69</definedName>
    <definedName name="SensItManyInOneOutRefEditOtherExtreme" localSheetId="72" hidden="1">'C-WB-001'!$T$62:$T$69</definedName>
    <definedName name="SensItManyInOneOutRefEditOtherExtreme" localSheetId="73" hidden="1">'C-WB-002'!$T$62:$T$70</definedName>
    <definedName name="SensItManyInOneOutRefEditOtherExtreme" localSheetId="74" hidden="1">'C-WB-003'!$T$62:$T$70</definedName>
    <definedName name="SensItManyInOneOutRefEditOtherExtreme" localSheetId="75" hidden="1">'C-WB-004'!$T$62:$T$70</definedName>
    <definedName name="SensItManyInOneOutRefEditOtherExtreme" localSheetId="76" hidden="1">'C-WB-005'!$T$62:$T$70</definedName>
    <definedName name="SensItManyInOneOutRefEditOtherExtreme" localSheetId="77" hidden="1">'DER-001'!$T$62:$T$70</definedName>
    <definedName name="SensItManyInOneOutRefEditOtherExtreme" localSheetId="78" hidden="1">'DER-002'!$T$62:$T$70</definedName>
    <definedName name="SensItManyInOneOutRefEditOtherExtreme" localSheetId="79" hidden="1">'DER-003'!$T$62:$T$70</definedName>
    <definedName name="SensItManyInOneOutRefEditOtherExtreme" localSheetId="80" hidden="1">'DER-004'!$T$62:$T$70</definedName>
    <definedName name="SensItManyInOneOutRefEditOtherExtreme" localSheetId="5" hidden="1">'Protocol Template'!$T$62:$T$70</definedName>
    <definedName name="SensItManyInOneOutRefEditOtherExtreme" localSheetId="7" hidden="1">'R-HC-001'!$T$62:$T$69</definedName>
    <definedName name="SensItManyInOneOutRefEditOtherExtreme" localSheetId="8" hidden="1">'R-HC-002'!$T$62:$T$70</definedName>
    <definedName name="SensItManyInOneOutRefEditOtherExtreme" localSheetId="9" hidden="1">'R-HC-003'!$T$62:$T$70</definedName>
    <definedName name="SensItManyInOneOutRefEditOtherExtreme" localSheetId="10" hidden="1">'R-HC-004'!$T$62:$T$70</definedName>
    <definedName name="SensItManyInOneOutRefEditOtherExtreme" localSheetId="11" hidden="1">'R-HC-005'!$T$62:$T$70</definedName>
    <definedName name="SensItManyInOneOutRefEditOtherExtreme" localSheetId="12" hidden="1">'R-HC-006'!$T$62:$T$70</definedName>
    <definedName name="SensItManyInOneOutRefEditOtherExtreme" localSheetId="13" hidden="1">'R-HC-007'!$T$62:$T$70</definedName>
    <definedName name="SensItManyInOneOutRefEditOtherExtreme" localSheetId="14" hidden="1">'R-HC-008'!$T$62:$T$70</definedName>
    <definedName name="SensItManyInOneOutRefEditOtherExtreme" localSheetId="15" hidden="1">'R-HC-009'!$T$62:$T$70</definedName>
    <definedName name="SensItManyInOneOutRefEditOtherExtreme" localSheetId="16" hidden="1">'R-L-001'!$T$62:$T$70</definedName>
    <definedName name="SensItManyInOneOutRefEditOtherExtreme" localSheetId="17" hidden="1">'R-L-002'!$T$62:$T$70</definedName>
    <definedName name="SensItManyInOneOutRefEditOtherExtreme" localSheetId="18" hidden="1">'R-L-003'!$T$62:$T$70</definedName>
    <definedName name="SensItManyInOneOutRefEditOtherExtreme" localSheetId="19" hidden="1">'R-W-001'!$T$62:$T$70</definedName>
    <definedName name="SensItManyInOneOutRefEditOtherExtreme" localSheetId="20" hidden="1">'R-W-002'!$T$62:$T$70</definedName>
    <definedName name="SensItManyInOneOutRefEditOtherExtreme" localSheetId="21" hidden="1">'R-W-003'!$T$62:$T$70</definedName>
    <definedName name="SensItManyInOneOutRefEditOtherExtreme" localSheetId="22" hidden="1">'R-WB-001'!$T$62:$T$69</definedName>
    <definedName name="SensItManyInOneOutRefEditOtherExtreme" localSheetId="23" hidden="1">'R-WB-002'!$T$62:$T$69</definedName>
    <definedName name="SensItManyInOneOutRefEditOtherExtreme" localSheetId="24" hidden="1">'R-WB-003'!$T$62:$T$69</definedName>
    <definedName name="SensItManyInOneOutRefEditOtherExtreme" localSheetId="25" hidden="1">'R-WB-004'!$T$62:$T$69</definedName>
    <definedName name="SensItManyInOneOutRefEditOtherExtreme" localSheetId="26" hidden="1">'R-WB-005'!$T$62:$T$70</definedName>
    <definedName name="SensItManyInOneOutRefEditOtherExtreme" localSheetId="27" hidden="1">'R-WB-006'!$T$62:$T$70</definedName>
    <definedName name="SensItManyInOneOutRefEditOtherExtreme" localSheetId="28" hidden="1">'R-WB-007'!$T$62:$T$70</definedName>
    <definedName name="SensItManyInOneOutRefEditOutputLabel" localSheetId="32" hidden="1">'C-HC-001'!$O$48</definedName>
    <definedName name="SensItManyInOneOutRefEditOutputLabel" localSheetId="33" hidden="1">'C-HC-002'!$O$48</definedName>
    <definedName name="SensItManyInOneOutRefEditOutputLabel" localSheetId="34" hidden="1">'C-HC-003'!$O$48</definedName>
    <definedName name="SensItManyInOneOutRefEditOutputLabel" localSheetId="35" hidden="1">'C-HC-004'!$O$48</definedName>
    <definedName name="SensItManyInOneOutRefEditOutputLabel" localSheetId="36" hidden="1">'C-HC-005'!$O$48</definedName>
    <definedName name="SensItManyInOneOutRefEditOutputLabel" localSheetId="37" hidden="1">'C-HC-006'!$O$48</definedName>
    <definedName name="SensItManyInOneOutRefEditOutputLabel" localSheetId="38" hidden="1">'C-HC-007'!$O$48</definedName>
    <definedName name="SensItManyInOneOutRefEditOutputLabel" localSheetId="39" hidden="1">'C-HC-008'!$O$48</definedName>
    <definedName name="SensItManyInOneOutRefEditOutputLabel" localSheetId="40" hidden="1">'C-HC-009'!$O$48</definedName>
    <definedName name="SensItManyInOneOutRefEditOutputLabel" localSheetId="41" hidden="1">'C-HC-010'!$O$48</definedName>
    <definedName name="SensItManyInOneOutRefEditOutputLabel" localSheetId="42" hidden="1">'C-HC-011'!$O$48</definedName>
    <definedName name="SensItManyInOneOutRefEditOutputLabel" localSheetId="43" hidden="1">'C-HC-012'!$O$48</definedName>
    <definedName name="SensItManyInOneOutRefEditOutputLabel" localSheetId="44" hidden="1">'C-HC-013'!$O$48</definedName>
    <definedName name="SensItManyInOneOutRefEditOutputLabel" localSheetId="45" hidden="1">'C-HC-014'!$O$48</definedName>
    <definedName name="SensItManyInOneOutRefEditOutputLabel" localSheetId="46" hidden="1">'C-HC-015'!$O$48</definedName>
    <definedName name="SensItManyInOneOutRefEditOutputLabel" localSheetId="47" hidden="1">'C-HC-016'!$O$48</definedName>
    <definedName name="SensItManyInOneOutRefEditOutputLabel" localSheetId="30" hidden="1">'C-K-001'!$O$48</definedName>
    <definedName name="SensItManyInOneOutRefEditOutputLabel" localSheetId="31" hidden="1">'C-K-002'!$O$48</definedName>
    <definedName name="SensItManyInOneOutRefEditOutputLabel" localSheetId="48" hidden="1">'C-L-001'!$O$48</definedName>
    <definedName name="SensItManyInOneOutRefEditOutputLabel" localSheetId="49" hidden="1">'C-L-002'!$O$48</definedName>
    <definedName name="SensItManyInOneOutRefEditOutputLabel" localSheetId="50" hidden="1">'C-L-003'!$O$48</definedName>
    <definedName name="SensItManyInOneOutRefEditOutputLabel" localSheetId="51" hidden="1">'C-L-004'!$O$48</definedName>
    <definedName name="SensItManyInOneOutRefEditOutputLabel" localSheetId="52" hidden="1">'C-L-005'!$O$48</definedName>
    <definedName name="SensItManyInOneOutRefEditOutputLabel" localSheetId="53" hidden="1">'C-L-006'!$O$48</definedName>
    <definedName name="SensItManyInOneOutRefEditOutputLabel" localSheetId="54" hidden="1">'C-L-007'!$O$48</definedName>
    <definedName name="SensItManyInOneOutRefEditOutputLabel" localSheetId="55" hidden="1">'C-L-008'!$O$48</definedName>
    <definedName name="SensItManyInOneOutRefEditOutputLabel" localSheetId="56" hidden="1">'C-L-009'!$O$48</definedName>
    <definedName name="SensItManyInOneOutRefEditOutputLabel" localSheetId="57" hidden="1">'C-R-001'!$O$48</definedName>
    <definedName name="SensItManyInOneOutRefEditOutputLabel" localSheetId="58" hidden="1">'C-R-002'!$O$48</definedName>
    <definedName name="SensItManyInOneOutRefEditOutputLabel" localSheetId="59" hidden="1">'C-R-003'!$O$48</definedName>
    <definedName name="SensItManyInOneOutRefEditOutputLabel" localSheetId="60" hidden="1">'C-R-004'!$O$48</definedName>
    <definedName name="SensItManyInOneOutRefEditOutputLabel" localSheetId="61" hidden="1">'C-R-005'!$O$48</definedName>
    <definedName name="SensItManyInOneOutRefEditOutputLabel" localSheetId="62" hidden="1">'C-R-006'!$O$48</definedName>
    <definedName name="SensItManyInOneOutRefEditOutputLabel" localSheetId="63" hidden="1">'C-R-007'!$O$48</definedName>
    <definedName name="SensItManyInOneOutRefEditOutputLabel" localSheetId="64" hidden="1">'C-R-008'!$O$48</definedName>
    <definedName name="SensItManyInOneOutRefEditOutputLabel" localSheetId="65" hidden="1">'C-R-009'!$O$48</definedName>
    <definedName name="SensItManyInOneOutRefEditOutputLabel" localSheetId="66" hidden="1">'C-R-010'!$O$48</definedName>
    <definedName name="SensItManyInOneOutRefEditOutputLabel" localSheetId="67" hidden="1">'C-R-011'!$O$48</definedName>
    <definedName name="SensItManyInOneOutRefEditOutputLabel" localSheetId="68" hidden="1">'C-W-001'!$O$48</definedName>
    <definedName name="SensItManyInOneOutRefEditOutputLabel" localSheetId="69" hidden="1">'C-W-002'!$O$48</definedName>
    <definedName name="SensItManyInOneOutRefEditOutputLabel" localSheetId="71" hidden="1">'C-W-004'!$O$48</definedName>
    <definedName name="SensItManyInOneOutRefEditOutputLabel" localSheetId="72" hidden="1">'C-WB-001'!$O$48</definedName>
    <definedName name="SensItManyInOneOutRefEditOutputLabel" localSheetId="73" hidden="1">'C-WB-002'!$O$48</definedName>
    <definedName name="SensItManyInOneOutRefEditOutputLabel" localSheetId="74" hidden="1">'C-WB-003'!$O$48</definedName>
    <definedName name="SensItManyInOneOutRefEditOutputLabel" localSheetId="75" hidden="1">'C-WB-004'!$O$48</definedName>
    <definedName name="SensItManyInOneOutRefEditOutputLabel" localSheetId="76" hidden="1">'C-WB-005'!$O$48</definedName>
    <definedName name="SensItManyInOneOutRefEditOutputLabel" localSheetId="77" hidden="1">'DER-001'!$O$48</definedName>
    <definedName name="SensItManyInOneOutRefEditOutputLabel" localSheetId="78" hidden="1">'DER-002'!$O$48</definedName>
    <definedName name="SensItManyInOneOutRefEditOutputLabel" localSheetId="79" hidden="1">'DER-003'!$O$48</definedName>
    <definedName name="SensItManyInOneOutRefEditOutputLabel" localSheetId="80" hidden="1">'DER-004'!$O$48</definedName>
    <definedName name="SensItManyInOneOutRefEditOutputLabel" localSheetId="5" hidden="1">'Protocol Template'!$O$48</definedName>
    <definedName name="SensItManyInOneOutRefEditOutputLabel" localSheetId="7" hidden="1">'R-HC-001'!$O$48</definedName>
    <definedName name="SensItManyInOneOutRefEditOutputLabel" localSheetId="8" hidden="1">'R-HC-002'!$O$48</definedName>
    <definedName name="SensItManyInOneOutRefEditOutputLabel" localSheetId="9" hidden="1">'R-HC-003'!$O$48</definedName>
    <definedName name="SensItManyInOneOutRefEditOutputLabel" localSheetId="10" hidden="1">'R-HC-004'!$O$48</definedName>
    <definedName name="SensItManyInOneOutRefEditOutputLabel" localSheetId="11" hidden="1">'R-HC-005'!$O$48</definedName>
    <definedName name="SensItManyInOneOutRefEditOutputLabel" localSheetId="12" hidden="1">'R-HC-006'!$O$48</definedName>
    <definedName name="SensItManyInOneOutRefEditOutputLabel" localSheetId="13" hidden="1">'R-HC-007'!$O$48</definedName>
    <definedName name="SensItManyInOneOutRefEditOutputLabel" localSheetId="14" hidden="1">'R-HC-008'!$O$48</definedName>
    <definedName name="SensItManyInOneOutRefEditOutputLabel" localSheetId="15" hidden="1">'R-HC-009'!$O$48</definedName>
    <definedName name="SensItManyInOneOutRefEditOutputLabel" localSheetId="16" hidden="1">'R-L-001'!$O$48</definedName>
    <definedName name="SensItManyInOneOutRefEditOutputLabel" localSheetId="17" hidden="1">'R-L-002'!$O$48</definedName>
    <definedName name="SensItManyInOneOutRefEditOutputLabel" localSheetId="18" hidden="1">'R-L-003'!$O$48</definedName>
    <definedName name="SensItManyInOneOutRefEditOutputLabel" localSheetId="19" hidden="1">'R-W-001'!$O$48</definedName>
    <definedName name="SensItManyInOneOutRefEditOutputLabel" localSheetId="20" hidden="1">'R-W-002'!$O$48</definedName>
    <definedName name="SensItManyInOneOutRefEditOutputLabel" localSheetId="21" hidden="1">'R-W-003'!$O$48</definedName>
    <definedName name="SensItManyInOneOutRefEditOutputLabel" localSheetId="22" hidden="1">'R-WB-001'!$O$48</definedName>
    <definedName name="SensItManyInOneOutRefEditOutputLabel" localSheetId="23" hidden="1">'R-WB-002'!$O$48</definedName>
    <definedName name="SensItManyInOneOutRefEditOutputLabel" localSheetId="24" hidden="1">'R-WB-003'!$O$48</definedName>
    <definedName name="SensItManyInOneOutRefEditOutputLabel" localSheetId="25" hidden="1">'R-WB-004'!$O$48</definedName>
    <definedName name="SensItManyInOneOutRefEditOutputLabel" localSheetId="26" hidden="1">'R-WB-005'!$O$48</definedName>
    <definedName name="SensItManyInOneOutRefEditOutputLabel" localSheetId="27" hidden="1">'R-WB-006'!$O$48</definedName>
    <definedName name="SensItManyInOneOutRefEditOutputLabel" localSheetId="28" hidden="1">'R-WB-007'!$O$48</definedName>
    <definedName name="SensItManyInOneOutRefEditOutputValue" localSheetId="32" hidden="1">'C-HC-001'!$N$48</definedName>
    <definedName name="SensItManyInOneOutRefEditOutputValue" localSheetId="33" hidden="1">'C-HC-002'!$N$48</definedName>
    <definedName name="SensItManyInOneOutRefEditOutputValue" localSheetId="34" hidden="1">'C-HC-003'!$N$48</definedName>
    <definedName name="SensItManyInOneOutRefEditOutputValue" localSheetId="35" hidden="1">'C-HC-004'!$N$48</definedName>
    <definedName name="SensItManyInOneOutRefEditOutputValue" localSheetId="36" hidden="1">'C-HC-005'!$N$48</definedName>
    <definedName name="SensItManyInOneOutRefEditOutputValue" localSheetId="37" hidden="1">'C-HC-006'!$N$48</definedName>
    <definedName name="SensItManyInOneOutRefEditOutputValue" localSheetId="38" hidden="1">'C-HC-007'!$N$48</definedName>
    <definedName name="SensItManyInOneOutRefEditOutputValue" localSheetId="39" hidden="1">'C-HC-008'!$N$48</definedName>
    <definedName name="SensItManyInOneOutRefEditOutputValue" localSheetId="40" hidden="1">'C-HC-009'!$N$48</definedName>
    <definedName name="SensItManyInOneOutRefEditOutputValue" localSheetId="41" hidden="1">'C-HC-010'!$N$48</definedName>
    <definedName name="SensItManyInOneOutRefEditOutputValue" localSheetId="42" hidden="1">'C-HC-011'!$N$48</definedName>
    <definedName name="SensItManyInOneOutRefEditOutputValue" localSheetId="43" hidden="1">'C-HC-012'!$N$48</definedName>
    <definedName name="SensItManyInOneOutRefEditOutputValue" localSheetId="44" hidden="1">'C-HC-013'!$N$48</definedName>
    <definedName name="SensItManyInOneOutRefEditOutputValue" localSheetId="45" hidden="1">'C-HC-014'!$N$48</definedName>
    <definedName name="SensItManyInOneOutRefEditOutputValue" localSheetId="46" hidden="1">'C-HC-015'!$N$48</definedName>
    <definedName name="SensItManyInOneOutRefEditOutputValue" localSheetId="47" hidden="1">'C-HC-016'!$N$48</definedName>
    <definedName name="SensItManyInOneOutRefEditOutputValue" localSheetId="30" hidden="1">'C-K-001'!$N$48</definedName>
    <definedName name="SensItManyInOneOutRefEditOutputValue" localSheetId="31" hidden="1">'C-K-002'!$N$48</definedName>
    <definedName name="SensItManyInOneOutRefEditOutputValue" localSheetId="48" hidden="1">'C-L-001'!$N$48</definedName>
    <definedName name="SensItManyInOneOutRefEditOutputValue" localSheetId="49" hidden="1">'C-L-002'!$N$48</definedName>
    <definedName name="SensItManyInOneOutRefEditOutputValue" localSheetId="50" hidden="1">'C-L-003'!$N$48</definedName>
    <definedName name="SensItManyInOneOutRefEditOutputValue" localSheetId="51" hidden="1">'C-L-004'!$N$48</definedName>
    <definedName name="SensItManyInOneOutRefEditOutputValue" localSheetId="52" hidden="1">'C-L-005'!$N$48</definedName>
    <definedName name="SensItManyInOneOutRefEditOutputValue" localSheetId="53" hidden="1">'C-L-006'!$N$48</definedName>
    <definedName name="SensItManyInOneOutRefEditOutputValue" localSheetId="54" hidden="1">'C-L-007'!$N$48</definedName>
    <definedName name="SensItManyInOneOutRefEditOutputValue" localSheetId="55" hidden="1">'C-L-008'!$N$48</definedName>
    <definedName name="SensItManyInOneOutRefEditOutputValue" localSheetId="56" hidden="1">'C-L-009'!$N$48</definedName>
    <definedName name="SensItManyInOneOutRefEditOutputValue" localSheetId="57" hidden="1">'C-R-001'!$N$48</definedName>
    <definedName name="SensItManyInOneOutRefEditOutputValue" localSheetId="58" hidden="1">'C-R-002'!$N$48</definedName>
    <definedName name="SensItManyInOneOutRefEditOutputValue" localSheetId="59" hidden="1">'C-R-003'!$N$48</definedName>
    <definedName name="SensItManyInOneOutRefEditOutputValue" localSheetId="60" hidden="1">'C-R-004'!$N$48</definedName>
    <definedName name="SensItManyInOneOutRefEditOutputValue" localSheetId="61" hidden="1">'C-R-005'!$N$48</definedName>
    <definedName name="SensItManyInOneOutRefEditOutputValue" localSheetId="62" hidden="1">'C-R-006'!$N$48</definedName>
    <definedName name="SensItManyInOneOutRefEditOutputValue" localSheetId="63" hidden="1">'C-R-007'!$N$48</definedName>
    <definedName name="SensItManyInOneOutRefEditOutputValue" localSheetId="64" hidden="1">'C-R-008'!$N$48</definedName>
    <definedName name="SensItManyInOneOutRefEditOutputValue" localSheetId="65" hidden="1">'C-R-009'!$N$48</definedName>
    <definedName name="SensItManyInOneOutRefEditOutputValue" localSheetId="66" hidden="1">'C-R-010'!$N$48</definedName>
    <definedName name="SensItManyInOneOutRefEditOutputValue" localSheetId="67" hidden="1">'C-R-011'!$N$48</definedName>
    <definedName name="SensItManyInOneOutRefEditOutputValue" localSheetId="68" hidden="1">'C-W-001'!$N$48</definedName>
    <definedName name="SensItManyInOneOutRefEditOutputValue" localSheetId="69" hidden="1">'C-W-002'!$N$48</definedName>
    <definedName name="SensItManyInOneOutRefEditOutputValue" localSheetId="71" hidden="1">'C-W-004'!$N$48</definedName>
    <definedName name="SensItManyInOneOutRefEditOutputValue" localSheetId="72" hidden="1">'C-WB-001'!$N$48</definedName>
    <definedName name="SensItManyInOneOutRefEditOutputValue" localSheetId="73" hidden="1">'C-WB-002'!$N$48</definedName>
    <definedName name="SensItManyInOneOutRefEditOutputValue" localSheetId="74" hidden="1">'C-WB-003'!$N$48</definedName>
    <definedName name="SensItManyInOneOutRefEditOutputValue" localSheetId="75" hidden="1">'C-WB-004'!$N$48</definedName>
    <definedName name="SensItManyInOneOutRefEditOutputValue" localSheetId="76" hidden="1">'C-WB-005'!$N$48</definedName>
    <definedName name="SensItManyInOneOutRefEditOutputValue" localSheetId="77" hidden="1">'DER-001'!$N$48</definedName>
    <definedName name="SensItManyInOneOutRefEditOutputValue" localSheetId="78" hidden="1">'DER-002'!$N$48</definedName>
    <definedName name="SensItManyInOneOutRefEditOutputValue" localSheetId="79" hidden="1">'DER-003'!$N$48</definedName>
    <definedName name="SensItManyInOneOutRefEditOutputValue" localSheetId="80" hidden="1">'DER-004'!$N$48</definedName>
    <definedName name="SensItManyInOneOutRefEditOutputValue" localSheetId="5" hidden="1">'Protocol Template'!$N$48</definedName>
    <definedName name="SensItManyInOneOutRefEditOutputValue" localSheetId="7" hidden="1">'R-HC-001'!$N$48</definedName>
    <definedName name="SensItManyInOneOutRefEditOutputValue" localSheetId="8" hidden="1">'R-HC-002'!$N$48</definedName>
    <definedName name="SensItManyInOneOutRefEditOutputValue" localSheetId="9" hidden="1">'R-HC-003'!$N$48</definedName>
    <definedName name="SensItManyInOneOutRefEditOutputValue" localSheetId="10" hidden="1">'R-HC-004'!$N$48</definedName>
    <definedName name="SensItManyInOneOutRefEditOutputValue" localSheetId="11" hidden="1">'R-HC-005'!$N$48</definedName>
    <definedName name="SensItManyInOneOutRefEditOutputValue" localSheetId="12" hidden="1">'R-HC-006'!$N$48</definedName>
    <definedName name="SensItManyInOneOutRefEditOutputValue" localSheetId="13" hidden="1">'R-HC-007'!$N$48</definedName>
    <definedName name="SensItManyInOneOutRefEditOutputValue" localSheetId="14" hidden="1">'R-HC-008'!$N$48</definedName>
    <definedName name="SensItManyInOneOutRefEditOutputValue" localSheetId="15" hidden="1">'R-HC-009'!$N$48</definedName>
    <definedName name="SensItManyInOneOutRefEditOutputValue" localSheetId="16" hidden="1">'R-L-001'!$N$48</definedName>
    <definedName name="SensItManyInOneOutRefEditOutputValue" localSheetId="17" hidden="1">'R-L-002'!$N$48</definedName>
    <definedName name="SensItManyInOneOutRefEditOutputValue" localSheetId="18" hidden="1">'R-L-003'!$N$48</definedName>
    <definedName name="SensItManyInOneOutRefEditOutputValue" localSheetId="19" hidden="1">'R-W-001'!$N$48</definedName>
    <definedName name="SensItManyInOneOutRefEditOutputValue" localSheetId="20" hidden="1">'R-W-002'!$N$48</definedName>
    <definedName name="SensItManyInOneOutRefEditOutputValue" localSheetId="21" hidden="1">'R-W-003'!$N$48</definedName>
    <definedName name="SensItManyInOneOutRefEditOutputValue" localSheetId="22" hidden="1">'R-WB-001'!$N$48</definedName>
    <definedName name="SensItManyInOneOutRefEditOutputValue" localSheetId="23" hidden="1">'R-WB-002'!$N$48</definedName>
    <definedName name="SensItManyInOneOutRefEditOutputValue" localSheetId="24" hidden="1">'R-WB-003'!$N$48</definedName>
    <definedName name="SensItManyInOneOutRefEditOutputValue" localSheetId="25" hidden="1">'R-WB-004'!$N$48</definedName>
    <definedName name="SensItManyInOneOutRefEditOutputValue" localSheetId="26" hidden="1">'R-WB-005'!$N$48</definedName>
    <definedName name="SensItManyInOneOutRefEditOutputValue" localSheetId="27" hidden="1">'R-WB-006'!$N$48</definedName>
    <definedName name="SensItManyInOneOutRefEditOutputValue" localSheetId="28" hidden="1">'R-WB-007'!$N$48</definedName>
    <definedName name="SlicerMeasureType">#N/A</definedName>
    <definedName name="SlicerSector">#N/A</definedName>
    <definedName name="solver_adj" localSheetId="40" hidden="1">'C-HC-009'!$H$63</definedName>
    <definedName name="solver_cvg" localSheetId="40" hidden="1">0.0001</definedName>
    <definedName name="solver_drv" localSheetId="40" hidden="1">1</definedName>
    <definedName name="solver_eng" localSheetId="40" hidden="1">1</definedName>
    <definedName name="solver_eng" localSheetId="84" hidden="1">1</definedName>
    <definedName name="solver_eng" localSheetId="95" hidden="1">1</definedName>
    <definedName name="solver_est" localSheetId="40" hidden="1">1</definedName>
    <definedName name="solver_itr" localSheetId="40" hidden="1">2147483647</definedName>
    <definedName name="solver_mip" localSheetId="40" hidden="1">2147483647</definedName>
    <definedName name="solver_mni" localSheetId="40" hidden="1">30</definedName>
    <definedName name="solver_mrt" localSheetId="40" hidden="1">0.075</definedName>
    <definedName name="solver_msl" localSheetId="40" hidden="1">2</definedName>
    <definedName name="solver_neg" localSheetId="40" hidden="1">1</definedName>
    <definedName name="solver_neg" localSheetId="84" hidden="1">1</definedName>
    <definedName name="solver_neg" localSheetId="95" hidden="1">1</definedName>
    <definedName name="solver_nod" localSheetId="40" hidden="1">2147483647</definedName>
    <definedName name="solver_ntri" hidden="1">1000</definedName>
    <definedName name="solver_num" localSheetId="40" hidden="1">0</definedName>
    <definedName name="solver_num" localSheetId="84" hidden="1">0</definedName>
    <definedName name="solver_num" localSheetId="95" hidden="1">0</definedName>
    <definedName name="solver_nwt" localSheetId="40" hidden="1">1</definedName>
    <definedName name="solver_opt" localSheetId="40" hidden="1">'C-HC-009'!$N$50</definedName>
    <definedName name="solver_opt" localSheetId="84" hidden="1">[11]Sheet1!$E$6</definedName>
    <definedName name="solver_opt" localSheetId="95" hidden="1">[11]Sheet1!$E$6</definedName>
    <definedName name="solver_pre" localSheetId="40" hidden="1">0.000001</definedName>
    <definedName name="solver_rbv" localSheetId="40" hidden="1">1</definedName>
    <definedName name="solver_rlx" localSheetId="40" hidden="1">2</definedName>
    <definedName name="solver_rsd" localSheetId="40" hidden="1">0</definedName>
    <definedName name="solver_rsmp" hidden="1">1</definedName>
    <definedName name="solver_scl" localSheetId="40" hidden="1">1</definedName>
    <definedName name="solver_seed" hidden="1">0</definedName>
    <definedName name="solver_sho" localSheetId="40" hidden="1">2</definedName>
    <definedName name="solver_ssz" localSheetId="40" hidden="1">100</definedName>
    <definedName name="solver_tim" localSheetId="40" hidden="1">2147483647</definedName>
    <definedName name="solver_tol" localSheetId="40" hidden="1">0.01</definedName>
    <definedName name="solver_typ" localSheetId="40" hidden="1">3</definedName>
    <definedName name="solver_typ" localSheetId="84" hidden="1">1</definedName>
    <definedName name="solver_typ" localSheetId="95" hidden="1">1</definedName>
    <definedName name="solver_val" localSheetId="40" hidden="1">10</definedName>
    <definedName name="solver_val" localSheetId="84" hidden="1">0</definedName>
    <definedName name="solver_val" localSheetId="95" hidden="1">0</definedName>
    <definedName name="solver_ver" localSheetId="40" hidden="1">3</definedName>
    <definedName name="solver_ver" localSheetId="84" hidden="1">3</definedName>
    <definedName name="solver_ver" localSheetId="95" hidden="1">3</definedName>
    <definedName name="SpaceCoolingEfficiency.CI.SEER">Variables!$D$114</definedName>
    <definedName name="SpaceCoolingEfficiency.R.COP">Variables!$D$100</definedName>
    <definedName name="SpaceCoolingEfficiency.R.SEER">Variables!$D$92</definedName>
    <definedName name="SpaceCoolingShare.R.E">Variables!$D$85</definedName>
    <definedName name="SpaceHeatingDerating.R.HP">Variables!$D$99</definedName>
    <definedName name="SpaceHeatingDerating.R.NG">Variables!$D$98</definedName>
    <definedName name="SpaceHeatingEfficiency.CI.COP">Variables!$D$115</definedName>
    <definedName name="SpaceHeatingEfficiency.CI.E">Variables!$D$113</definedName>
    <definedName name="SpaceHeatingEfficiency.CI.HSPF">Variables!$D$116</definedName>
    <definedName name="SpaceHeatingEfficiency.CI.NG">Variables!$D$112</definedName>
    <definedName name="SpaceHeatingEfficiency.R.COP">Variables!$D$90</definedName>
    <definedName name="SpaceHeatingEfficiency.R.E">Variables!$D$91</definedName>
    <definedName name="SpaceHeatingEfficiency.R.NG">Variables!$D$89</definedName>
    <definedName name="SpaceHeatingShare.R.E">Variables!$D$83</definedName>
    <definedName name="SpaceHeatingShare.R.NG">Variables!$D$84</definedName>
    <definedName name="v" localSheetId="32" hidden="1">'C-HC-001'!#REF!</definedName>
    <definedName name="v" localSheetId="33" hidden="1">'C-HC-002'!#REF!</definedName>
    <definedName name="v" localSheetId="37" hidden="1">#REF!</definedName>
    <definedName name="v" hidden="1">#REF!</definedName>
    <definedName name="w" localSheetId="32" hidden="1">'C-HC-001'!#REF!</definedName>
    <definedName name="w" localSheetId="33" hidden="1">'C-HC-002'!#REF!</definedName>
    <definedName name="w" localSheetId="37" hidden="1">#REF!</definedName>
    <definedName name="w" hidden="1">#REF!</definedName>
    <definedName name="Water.Density.IMP">Variables!$D$70</definedName>
    <definedName name="Water.Density.SI">Variables!$D$71</definedName>
    <definedName name="Water.HeatCapacity.IMP">Variables!$D$72</definedName>
    <definedName name="Water.HeatCapacity.SI">Variables!$D$73</definedName>
    <definedName name="Water.T.DHW.IMP">Variables!$D$74</definedName>
    <definedName name="Water.T.DHW.SI">Variables!$D$75</definedName>
    <definedName name="Water.T.Supply.IMP">Variables!#REF!</definedName>
    <definedName name="Water.T.Supply.SI">Variables!#REF!</definedName>
    <definedName name="WaterHeating.CI.Faucet.SI">Variables!$D$111</definedName>
    <definedName name="WaterHeating.CI.Shower.SI">Variables!$D$110</definedName>
    <definedName name="WaterHeating.R.Faucet.SI">Variables!$D$97</definedName>
    <definedName name="WaterHeating.R.Shower.SI">Variables!$D$96</definedName>
    <definedName name="WaterHeatingEfficiency.CI.E">Variables!$D$109</definedName>
    <definedName name="WaterHeatingEfficiency.CI.NG">Variables!$D$108</definedName>
    <definedName name="WaterHeatingEfficiency.R.E">Variables!$D$95</definedName>
    <definedName name="WaterHeatingEfficiency.R.NG">Variables!$D$93</definedName>
    <definedName name="WaterHeatingRE.R.E">Variables!$D$94</definedName>
    <definedName name="WaterHeatingShare.CI.E">Variables!$D$105</definedName>
    <definedName name="WaterHeatingShare.CI.NG">Variables!$D$104</definedName>
    <definedName name="WaterHeatingShare.R.E">Variables!$D$80</definedName>
    <definedName name="WaterHeatingShare.R.NG">Variables!$D$81</definedName>
    <definedName name="WaterUsePersonDay.R">Variables!$D$82</definedName>
    <definedName name="WHF_Avg" hidden="1">'[12]Building Data'!#REF!</definedName>
    <definedName name="WindspeedCorrectionFactor">'Climate Data'!$B$318</definedName>
    <definedName name="Year">'Value of Savings'!$D$5</definedName>
  </definedNames>
  <calcPr calcId="191029" calcMode="autoNoTable"/>
  <pivotCaches>
    <pivotCache cacheId="0" r:id="rId113"/>
  </pivotCaches>
  <extLst>
    <ext xmlns:x14="http://schemas.microsoft.com/office/spreadsheetml/2009/9/main" uri="{BBE1A952-AA13-448e-AADC-164F8A28A991}">
      <x14:slicerCaches>
        <x14:slicerCache r:id="rId114"/>
        <x14:slicerCache r:id="rId11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9" i="334" l="1"/>
  <c r="B12" i="619" l="1"/>
  <c r="B10" i="619"/>
  <c r="B11" i="619"/>
  <c r="H16" i="334"/>
  <c r="G8" i="334"/>
  <c r="B9" i="619" l="1"/>
  <c r="B8" i="619"/>
  <c r="C36" i="521" l="1"/>
  <c r="A1" i="618" l="1"/>
  <c r="F1" i="618"/>
  <c r="B1" i="618"/>
  <c r="C1" i="618"/>
  <c r="E1" i="618"/>
  <c r="A2" i="618"/>
  <c r="G2" i="618" s="1"/>
  <c r="A3" i="618"/>
  <c r="G3" i="618" s="1"/>
  <c r="A4" i="618"/>
  <c r="G4" i="618" s="1"/>
  <c r="A5" i="618"/>
  <c r="G5" i="618" s="1"/>
  <c r="A6" i="618"/>
  <c r="G6" i="618" s="1"/>
  <c r="A7" i="618"/>
  <c r="G7" i="618" s="1"/>
  <c r="A8" i="618"/>
  <c r="G8" i="618" s="1"/>
  <c r="A9" i="618"/>
  <c r="G9" i="618" s="1"/>
  <c r="A10" i="618"/>
  <c r="G10" i="618" s="1"/>
  <c r="A11" i="618"/>
  <c r="G11" i="618" s="1"/>
  <c r="A12" i="618"/>
  <c r="G12" i="618" s="1"/>
  <c r="A13" i="618"/>
  <c r="G13" i="618" s="1"/>
  <c r="A14" i="618"/>
  <c r="G14" i="618" s="1"/>
  <c r="A15" i="618"/>
  <c r="G15" i="618" s="1"/>
  <c r="A16" i="618"/>
  <c r="G16" i="618" s="1"/>
  <c r="A17" i="618"/>
  <c r="G17" i="618" s="1"/>
  <c r="A18" i="618"/>
  <c r="G18" i="618" s="1"/>
  <c r="A19" i="618"/>
  <c r="G19" i="618" s="1"/>
  <c r="A20" i="618"/>
  <c r="G20" i="618" s="1"/>
  <c r="A21" i="618"/>
  <c r="G21" i="618" s="1"/>
  <c r="A22" i="618"/>
  <c r="G22" i="618" s="1"/>
  <c r="A23" i="618"/>
  <c r="G23" i="618" s="1"/>
  <c r="A24" i="618"/>
  <c r="G24" i="618" s="1"/>
  <c r="A25" i="618"/>
  <c r="G25" i="618" s="1"/>
  <c r="A26" i="618"/>
  <c r="G26" i="618" s="1"/>
  <c r="A27" i="618"/>
  <c r="G27" i="618" s="1"/>
  <c r="A28" i="618"/>
  <c r="G28" i="618" s="1"/>
  <c r="A29" i="618"/>
  <c r="G29" i="618" s="1"/>
  <c r="A30" i="618"/>
  <c r="G30" i="618" s="1"/>
  <c r="A31" i="618"/>
  <c r="G31" i="618" s="1"/>
  <c r="A32" i="618"/>
  <c r="G32" i="618" s="1"/>
  <c r="A33" i="618"/>
  <c r="G33" i="618" s="1"/>
  <c r="A34" i="618"/>
  <c r="G34" i="618" s="1"/>
  <c r="A35" i="618"/>
  <c r="G35" i="618" s="1"/>
  <c r="A36" i="618"/>
  <c r="G36" i="618" s="1"/>
  <c r="A37" i="618"/>
  <c r="G37" i="618" s="1"/>
  <c r="A38" i="618"/>
  <c r="G38" i="618" s="1"/>
  <c r="A39" i="618"/>
  <c r="G39" i="618" s="1"/>
  <c r="A40" i="618"/>
  <c r="G40" i="618" s="1"/>
  <c r="A41" i="618"/>
  <c r="G41" i="618" s="1"/>
  <c r="A42" i="618"/>
  <c r="G42" i="618" s="1"/>
  <c r="A43" i="618"/>
  <c r="G43" i="618" s="1"/>
  <c r="A44" i="618"/>
  <c r="G44" i="618" s="1"/>
  <c r="A45" i="618"/>
  <c r="G45" i="618" s="1"/>
  <c r="A46" i="618"/>
  <c r="G46" i="618" s="1"/>
  <c r="A47" i="618"/>
  <c r="G47" i="618" s="1"/>
  <c r="A48" i="618"/>
  <c r="G48" i="618" s="1"/>
  <c r="A49" i="618"/>
  <c r="G49" i="618" s="1"/>
  <c r="A50" i="618"/>
  <c r="G50" i="618" s="1"/>
  <c r="A51" i="618"/>
  <c r="G51" i="618" s="1"/>
  <c r="A52" i="618"/>
  <c r="G52" i="618" s="1"/>
  <c r="A53" i="618"/>
  <c r="G53" i="618" s="1"/>
  <c r="A54" i="618"/>
  <c r="G54" i="618" s="1"/>
  <c r="A55" i="618"/>
  <c r="G55" i="618" s="1"/>
  <c r="A56" i="618"/>
  <c r="G56" i="618" s="1"/>
  <c r="A57" i="618"/>
  <c r="G57" i="618" s="1"/>
  <c r="A58" i="618"/>
  <c r="G58" i="618" s="1"/>
  <c r="A59" i="618"/>
  <c r="G59" i="618" s="1"/>
  <c r="A60" i="618"/>
  <c r="G60" i="618" s="1"/>
  <c r="A61" i="618"/>
  <c r="G61" i="618" s="1"/>
  <c r="A62" i="618"/>
  <c r="G62" i="618" s="1"/>
  <c r="A63" i="618"/>
  <c r="G63" i="618" s="1"/>
  <c r="A64" i="618"/>
  <c r="G64" i="618" s="1"/>
  <c r="A65" i="618"/>
  <c r="G65" i="618" s="1"/>
  <c r="A66" i="618"/>
  <c r="G66" i="618" s="1"/>
  <c r="A67" i="618"/>
  <c r="G67" i="618" s="1"/>
  <c r="A68" i="618"/>
  <c r="G68" i="618" s="1"/>
  <c r="A69" i="618"/>
  <c r="G69" i="618" s="1"/>
  <c r="A70" i="618"/>
  <c r="G70" i="618" s="1"/>
  <c r="A71" i="618"/>
  <c r="G71" i="618" s="1"/>
  <c r="A72" i="618"/>
  <c r="G72" i="618" s="1"/>
  <c r="A73" i="618"/>
  <c r="G73" i="618" s="1"/>
  <c r="A74" i="618"/>
  <c r="G74" i="618" s="1"/>
  <c r="I64" i="618" l="1"/>
  <c r="H64" i="618"/>
  <c r="J64" i="618"/>
  <c r="J48" i="618"/>
  <c r="H48" i="618"/>
  <c r="I48" i="618"/>
  <c r="H40" i="618"/>
  <c r="I40" i="618"/>
  <c r="J40" i="618"/>
  <c r="H32" i="618"/>
  <c r="I32" i="618"/>
  <c r="J32" i="618"/>
  <c r="H24" i="618"/>
  <c r="I24" i="618"/>
  <c r="J24" i="618"/>
  <c r="H16" i="618"/>
  <c r="I16" i="618"/>
  <c r="J16" i="618"/>
  <c r="H8" i="618"/>
  <c r="I8" i="618"/>
  <c r="J8" i="618"/>
  <c r="H4" i="618"/>
  <c r="I4" i="618"/>
  <c r="J4" i="618"/>
  <c r="H60" i="618"/>
  <c r="J60" i="618"/>
  <c r="I60" i="618"/>
  <c r="H44" i="618"/>
  <c r="J44" i="618"/>
  <c r="I44" i="618"/>
  <c r="H36" i="618"/>
  <c r="I36" i="618"/>
  <c r="J36" i="618"/>
  <c r="H28" i="618"/>
  <c r="I28" i="618"/>
  <c r="J28" i="618"/>
  <c r="H20" i="618"/>
  <c r="I20" i="618"/>
  <c r="J20" i="618"/>
  <c r="H12" i="618"/>
  <c r="I12" i="618"/>
  <c r="J12" i="618"/>
  <c r="J71" i="618"/>
  <c r="I71" i="618"/>
  <c r="H71" i="618"/>
  <c r="J67" i="618"/>
  <c r="H67" i="618"/>
  <c r="I67" i="618"/>
  <c r="J63" i="618"/>
  <c r="I63" i="618"/>
  <c r="H63" i="618"/>
  <c r="J59" i="618"/>
  <c r="H59" i="618"/>
  <c r="I59" i="618"/>
  <c r="J55" i="618"/>
  <c r="H55" i="618"/>
  <c r="I55" i="618"/>
  <c r="J51" i="618"/>
  <c r="H51" i="618"/>
  <c r="I51" i="618"/>
  <c r="J47" i="618"/>
  <c r="I47" i="618"/>
  <c r="H47" i="618"/>
  <c r="J43" i="618"/>
  <c r="H43" i="618"/>
  <c r="I43" i="618"/>
  <c r="J39" i="618"/>
  <c r="H39" i="618"/>
  <c r="I39" i="618"/>
  <c r="J35" i="618"/>
  <c r="H35" i="618"/>
  <c r="I35" i="618"/>
  <c r="J31" i="618"/>
  <c r="H31" i="618"/>
  <c r="I31" i="618"/>
  <c r="J27" i="618"/>
  <c r="H27" i="618"/>
  <c r="I27" i="618"/>
  <c r="J23" i="618"/>
  <c r="H23" i="618"/>
  <c r="I23" i="618"/>
  <c r="J19" i="618"/>
  <c r="H19" i="618"/>
  <c r="I19" i="618"/>
  <c r="J15" i="618"/>
  <c r="H15" i="618"/>
  <c r="I15" i="618"/>
  <c r="J11" i="618"/>
  <c r="H11" i="618"/>
  <c r="I11" i="618"/>
  <c r="J7" i="618"/>
  <c r="H7" i="618"/>
  <c r="I7" i="618"/>
  <c r="J3" i="618"/>
  <c r="I3" i="618"/>
  <c r="H3" i="618"/>
  <c r="J68" i="618"/>
  <c r="H68" i="618"/>
  <c r="I68" i="618"/>
  <c r="J52" i="618"/>
  <c r="H52" i="618"/>
  <c r="I52" i="618"/>
  <c r="I70" i="618"/>
  <c r="J70" i="618"/>
  <c r="H70" i="618"/>
  <c r="I62" i="618"/>
  <c r="H62" i="618"/>
  <c r="J62" i="618"/>
  <c r="I54" i="618"/>
  <c r="J54" i="618"/>
  <c r="H54" i="618"/>
  <c r="I50" i="618"/>
  <c r="H50" i="618"/>
  <c r="J50" i="618"/>
  <c r="I42" i="618"/>
  <c r="J42" i="618"/>
  <c r="H42" i="618"/>
  <c r="I38" i="618"/>
  <c r="J38" i="618"/>
  <c r="H38" i="618"/>
  <c r="I30" i="618"/>
  <c r="J30" i="618"/>
  <c r="H30" i="618"/>
  <c r="I26" i="618"/>
  <c r="J26" i="618"/>
  <c r="H26" i="618"/>
  <c r="I18" i="618"/>
  <c r="J18" i="618"/>
  <c r="H18" i="618"/>
  <c r="I14" i="618"/>
  <c r="J14" i="618"/>
  <c r="H14" i="618"/>
  <c r="I10" i="618"/>
  <c r="J10" i="618"/>
  <c r="H10" i="618"/>
  <c r="I6" i="618"/>
  <c r="J6" i="618"/>
  <c r="H6" i="618"/>
  <c r="H2" i="618"/>
  <c r="J2" i="618"/>
  <c r="I2" i="618"/>
  <c r="I72" i="618"/>
  <c r="H72" i="618"/>
  <c r="J72" i="618"/>
  <c r="I56" i="618"/>
  <c r="J56" i="618"/>
  <c r="H56" i="618"/>
  <c r="I74" i="618"/>
  <c r="H74" i="618"/>
  <c r="J74" i="618"/>
  <c r="I66" i="618"/>
  <c r="J66" i="618"/>
  <c r="H66" i="618"/>
  <c r="I58" i="618"/>
  <c r="H58" i="618"/>
  <c r="J58" i="618"/>
  <c r="I46" i="618"/>
  <c r="J46" i="618"/>
  <c r="H46" i="618"/>
  <c r="I34" i="618"/>
  <c r="J34" i="618"/>
  <c r="H34" i="618"/>
  <c r="I22" i="618"/>
  <c r="J22" i="618"/>
  <c r="H22" i="618"/>
  <c r="H73" i="618"/>
  <c r="J73" i="618"/>
  <c r="I73" i="618"/>
  <c r="H69" i="618"/>
  <c r="I69" i="618"/>
  <c r="J69" i="618"/>
  <c r="H65" i="618"/>
  <c r="I65" i="618"/>
  <c r="J65" i="618"/>
  <c r="H61" i="618"/>
  <c r="J61" i="618"/>
  <c r="I61" i="618"/>
  <c r="H57" i="618"/>
  <c r="I57" i="618"/>
  <c r="J57" i="618"/>
  <c r="H53" i="618"/>
  <c r="J53" i="618"/>
  <c r="I53" i="618"/>
  <c r="H49" i="618"/>
  <c r="I49" i="618"/>
  <c r="J49" i="618"/>
  <c r="H45" i="618"/>
  <c r="J45" i="618"/>
  <c r="I45" i="618"/>
  <c r="H41" i="618"/>
  <c r="I41" i="618"/>
  <c r="J41" i="618"/>
  <c r="H37" i="618"/>
  <c r="I37" i="618"/>
  <c r="J37" i="618"/>
  <c r="H33" i="618"/>
  <c r="I33" i="618"/>
  <c r="J33" i="618"/>
  <c r="H29" i="618"/>
  <c r="I29" i="618"/>
  <c r="J29" i="618"/>
  <c r="H25" i="618"/>
  <c r="I25" i="618"/>
  <c r="J25" i="618"/>
  <c r="H21" i="618"/>
  <c r="I21" i="618"/>
  <c r="J21" i="618"/>
  <c r="H17" i="618"/>
  <c r="I17" i="618"/>
  <c r="J17" i="618"/>
  <c r="H13" i="618"/>
  <c r="I13" i="618"/>
  <c r="J13" i="618"/>
  <c r="H9" i="618"/>
  <c r="I9" i="618"/>
  <c r="J9" i="618"/>
  <c r="H5" i="618"/>
  <c r="I5" i="618"/>
  <c r="J5" i="618"/>
  <c r="N49" i="546"/>
  <c r="K75" i="607" l="1"/>
  <c r="K76" i="607"/>
  <c r="K77" i="607"/>
  <c r="K78" i="607"/>
  <c r="K79" i="607"/>
  <c r="K80" i="607"/>
  <c r="K81" i="607"/>
  <c r="K82" i="607"/>
  <c r="K83" i="607"/>
  <c r="K84" i="607"/>
  <c r="K85" i="607"/>
  <c r="K86" i="607"/>
  <c r="K87" i="607"/>
  <c r="K88" i="607"/>
  <c r="K89" i="607"/>
  <c r="K90" i="607"/>
  <c r="K91" i="607"/>
  <c r="K92" i="607"/>
  <c r="K93" i="607"/>
  <c r="K94" i="607"/>
  <c r="K95" i="607"/>
  <c r="K96" i="607"/>
  <c r="K97" i="607"/>
  <c r="K98" i="607"/>
  <c r="K99" i="607"/>
  <c r="K100" i="607"/>
  <c r="F125" i="547" l="1"/>
  <c r="E125" i="547"/>
  <c r="F101" i="547"/>
  <c r="E101" i="547"/>
  <c r="C28" i="614"/>
  <c r="C28" i="613"/>
  <c r="C28" i="612"/>
  <c r="C28" i="611"/>
  <c r="C28" i="603"/>
  <c r="C28" i="602"/>
  <c r="C28" i="601"/>
  <c r="C28" i="604"/>
  <c r="C28" i="575"/>
  <c r="C28" i="562"/>
  <c r="C28" i="544"/>
  <c r="C28" i="554"/>
  <c r="C28" i="583"/>
  <c r="C28" i="561"/>
  <c r="C28" i="551"/>
  <c r="C28" i="608"/>
  <c r="C28" i="549"/>
  <c r="C28" i="547"/>
  <c r="C28" i="548"/>
  <c r="C28" i="560"/>
  <c r="C28" i="590"/>
  <c r="C28" i="589"/>
  <c r="C28" i="587"/>
  <c r="C28" i="584"/>
  <c r="C28" i="481"/>
  <c r="C28" i="504"/>
  <c r="C28" i="480"/>
  <c r="C28" i="484"/>
  <c r="C28" i="487"/>
  <c r="C28" i="483"/>
  <c r="C28" i="503"/>
  <c r="C28" i="500"/>
  <c r="C28" i="498"/>
  <c r="C28" i="521"/>
  <c r="C28" i="586"/>
  <c r="C28" i="585"/>
  <c r="C28" i="482"/>
  <c r="C28" i="570"/>
  <c r="C28" i="568"/>
  <c r="C28" i="563"/>
  <c r="C28" i="553"/>
  <c r="C28" i="580"/>
  <c r="C28" i="496"/>
  <c r="C28" i="540"/>
  <c r="C28" i="488"/>
  <c r="C28" i="582"/>
  <c r="C28" i="572"/>
  <c r="C28" i="552"/>
  <c r="C28" i="542"/>
  <c r="C28" i="559"/>
  <c r="C28" i="546"/>
  <c r="C28" i="598"/>
  <c r="C28" i="597"/>
  <c r="C28" i="525"/>
  <c r="C28" i="564"/>
  <c r="C28" i="565"/>
  <c r="C28" i="566"/>
  <c r="C28" i="526"/>
  <c r="C28" i="533"/>
  <c r="C28" i="509"/>
  <c r="C28" i="527"/>
  <c r="C28" i="581"/>
  <c r="C28" i="492"/>
  <c r="C28" i="555"/>
  <c r="C28" i="596"/>
  <c r="C28" i="605"/>
  <c r="C28" i="606"/>
  <c r="C28" i="532"/>
  <c r="C28" i="531"/>
  <c r="C28" i="494"/>
  <c r="C28" i="507"/>
  <c r="C28" i="523"/>
  <c r="C28" i="491"/>
  <c r="C3" i="615" l="1"/>
  <c r="C4" i="615"/>
  <c r="C5" i="615"/>
  <c r="C6" i="615"/>
  <c r="C7" i="615"/>
  <c r="C8" i="615"/>
  <c r="C9" i="615"/>
  <c r="C10" i="615"/>
  <c r="C11" i="615"/>
  <c r="C12" i="615"/>
  <c r="C13" i="615"/>
  <c r="C14" i="615"/>
  <c r="C15" i="615"/>
  <c r="C16" i="615"/>
  <c r="C17" i="615"/>
  <c r="C18" i="615"/>
  <c r="C19" i="615"/>
  <c r="C20" i="615"/>
  <c r="C21" i="615"/>
  <c r="C22" i="615"/>
  <c r="C23" i="615"/>
  <c r="C24" i="615"/>
  <c r="C25" i="615"/>
  <c r="C26" i="615"/>
  <c r="C27" i="615"/>
  <c r="C28" i="615"/>
  <c r="C29" i="615"/>
  <c r="C30" i="615"/>
  <c r="C31" i="615"/>
  <c r="C32" i="615"/>
  <c r="C33" i="615"/>
  <c r="C34" i="615"/>
  <c r="C35" i="615"/>
  <c r="C36" i="615"/>
  <c r="C37" i="615"/>
  <c r="C38" i="615"/>
  <c r="C39" i="615"/>
  <c r="C40" i="615"/>
  <c r="C41" i="615"/>
  <c r="C42" i="615"/>
  <c r="C43" i="615"/>
  <c r="C44" i="615"/>
  <c r="C45" i="615"/>
  <c r="C46" i="615"/>
  <c r="C47" i="615"/>
  <c r="C48" i="615"/>
  <c r="C49" i="615"/>
  <c r="C50" i="615"/>
  <c r="C51" i="615"/>
  <c r="C52" i="615"/>
  <c r="C53" i="615"/>
  <c r="C54" i="615"/>
  <c r="C55" i="615"/>
  <c r="C56" i="615"/>
  <c r="C57" i="615"/>
  <c r="C58" i="615"/>
  <c r="C59" i="615"/>
  <c r="C60" i="615"/>
  <c r="C61" i="615"/>
  <c r="C62" i="615"/>
  <c r="C63" i="615"/>
  <c r="C64" i="615"/>
  <c r="C65" i="615"/>
  <c r="C66" i="615"/>
  <c r="C67" i="615"/>
  <c r="C68" i="615"/>
  <c r="C69" i="615"/>
  <c r="C70" i="615"/>
  <c r="C71" i="615"/>
  <c r="C72" i="615"/>
  <c r="C73" i="615"/>
  <c r="C74" i="615"/>
  <c r="C2" i="615"/>
  <c r="C30" i="341"/>
  <c r="C29" i="341"/>
  <c r="C28" i="341"/>
  <c r="C27" i="341"/>
  <c r="C26" i="341"/>
  <c r="C36" i="341"/>
  <c r="C30" i="614"/>
  <c r="C29" i="614"/>
  <c r="C27" i="614"/>
  <c r="C26" i="614"/>
  <c r="C30" i="613"/>
  <c r="C29" i="613"/>
  <c r="C27" i="613"/>
  <c r="C26" i="613"/>
  <c r="C30" i="612"/>
  <c r="C29" i="612"/>
  <c r="C27" i="612"/>
  <c r="C26" i="612"/>
  <c r="C30" i="611"/>
  <c r="C29" i="611"/>
  <c r="C27" i="611"/>
  <c r="C26" i="611"/>
  <c r="C30" i="603"/>
  <c r="C29" i="603"/>
  <c r="C27" i="603"/>
  <c r="C26" i="603"/>
  <c r="C30" i="602"/>
  <c r="C29" i="602"/>
  <c r="C27" i="602"/>
  <c r="C26" i="602"/>
  <c r="C30" i="601"/>
  <c r="C29" i="601"/>
  <c r="C27" i="601"/>
  <c r="C26" i="601"/>
  <c r="C30" i="604"/>
  <c r="C29" i="604"/>
  <c r="C27" i="604"/>
  <c r="C26" i="604"/>
  <c r="C30" i="575"/>
  <c r="C29" i="575"/>
  <c r="C27" i="575"/>
  <c r="C26" i="575"/>
  <c r="C30" i="562"/>
  <c r="C29" i="562"/>
  <c r="C27" i="562"/>
  <c r="C26" i="562"/>
  <c r="C30" i="544"/>
  <c r="C29" i="544"/>
  <c r="C27" i="544"/>
  <c r="C26" i="544"/>
  <c r="C30" i="554"/>
  <c r="C29" i="554"/>
  <c r="C27" i="554"/>
  <c r="C26" i="554"/>
  <c r="C30" i="583"/>
  <c r="C29" i="583"/>
  <c r="C27" i="583"/>
  <c r="C26" i="583"/>
  <c r="C30" i="561"/>
  <c r="C29" i="561"/>
  <c r="C27" i="561"/>
  <c r="C26" i="561"/>
  <c r="C30" i="551"/>
  <c r="C29" i="551"/>
  <c r="C27" i="551"/>
  <c r="C26" i="551"/>
  <c r="C30" i="608"/>
  <c r="C29" i="608"/>
  <c r="C27" i="608"/>
  <c r="C26" i="608"/>
  <c r="C30" i="549"/>
  <c r="C29" i="549"/>
  <c r="C27" i="549"/>
  <c r="C26" i="549"/>
  <c r="C30" i="547"/>
  <c r="C29" i="547"/>
  <c r="C27" i="547"/>
  <c r="C26" i="547"/>
  <c r="C30" i="548"/>
  <c r="C29" i="548"/>
  <c r="C27" i="548"/>
  <c r="C26" i="548"/>
  <c r="C30" i="560"/>
  <c r="C29" i="560"/>
  <c r="C27" i="560"/>
  <c r="C26" i="560"/>
  <c r="C30" i="590"/>
  <c r="C29" i="590"/>
  <c r="C27" i="590"/>
  <c r="C26" i="590"/>
  <c r="C30" i="589"/>
  <c r="C29" i="589"/>
  <c r="C27" i="589"/>
  <c r="C26" i="589"/>
  <c r="C30" i="587"/>
  <c r="C29" i="587"/>
  <c r="C27" i="587"/>
  <c r="C26" i="587"/>
  <c r="C30" i="584"/>
  <c r="C29" i="584"/>
  <c r="C27" i="584"/>
  <c r="C26" i="584"/>
  <c r="C30" i="481"/>
  <c r="C29" i="481"/>
  <c r="C27" i="481"/>
  <c r="C26" i="481"/>
  <c r="C30" i="504"/>
  <c r="C29" i="504"/>
  <c r="C27" i="504"/>
  <c r="C26" i="504"/>
  <c r="C30" i="480"/>
  <c r="C29" i="480"/>
  <c r="C27" i="480"/>
  <c r="C26" i="480"/>
  <c r="C30" i="484"/>
  <c r="C29" i="484"/>
  <c r="C27" i="484"/>
  <c r="C26" i="484"/>
  <c r="C30" i="487"/>
  <c r="C29" i="487"/>
  <c r="C27" i="487"/>
  <c r="C26" i="487"/>
  <c r="C30" i="483"/>
  <c r="C29" i="483"/>
  <c r="C27" i="483"/>
  <c r="C26" i="483"/>
  <c r="C30" i="503"/>
  <c r="C29" i="503"/>
  <c r="C27" i="503"/>
  <c r="C26" i="503"/>
  <c r="C30" i="500"/>
  <c r="C29" i="500"/>
  <c r="C27" i="500"/>
  <c r="C26" i="500"/>
  <c r="C30" i="498"/>
  <c r="C29" i="498"/>
  <c r="C27" i="498"/>
  <c r="C26" i="498"/>
  <c r="C30" i="521"/>
  <c r="C29" i="521"/>
  <c r="C27" i="521"/>
  <c r="C37" i="521" s="1"/>
  <c r="C26" i="521"/>
  <c r="C30" i="586"/>
  <c r="C29" i="586"/>
  <c r="C27" i="586"/>
  <c r="C26" i="586"/>
  <c r="C30" i="585"/>
  <c r="C29" i="585"/>
  <c r="C27" i="585"/>
  <c r="C26" i="585"/>
  <c r="C30" i="482"/>
  <c r="C29" i="482"/>
  <c r="C27" i="482"/>
  <c r="C26" i="482"/>
  <c r="C30" i="570"/>
  <c r="C29" i="570"/>
  <c r="C27" i="570"/>
  <c r="C26" i="570"/>
  <c r="C30" i="568"/>
  <c r="C29" i="568"/>
  <c r="C27" i="568"/>
  <c r="C26" i="568"/>
  <c r="C30" i="563"/>
  <c r="C29" i="563"/>
  <c r="C27" i="563"/>
  <c r="C26" i="563"/>
  <c r="C30" i="553"/>
  <c r="C29" i="553"/>
  <c r="C27" i="553"/>
  <c r="C26" i="553"/>
  <c r="C30" i="580"/>
  <c r="C29" i="580"/>
  <c r="C27" i="580"/>
  <c r="C26" i="580"/>
  <c r="C30" i="496"/>
  <c r="C29" i="496"/>
  <c r="C27" i="496"/>
  <c r="C26" i="496"/>
  <c r="C30" i="540"/>
  <c r="C29" i="540"/>
  <c r="C27" i="540"/>
  <c r="C26" i="540"/>
  <c r="C30" i="488"/>
  <c r="C29" i="488"/>
  <c r="C27" i="488"/>
  <c r="C26" i="488"/>
  <c r="C30" i="582"/>
  <c r="C29" i="582"/>
  <c r="C27" i="582"/>
  <c r="C26" i="582"/>
  <c r="C30" i="572"/>
  <c r="C29" i="572"/>
  <c r="C27" i="572"/>
  <c r="C26" i="572"/>
  <c r="C30" i="552"/>
  <c r="C29" i="552"/>
  <c r="C27" i="552"/>
  <c r="C26" i="552"/>
  <c r="C30" i="542"/>
  <c r="C29" i="542"/>
  <c r="C27" i="542"/>
  <c r="C26" i="542"/>
  <c r="C30" i="559"/>
  <c r="C29" i="559"/>
  <c r="C27" i="559"/>
  <c r="C26" i="559"/>
  <c r="C30" i="546"/>
  <c r="C29" i="546"/>
  <c r="C27" i="546"/>
  <c r="C26" i="546"/>
  <c r="C30" i="598"/>
  <c r="C29" i="598"/>
  <c r="C27" i="598"/>
  <c r="C26" i="598"/>
  <c r="C30" i="597"/>
  <c r="C29" i="597"/>
  <c r="C27" i="597"/>
  <c r="C26" i="597"/>
  <c r="C30" i="525"/>
  <c r="C29" i="525"/>
  <c r="C27" i="525"/>
  <c r="C26" i="525"/>
  <c r="C30" i="564"/>
  <c r="C29" i="564"/>
  <c r="C27" i="564"/>
  <c r="C26" i="564"/>
  <c r="C30" i="565"/>
  <c r="C29" i="565"/>
  <c r="C27" i="565"/>
  <c r="C26" i="565"/>
  <c r="C30" i="566"/>
  <c r="C29" i="566"/>
  <c r="C27" i="566"/>
  <c r="C26" i="566"/>
  <c r="C30" i="526"/>
  <c r="C29" i="526"/>
  <c r="C27" i="526"/>
  <c r="C26" i="526"/>
  <c r="C30" i="533"/>
  <c r="C29" i="533"/>
  <c r="C27" i="533"/>
  <c r="C26" i="533"/>
  <c r="C30" i="509"/>
  <c r="C29" i="509"/>
  <c r="C27" i="509"/>
  <c r="C26" i="509"/>
  <c r="C30" i="527"/>
  <c r="C29" i="527"/>
  <c r="C27" i="527"/>
  <c r="C26" i="527"/>
  <c r="C30" i="581"/>
  <c r="C29" i="581"/>
  <c r="C27" i="581"/>
  <c r="C26" i="581"/>
  <c r="C30" i="492"/>
  <c r="C29" i="492"/>
  <c r="C27" i="492"/>
  <c r="C26" i="492"/>
  <c r="C30" i="555"/>
  <c r="C29" i="555"/>
  <c r="C27" i="555"/>
  <c r="C26" i="555"/>
  <c r="C30" i="596"/>
  <c r="C29" i="596"/>
  <c r="C27" i="596"/>
  <c r="C26" i="596"/>
  <c r="C30" i="605"/>
  <c r="C29" i="605"/>
  <c r="C27" i="605"/>
  <c r="C26" i="605"/>
  <c r="C30" i="606"/>
  <c r="C29" i="606"/>
  <c r="C27" i="606"/>
  <c r="C26" i="606"/>
  <c r="C30" i="532"/>
  <c r="C29" i="532"/>
  <c r="C27" i="532"/>
  <c r="C26" i="532"/>
  <c r="C30" i="531"/>
  <c r="C29" i="531"/>
  <c r="C27" i="531"/>
  <c r="C26" i="531"/>
  <c r="C30" i="494"/>
  <c r="C29" i="494"/>
  <c r="C27" i="494"/>
  <c r="C26" i="494"/>
  <c r="C30" i="507"/>
  <c r="C29" i="507"/>
  <c r="C27" i="507"/>
  <c r="C26" i="507"/>
  <c r="C30" i="523"/>
  <c r="C29" i="523"/>
  <c r="C27" i="523"/>
  <c r="C26" i="523"/>
  <c r="C30" i="491"/>
  <c r="C29" i="491"/>
  <c r="C27" i="491"/>
  <c r="C26" i="491"/>
  <c r="C98" i="525" l="1"/>
  <c r="D98" i="525" s="1"/>
  <c r="C99" i="525"/>
  <c r="D99" i="525" s="1"/>
  <c r="C100" i="525"/>
  <c r="D100" i="525" s="1"/>
  <c r="C101" i="525"/>
  <c r="D101" i="525" s="1"/>
  <c r="C102" i="525"/>
  <c r="D102" i="525" s="1"/>
  <c r="C103" i="525"/>
  <c r="D103" i="525" s="1"/>
  <c r="C104" i="525"/>
  <c r="D104" i="525" s="1"/>
  <c r="C105" i="525"/>
  <c r="D105" i="525" s="1"/>
  <c r="C106" i="525"/>
  <c r="D106" i="525" s="1"/>
  <c r="C107" i="525"/>
  <c r="D107" i="525" s="1"/>
  <c r="C97" i="525"/>
  <c r="D97" i="525" s="1"/>
  <c r="C22" i="334" l="1"/>
  <c r="C12" i="334"/>
  <c r="C62" i="334"/>
  <c r="C54" i="334"/>
  <c r="G22" i="334"/>
  <c r="R22" i="334"/>
  <c r="H54" i="334"/>
  <c r="R62" i="334"/>
  <c r="O12" i="334"/>
  <c r="F22" i="334"/>
  <c r="N22" i="334"/>
  <c r="B12" i="334"/>
  <c r="B22" i="334"/>
  <c r="Q54" i="334"/>
  <c r="Q62" i="334"/>
  <c r="M62" i="334"/>
  <c r="B62" i="334"/>
  <c r="F54" i="334"/>
  <c r="G62" i="334"/>
  <c r="N54" i="334"/>
  <c r="M22" i="334"/>
  <c r="O54" i="334"/>
  <c r="P12" i="334"/>
  <c r="F62" i="334"/>
  <c r="R12" i="334"/>
  <c r="N12" i="334"/>
  <c r="O22" i="334"/>
  <c r="H12" i="334"/>
  <c r="H22" i="334"/>
  <c r="P54" i="334"/>
  <c r="B54" i="334"/>
  <c r="Q12" i="334"/>
  <c r="R54" i="334"/>
  <c r="P62" i="334"/>
  <c r="G54" i="334"/>
  <c r="Q22" i="334"/>
  <c r="M12" i="334"/>
  <c r="O62" i="334"/>
  <c r="N62" i="334"/>
  <c r="F12" i="334"/>
  <c r="P22" i="334"/>
  <c r="G12" i="334"/>
  <c r="M54" i="334"/>
  <c r="H62" i="334"/>
  <c r="E54" i="334" l="1"/>
  <c r="E62" i="334"/>
  <c r="E12" i="334"/>
  <c r="E22" i="334"/>
  <c r="N45" i="614"/>
  <c r="N44" i="614"/>
  <c r="C15" i="614" s="1"/>
  <c r="N43" i="614"/>
  <c r="C13" i="614" s="1"/>
  <c r="N42" i="614"/>
  <c r="C14" i="614" s="1"/>
  <c r="C37" i="614"/>
  <c r="C16" i="614" s="1"/>
  <c r="C3" i="614"/>
  <c r="N45" i="613"/>
  <c r="N44" i="613"/>
  <c r="C15" i="613" s="1"/>
  <c r="N43" i="613"/>
  <c r="C13" i="613" s="1"/>
  <c r="N42" i="613"/>
  <c r="C14" i="613" s="1"/>
  <c r="C37" i="613"/>
  <c r="C16" i="613" s="1"/>
  <c r="C3" i="613"/>
  <c r="N45" i="612"/>
  <c r="N44" i="612"/>
  <c r="C15" i="612" s="1"/>
  <c r="N43" i="612"/>
  <c r="C13" i="612" s="1"/>
  <c r="N42" i="612"/>
  <c r="C14" i="612" s="1"/>
  <c r="C37" i="612"/>
  <c r="C16" i="612" s="1"/>
  <c r="C3" i="612"/>
  <c r="N45" i="611"/>
  <c r="N44" i="611"/>
  <c r="C15" i="611" s="1"/>
  <c r="N43" i="611"/>
  <c r="C13" i="611" s="1"/>
  <c r="N42" i="611"/>
  <c r="C14" i="611" s="1"/>
  <c r="C37" i="611"/>
  <c r="C16" i="611" s="1"/>
  <c r="C3" i="611"/>
  <c r="T54" i="334"/>
  <c r="V54" i="334"/>
  <c r="T62" i="334"/>
  <c r="S22" i="334"/>
  <c r="T22" i="334"/>
  <c r="S62" i="334"/>
  <c r="S54" i="334"/>
  <c r="T12" i="334"/>
  <c r="V12" i="334"/>
  <c r="V62" i="334"/>
  <c r="V22" i="334"/>
  <c r="S12" i="334"/>
  <c r="D22" i="334" l="1"/>
  <c r="D62" i="334"/>
  <c r="D12" i="334"/>
  <c r="D54" i="334"/>
  <c r="X54" i="334"/>
  <c r="Z54" i="334"/>
  <c r="W54" i="334"/>
  <c r="X62" i="334"/>
  <c r="X12" i="334"/>
  <c r="X22" i="334"/>
  <c r="W62" i="334"/>
  <c r="Z62" i="334"/>
  <c r="Z12" i="334"/>
  <c r="W12" i="334"/>
  <c r="Z22" i="334"/>
  <c r="W22" i="334"/>
  <c r="C4" i="603" a="1"/>
  <c r="C4" i="603" s="1"/>
  <c r="C4" i="602" a="1"/>
  <c r="C4" i="602" s="1"/>
  <c r="C4" i="601" a="1"/>
  <c r="C4" i="601" s="1"/>
  <c r="C4" i="604" a="1"/>
  <c r="C4" i="604" s="1"/>
  <c r="C4" i="575" a="1"/>
  <c r="C4" i="575" s="1"/>
  <c r="L101" i="607" l="1"/>
  <c r="L76" i="607"/>
  <c r="L77" i="607"/>
  <c r="L78" i="607"/>
  <c r="L79" i="607"/>
  <c r="L80" i="607"/>
  <c r="L81" i="607"/>
  <c r="L82" i="607"/>
  <c r="L83" i="607"/>
  <c r="L84" i="607"/>
  <c r="L85" i="607"/>
  <c r="L86" i="607"/>
  <c r="L87" i="607"/>
  <c r="L88" i="607"/>
  <c r="L89" i="607"/>
  <c r="L90" i="607"/>
  <c r="L91" i="607"/>
  <c r="L92" i="607"/>
  <c r="L93" i="607"/>
  <c r="L94" i="607"/>
  <c r="L95" i="607"/>
  <c r="L96" i="607"/>
  <c r="L97" i="607"/>
  <c r="L98" i="607"/>
  <c r="L99" i="607"/>
  <c r="L100" i="607"/>
  <c r="F65" i="562"/>
  <c r="H70" i="533"/>
  <c r="D111" i="490"/>
  <c r="D110" i="490"/>
  <c r="H62" i="562" s="1"/>
  <c r="D5" i="522"/>
  <c r="E361" i="610"/>
  <c r="E360" i="610"/>
  <c r="E359" i="610"/>
  <c r="E358" i="610"/>
  <c r="E357" i="610"/>
  <c r="E356" i="610"/>
  <c r="E355" i="610"/>
  <c r="E354" i="610"/>
  <c r="E353" i="610"/>
  <c r="E352" i="610"/>
  <c r="E351" i="610"/>
  <c r="E350" i="610"/>
  <c r="E349" i="610"/>
  <c r="E348" i="610"/>
  <c r="E347" i="610"/>
  <c r="E346" i="610"/>
  <c r="E345" i="610"/>
  <c r="E344" i="610"/>
  <c r="E343" i="610"/>
  <c r="E342" i="610"/>
  <c r="E341" i="610"/>
  <c r="E340" i="610"/>
  <c r="E339" i="610"/>
  <c r="E338" i="610"/>
  <c r="E337" i="610"/>
  <c r="E336" i="610"/>
  <c r="E335" i="610"/>
  <c r="E334" i="610"/>
  <c r="E333" i="610"/>
  <c r="E332" i="610"/>
  <c r="E331" i="610"/>
  <c r="E330" i="610"/>
  <c r="E329" i="610"/>
  <c r="E328" i="610"/>
  <c r="E327" i="610"/>
  <c r="E326" i="610"/>
  <c r="E325" i="610"/>
  <c r="E324" i="610"/>
  <c r="E323" i="610"/>
  <c r="E322" i="610"/>
  <c r="E321" i="610"/>
  <c r="E320" i="610"/>
  <c r="E319" i="610"/>
  <c r="E318" i="610"/>
  <c r="E317" i="610"/>
  <c r="E316" i="610"/>
  <c r="E315" i="610"/>
  <c r="E314" i="610"/>
  <c r="E313" i="610"/>
  <c r="E312" i="610"/>
  <c r="E311" i="610"/>
  <c r="E310" i="610"/>
  <c r="E309" i="610"/>
  <c r="E308" i="610"/>
  <c r="E307" i="610"/>
  <c r="E306" i="610"/>
  <c r="E305" i="610"/>
  <c r="E304" i="610"/>
  <c r="E303" i="610"/>
  <c r="E302" i="610"/>
  <c r="E301" i="610"/>
  <c r="E300" i="610"/>
  <c r="E299" i="610"/>
  <c r="E298" i="610"/>
  <c r="E297" i="610"/>
  <c r="E296" i="610"/>
  <c r="E295" i="610"/>
  <c r="E294" i="610"/>
  <c r="E293" i="610"/>
  <c r="E292" i="610"/>
  <c r="E291" i="610"/>
  <c r="E290" i="610"/>
  <c r="E289" i="610"/>
  <c r="E288" i="610"/>
  <c r="E287" i="610"/>
  <c r="E286" i="610"/>
  <c r="E285" i="610"/>
  <c r="E284" i="610"/>
  <c r="E283" i="610"/>
  <c r="E282" i="610"/>
  <c r="E281" i="610"/>
  <c r="E280" i="610"/>
  <c r="E279" i="610"/>
  <c r="E278" i="610"/>
  <c r="E277" i="610"/>
  <c r="E276" i="610"/>
  <c r="E275" i="610"/>
  <c r="E274" i="610"/>
  <c r="E273" i="610"/>
  <c r="E272" i="610"/>
  <c r="E271" i="610"/>
  <c r="E270" i="610"/>
  <c r="E269" i="610"/>
  <c r="E268" i="610"/>
  <c r="E267" i="610"/>
  <c r="E266" i="610"/>
  <c r="E265" i="610"/>
  <c r="E264" i="610"/>
  <c r="E263" i="610"/>
  <c r="E262" i="610"/>
  <c r="E261" i="610"/>
  <c r="E260" i="610"/>
  <c r="E259" i="610"/>
  <c r="E258" i="610"/>
  <c r="E257" i="610"/>
  <c r="E256" i="610"/>
  <c r="E255" i="610"/>
  <c r="E254" i="610"/>
  <c r="E253" i="610"/>
  <c r="E252" i="610"/>
  <c r="E251" i="610"/>
  <c r="E250" i="610"/>
  <c r="E249" i="610"/>
  <c r="E248" i="610"/>
  <c r="E247" i="610"/>
  <c r="E246" i="610"/>
  <c r="E245" i="610"/>
  <c r="E244" i="610"/>
  <c r="E243" i="610"/>
  <c r="E242" i="610"/>
  <c r="E241" i="610"/>
  <c r="E240" i="610"/>
  <c r="E239" i="610"/>
  <c r="E238" i="610"/>
  <c r="E237" i="610"/>
  <c r="E236" i="610"/>
  <c r="E235" i="610"/>
  <c r="E234" i="610"/>
  <c r="E233" i="610"/>
  <c r="E232" i="610"/>
  <c r="E231" i="610"/>
  <c r="E230" i="610"/>
  <c r="E229" i="610"/>
  <c r="E228" i="610"/>
  <c r="E227" i="610"/>
  <c r="E226" i="610"/>
  <c r="E225" i="610"/>
  <c r="E224" i="610"/>
  <c r="E223" i="610"/>
  <c r="E222" i="610"/>
  <c r="E221" i="610"/>
  <c r="E220" i="610"/>
  <c r="E219" i="610"/>
  <c r="E218" i="610"/>
  <c r="E217" i="610"/>
  <c r="E216" i="610"/>
  <c r="E215" i="610"/>
  <c r="E214" i="610"/>
  <c r="E213" i="610"/>
  <c r="E212" i="610"/>
  <c r="E211" i="610"/>
  <c r="E210" i="610"/>
  <c r="E209" i="610"/>
  <c r="E208" i="610"/>
  <c r="E207" i="610"/>
  <c r="E206" i="610"/>
  <c r="E205" i="610"/>
  <c r="E204" i="610"/>
  <c r="E203" i="610"/>
  <c r="E202" i="610"/>
  <c r="E201" i="610"/>
  <c r="E200" i="610"/>
  <c r="E199" i="610"/>
  <c r="E198" i="610"/>
  <c r="E197" i="610"/>
  <c r="E196" i="610"/>
  <c r="E195" i="610"/>
  <c r="E194" i="610"/>
  <c r="E193" i="610"/>
  <c r="E192" i="610"/>
  <c r="E191" i="610"/>
  <c r="E190" i="610"/>
  <c r="E189" i="610"/>
  <c r="E188" i="610"/>
  <c r="E187" i="610"/>
  <c r="E186" i="610"/>
  <c r="E185" i="610"/>
  <c r="E184" i="610"/>
  <c r="E183" i="610"/>
  <c r="E182" i="610"/>
  <c r="E181" i="610"/>
  <c r="E180" i="610"/>
  <c r="E179" i="610"/>
  <c r="E178" i="610"/>
  <c r="E177" i="610"/>
  <c r="E176" i="610"/>
  <c r="E175" i="610"/>
  <c r="E174" i="610"/>
  <c r="E173" i="610"/>
  <c r="E172" i="610"/>
  <c r="E171" i="610"/>
  <c r="E170" i="610"/>
  <c r="E169" i="610"/>
  <c r="E168" i="610"/>
  <c r="E167" i="610"/>
  <c r="E166" i="610"/>
  <c r="E165" i="610"/>
  <c r="E164" i="610"/>
  <c r="E163" i="610"/>
  <c r="E162" i="610"/>
  <c r="E161" i="610"/>
  <c r="E160" i="610"/>
  <c r="E159" i="610"/>
  <c r="E158" i="610"/>
  <c r="E157" i="610"/>
  <c r="E156" i="610"/>
  <c r="E155" i="610"/>
  <c r="E154" i="610"/>
  <c r="E153" i="610"/>
  <c r="E152" i="610"/>
  <c r="E151" i="610"/>
  <c r="E150" i="610"/>
  <c r="E149" i="610"/>
  <c r="E148" i="610"/>
  <c r="E147" i="610"/>
  <c r="E146" i="610"/>
  <c r="E145" i="610"/>
  <c r="E144" i="610"/>
  <c r="E143" i="610"/>
  <c r="E142" i="610"/>
  <c r="E141" i="610"/>
  <c r="E140" i="610"/>
  <c r="E139" i="610"/>
  <c r="E138" i="610"/>
  <c r="E137" i="610"/>
  <c r="E136" i="610"/>
  <c r="E135" i="610"/>
  <c r="E134" i="610"/>
  <c r="E133" i="610"/>
  <c r="E132" i="610"/>
  <c r="E131" i="610"/>
  <c r="E130" i="610"/>
  <c r="E129" i="610"/>
  <c r="E128" i="610"/>
  <c r="E127" i="610"/>
  <c r="E126" i="610"/>
  <c r="E125" i="610"/>
  <c r="E124" i="610"/>
  <c r="E123" i="610"/>
  <c r="E122" i="610"/>
  <c r="E121" i="610"/>
  <c r="E120" i="610"/>
  <c r="E119" i="610"/>
  <c r="E118" i="610"/>
  <c r="E117" i="610"/>
  <c r="E116" i="610"/>
  <c r="E115" i="610"/>
  <c r="E114" i="610"/>
  <c r="E113" i="610"/>
  <c r="E112" i="610"/>
  <c r="E111" i="610"/>
  <c r="E110" i="610"/>
  <c r="E109" i="610"/>
  <c r="E108" i="610"/>
  <c r="E107" i="610"/>
  <c r="E106" i="610"/>
  <c r="E105" i="610"/>
  <c r="E104" i="610"/>
  <c r="E103" i="610"/>
  <c r="E102" i="610"/>
  <c r="E101" i="610"/>
  <c r="E100" i="610"/>
  <c r="E99" i="610"/>
  <c r="E98" i="610"/>
  <c r="E97" i="610"/>
  <c r="E96" i="610"/>
  <c r="E95" i="610"/>
  <c r="E94" i="610"/>
  <c r="E93" i="610"/>
  <c r="E92" i="610"/>
  <c r="E91" i="610"/>
  <c r="E90" i="610"/>
  <c r="E89" i="610"/>
  <c r="E88" i="610"/>
  <c r="E87" i="610"/>
  <c r="E86" i="610"/>
  <c r="E85" i="610"/>
  <c r="E84" i="610"/>
  <c r="E83" i="610"/>
  <c r="E82" i="610"/>
  <c r="E81" i="610"/>
  <c r="E80" i="610"/>
  <c r="E79" i="610"/>
  <c r="E78" i="610"/>
  <c r="E77" i="610"/>
  <c r="E76" i="610"/>
  <c r="E75" i="610"/>
  <c r="E74" i="610"/>
  <c r="E73" i="610"/>
  <c r="E72" i="610"/>
  <c r="E71" i="610"/>
  <c r="E70" i="610"/>
  <c r="E69" i="610"/>
  <c r="E68" i="610"/>
  <c r="E67" i="610"/>
  <c r="E66" i="610"/>
  <c r="E65" i="610"/>
  <c r="E64" i="610"/>
  <c r="E63" i="610"/>
  <c r="E62" i="610"/>
  <c r="E61" i="610"/>
  <c r="E60" i="610"/>
  <c r="E59" i="610"/>
  <c r="E58" i="610"/>
  <c r="E57" i="610"/>
  <c r="E56" i="610"/>
  <c r="E55" i="610"/>
  <c r="E54" i="610"/>
  <c r="E53" i="610"/>
  <c r="E52" i="610"/>
  <c r="E51" i="610"/>
  <c r="E50" i="610"/>
  <c r="E49" i="610"/>
  <c r="E48" i="610"/>
  <c r="E47" i="610"/>
  <c r="E46" i="610"/>
  <c r="E45" i="610"/>
  <c r="E44" i="610"/>
  <c r="E43" i="610"/>
  <c r="E42" i="610"/>
  <c r="E41" i="610"/>
  <c r="E40" i="610"/>
  <c r="E39" i="610"/>
  <c r="E38" i="610"/>
  <c r="E37" i="610"/>
  <c r="E36" i="610"/>
  <c r="E35" i="610"/>
  <c r="E34" i="610"/>
  <c r="E33" i="610"/>
  <c r="E32" i="610"/>
  <c r="E31" i="610"/>
  <c r="E30" i="610"/>
  <c r="E29" i="610"/>
  <c r="E28" i="610"/>
  <c r="E27" i="610"/>
  <c r="E26" i="610"/>
  <c r="E25" i="610"/>
  <c r="E24" i="610"/>
  <c r="E23" i="610"/>
  <c r="E22" i="610"/>
  <c r="E21" i="610"/>
  <c r="E20" i="610"/>
  <c r="E19" i="610"/>
  <c r="E18" i="610"/>
  <c r="E17" i="610"/>
  <c r="E16" i="610"/>
  <c r="E15" i="610"/>
  <c r="E14" i="610"/>
  <c r="E13" i="610"/>
  <c r="E12" i="610"/>
  <c r="E11" i="610"/>
  <c r="E10" i="610"/>
  <c r="E9" i="610"/>
  <c r="E8" i="610"/>
  <c r="E7" i="610"/>
  <c r="E6" i="610"/>
  <c r="E5" i="610"/>
  <c r="E4" i="610"/>
  <c r="E3" i="610"/>
  <c r="E2" i="610"/>
  <c r="E3" i="609"/>
  <c r="E4" i="609"/>
  <c r="E5" i="609"/>
  <c r="E6" i="609"/>
  <c r="E7" i="609"/>
  <c r="E8" i="609"/>
  <c r="E9" i="609"/>
  <c r="E10" i="609"/>
  <c r="E11" i="609"/>
  <c r="E12" i="609"/>
  <c r="E13" i="609"/>
  <c r="E14" i="609"/>
  <c r="E15" i="609"/>
  <c r="E16" i="609"/>
  <c r="E17" i="609"/>
  <c r="E18" i="609"/>
  <c r="E19" i="609"/>
  <c r="E20" i="609"/>
  <c r="E21" i="609"/>
  <c r="E22" i="609"/>
  <c r="E23" i="609"/>
  <c r="E24" i="609"/>
  <c r="E25" i="609"/>
  <c r="E26" i="609"/>
  <c r="E27" i="609"/>
  <c r="E28" i="609"/>
  <c r="E29" i="609"/>
  <c r="E30" i="609"/>
  <c r="E31" i="609"/>
  <c r="E32" i="609"/>
  <c r="E33" i="609"/>
  <c r="E34" i="609"/>
  <c r="E35" i="609"/>
  <c r="E36" i="609"/>
  <c r="E37" i="609"/>
  <c r="E38" i="609"/>
  <c r="E39" i="609"/>
  <c r="E40" i="609"/>
  <c r="E41" i="609"/>
  <c r="E42" i="609"/>
  <c r="E43" i="609"/>
  <c r="E44" i="609"/>
  <c r="E45" i="609"/>
  <c r="E46" i="609"/>
  <c r="E47" i="609"/>
  <c r="E48" i="609"/>
  <c r="E49" i="609"/>
  <c r="E50" i="609"/>
  <c r="E51" i="609"/>
  <c r="E52" i="609"/>
  <c r="E53" i="609"/>
  <c r="E54" i="609"/>
  <c r="E55" i="609"/>
  <c r="E56" i="609"/>
  <c r="E57" i="609"/>
  <c r="E58" i="609"/>
  <c r="E59" i="609"/>
  <c r="E60" i="609"/>
  <c r="E61" i="609"/>
  <c r="E62" i="609"/>
  <c r="E63" i="609"/>
  <c r="E64" i="609"/>
  <c r="E65" i="609"/>
  <c r="E66" i="609"/>
  <c r="E67" i="609"/>
  <c r="E68" i="609"/>
  <c r="E69" i="609"/>
  <c r="E70" i="609"/>
  <c r="E71" i="609"/>
  <c r="E72" i="609"/>
  <c r="E73" i="609"/>
  <c r="E74" i="609"/>
  <c r="E75" i="609"/>
  <c r="E76" i="609"/>
  <c r="E77" i="609"/>
  <c r="E78" i="609"/>
  <c r="E79" i="609"/>
  <c r="E80" i="609"/>
  <c r="E81" i="609"/>
  <c r="E82" i="609"/>
  <c r="E83" i="609"/>
  <c r="E84" i="609"/>
  <c r="E85" i="609"/>
  <c r="E86" i="609"/>
  <c r="E87" i="609"/>
  <c r="E88" i="609"/>
  <c r="E89" i="609"/>
  <c r="E90" i="609"/>
  <c r="E91" i="609"/>
  <c r="E92" i="609"/>
  <c r="E93" i="609"/>
  <c r="E94" i="609"/>
  <c r="E95" i="609"/>
  <c r="E96" i="609"/>
  <c r="E97" i="609"/>
  <c r="E98" i="609"/>
  <c r="E99" i="609"/>
  <c r="E100" i="609"/>
  <c r="E101" i="609"/>
  <c r="E102" i="609"/>
  <c r="E103" i="609"/>
  <c r="E104" i="609"/>
  <c r="E105" i="609"/>
  <c r="E106" i="609"/>
  <c r="E107" i="609"/>
  <c r="E108" i="609"/>
  <c r="E109" i="609"/>
  <c r="E110" i="609"/>
  <c r="E111" i="609"/>
  <c r="E112" i="609"/>
  <c r="E113" i="609"/>
  <c r="E114" i="609"/>
  <c r="E115" i="609"/>
  <c r="E116" i="609"/>
  <c r="E117" i="609"/>
  <c r="E118" i="609"/>
  <c r="E119" i="609"/>
  <c r="E120" i="609"/>
  <c r="E121" i="609"/>
  <c r="E122" i="609"/>
  <c r="E123" i="609"/>
  <c r="E124" i="609"/>
  <c r="E125" i="609"/>
  <c r="E126" i="609"/>
  <c r="E127" i="609"/>
  <c r="E128" i="609"/>
  <c r="E129" i="609"/>
  <c r="E130" i="609"/>
  <c r="E131" i="609"/>
  <c r="E132" i="609"/>
  <c r="E133" i="609"/>
  <c r="E134" i="609"/>
  <c r="E135" i="609"/>
  <c r="E136" i="609"/>
  <c r="E137" i="609"/>
  <c r="E138" i="609"/>
  <c r="E139" i="609"/>
  <c r="E140" i="609"/>
  <c r="E141" i="609"/>
  <c r="E142" i="609"/>
  <c r="E143" i="609"/>
  <c r="E144" i="609"/>
  <c r="E145" i="609"/>
  <c r="E146" i="609"/>
  <c r="E147" i="609"/>
  <c r="E148" i="609"/>
  <c r="E149" i="609"/>
  <c r="E150" i="609"/>
  <c r="E151" i="609"/>
  <c r="E152" i="609"/>
  <c r="E153" i="609"/>
  <c r="E154" i="609"/>
  <c r="E155" i="609"/>
  <c r="E156" i="609"/>
  <c r="E157" i="609"/>
  <c r="E158" i="609"/>
  <c r="E159" i="609"/>
  <c r="E160" i="609"/>
  <c r="E161" i="609"/>
  <c r="E162" i="609"/>
  <c r="E163" i="609"/>
  <c r="E164" i="609"/>
  <c r="E165" i="609"/>
  <c r="E166" i="609"/>
  <c r="E167" i="609"/>
  <c r="E168" i="609"/>
  <c r="E169" i="609"/>
  <c r="E170" i="609"/>
  <c r="E171" i="609"/>
  <c r="E172" i="609"/>
  <c r="E173" i="609"/>
  <c r="E174" i="609"/>
  <c r="E175" i="609"/>
  <c r="E176" i="609"/>
  <c r="E177" i="609"/>
  <c r="E178" i="609"/>
  <c r="E179" i="609"/>
  <c r="E180" i="609"/>
  <c r="E181" i="609"/>
  <c r="E182" i="609"/>
  <c r="E183" i="609"/>
  <c r="E184" i="609"/>
  <c r="E185" i="609"/>
  <c r="E186" i="609"/>
  <c r="E187" i="609"/>
  <c r="E188" i="609"/>
  <c r="E189" i="609"/>
  <c r="E190" i="609"/>
  <c r="E191" i="609"/>
  <c r="E192" i="609"/>
  <c r="E193" i="609"/>
  <c r="E194" i="609"/>
  <c r="E195" i="609"/>
  <c r="E196" i="609"/>
  <c r="E197" i="609"/>
  <c r="E198" i="609"/>
  <c r="E199" i="609"/>
  <c r="E200" i="609"/>
  <c r="E201" i="609"/>
  <c r="E202" i="609"/>
  <c r="E203" i="609"/>
  <c r="E204" i="609"/>
  <c r="E205" i="609"/>
  <c r="E206" i="609"/>
  <c r="E207" i="609"/>
  <c r="E208" i="609"/>
  <c r="E209" i="609"/>
  <c r="E210" i="609"/>
  <c r="E211" i="609"/>
  <c r="E212" i="609"/>
  <c r="E213" i="609"/>
  <c r="E214" i="609"/>
  <c r="E215" i="609"/>
  <c r="E216" i="609"/>
  <c r="E217" i="609"/>
  <c r="E218" i="609"/>
  <c r="E219" i="609"/>
  <c r="E220" i="609"/>
  <c r="E221" i="609"/>
  <c r="E222" i="609"/>
  <c r="E223" i="609"/>
  <c r="E224" i="609"/>
  <c r="E225" i="609"/>
  <c r="E226" i="609"/>
  <c r="E227" i="609"/>
  <c r="E228" i="609"/>
  <c r="E229" i="609"/>
  <c r="E230" i="609"/>
  <c r="E231" i="609"/>
  <c r="E232" i="609"/>
  <c r="E233" i="609"/>
  <c r="E234" i="609"/>
  <c r="E235" i="609"/>
  <c r="E236" i="609"/>
  <c r="E237" i="609"/>
  <c r="E238" i="609"/>
  <c r="E239" i="609"/>
  <c r="E240" i="609"/>
  <c r="E241" i="609"/>
  <c r="E242" i="609"/>
  <c r="E243" i="609"/>
  <c r="E244" i="609"/>
  <c r="E245" i="609"/>
  <c r="E246" i="609"/>
  <c r="E247" i="609"/>
  <c r="E248" i="609"/>
  <c r="E249" i="609"/>
  <c r="E250" i="609"/>
  <c r="E251" i="609"/>
  <c r="E252" i="609"/>
  <c r="E253" i="609"/>
  <c r="E254" i="609"/>
  <c r="E255" i="609"/>
  <c r="E256" i="609"/>
  <c r="E257" i="609"/>
  <c r="E258" i="609"/>
  <c r="E259" i="609"/>
  <c r="E260" i="609"/>
  <c r="E261" i="609"/>
  <c r="E262" i="609"/>
  <c r="E263" i="609"/>
  <c r="E264" i="609"/>
  <c r="E265" i="609"/>
  <c r="E266" i="609"/>
  <c r="E267" i="609"/>
  <c r="E268" i="609"/>
  <c r="E269" i="609"/>
  <c r="E270" i="609"/>
  <c r="E271" i="609"/>
  <c r="E272" i="609"/>
  <c r="E273" i="609"/>
  <c r="E274" i="609"/>
  <c r="E275" i="609"/>
  <c r="E276" i="609"/>
  <c r="E277" i="609"/>
  <c r="E278" i="609"/>
  <c r="E279" i="609"/>
  <c r="E280" i="609"/>
  <c r="E281" i="609"/>
  <c r="E282" i="609"/>
  <c r="E283" i="609"/>
  <c r="E284" i="609"/>
  <c r="E285" i="609"/>
  <c r="E286" i="609"/>
  <c r="E287" i="609"/>
  <c r="E288" i="609"/>
  <c r="E289" i="609"/>
  <c r="E290" i="609"/>
  <c r="E291" i="609"/>
  <c r="E292" i="609"/>
  <c r="E293" i="609"/>
  <c r="E294" i="609"/>
  <c r="E295" i="609"/>
  <c r="E296" i="609"/>
  <c r="E297" i="609"/>
  <c r="E298" i="609"/>
  <c r="E299" i="609"/>
  <c r="E300" i="609"/>
  <c r="E301" i="609"/>
  <c r="E302" i="609"/>
  <c r="E303" i="609"/>
  <c r="E304" i="609"/>
  <c r="E305" i="609"/>
  <c r="E306" i="609"/>
  <c r="E307" i="609"/>
  <c r="E308" i="609"/>
  <c r="E309" i="609"/>
  <c r="E310" i="609"/>
  <c r="E311" i="609"/>
  <c r="E312" i="609"/>
  <c r="E313" i="609"/>
  <c r="E314" i="609"/>
  <c r="E315" i="609"/>
  <c r="E316" i="609"/>
  <c r="E317" i="609"/>
  <c r="E318" i="609"/>
  <c r="E319" i="609"/>
  <c r="E320" i="609"/>
  <c r="E321" i="609"/>
  <c r="E322" i="609"/>
  <c r="E323" i="609"/>
  <c r="E324" i="609"/>
  <c r="E325" i="609"/>
  <c r="E326" i="609"/>
  <c r="E327" i="609"/>
  <c r="E328" i="609"/>
  <c r="E329" i="609"/>
  <c r="E330" i="609"/>
  <c r="E331" i="609"/>
  <c r="E332" i="609"/>
  <c r="E333" i="609"/>
  <c r="E334" i="609"/>
  <c r="E335" i="609"/>
  <c r="E336" i="609"/>
  <c r="E337" i="609"/>
  <c r="E338" i="609"/>
  <c r="E339" i="609"/>
  <c r="E340" i="609"/>
  <c r="E341" i="609"/>
  <c r="E342" i="609"/>
  <c r="E343" i="609"/>
  <c r="E344" i="609"/>
  <c r="E345" i="609"/>
  <c r="E346" i="609"/>
  <c r="E347" i="609"/>
  <c r="E348" i="609"/>
  <c r="E349" i="609"/>
  <c r="E350" i="609"/>
  <c r="E351" i="609"/>
  <c r="E352" i="609"/>
  <c r="E353" i="609"/>
  <c r="E354" i="609"/>
  <c r="E355" i="609"/>
  <c r="E356" i="609"/>
  <c r="E357" i="609"/>
  <c r="E358" i="609"/>
  <c r="E359" i="609"/>
  <c r="E360" i="609"/>
  <c r="E361" i="609"/>
  <c r="E2" i="609"/>
  <c r="C4" i="554" l="1" a="1"/>
  <c r="C4" i="554" s="1"/>
  <c r="C4" i="544" a="1"/>
  <c r="C4" i="544" s="1"/>
  <c r="C4" i="583" a="1"/>
  <c r="C4" i="583" s="1"/>
  <c r="C4" i="561" a="1"/>
  <c r="C4" i="561" s="1"/>
  <c r="C4" i="551" a="1"/>
  <c r="C4" i="551" s="1"/>
  <c r="C4" i="608" a="1"/>
  <c r="C4" i="608" s="1"/>
  <c r="C4" i="549" a="1"/>
  <c r="C4" i="549" s="1"/>
  <c r="C4" i="547" a="1"/>
  <c r="C4" i="547" s="1"/>
  <c r="C4" i="548" a="1"/>
  <c r="C4" i="548" s="1"/>
  <c r="C4" i="560" a="1"/>
  <c r="C4" i="560" s="1"/>
  <c r="C4" i="590" a="1"/>
  <c r="C4" i="590" s="1"/>
  <c r="C4" i="589" a="1"/>
  <c r="C4" i="589" s="1"/>
  <c r="C4" i="587" a="1"/>
  <c r="C4" i="587" s="1"/>
  <c r="C4" i="584" a="1"/>
  <c r="C4" i="584" s="1"/>
  <c r="C4" i="481" a="1"/>
  <c r="C4" i="481" s="1"/>
  <c r="C4" i="504" a="1"/>
  <c r="C4" i="504" s="1"/>
  <c r="C4" i="480" a="1"/>
  <c r="C4" i="480" s="1"/>
  <c r="C4" i="484" a="1"/>
  <c r="C4" i="484" s="1"/>
  <c r="C4" i="487" a="1"/>
  <c r="C4" i="487" s="1"/>
  <c r="C4" i="483" a="1"/>
  <c r="C4" i="483" s="1"/>
  <c r="C4" i="503" a="1"/>
  <c r="C4" i="503" s="1"/>
  <c r="C4" i="500" a="1"/>
  <c r="C4" i="500" s="1"/>
  <c r="C4" i="498" a="1"/>
  <c r="C4" i="498" s="1"/>
  <c r="C4" i="521" a="1"/>
  <c r="C4" i="521" s="1"/>
  <c r="C4" i="586" a="1"/>
  <c r="C4" i="586" s="1"/>
  <c r="C4" i="585" a="1"/>
  <c r="C4" i="585" s="1"/>
  <c r="C4" i="570" a="1"/>
  <c r="C4" i="570" s="1"/>
  <c r="C4" i="482" a="1"/>
  <c r="C4" i="482" s="1"/>
  <c r="C4" i="568" a="1"/>
  <c r="C4" i="568" s="1"/>
  <c r="C4" i="563" a="1"/>
  <c r="C4" i="563" s="1"/>
  <c r="C4" i="553" a="1"/>
  <c r="C4" i="553" s="1"/>
  <c r="C4" i="580" a="1"/>
  <c r="C4" i="580" s="1"/>
  <c r="C4" i="496" a="1"/>
  <c r="C4" i="496" s="1"/>
  <c r="C4" i="540" a="1"/>
  <c r="C4" i="540" s="1"/>
  <c r="C4" i="488" a="1"/>
  <c r="C4" i="488" s="1"/>
  <c r="C4" i="582" a="1"/>
  <c r="C4" i="582" s="1"/>
  <c r="C4" i="572" a="1"/>
  <c r="C4" i="572" s="1"/>
  <c r="C4" i="552" a="1"/>
  <c r="C4" i="552" s="1"/>
  <c r="C4" i="542" a="1"/>
  <c r="C4" i="542" s="1"/>
  <c r="C4" i="559" a="1"/>
  <c r="C4" i="559" s="1"/>
  <c r="C4" i="546" a="1"/>
  <c r="C4" i="546" s="1"/>
  <c r="C4" i="598" a="1"/>
  <c r="C4" i="598" s="1"/>
  <c r="C4" i="597" a="1"/>
  <c r="C4" i="597" s="1"/>
  <c r="C4" i="525" a="1"/>
  <c r="C4" i="525" s="1"/>
  <c r="C4" i="564" a="1"/>
  <c r="C4" i="564" s="1"/>
  <c r="C4" i="565" a="1"/>
  <c r="C4" i="565" s="1"/>
  <c r="C4" i="566" a="1"/>
  <c r="C4" i="566" s="1"/>
  <c r="C4" i="526" a="1"/>
  <c r="C4" i="526" s="1"/>
  <c r="C4" i="533" a="1"/>
  <c r="C4" i="533" s="1"/>
  <c r="C4" i="509" a="1"/>
  <c r="C4" i="509" s="1"/>
  <c r="C4" i="527" a="1"/>
  <c r="C4" i="527" s="1"/>
  <c r="C4" i="581" a="1"/>
  <c r="C4" i="581" s="1"/>
  <c r="C4" i="492" a="1"/>
  <c r="C4" i="492" s="1"/>
  <c r="C4" i="555" a="1"/>
  <c r="C4" i="555" s="1"/>
  <c r="C4" i="596" a="1"/>
  <c r="C4" i="596" s="1"/>
  <c r="C4" i="605" a="1"/>
  <c r="C4" i="605" s="1"/>
  <c r="C4" i="606" a="1"/>
  <c r="C4" i="606" s="1"/>
  <c r="C4" i="532" a="1"/>
  <c r="C4" i="532" s="1"/>
  <c r="C4" i="531" a="1"/>
  <c r="C4" i="531" s="1"/>
  <c r="C4" i="494" a="1"/>
  <c r="C4" i="494" s="1"/>
  <c r="C4" i="507" a="1"/>
  <c r="C4" i="507" s="1"/>
  <c r="C4" i="523" a="1"/>
  <c r="C4" i="523" s="1"/>
  <c r="C4" i="491" a="1"/>
  <c r="C4" i="491" s="1"/>
  <c r="C4" i="341" a="1"/>
  <c r="C4" i="341" s="1"/>
  <c r="D6" i="522" a="1"/>
  <c r="D6" i="522" s="1"/>
  <c r="M316" i="204"/>
  <c r="L316" i="204"/>
  <c r="K316" i="204"/>
  <c r="J316" i="204"/>
  <c r="I316" i="204"/>
  <c r="H316" i="204"/>
  <c r="G316" i="204"/>
  <c r="F316" i="204"/>
  <c r="E316" i="204"/>
  <c r="D316" i="204"/>
  <c r="C316" i="204"/>
  <c r="M306" i="204"/>
  <c r="L306" i="204"/>
  <c r="K306" i="204"/>
  <c r="J306" i="204"/>
  <c r="I306" i="204"/>
  <c r="H306" i="204"/>
  <c r="G306" i="204"/>
  <c r="F306" i="204"/>
  <c r="E306" i="204"/>
  <c r="D306" i="204"/>
  <c r="C306" i="204"/>
  <c r="M295" i="204"/>
  <c r="L295" i="204"/>
  <c r="K295" i="204"/>
  <c r="J295" i="204"/>
  <c r="I295" i="204"/>
  <c r="H295" i="204"/>
  <c r="G295" i="204"/>
  <c r="F295" i="204"/>
  <c r="E295" i="204"/>
  <c r="D295" i="204"/>
  <c r="C295" i="204"/>
  <c r="M284" i="204"/>
  <c r="L284" i="204"/>
  <c r="K284" i="204"/>
  <c r="J284" i="204"/>
  <c r="I284" i="204"/>
  <c r="H284" i="204"/>
  <c r="G284" i="204"/>
  <c r="F284" i="204"/>
  <c r="E284" i="204"/>
  <c r="D284" i="204"/>
  <c r="C284" i="204"/>
  <c r="M278" i="204"/>
  <c r="L278" i="204"/>
  <c r="K278" i="204"/>
  <c r="J278" i="204"/>
  <c r="I278" i="204"/>
  <c r="H278" i="204"/>
  <c r="G278" i="204"/>
  <c r="F278" i="204"/>
  <c r="E278" i="204"/>
  <c r="D278" i="204"/>
  <c r="C278" i="204"/>
  <c r="M272" i="204"/>
  <c r="L272" i="204"/>
  <c r="K272" i="204"/>
  <c r="J272" i="204"/>
  <c r="I272" i="204"/>
  <c r="H272" i="204"/>
  <c r="G272" i="204"/>
  <c r="F272" i="204"/>
  <c r="E272" i="204"/>
  <c r="D272" i="204"/>
  <c r="C272" i="204"/>
  <c r="M265" i="204"/>
  <c r="L265" i="204"/>
  <c r="K265" i="204"/>
  <c r="J265" i="204"/>
  <c r="I265" i="204"/>
  <c r="H265" i="204"/>
  <c r="G265" i="204"/>
  <c r="F265" i="204"/>
  <c r="E265" i="204"/>
  <c r="D265" i="204"/>
  <c r="C265" i="204"/>
  <c r="M256" i="204"/>
  <c r="L256" i="204"/>
  <c r="K256" i="204"/>
  <c r="J256" i="204"/>
  <c r="I256" i="204"/>
  <c r="H256" i="204"/>
  <c r="G256" i="204"/>
  <c r="F256" i="204"/>
  <c r="E256" i="204"/>
  <c r="D256" i="204"/>
  <c r="C256" i="204"/>
  <c r="H62" i="527" l="1"/>
  <c r="H66" i="554" l="1"/>
  <c r="F65" i="554"/>
  <c r="H64" i="554"/>
  <c r="G68" i="544" l="1"/>
  <c r="G67" i="544"/>
  <c r="G66" i="544"/>
  <c r="G65" i="544"/>
  <c r="G64" i="544"/>
  <c r="G63" i="544"/>
  <c r="K101" i="544"/>
  <c r="J101" i="544"/>
  <c r="I101" i="544"/>
  <c r="H101" i="544"/>
  <c r="G101" i="544"/>
  <c r="F101" i="544"/>
  <c r="E101" i="544"/>
  <c r="H67" i="544" l="1"/>
  <c r="H68" i="544"/>
  <c r="E124" i="551"/>
  <c r="H149" i="608" l="1"/>
  <c r="G149" i="608"/>
  <c r="F149" i="608"/>
  <c r="E149" i="608"/>
  <c r="J148" i="608"/>
  <c r="I148" i="608"/>
  <c r="J147" i="608"/>
  <c r="I147" i="608"/>
  <c r="J146" i="608"/>
  <c r="I146" i="608"/>
  <c r="J145" i="608"/>
  <c r="I145" i="608"/>
  <c r="D82" i="608"/>
  <c r="G67" i="608"/>
  <c r="F67" i="608"/>
  <c r="G63" i="608"/>
  <c r="F63" i="608"/>
  <c r="G62" i="608"/>
  <c r="F62" i="608"/>
  <c r="N45" i="608"/>
  <c r="N44" i="608"/>
  <c r="C15" i="608" s="1"/>
  <c r="N42" i="608"/>
  <c r="C14" i="608" s="1"/>
  <c r="C37" i="608"/>
  <c r="C16" i="608" s="1"/>
  <c r="C36" i="608"/>
  <c r="C3" i="608"/>
  <c r="J149" i="608" l="1"/>
  <c r="H67" i="608"/>
  <c r="I149" i="608"/>
  <c r="G67" i="590"/>
  <c r="F67" i="590"/>
  <c r="G62" i="590"/>
  <c r="F62" i="590"/>
  <c r="G63" i="590"/>
  <c r="F63" i="590"/>
  <c r="H149" i="590"/>
  <c r="G149" i="590"/>
  <c r="F149" i="590"/>
  <c r="E149" i="590"/>
  <c r="J148" i="590"/>
  <c r="I148" i="590"/>
  <c r="J147" i="590"/>
  <c r="I147" i="590"/>
  <c r="J146" i="590"/>
  <c r="I146" i="590"/>
  <c r="J145" i="590"/>
  <c r="I145" i="590"/>
  <c r="H62" i="608" l="1"/>
  <c r="N49" i="608" s="1"/>
  <c r="N43" i="608" s="1"/>
  <c r="C13" i="608" s="1"/>
  <c r="H67" i="590"/>
  <c r="J149" i="590"/>
  <c r="I149" i="590"/>
  <c r="H62" i="590" s="1"/>
  <c r="N49" i="590" s="1"/>
  <c r="F124" i="587"/>
  <c r="E124" i="587"/>
  <c r="F100" i="587"/>
  <c r="E100" i="587"/>
  <c r="F64" i="553"/>
  <c r="H64" i="553" s="1"/>
  <c r="K120" i="503" l="1"/>
  <c r="K121" i="503"/>
  <c r="K122" i="503"/>
  <c r="H66" i="484"/>
  <c r="H64" i="484"/>
  <c r="F63" i="484"/>
  <c r="F62" i="484"/>
  <c r="F62" i="487"/>
  <c r="H62" i="487" s="1"/>
  <c r="H66" i="487"/>
  <c r="H64" i="487"/>
  <c r="F63" i="487"/>
  <c r="H63" i="487" s="1"/>
  <c r="H66" i="483" l="1"/>
  <c r="H64" i="483"/>
  <c r="F63" i="483"/>
  <c r="F62" i="483"/>
  <c r="N49" i="484"/>
  <c r="N49" i="487"/>
  <c r="H66" i="503"/>
  <c r="H66" i="500"/>
  <c r="H66" i="498"/>
  <c r="F66" i="583" l="1"/>
  <c r="F72" i="533"/>
  <c r="F64" i="509"/>
  <c r="F68" i="559"/>
  <c r="F65" i="527"/>
  <c r="F68" i="563"/>
  <c r="H70" i="563"/>
  <c r="G6" i="204"/>
  <c r="H67" i="563"/>
  <c r="G62" i="553"/>
  <c r="G64" i="540"/>
  <c r="G62" i="572"/>
  <c r="H69" i="552"/>
  <c r="G70" i="552"/>
  <c r="G65" i="552"/>
  <c r="H62" i="494"/>
  <c r="N199" i="204"/>
  <c r="M199" i="204"/>
  <c r="L199" i="204"/>
  <c r="K199" i="204"/>
  <c r="J199" i="204"/>
  <c r="I199" i="204"/>
  <c r="H199" i="204"/>
  <c r="G199" i="204"/>
  <c r="F199" i="204"/>
  <c r="E199" i="204"/>
  <c r="D199" i="204"/>
  <c r="C199" i="204"/>
  <c r="H67" i="542"/>
  <c r="H68" i="563" l="1"/>
  <c r="D73" i="490"/>
  <c r="H67" i="559" l="1"/>
  <c r="H62" i="559"/>
  <c r="D54" i="490" l="1"/>
  <c r="H62" i="580"/>
  <c r="H66" i="580"/>
  <c r="F99" i="559"/>
  <c r="F98" i="559"/>
  <c r="F97" i="559"/>
  <c r="F64" i="525" l="1"/>
  <c r="F62" i="525"/>
  <c r="H68" i="525"/>
  <c r="H72" i="564" a="1"/>
  <c r="H72" i="564" s="1"/>
  <c r="H76" i="564"/>
  <c r="H75" i="564"/>
  <c r="H73" i="564"/>
  <c r="H76" i="565"/>
  <c r="H75" i="565"/>
  <c r="H73" i="565"/>
  <c r="H72" i="565" a="1"/>
  <c r="H72" i="565" s="1"/>
  <c r="H72" i="566" a="1"/>
  <c r="H72" i="566" s="1"/>
  <c r="H72" i="526" a="1"/>
  <c r="H72" i="526" s="1"/>
  <c r="D100" i="490" l="1"/>
  <c r="H64" i="533" s="1"/>
  <c r="H63" i="509"/>
  <c r="F66" i="581" l="1"/>
  <c r="F65" i="581"/>
  <c r="F64" i="581"/>
  <c r="H68" i="581"/>
  <c r="H67" i="581"/>
  <c r="H66" i="581"/>
  <c r="H65" i="581"/>
  <c r="H66" i="492"/>
  <c r="F66" i="492"/>
  <c r="F65" i="492"/>
  <c r="F64" i="492"/>
  <c r="H65" i="492"/>
  <c r="H68" i="492"/>
  <c r="H69" i="606"/>
  <c r="H70" i="606"/>
  <c r="H72" i="532"/>
  <c r="H64" i="507"/>
  <c r="G62" i="507"/>
  <c r="H68" i="606"/>
  <c r="C56" i="334"/>
  <c r="C26" i="334"/>
  <c r="D82" i="606"/>
  <c r="G63" i="606"/>
  <c r="F63" i="606"/>
  <c r="H64" i="606"/>
  <c r="G62" i="606"/>
  <c r="F62" i="606"/>
  <c r="N45" i="606"/>
  <c r="N42" i="606"/>
  <c r="C14" i="606" s="1"/>
  <c r="C37" i="606"/>
  <c r="C16" i="606" s="1"/>
  <c r="C36" i="606"/>
  <c r="C3" i="606"/>
  <c r="H65" i="531"/>
  <c r="O26" i="334"/>
  <c r="R26" i="334"/>
  <c r="Q26" i="334"/>
  <c r="G56" i="334"/>
  <c r="P56" i="334"/>
  <c r="H56" i="334"/>
  <c r="M56" i="334"/>
  <c r="P26" i="334"/>
  <c r="O56" i="334"/>
  <c r="R56" i="334"/>
  <c r="N26" i="334"/>
  <c r="F56" i="334"/>
  <c r="H26" i="334"/>
  <c r="N56" i="334"/>
  <c r="Q56" i="334"/>
  <c r="E56" i="334" l="1"/>
  <c r="D32" i="490"/>
  <c r="H63" i="507"/>
  <c r="H64" i="523"/>
  <c r="G62" i="523"/>
  <c r="B56" i="334"/>
  <c r="M26" i="334"/>
  <c r="F26" i="334"/>
  <c r="B26" i="334"/>
  <c r="D56" i="334" l="1"/>
  <c r="N45" i="605"/>
  <c r="N44" i="605"/>
  <c r="C15" i="605" s="1"/>
  <c r="N43" i="605"/>
  <c r="C13" i="605" s="1"/>
  <c r="N42" i="605"/>
  <c r="C14" i="605" s="1"/>
  <c r="C37" i="605"/>
  <c r="C16" i="605" s="1"/>
  <c r="C36" i="605"/>
  <c r="C3" i="605"/>
  <c r="D82" i="604"/>
  <c r="N45" i="604"/>
  <c r="N44" i="604"/>
  <c r="C15" i="604" s="1"/>
  <c r="N43" i="604"/>
  <c r="C13" i="604" s="1"/>
  <c r="N42" i="604"/>
  <c r="C14" i="604" s="1"/>
  <c r="C37" i="604"/>
  <c r="C16" i="604" s="1"/>
  <c r="C3" i="604"/>
  <c r="N45" i="603"/>
  <c r="N44" i="603"/>
  <c r="C15" i="603" s="1"/>
  <c r="N43" i="603"/>
  <c r="C13" i="603" s="1"/>
  <c r="N42" i="603"/>
  <c r="C14" i="603" s="1"/>
  <c r="C37" i="603"/>
  <c r="C16" i="603" s="1"/>
  <c r="C3" i="603"/>
  <c r="N45" i="602"/>
  <c r="N44" i="602"/>
  <c r="C15" i="602" s="1"/>
  <c r="N43" i="602"/>
  <c r="C13" i="602" s="1"/>
  <c r="N42" i="602"/>
  <c r="C14" i="602" s="1"/>
  <c r="C37" i="602"/>
  <c r="C16" i="602" s="1"/>
  <c r="C3" i="602"/>
  <c r="N45" i="601"/>
  <c r="N43" i="601"/>
  <c r="C13" i="601" s="1"/>
  <c r="N42" i="601"/>
  <c r="C14" i="601" s="1"/>
  <c r="C37" i="601"/>
  <c r="C16" i="601" s="1"/>
  <c r="C3" i="601"/>
  <c r="C45" i="334"/>
  <c r="C13" i="334"/>
  <c r="C11" i="334"/>
  <c r="C4" i="334"/>
  <c r="D82" i="598"/>
  <c r="N45" i="598"/>
  <c r="N44" i="598"/>
  <c r="C15" i="598" s="1"/>
  <c r="N43" i="598"/>
  <c r="C13" i="598" s="1"/>
  <c r="N42" i="598"/>
  <c r="C14" i="598" s="1"/>
  <c r="C37" i="598"/>
  <c r="C16" i="598" s="1"/>
  <c r="C36" i="598"/>
  <c r="C3" i="598"/>
  <c r="C75" i="334"/>
  <c r="D82" i="597"/>
  <c r="N44" i="597"/>
  <c r="C15" i="597" s="1"/>
  <c r="N43" i="597"/>
  <c r="C13" i="597" s="1"/>
  <c r="N45" i="597"/>
  <c r="N42" i="597"/>
  <c r="C14" i="597" s="1"/>
  <c r="C37" i="597"/>
  <c r="C16" i="597" s="1"/>
  <c r="C36" i="597"/>
  <c r="C3" i="597"/>
  <c r="C5" i="334"/>
  <c r="Q11" i="334"/>
  <c r="B75" i="334"/>
  <c r="G26" i="334"/>
  <c r="V5" i="334"/>
  <c r="N11" i="334"/>
  <c r="B4" i="334"/>
  <c r="O13" i="334"/>
  <c r="S4" i="334"/>
  <c r="P75" i="334"/>
  <c r="F74" i="618" l="1"/>
  <c r="E26" i="334"/>
  <c r="G13" i="334"/>
  <c r="P4" i="334"/>
  <c r="Q75" i="334"/>
  <c r="T26" i="334"/>
  <c r="P5" i="334"/>
  <c r="V4" i="334"/>
  <c r="M11" i="334"/>
  <c r="O45" i="334"/>
  <c r="H5" i="334"/>
  <c r="M4" i="334"/>
  <c r="F11" i="334"/>
  <c r="P45" i="334"/>
  <c r="N13" i="334"/>
  <c r="H13" i="334"/>
  <c r="B11" i="334"/>
  <c r="T75" i="334"/>
  <c r="N5" i="334"/>
  <c r="Q13" i="334"/>
  <c r="G11" i="334"/>
  <c r="F5" i="334"/>
  <c r="H11" i="334"/>
  <c r="S45" i="334"/>
  <c r="G4" i="334"/>
  <c r="Q5" i="334"/>
  <c r="P11" i="334"/>
  <c r="V75" i="334"/>
  <c r="V11" i="334"/>
  <c r="O5" i="334"/>
  <c r="O11" i="334"/>
  <c r="S75" i="334"/>
  <c r="T5" i="334"/>
  <c r="F75" i="334"/>
  <c r="R45" i="334"/>
  <c r="N75" i="334"/>
  <c r="T45" i="334"/>
  <c r="R11" i="334"/>
  <c r="N45" i="334"/>
  <c r="T13" i="334"/>
  <c r="O4" i="334"/>
  <c r="Q4" i="334"/>
  <c r="F13" i="334"/>
  <c r="R5" i="334"/>
  <c r="B5" i="334"/>
  <c r="B45" i="334"/>
  <c r="N4" i="334"/>
  <c r="G45" i="334"/>
  <c r="B13" i="334"/>
  <c r="R75" i="334"/>
  <c r="V26" i="334"/>
  <c r="Q45" i="334"/>
  <c r="F4" i="334"/>
  <c r="G5" i="334"/>
  <c r="P13" i="334"/>
  <c r="H45" i="334"/>
  <c r="V45" i="334"/>
  <c r="M5" i="334"/>
  <c r="O75" i="334"/>
  <c r="D74" i="618" l="1"/>
  <c r="B74" i="618"/>
  <c r="D26" i="334"/>
  <c r="E4" i="334"/>
  <c r="E13" i="334"/>
  <c r="E11" i="334"/>
  <c r="E5" i="334"/>
  <c r="X45" i="334"/>
  <c r="W45" i="334"/>
  <c r="W75" i="334"/>
  <c r="X75" i="334"/>
  <c r="X5" i="334"/>
  <c r="X26" i="334"/>
  <c r="N44" i="601"/>
  <c r="C15" i="601" s="1"/>
  <c r="Z45" i="334"/>
  <c r="Z4" i="334"/>
  <c r="Z75" i="334"/>
  <c r="C6" i="334"/>
  <c r="C3" i="596"/>
  <c r="N45" i="596"/>
  <c r="N44" i="596"/>
  <c r="C15" i="596" s="1"/>
  <c r="N42" i="596"/>
  <c r="C14" i="596" s="1"/>
  <c r="C37" i="596"/>
  <c r="C16" i="596" s="1"/>
  <c r="C36" i="596"/>
  <c r="S5" i="334"/>
  <c r="H4" i="334"/>
  <c r="H75" i="334"/>
  <c r="G75" i="334"/>
  <c r="M45" i="334"/>
  <c r="Q6" i="334"/>
  <c r="S11" i="334"/>
  <c r="M13" i="334"/>
  <c r="R13" i="334"/>
  <c r="C74" i="618" l="1"/>
  <c r="E74" i="618"/>
  <c r="D5" i="334"/>
  <c r="D11" i="334"/>
  <c r="D4" i="334"/>
  <c r="D13" i="334"/>
  <c r="E75" i="334"/>
  <c r="W11" i="334"/>
  <c r="Z11" i="334"/>
  <c r="X13" i="334"/>
  <c r="M75" i="334"/>
  <c r="V13" i="334"/>
  <c r="R4" i="334"/>
  <c r="F45" i="334"/>
  <c r="S13" i="334"/>
  <c r="T11" i="334"/>
  <c r="D75" i="334" l="1"/>
  <c r="E45" i="334"/>
  <c r="W4" i="334"/>
  <c r="W5" i="334"/>
  <c r="W13" i="334"/>
  <c r="X11" i="334"/>
  <c r="Z5" i="334"/>
  <c r="Z13" i="334"/>
  <c r="N6" i="334"/>
  <c r="O6" i="334"/>
  <c r="P6" i="334"/>
  <c r="B6" i="334"/>
  <c r="H6" i="334"/>
  <c r="E55" i="618" l="1"/>
  <c r="F55" i="618"/>
  <c r="D45" i="334"/>
  <c r="H74" i="575"/>
  <c r="E126" i="575"/>
  <c r="D83" i="575"/>
  <c r="H12" i="595"/>
  <c r="G6" i="334"/>
  <c r="V56" i="334"/>
  <c r="V6" i="334"/>
  <c r="T4" i="334"/>
  <c r="M6" i="334"/>
  <c r="R6" i="334"/>
  <c r="F6" i="334"/>
  <c r="T56" i="334"/>
  <c r="B55" i="618" l="1"/>
  <c r="D55" i="618"/>
  <c r="C55" i="618"/>
  <c r="X56" i="334"/>
  <c r="E6" i="334"/>
  <c r="X4" i="334"/>
  <c r="H63" i="568"/>
  <c r="F72" i="568"/>
  <c r="G38" i="180"/>
  <c r="G36" i="180"/>
  <c r="G35" i="180"/>
  <c r="G34" i="180"/>
  <c r="G33" i="180"/>
  <c r="G32" i="180"/>
  <c r="G31" i="180"/>
  <c r="G30" i="180"/>
  <c r="G28" i="180"/>
  <c r="G25" i="180"/>
  <c r="G24" i="180"/>
  <c r="G23" i="180"/>
  <c r="G22" i="180"/>
  <c r="G21" i="180"/>
  <c r="G20" i="180"/>
  <c r="G19" i="180"/>
  <c r="G18" i="180"/>
  <c r="G17" i="180"/>
  <c r="G16" i="180"/>
  <c r="G15" i="180"/>
  <c r="G14" i="180"/>
  <c r="G13" i="180"/>
  <c r="G12" i="180"/>
  <c r="G11" i="180"/>
  <c r="G10" i="180"/>
  <c r="G9" i="180"/>
  <c r="G6" i="180"/>
  <c r="K35" i="594"/>
  <c r="K34" i="594"/>
  <c r="K33" i="594"/>
  <c r="K32" i="594"/>
  <c r="K31" i="594"/>
  <c r="K30" i="594"/>
  <c r="K29" i="594"/>
  <c r="K28" i="594"/>
  <c r="K27" i="594"/>
  <c r="K26" i="594"/>
  <c r="K25" i="594"/>
  <c r="K24" i="594"/>
  <c r="K23" i="594"/>
  <c r="K22" i="594"/>
  <c r="K21" i="594"/>
  <c r="K20" i="594"/>
  <c r="K19" i="594"/>
  <c r="K16" i="594"/>
  <c r="K18" i="594" s="1"/>
  <c r="K15" i="594"/>
  <c r="K14" i="594"/>
  <c r="K13" i="594"/>
  <c r="K12" i="594"/>
  <c r="K11" i="594"/>
  <c r="K10" i="594"/>
  <c r="K9" i="594"/>
  <c r="K8" i="594"/>
  <c r="K7" i="594"/>
  <c r="K6" i="594"/>
  <c r="K5" i="594"/>
  <c r="F124" i="568"/>
  <c r="F123" i="568"/>
  <c r="F122" i="568"/>
  <c r="F121" i="568"/>
  <c r="C121" i="568"/>
  <c r="E124" i="568" s="1"/>
  <c r="D6" i="334" l="1"/>
  <c r="K17" i="594"/>
  <c r="K4" i="594" s="1"/>
  <c r="E123" i="568"/>
  <c r="E122" i="568"/>
  <c r="H75" i="566"/>
  <c r="H75" i="526"/>
  <c r="H72" i="496" l="1"/>
  <c r="H66" i="496"/>
  <c r="H69" i="496" s="1"/>
  <c r="H64" i="496"/>
  <c r="D8" i="593"/>
  <c r="D113" i="490" s="1"/>
  <c r="H71" i="496" s="1"/>
  <c r="D40" i="490"/>
  <c r="D115" i="490"/>
  <c r="H65" i="580" s="1"/>
  <c r="F125" i="523" l="1"/>
  <c r="F121" i="523"/>
  <c r="F122" i="523"/>
  <c r="F124" i="523"/>
  <c r="F123" i="523"/>
  <c r="D116" i="490"/>
  <c r="H64" i="552"/>
  <c r="H70" i="496"/>
  <c r="C43" i="334" l="1"/>
  <c r="C3" i="334"/>
  <c r="C15" i="334"/>
  <c r="C61" i="334"/>
  <c r="C32" i="334"/>
  <c r="C44" i="334"/>
  <c r="C36" i="334"/>
  <c r="C42" i="334"/>
  <c r="C17" i="334"/>
  <c r="C33" i="334"/>
  <c r="C38" i="334"/>
  <c r="C73" i="334"/>
  <c r="C40" i="334"/>
  <c r="C46" i="334"/>
  <c r="C53" i="334"/>
  <c r="C18" i="334"/>
  <c r="C10" i="334"/>
  <c r="C68" i="334"/>
  <c r="C24" i="334"/>
  <c r="C50" i="334"/>
  <c r="C52" i="334"/>
  <c r="C48" i="334"/>
  <c r="C72" i="334"/>
  <c r="C69" i="334"/>
  <c r="C55" i="334"/>
  <c r="C71" i="334"/>
  <c r="C70" i="334"/>
  <c r="C8" i="334"/>
  <c r="C63" i="334"/>
  <c r="C30" i="334"/>
  <c r="C34" i="334"/>
  <c r="C58" i="334"/>
  <c r="C9" i="334"/>
  <c r="C64" i="334"/>
  <c r="C23" i="334"/>
  <c r="C35" i="334"/>
  <c r="C57" i="334"/>
  <c r="C65" i="334"/>
  <c r="C41" i="334"/>
  <c r="C51" i="334"/>
  <c r="C31" i="334"/>
  <c r="C7" i="334"/>
  <c r="C74" i="334"/>
  <c r="C14" i="334"/>
  <c r="C60" i="334"/>
  <c r="C67" i="334"/>
  <c r="C59" i="334"/>
  <c r="C29" i="334"/>
  <c r="C39" i="334"/>
  <c r="C21" i="334"/>
  <c r="C37" i="334"/>
  <c r="C28" i="334"/>
  <c r="C47" i="334"/>
  <c r="C49" i="334"/>
  <c r="C25" i="334"/>
  <c r="C20" i="334"/>
  <c r="C66" i="334"/>
  <c r="C27" i="334"/>
  <c r="C16" i="334"/>
  <c r="C3" i="575" l="1"/>
  <c r="C3" i="562"/>
  <c r="C3" i="554"/>
  <c r="C3" i="544"/>
  <c r="C3" i="583"/>
  <c r="C3" i="586"/>
  <c r="C3" i="585"/>
  <c r="C3" i="570"/>
  <c r="C3" i="482"/>
  <c r="C3" i="480"/>
  <c r="C3" i="483"/>
  <c r="C3" i="503"/>
  <c r="C3" i="481"/>
  <c r="C3" i="504"/>
  <c r="C3" i="484"/>
  <c r="C3" i="487"/>
  <c r="C3" i="500"/>
  <c r="C3" i="498"/>
  <c r="C3" i="521"/>
  <c r="C3" i="568"/>
  <c r="C3" i="563"/>
  <c r="C3" i="553"/>
  <c r="C3" i="580"/>
  <c r="C3" i="496"/>
  <c r="C3" i="540"/>
  <c r="C3" i="488"/>
  <c r="C3" i="582"/>
  <c r="C3" i="572"/>
  <c r="C3" i="552"/>
  <c r="C3" i="542"/>
  <c r="C3" i="561"/>
  <c r="C3" i="551"/>
  <c r="C3" i="549"/>
  <c r="C3" i="547"/>
  <c r="C3" i="548"/>
  <c r="C3" i="589"/>
  <c r="C3" i="590"/>
  <c r="C3" i="587"/>
  <c r="C3" i="584"/>
  <c r="C3" i="560"/>
  <c r="C3" i="559"/>
  <c r="C3" i="546"/>
  <c r="C3" i="533"/>
  <c r="C3" i="509"/>
  <c r="C3" i="527"/>
  <c r="C3" i="581"/>
  <c r="C3" i="492"/>
  <c r="C3" i="555"/>
  <c r="C3" i="532"/>
  <c r="C3" i="531"/>
  <c r="C3" i="494"/>
  <c r="C3" i="507"/>
  <c r="C3" i="341"/>
  <c r="C3" i="491"/>
  <c r="C3" i="523"/>
  <c r="C3" i="525"/>
  <c r="C3" i="564"/>
  <c r="C3" i="565"/>
  <c r="C3" i="566"/>
  <c r="C3" i="526"/>
  <c r="N49" i="584" l="1"/>
  <c r="R34" i="334"/>
  <c r="O302" i="204" l="1"/>
  <c r="O291" i="204"/>
  <c r="G69" i="575"/>
  <c r="G68" i="575"/>
  <c r="F75" i="575"/>
  <c r="F63" i="575"/>
  <c r="O322" i="204"/>
  <c r="O316" i="204"/>
  <c r="O312" i="204"/>
  <c r="O306" i="204"/>
  <c r="G75" i="575"/>
  <c r="G63" i="575"/>
  <c r="O295" i="204"/>
  <c r="O284" i="204"/>
  <c r="D82" i="590"/>
  <c r="N45" i="590"/>
  <c r="N44" i="590"/>
  <c r="C15" i="590" s="1"/>
  <c r="N42" i="590"/>
  <c r="C14" i="590" s="1"/>
  <c r="C37" i="590"/>
  <c r="C16" i="590" s="1"/>
  <c r="C36" i="590"/>
  <c r="F62" i="549" a="1"/>
  <c r="F62" i="549" s="1"/>
  <c r="O34" i="334"/>
  <c r="G34" i="334"/>
  <c r="H34" i="334"/>
  <c r="M301" i="204" l="1"/>
  <c r="M298" i="204"/>
  <c r="M302" i="204"/>
  <c r="M299" i="204"/>
  <c r="M297" i="204"/>
  <c r="M300" i="204"/>
  <c r="F297" i="204"/>
  <c r="F299" i="204"/>
  <c r="F301" i="204"/>
  <c r="F298" i="204"/>
  <c r="F300" i="204"/>
  <c r="F302" i="204"/>
  <c r="J297" i="204"/>
  <c r="J299" i="204"/>
  <c r="J301" i="204"/>
  <c r="J298" i="204"/>
  <c r="J300" i="204"/>
  <c r="J302" i="204"/>
  <c r="I298" i="204"/>
  <c r="I300" i="204"/>
  <c r="I302" i="204"/>
  <c r="I297" i="204"/>
  <c r="I299" i="204"/>
  <c r="I301" i="204"/>
  <c r="C297" i="204"/>
  <c r="C299" i="204"/>
  <c r="C301" i="204"/>
  <c r="C298" i="204"/>
  <c r="C300" i="204"/>
  <c r="C302" i="204"/>
  <c r="G297" i="204"/>
  <c r="G299" i="204"/>
  <c r="G301" i="204"/>
  <c r="G300" i="204"/>
  <c r="G298" i="204"/>
  <c r="G302" i="204"/>
  <c r="K297" i="204"/>
  <c r="K299" i="204"/>
  <c r="K301" i="204"/>
  <c r="K298" i="204"/>
  <c r="K302" i="204"/>
  <c r="K300" i="204"/>
  <c r="E298" i="204"/>
  <c r="E300" i="204"/>
  <c r="E302" i="204"/>
  <c r="E297" i="204"/>
  <c r="E301" i="204"/>
  <c r="E299" i="204"/>
  <c r="D298" i="204"/>
  <c r="D300" i="204"/>
  <c r="D302" i="204"/>
  <c r="D297" i="204"/>
  <c r="D299" i="204"/>
  <c r="D301" i="204"/>
  <c r="H298" i="204"/>
  <c r="H300" i="204"/>
  <c r="H302" i="204"/>
  <c r="H297" i="204"/>
  <c r="H299" i="204"/>
  <c r="H301" i="204"/>
  <c r="L298" i="204"/>
  <c r="L300" i="204"/>
  <c r="L302" i="204"/>
  <c r="L297" i="204"/>
  <c r="L299" i="204"/>
  <c r="L301" i="204"/>
  <c r="D82" i="589"/>
  <c r="G64" i="589"/>
  <c r="F64" i="589"/>
  <c r="N45" i="589"/>
  <c r="N44" i="589"/>
  <c r="C15" i="589" s="1"/>
  <c r="N42" i="589"/>
  <c r="C14" i="589" s="1"/>
  <c r="C37" i="589"/>
  <c r="C16" i="589" s="1"/>
  <c r="C36" i="589"/>
  <c r="G65" i="547"/>
  <c r="F65" i="547"/>
  <c r="F64" i="547"/>
  <c r="H64" i="547" s="1" a="1"/>
  <c r="H64" i="547" s="1"/>
  <c r="F65" i="587"/>
  <c r="F64" i="587"/>
  <c r="H64" i="587" s="1" a="1"/>
  <c r="H64" i="587" s="1"/>
  <c r="P34" i="334"/>
  <c r="G31" i="334"/>
  <c r="N34" i="334"/>
  <c r="R31" i="334"/>
  <c r="B30" i="334"/>
  <c r="Q34" i="334"/>
  <c r="Q31" i="334"/>
  <c r="B31" i="334"/>
  <c r="P31" i="334"/>
  <c r="H31" i="334"/>
  <c r="V34" i="334"/>
  <c r="R63" i="334"/>
  <c r="T34" i="334"/>
  <c r="O31" i="334"/>
  <c r="M34" i="334"/>
  <c r="F34" i="334"/>
  <c r="B34" i="334"/>
  <c r="F31" i="334"/>
  <c r="D30" i="618" l="1"/>
  <c r="E31" i="334"/>
  <c r="E34" i="334"/>
  <c r="X34" i="334"/>
  <c r="H65" i="547"/>
  <c r="H64" i="589"/>
  <c r="N49" i="589" s="1"/>
  <c r="N43" i="589" s="1"/>
  <c r="C13" i="589" s="1"/>
  <c r="N43" i="590"/>
  <c r="C13" i="590" s="1"/>
  <c r="O278" i="204"/>
  <c r="O63" i="334"/>
  <c r="P30" i="334"/>
  <c r="M31" i="334"/>
  <c r="H30" i="334"/>
  <c r="P63" i="334"/>
  <c r="Q30" i="334"/>
  <c r="Q63" i="334"/>
  <c r="N31" i="334"/>
  <c r="R30" i="334"/>
  <c r="D31" i="334" l="1"/>
  <c r="D34" i="334"/>
  <c r="E99" i="560"/>
  <c r="D82" i="490"/>
  <c r="H66" i="533" s="1"/>
  <c r="H73" i="533"/>
  <c r="H71" i="533"/>
  <c r="H65" i="533"/>
  <c r="H62" i="533"/>
  <c r="G63" i="334"/>
  <c r="B63" i="334"/>
  <c r="F30" i="334"/>
  <c r="H63" i="334"/>
  <c r="O30" i="334"/>
  <c r="N63" i="334"/>
  <c r="N30" i="334"/>
  <c r="T30" i="334"/>
  <c r="M30" i="334"/>
  <c r="S30" i="334"/>
  <c r="V30" i="334"/>
  <c r="G30" i="334"/>
  <c r="F63" i="334"/>
  <c r="M63" i="334"/>
  <c r="E30" i="618" l="1"/>
  <c r="F30" i="618"/>
  <c r="B30" i="618"/>
  <c r="C30" i="618"/>
  <c r="E63" i="334"/>
  <c r="E30" i="334"/>
  <c r="X30" i="334"/>
  <c r="W30" i="334"/>
  <c r="Z30" i="334"/>
  <c r="H62" i="509"/>
  <c r="F68" i="527"/>
  <c r="E100" i="527"/>
  <c r="H69" i="562"/>
  <c r="H70" i="527"/>
  <c r="S34" i="334"/>
  <c r="D30" i="334" l="1"/>
  <c r="D63" i="334"/>
  <c r="W34" i="334"/>
  <c r="Z34" i="334"/>
  <c r="H68" i="527"/>
  <c r="H65" i="509"/>
  <c r="H67" i="583" l="1"/>
  <c r="H65" i="583"/>
  <c r="H62" i="583"/>
  <c r="H70" i="583"/>
  <c r="H63" i="554"/>
  <c r="F67" i="562" l="1"/>
  <c r="E100" i="562"/>
  <c r="F107" i="525" l="1"/>
  <c r="F106" i="525"/>
  <c r="F105" i="525"/>
  <c r="F104" i="525"/>
  <c r="F103" i="525"/>
  <c r="F102" i="525"/>
  <c r="F101" i="525"/>
  <c r="F100" i="525"/>
  <c r="F99" i="525"/>
  <c r="F98" i="525"/>
  <c r="F97" i="525"/>
  <c r="H66" i="546" l="1"/>
  <c r="O272" i="204"/>
  <c r="H64" i="583"/>
  <c r="H63" i="583" s="1"/>
  <c r="H67" i="533"/>
  <c r="H67" i="527"/>
  <c r="N51" i="527" s="1"/>
  <c r="H72" i="554"/>
  <c r="H70" i="554"/>
  <c r="H64" i="586"/>
  <c r="H64" i="585"/>
  <c r="H64" i="570"/>
  <c r="H64" i="482"/>
  <c r="N49" i="482" s="1"/>
  <c r="H64" i="480"/>
  <c r="C18" i="480" s="1"/>
  <c r="H64" i="503"/>
  <c r="H64" i="504"/>
  <c r="H64" i="500"/>
  <c r="H64" i="498"/>
  <c r="F74" i="554" l="1"/>
  <c r="C290" i="204"/>
  <c r="G290" i="204"/>
  <c r="K290" i="204"/>
  <c r="D290" i="204"/>
  <c r="H290" i="204"/>
  <c r="L290" i="204"/>
  <c r="E290" i="204"/>
  <c r="I290" i="204"/>
  <c r="M290" i="204"/>
  <c r="F290" i="204"/>
  <c r="J290" i="204"/>
  <c r="C319" i="204"/>
  <c r="C320" i="204"/>
  <c r="C318" i="204"/>
  <c r="C321" i="204"/>
  <c r="C312" i="204"/>
  <c r="C322" i="204"/>
  <c r="K319" i="204"/>
  <c r="K320" i="204"/>
  <c r="K318" i="204"/>
  <c r="K321" i="204"/>
  <c r="K322" i="204"/>
  <c r="K312" i="204"/>
  <c r="D320" i="204"/>
  <c r="D321" i="204"/>
  <c r="D319" i="204"/>
  <c r="D318" i="204"/>
  <c r="D322" i="204"/>
  <c r="D312" i="204"/>
  <c r="L320" i="204"/>
  <c r="L321" i="204"/>
  <c r="L319" i="204"/>
  <c r="L318" i="204"/>
  <c r="L322" i="204"/>
  <c r="L312" i="204"/>
  <c r="E321" i="204"/>
  <c r="E318" i="204"/>
  <c r="E320" i="204"/>
  <c r="E319" i="204"/>
  <c r="E322" i="204"/>
  <c r="E312" i="204"/>
  <c r="I321" i="204"/>
  <c r="I318" i="204"/>
  <c r="I320" i="204"/>
  <c r="I319" i="204"/>
  <c r="I322" i="204"/>
  <c r="I312" i="204"/>
  <c r="G319" i="204"/>
  <c r="G320" i="204"/>
  <c r="G318" i="204"/>
  <c r="G321" i="204"/>
  <c r="G322" i="204"/>
  <c r="G312" i="204"/>
  <c r="H320" i="204"/>
  <c r="H321" i="204"/>
  <c r="H319" i="204"/>
  <c r="H318" i="204"/>
  <c r="H312" i="204"/>
  <c r="H322" i="204"/>
  <c r="M321" i="204"/>
  <c r="M318" i="204"/>
  <c r="M320" i="204"/>
  <c r="M319" i="204"/>
  <c r="M312" i="204"/>
  <c r="M322" i="204"/>
  <c r="F318" i="204"/>
  <c r="F319" i="204"/>
  <c r="F321" i="204"/>
  <c r="F320" i="204"/>
  <c r="F312" i="204"/>
  <c r="F322" i="204"/>
  <c r="J318" i="204"/>
  <c r="J319" i="204"/>
  <c r="J321" i="204"/>
  <c r="J320" i="204"/>
  <c r="J312" i="204"/>
  <c r="J322" i="204"/>
  <c r="C280" i="204"/>
  <c r="C309" i="204"/>
  <c r="C288" i="204"/>
  <c r="C310" i="204"/>
  <c r="C287" i="204"/>
  <c r="C289" i="204"/>
  <c r="C286" i="204"/>
  <c r="C311" i="204"/>
  <c r="C291" i="204"/>
  <c r="C308" i="204"/>
  <c r="D310" i="204"/>
  <c r="D289" i="204"/>
  <c r="D288" i="204"/>
  <c r="D311" i="204"/>
  <c r="D291" i="204"/>
  <c r="D309" i="204"/>
  <c r="D308" i="204"/>
  <c r="D287" i="204"/>
  <c r="D286" i="204"/>
  <c r="H310" i="204"/>
  <c r="H291" i="204"/>
  <c r="H289" i="204"/>
  <c r="H286" i="204"/>
  <c r="H311" i="204"/>
  <c r="H287" i="204"/>
  <c r="H308" i="204"/>
  <c r="H288" i="204"/>
  <c r="H309" i="204"/>
  <c r="L310" i="204"/>
  <c r="L291" i="204"/>
  <c r="L311" i="204"/>
  <c r="L287" i="204"/>
  <c r="L309" i="204"/>
  <c r="L308" i="204"/>
  <c r="L288" i="204"/>
  <c r="L289" i="204"/>
  <c r="L286" i="204"/>
  <c r="K309" i="204"/>
  <c r="K291" i="204"/>
  <c r="K286" i="204"/>
  <c r="K289" i="204"/>
  <c r="K310" i="204"/>
  <c r="K287" i="204"/>
  <c r="K311" i="204"/>
  <c r="K288" i="204"/>
  <c r="K308" i="204"/>
  <c r="E311" i="204"/>
  <c r="E291" i="204"/>
  <c r="E287" i="204"/>
  <c r="E289" i="204"/>
  <c r="E308" i="204"/>
  <c r="E309" i="204"/>
  <c r="E288" i="204"/>
  <c r="E286" i="204"/>
  <c r="E310" i="204"/>
  <c r="I311" i="204"/>
  <c r="I291" i="204"/>
  <c r="I308" i="204"/>
  <c r="I287" i="204"/>
  <c r="I310" i="204"/>
  <c r="I309" i="204"/>
  <c r="I288" i="204"/>
  <c r="I286" i="204"/>
  <c r="I289" i="204"/>
  <c r="G309" i="204"/>
  <c r="G291" i="204"/>
  <c r="G286" i="204"/>
  <c r="G310" i="204"/>
  <c r="G287" i="204"/>
  <c r="G308" i="204"/>
  <c r="G311" i="204"/>
  <c r="G288" i="204"/>
  <c r="G289" i="204"/>
  <c r="M311" i="204"/>
  <c r="M291" i="204"/>
  <c r="M289" i="204"/>
  <c r="M308" i="204"/>
  <c r="M287" i="204"/>
  <c r="M309" i="204"/>
  <c r="M288" i="204"/>
  <c r="M286" i="204"/>
  <c r="M310" i="204"/>
  <c r="F308" i="204"/>
  <c r="F291" i="204"/>
  <c r="F309" i="204"/>
  <c r="F287" i="204"/>
  <c r="F286" i="204"/>
  <c r="F289" i="204"/>
  <c r="F310" i="204"/>
  <c r="F288" i="204"/>
  <c r="F311" i="204"/>
  <c r="J308" i="204"/>
  <c r="J291" i="204"/>
  <c r="J309" i="204"/>
  <c r="J287" i="204"/>
  <c r="J286" i="204"/>
  <c r="J311" i="204"/>
  <c r="J289" i="204"/>
  <c r="J310" i="204"/>
  <c r="J288" i="204"/>
  <c r="D274" i="204"/>
  <c r="D280" i="204"/>
  <c r="H274" i="204"/>
  <c r="H280" i="204"/>
  <c r="L280" i="204"/>
  <c r="E280" i="204"/>
  <c r="I280" i="204"/>
  <c r="M280" i="204"/>
  <c r="F280" i="204"/>
  <c r="J280" i="204"/>
  <c r="G280" i="204"/>
  <c r="K280" i="204"/>
  <c r="L274" i="204"/>
  <c r="M274" i="204"/>
  <c r="F274" i="204"/>
  <c r="J274" i="204"/>
  <c r="G274" i="204"/>
  <c r="E274" i="204"/>
  <c r="I274" i="204"/>
  <c r="K274" i="204"/>
  <c r="C274" i="204"/>
  <c r="D82" i="587"/>
  <c r="G65" i="587"/>
  <c r="H65" i="587" s="1"/>
  <c r="N49" i="587" s="1"/>
  <c r="N45" i="587"/>
  <c r="N44" i="587"/>
  <c r="C15" i="587" s="1"/>
  <c r="N42" i="587"/>
  <c r="C14" i="587" s="1"/>
  <c r="C37" i="587"/>
  <c r="C16" i="587" s="1"/>
  <c r="C36" i="587"/>
  <c r="N49" i="586"/>
  <c r="F64" i="586"/>
  <c r="N49" i="585"/>
  <c r="F64" i="585"/>
  <c r="F64" i="482"/>
  <c r="D82" i="586"/>
  <c r="N45" i="586"/>
  <c r="N44" i="586"/>
  <c r="C15" i="586" s="1"/>
  <c r="N42" i="586"/>
  <c r="C14" i="586" s="1"/>
  <c r="C37" i="586"/>
  <c r="C16" i="586" s="1"/>
  <c r="D82" i="585"/>
  <c r="N45" i="585"/>
  <c r="N44" i="585"/>
  <c r="C15" i="585" s="1"/>
  <c r="N42" i="585"/>
  <c r="C14" i="585" s="1"/>
  <c r="C37" i="585"/>
  <c r="C16" i="585" s="1"/>
  <c r="N43" i="584"/>
  <c r="C13" i="584" s="1"/>
  <c r="D82" i="584"/>
  <c r="N45" i="584"/>
  <c r="N44" i="584"/>
  <c r="C15" i="584" s="1"/>
  <c r="N42" i="584"/>
  <c r="C14" i="584" s="1"/>
  <c r="C37" i="584"/>
  <c r="C16" i="584" s="1"/>
  <c r="C36" i="584"/>
  <c r="V63" i="334"/>
  <c r="N290" i="204" l="1"/>
  <c r="N318" i="204"/>
  <c r="N320" i="204"/>
  <c r="N322" i="204"/>
  <c r="H69" i="575" s="1"/>
  <c r="N319" i="204"/>
  <c r="N312" i="204"/>
  <c r="H68" i="575" s="1"/>
  <c r="N321" i="204"/>
  <c r="N286" i="204"/>
  <c r="N289" i="204"/>
  <c r="N288" i="204"/>
  <c r="N308" i="204"/>
  <c r="N311" i="204"/>
  <c r="N287" i="204"/>
  <c r="H63" i="575" s="1"/>
  <c r="N291" i="204"/>
  <c r="N309" i="204"/>
  <c r="N310" i="204"/>
  <c r="N280" i="204"/>
  <c r="H65" i="551" s="1"/>
  <c r="N43" i="587"/>
  <c r="C13" i="587" s="1"/>
  <c r="N43" i="586"/>
  <c r="C13" i="586" s="1"/>
  <c r="C36" i="586"/>
  <c r="C36" i="585"/>
  <c r="N43" i="585"/>
  <c r="C13" i="585" s="1"/>
  <c r="Q70" i="334"/>
  <c r="H70" i="334"/>
  <c r="B8" i="334"/>
  <c r="S70" i="334"/>
  <c r="P8" i="334"/>
  <c r="T70" i="334"/>
  <c r="F71" i="334"/>
  <c r="Q71" i="334"/>
  <c r="N70" i="334"/>
  <c r="B70" i="334"/>
  <c r="B71" i="334"/>
  <c r="F8" i="334"/>
  <c r="N8" i="334"/>
  <c r="G71" i="334"/>
  <c r="H71" i="334"/>
  <c r="T63" i="334"/>
  <c r="P70" i="334"/>
  <c r="R8" i="334"/>
  <c r="Q8" i="334"/>
  <c r="M71" i="334"/>
  <c r="R71" i="334"/>
  <c r="O8" i="334"/>
  <c r="V8" i="334"/>
  <c r="H8" i="334"/>
  <c r="O70" i="334"/>
  <c r="T8" i="334"/>
  <c r="S8" i="334"/>
  <c r="V70" i="334"/>
  <c r="R70" i="334"/>
  <c r="S63" i="334"/>
  <c r="F69" i="618" l="1"/>
  <c r="D70" i="618"/>
  <c r="E70" i="618"/>
  <c r="E69" i="618"/>
  <c r="B70" i="618"/>
  <c r="C70" i="618"/>
  <c r="D69" i="618"/>
  <c r="F70" i="618"/>
  <c r="F29" i="618"/>
  <c r="E15" i="618"/>
  <c r="B29" i="618"/>
  <c r="D29" i="618"/>
  <c r="E29" i="618"/>
  <c r="C29" i="618"/>
  <c r="H66" i="575"/>
  <c r="E8" i="334"/>
  <c r="E71" i="334"/>
  <c r="X8" i="334"/>
  <c r="W8" i="334"/>
  <c r="X70" i="334"/>
  <c r="W70" i="334"/>
  <c r="W63" i="334"/>
  <c r="X63" i="334"/>
  <c r="Z63" i="334"/>
  <c r="Z70" i="334"/>
  <c r="Z8" i="334"/>
  <c r="G64" i="494"/>
  <c r="G63" i="494"/>
  <c r="F64" i="494"/>
  <c r="F63" i="494"/>
  <c r="S71" i="334"/>
  <c r="M8" i="334"/>
  <c r="N71" i="334"/>
  <c r="T71" i="334"/>
  <c r="F70" i="334"/>
  <c r="V71" i="334"/>
  <c r="P71" i="334"/>
  <c r="G70" i="334"/>
  <c r="M70" i="334"/>
  <c r="B69" i="618" l="1"/>
  <c r="C69" i="618"/>
  <c r="D71" i="334"/>
  <c r="D8" i="334"/>
  <c r="E70" i="334"/>
  <c r="W71" i="334"/>
  <c r="X71" i="334"/>
  <c r="Z71" i="334"/>
  <c r="C37" i="549"/>
  <c r="C36" i="549"/>
  <c r="C37" i="547"/>
  <c r="C16" i="547" s="1"/>
  <c r="C36" i="547"/>
  <c r="C37" i="548"/>
  <c r="C36" i="548"/>
  <c r="H65" i="494"/>
  <c r="O71" i="334"/>
  <c r="D70" i="334" l="1"/>
  <c r="O256" i="204"/>
  <c r="O265" i="204" s="1"/>
  <c r="G62" i="568"/>
  <c r="F62" i="568"/>
  <c r="S30" i="180"/>
  <c r="S7" i="180"/>
  <c r="S6" i="180"/>
  <c r="J267" i="204" l="1"/>
  <c r="J268" i="204"/>
  <c r="C267" i="204"/>
  <c r="C268" i="204"/>
  <c r="D267" i="204"/>
  <c r="D268" i="204"/>
  <c r="H267" i="204"/>
  <c r="H268" i="204"/>
  <c r="L267" i="204"/>
  <c r="L268" i="204"/>
  <c r="F267" i="204"/>
  <c r="F268" i="204"/>
  <c r="G267" i="204"/>
  <c r="G268" i="204"/>
  <c r="K267" i="204"/>
  <c r="K268" i="204"/>
  <c r="E267" i="204"/>
  <c r="E268" i="204"/>
  <c r="I267" i="204"/>
  <c r="I268" i="204"/>
  <c r="M267" i="204"/>
  <c r="M268" i="204"/>
  <c r="I259" i="204"/>
  <c r="C259" i="204"/>
  <c r="G259" i="204"/>
  <c r="K259" i="204"/>
  <c r="D260" i="204"/>
  <c r="H260" i="204"/>
  <c r="L260" i="204"/>
  <c r="E261" i="204"/>
  <c r="I261" i="204"/>
  <c r="M261" i="204"/>
  <c r="F258" i="204"/>
  <c r="J258" i="204"/>
  <c r="G258" i="204"/>
  <c r="D259" i="204"/>
  <c r="L259" i="204"/>
  <c r="E260" i="204"/>
  <c r="I260" i="204"/>
  <c r="M260" i="204"/>
  <c r="F261" i="204"/>
  <c r="J261" i="204"/>
  <c r="D258" i="204"/>
  <c r="L258" i="204"/>
  <c r="M259" i="204"/>
  <c r="E258" i="204"/>
  <c r="I258" i="204"/>
  <c r="M258" i="204"/>
  <c r="F259" i="204"/>
  <c r="J259" i="204"/>
  <c r="C260" i="204"/>
  <c r="G260" i="204"/>
  <c r="K260" i="204"/>
  <c r="D261" i="204"/>
  <c r="H261" i="204"/>
  <c r="L261" i="204"/>
  <c r="C258" i="204"/>
  <c r="K258" i="204"/>
  <c r="H259" i="204"/>
  <c r="H258" i="204"/>
  <c r="E259" i="204"/>
  <c r="F260" i="204"/>
  <c r="J260" i="204"/>
  <c r="C261" i="204"/>
  <c r="G261" i="204"/>
  <c r="K261" i="204"/>
  <c r="C37" i="583"/>
  <c r="C16" i="583" s="1"/>
  <c r="C36" i="583"/>
  <c r="D82" i="583"/>
  <c r="H71" i="583"/>
  <c r="H69" i="583" s="1"/>
  <c r="F71" i="583"/>
  <c r="F64" i="583"/>
  <c r="N45" i="583"/>
  <c r="N43" i="583"/>
  <c r="C13" i="583" s="1"/>
  <c r="N42" i="583"/>
  <c r="C14" i="583" s="1"/>
  <c r="N274" i="204" l="1"/>
  <c r="H65" i="546" s="1"/>
  <c r="N50" i="546" s="1"/>
  <c r="N267" i="204"/>
  <c r="N268" i="204"/>
  <c r="H64" i="494" s="1"/>
  <c r="N258" i="204"/>
  <c r="N259" i="204"/>
  <c r="N261" i="204"/>
  <c r="N260" i="204"/>
  <c r="H63" i="494" l="1"/>
  <c r="N49" i="494" s="1"/>
  <c r="D82" i="582"/>
  <c r="G65" i="582"/>
  <c r="F65" i="582"/>
  <c r="G63" i="582"/>
  <c r="F63" i="582"/>
  <c r="N45" i="582"/>
  <c r="N44" i="582"/>
  <c r="C15" i="582" s="1"/>
  <c r="N42" i="582"/>
  <c r="C14" i="582" s="1"/>
  <c r="C37" i="582"/>
  <c r="C16" i="582" s="1"/>
  <c r="C36" i="582"/>
  <c r="O44" i="334"/>
  <c r="H63" i="582" l="1"/>
  <c r="D82" i="581"/>
  <c r="N45" i="581"/>
  <c r="N42" i="581"/>
  <c r="C14" i="581" s="1"/>
  <c r="C37" i="581"/>
  <c r="C16" i="581" s="1"/>
  <c r="C36" i="581"/>
  <c r="M44" i="334"/>
  <c r="P44" i="334"/>
  <c r="H70" i="580" l="1"/>
  <c r="F64" i="580"/>
  <c r="H44" i="334"/>
  <c r="B44" i="334"/>
  <c r="F44" i="334"/>
  <c r="Q44" i="334"/>
  <c r="N44" i="334"/>
  <c r="V44" i="334"/>
  <c r="T44" i="334"/>
  <c r="E5" i="618" l="1"/>
  <c r="F5" i="618"/>
  <c r="B5" i="618"/>
  <c r="C36" i="554"/>
  <c r="C37" i="554"/>
  <c r="C36" i="544"/>
  <c r="C37" i="544"/>
  <c r="R44" i="334"/>
  <c r="G44" i="334"/>
  <c r="C5" i="618" l="1"/>
  <c r="D5" i="618"/>
  <c r="X44" i="334"/>
  <c r="E44" i="334"/>
  <c r="C36" i="580"/>
  <c r="C37" i="580"/>
  <c r="C16" i="580" s="1"/>
  <c r="D99" i="549"/>
  <c r="D98" i="549"/>
  <c r="D97" i="549"/>
  <c r="D82" i="580"/>
  <c r="F63" i="580"/>
  <c r="G63" i="580"/>
  <c r="G64" i="580"/>
  <c r="F66" i="580"/>
  <c r="G66" i="580"/>
  <c r="F67" i="580"/>
  <c r="G67" i="580"/>
  <c r="N42" i="580"/>
  <c r="C14" i="580" s="1"/>
  <c r="N44" i="580"/>
  <c r="C15" i="580" s="1"/>
  <c r="N45" i="580"/>
  <c r="D44" i="334" l="1"/>
  <c r="H72" i="563"/>
  <c r="F63" i="563" s="1"/>
  <c r="C37" i="563"/>
  <c r="C36" i="563"/>
  <c r="H68" i="496"/>
  <c r="H73" i="552" l="1"/>
  <c r="C37" i="551"/>
  <c r="C36" i="551"/>
  <c r="C37" i="561"/>
  <c r="C36" i="561"/>
  <c r="H63" i="553"/>
  <c r="C37" i="560"/>
  <c r="C36" i="560"/>
  <c r="C37" i="559"/>
  <c r="C36" i="559"/>
  <c r="C37" i="546"/>
  <c r="C36" i="546"/>
  <c r="C37" i="533"/>
  <c r="C36" i="533"/>
  <c r="C37" i="509"/>
  <c r="C36" i="509"/>
  <c r="C37" i="527"/>
  <c r="C36" i="527"/>
  <c r="H70" i="559"/>
  <c r="H69" i="559"/>
  <c r="H66" i="559"/>
  <c r="C36" i="481" l="1"/>
  <c r="C36" i="484"/>
  <c r="C36" i="487"/>
  <c r="C37" i="492"/>
  <c r="C36" i="492"/>
  <c r="C37" i="555"/>
  <c r="C36" i="555"/>
  <c r="H63" i="532"/>
  <c r="C37" i="532" l="1"/>
  <c r="C36" i="532"/>
  <c r="H63" i="531"/>
  <c r="C37" i="494"/>
  <c r="C36" i="494"/>
  <c r="C37" i="526"/>
  <c r="C36" i="526"/>
  <c r="C37" i="566"/>
  <c r="C36" i="566"/>
  <c r="C37" i="565"/>
  <c r="C36" i="565"/>
  <c r="C37" i="564"/>
  <c r="C36" i="564"/>
  <c r="C37" i="525"/>
  <c r="C36" i="525"/>
  <c r="C37" i="491"/>
  <c r="C36" i="491"/>
  <c r="C37" i="523"/>
  <c r="C36" i="523"/>
  <c r="H62" i="491"/>
  <c r="F65" i="570"/>
  <c r="H65" i="570" s="1"/>
  <c r="F66" i="491" l="1"/>
  <c r="G66" i="491"/>
  <c r="N49" i="525"/>
  <c r="H65" i="491" a="1"/>
  <c r="H65" i="491" s="1"/>
  <c r="H68" i="565"/>
  <c r="G63" i="565"/>
  <c r="F63" i="565"/>
  <c r="G62" i="565"/>
  <c r="F62" i="565"/>
  <c r="H68" i="564"/>
  <c r="H73" i="566"/>
  <c r="H68" i="566"/>
  <c r="G63" i="566"/>
  <c r="F63" i="566"/>
  <c r="H76" i="566"/>
  <c r="G62" i="566"/>
  <c r="F62" i="566"/>
  <c r="G63" i="564"/>
  <c r="F63" i="564"/>
  <c r="G62" i="564"/>
  <c r="F62" i="564"/>
  <c r="G62" i="526" l="1"/>
  <c r="F62" i="526"/>
  <c r="F63" i="526"/>
  <c r="H68" i="526"/>
  <c r="H73" i="526"/>
  <c r="G46" i="217"/>
  <c r="AG46" i="217"/>
  <c r="G47" i="217"/>
  <c r="AG47" i="217"/>
  <c r="G48" i="217"/>
  <c r="AG48" i="217"/>
  <c r="K49" i="217"/>
  <c r="G49" i="217" s="1"/>
  <c r="AG49" i="217"/>
  <c r="AM49" i="217"/>
  <c r="AU49" i="217"/>
  <c r="K50" i="217"/>
  <c r="G50" i="217" s="1"/>
  <c r="AG50" i="217"/>
  <c r="AM50" i="217"/>
  <c r="AU50" i="217"/>
  <c r="K51" i="217"/>
  <c r="G51" i="217" s="1"/>
  <c r="S51" i="217"/>
  <c r="T51" i="217" s="1"/>
  <c r="Y51" i="217"/>
  <c r="Z51" i="217" s="1"/>
  <c r="AG51" i="217"/>
  <c r="AM51" i="217"/>
  <c r="AU51" i="217"/>
  <c r="AP51" i="217" s="1"/>
  <c r="K52" i="217"/>
  <c r="G52" i="217" s="1"/>
  <c r="S52" i="217"/>
  <c r="T52" i="217" s="1"/>
  <c r="Y52" i="217"/>
  <c r="Z52" i="217" s="1"/>
  <c r="AG52" i="217"/>
  <c r="AM52" i="217"/>
  <c r="AU52" i="217"/>
  <c r="AP52" i="217" s="1"/>
  <c r="K53" i="217"/>
  <c r="G53" i="217" s="1"/>
  <c r="S53" i="217"/>
  <c r="T53" i="217" s="1"/>
  <c r="Y53" i="217"/>
  <c r="Z53" i="217" s="1"/>
  <c r="AG53" i="217"/>
  <c r="AM53" i="217"/>
  <c r="AU53" i="217"/>
  <c r="AP53" i="217" s="1"/>
  <c r="K54" i="217"/>
  <c r="G54" i="217" s="1"/>
  <c r="S54" i="217"/>
  <c r="T54" i="217" s="1"/>
  <c r="Y54" i="217"/>
  <c r="Z54" i="217" s="1"/>
  <c r="AG54" i="217"/>
  <c r="AM54" i="217"/>
  <c r="AU54" i="217"/>
  <c r="AP54" i="217" s="1"/>
  <c r="K55" i="217"/>
  <c r="G55" i="217" s="1"/>
  <c r="S55" i="217"/>
  <c r="T55" i="217" s="1"/>
  <c r="Y55" i="217"/>
  <c r="Z55" i="217" s="1"/>
  <c r="AG55" i="217"/>
  <c r="AM55" i="217"/>
  <c r="AU55" i="217"/>
  <c r="AP55" i="217" s="1"/>
  <c r="C56" i="217"/>
  <c r="E56" i="217"/>
  <c r="Q56" i="217"/>
  <c r="S56" i="217" s="1"/>
  <c r="T56" i="217" s="1"/>
  <c r="V56" i="217"/>
  <c r="W56" i="217"/>
  <c r="Y56" i="217" s="1"/>
  <c r="AD56" i="217"/>
  <c r="AE56" i="217"/>
  <c r="AG56" i="217" s="1"/>
  <c r="AH56" i="217"/>
  <c r="AJ56" i="217"/>
  <c r="AK56" i="217"/>
  <c r="AM56" i="217" s="1"/>
  <c r="AN56" i="217"/>
  <c r="AP56" i="217"/>
  <c r="C57" i="217"/>
  <c r="E57" i="217"/>
  <c r="Q57" i="217"/>
  <c r="S57" i="217" s="1"/>
  <c r="T57" i="217" s="1"/>
  <c r="V57" i="217"/>
  <c r="W57" i="217"/>
  <c r="Y57" i="217" s="1"/>
  <c r="AE57" i="217"/>
  <c r="AG57" i="217" s="1"/>
  <c r="AH57" i="217"/>
  <c r="AK57" i="217"/>
  <c r="AM57" i="217" s="1"/>
  <c r="AN57" i="217"/>
  <c r="AP57" i="217"/>
  <c r="S58" i="217"/>
  <c r="T58" i="217" s="1"/>
  <c r="V58" i="217"/>
  <c r="Y58" i="217"/>
  <c r="AB58" i="217"/>
  <c r="AP58" i="217"/>
  <c r="S59" i="217"/>
  <c r="T59" i="217" s="1"/>
  <c r="Y59" i="217"/>
  <c r="Z59" i="217" s="1"/>
  <c r="AD59" i="217"/>
  <c r="AE59" i="217"/>
  <c r="AG59" i="217" s="1"/>
  <c r="AM59" i="217"/>
  <c r="AP59" i="217"/>
  <c r="S60" i="217"/>
  <c r="T60" i="217" s="1"/>
  <c r="Y60" i="217"/>
  <c r="Z60" i="217" s="1"/>
  <c r="AD60" i="217"/>
  <c r="AE60" i="217"/>
  <c r="AG60" i="217" s="1"/>
  <c r="AM60" i="217"/>
  <c r="AP60" i="217"/>
  <c r="S61" i="217"/>
  <c r="T61" i="217" s="1"/>
  <c r="Y61" i="217"/>
  <c r="Z61" i="217" s="1"/>
  <c r="AD61" i="217"/>
  <c r="AE61" i="217"/>
  <c r="AG61" i="217" s="1"/>
  <c r="AM61" i="217"/>
  <c r="AP61" i="217"/>
  <c r="S62" i="217"/>
  <c r="T62" i="217" s="1"/>
  <c r="Y62" i="217"/>
  <c r="Z62" i="217" s="1"/>
  <c r="AB62" i="217"/>
  <c r="AP62" i="217"/>
  <c r="G63" i="217"/>
  <c r="S63" i="217"/>
  <c r="T63" i="217" s="1"/>
  <c r="Y63" i="217"/>
  <c r="Z63" i="217" s="1"/>
  <c r="AG63" i="217"/>
  <c r="AM63" i="217"/>
  <c r="AP63" i="217"/>
  <c r="G64" i="217"/>
  <c r="S64" i="217"/>
  <c r="T64" i="217" s="1"/>
  <c r="Y64" i="217"/>
  <c r="Z64" i="217" s="1"/>
  <c r="AG64" i="217"/>
  <c r="AM64" i="217"/>
  <c r="AP64" i="217"/>
  <c r="G65" i="217"/>
  <c r="S65" i="217"/>
  <c r="T65" i="217" s="1"/>
  <c r="Y65" i="217"/>
  <c r="Z65" i="217" s="1"/>
  <c r="AG65" i="217"/>
  <c r="AM65" i="217"/>
  <c r="AP65" i="217"/>
  <c r="G66" i="217"/>
  <c r="S66" i="217"/>
  <c r="T66" i="217" s="1"/>
  <c r="Y66" i="217"/>
  <c r="Z66" i="217" s="1"/>
  <c r="AG66" i="217"/>
  <c r="AM66" i="217"/>
  <c r="AP66" i="217"/>
  <c r="G67" i="217"/>
  <c r="S67" i="217"/>
  <c r="T67" i="217" s="1"/>
  <c r="Y67" i="217"/>
  <c r="Z67" i="217" s="1"/>
  <c r="AG67" i="217"/>
  <c r="AM67" i="217"/>
  <c r="AP67" i="217"/>
  <c r="G68" i="217"/>
  <c r="S68" i="217"/>
  <c r="T68" i="217" s="1"/>
  <c r="Y68" i="217"/>
  <c r="Z68" i="217" s="1"/>
  <c r="AG68" i="217"/>
  <c r="AM68" i="217"/>
  <c r="AP68" i="217"/>
  <c r="G69" i="217"/>
  <c r="S69" i="217"/>
  <c r="T69" i="217" s="1"/>
  <c r="Y69" i="217"/>
  <c r="Z69" i="217" s="1"/>
  <c r="AG69" i="217"/>
  <c r="AM69" i="217"/>
  <c r="AP69" i="217"/>
  <c r="G70" i="217"/>
  <c r="S70" i="217"/>
  <c r="T70" i="217" s="1"/>
  <c r="Y70" i="217"/>
  <c r="Z70" i="217" s="1"/>
  <c r="AG70" i="217"/>
  <c r="AM70" i="217"/>
  <c r="AP70" i="217"/>
  <c r="G71" i="217"/>
  <c r="S71" i="217"/>
  <c r="T71" i="217" s="1"/>
  <c r="Y71" i="217"/>
  <c r="Z71" i="217" s="1"/>
  <c r="AG71" i="217"/>
  <c r="AM71" i="217"/>
  <c r="AP71" i="217"/>
  <c r="G72" i="217"/>
  <c r="S72" i="217"/>
  <c r="T72" i="217" s="1"/>
  <c r="Y72" i="217"/>
  <c r="Z72" i="217" s="1"/>
  <c r="AG72" i="217"/>
  <c r="AM72" i="217"/>
  <c r="AP72" i="217"/>
  <c r="G73" i="217"/>
  <c r="S73" i="217"/>
  <c r="T73" i="217" s="1"/>
  <c r="Y73" i="217"/>
  <c r="Z73" i="217" s="1"/>
  <c r="AG73" i="217"/>
  <c r="AM73" i="217"/>
  <c r="AP73" i="217"/>
  <c r="G74" i="217"/>
  <c r="S74" i="217"/>
  <c r="T74" i="217" s="1"/>
  <c r="Y74" i="217"/>
  <c r="Z74" i="217" s="1"/>
  <c r="AG74" i="217"/>
  <c r="AM74" i="217"/>
  <c r="AP74" i="217"/>
  <c r="G75" i="217"/>
  <c r="S75" i="217"/>
  <c r="T75" i="217" s="1"/>
  <c r="Y75" i="217"/>
  <c r="Z75" i="217" s="1"/>
  <c r="AG75" i="217"/>
  <c r="AM75" i="217"/>
  <c r="AP75" i="217"/>
  <c r="G76" i="217"/>
  <c r="S76" i="217"/>
  <c r="T76" i="217" s="1"/>
  <c r="Y76" i="217"/>
  <c r="Z76" i="217" s="1"/>
  <c r="AG76" i="217"/>
  <c r="AM76" i="217"/>
  <c r="AP76" i="217"/>
  <c r="G77" i="217"/>
  <c r="S77" i="217"/>
  <c r="T77" i="217" s="1"/>
  <c r="Y77" i="217"/>
  <c r="Z77" i="217" s="1"/>
  <c r="AG77" i="217"/>
  <c r="AM77" i="217"/>
  <c r="AU77" i="217"/>
  <c r="AP77" i="217" s="1"/>
  <c r="K78" i="217"/>
  <c r="G78" i="217" s="1"/>
  <c r="S78" i="217"/>
  <c r="T78" i="217" s="1"/>
  <c r="Y78" i="217"/>
  <c r="Z78" i="217" s="1"/>
  <c r="AG78" i="217"/>
  <c r="AM78" i="217"/>
  <c r="AU78" i="217"/>
  <c r="AP78" i="217" s="1"/>
  <c r="H76" i="526"/>
  <c r="AB65" i="217" l="1"/>
  <c r="AB66" i="217"/>
  <c r="AB51" i="217"/>
  <c r="Z56" i="217"/>
  <c r="AB73" i="217"/>
  <c r="AB49" i="217"/>
  <c r="AB68" i="217"/>
  <c r="AB64" i="217"/>
  <c r="AB69" i="217"/>
  <c r="AB77" i="217"/>
  <c r="AB70" i="217"/>
  <c r="AB67" i="217"/>
  <c r="AB63" i="217"/>
  <c r="Z58" i="217"/>
  <c r="AB57" i="217"/>
  <c r="AB52" i="217"/>
  <c r="AB59" i="217"/>
  <c r="Z57" i="217"/>
  <c r="AB74" i="217"/>
  <c r="AB72" i="217"/>
  <c r="AB71" i="217"/>
  <c r="AB56" i="217"/>
  <c r="AB60" i="217"/>
  <c r="AB78" i="217"/>
  <c r="AB76" i="217"/>
  <c r="AB75" i="217"/>
  <c r="AB61" i="217"/>
  <c r="AB55" i="217"/>
  <c r="AB54" i="217"/>
  <c r="AB53" i="217"/>
  <c r="AB50" i="217"/>
  <c r="G66" i="542" l="1"/>
  <c r="F66" i="542"/>
  <c r="G65" i="542"/>
  <c r="F65" i="542"/>
  <c r="G64" i="542"/>
  <c r="F64" i="542"/>
  <c r="G63" i="542"/>
  <c r="F63" i="542"/>
  <c r="H65" i="542" l="1"/>
  <c r="N233" i="558"/>
  <c r="M233" i="558"/>
  <c r="L233" i="558"/>
  <c r="K233" i="558"/>
  <c r="J233" i="558"/>
  <c r="I233" i="558"/>
  <c r="H233" i="558"/>
  <c r="G233" i="558"/>
  <c r="F233" i="558"/>
  <c r="E233" i="558"/>
  <c r="D233" i="558"/>
  <c r="C233" i="558"/>
  <c r="N192" i="558"/>
  <c r="M192" i="558"/>
  <c r="L192" i="558"/>
  <c r="K192" i="558"/>
  <c r="J192" i="558"/>
  <c r="I192" i="558"/>
  <c r="H192" i="558"/>
  <c r="G192" i="558"/>
  <c r="F192" i="558"/>
  <c r="E192" i="558"/>
  <c r="D192" i="558"/>
  <c r="C192" i="558"/>
  <c r="N151" i="558"/>
  <c r="M151" i="558"/>
  <c r="L151" i="558"/>
  <c r="K151" i="558"/>
  <c r="J151" i="558"/>
  <c r="I151" i="558"/>
  <c r="H151" i="558"/>
  <c r="G151" i="558"/>
  <c r="F151" i="558"/>
  <c r="E151" i="558"/>
  <c r="D151" i="558"/>
  <c r="C151" i="558"/>
  <c r="N110" i="558"/>
  <c r="M110" i="558"/>
  <c r="L110" i="558"/>
  <c r="K110" i="558"/>
  <c r="J110" i="558"/>
  <c r="I110" i="558"/>
  <c r="H110" i="558"/>
  <c r="G110" i="558"/>
  <c r="F110" i="558"/>
  <c r="E110" i="558"/>
  <c r="D110" i="558"/>
  <c r="C110" i="558"/>
  <c r="C69" i="558"/>
  <c r="C28" i="558"/>
  <c r="G68" i="521" l="1"/>
  <c r="F68" i="521"/>
  <c r="G63" i="563"/>
  <c r="G62" i="563"/>
  <c r="G67" i="496"/>
  <c r="F67" i="496"/>
  <c r="G63" i="488"/>
  <c r="G69" i="532"/>
  <c r="F69" i="532"/>
  <c r="G62" i="532"/>
  <c r="F62" i="532"/>
  <c r="G62" i="531"/>
  <c r="F62" i="531"/>
  <c r="F62" i="507"/>
  <c r="F62" i="523"/>
  <c r="F6" i="204" l="1"/>
  <c r="E6" i="204"/>
  <c r="D6" i="204"/>
  <c r="H62" i="525" s="1"/>
  <c r="H65" i="562" l="1"/>
  <c r="H65" i="554"/>
  <c r="H72" i="533"/>
  <c r="H68" i="559"/>
  <c r="H66" i="583"/>
  <c r="N50" i="583" s="1"/>
  <c r="N44" i="583" s="1"/>
  <c r="C15" i="583" s="1"/>
  <c r="H65" i="527"/>
  <c r="H64" i="509"/>
  <c r="H63" i="565"/>
  <c r="N50" i="565" s="1"/>
  <c r="H63" i="564"/>
  <c r="N50" i="564" s="1"/>
  <c r="H63" i="566"/>
  <c r="N50" i="566" s="1"/>
  <c r="H62" i="526"/>
  <c r="H62" i="566"/>
  <c r="H62" i="564"/>
  <c r="H62" i="565"/>
  <c r="E122" i="484"/>
  <c r="F122" i="484"/>
  <c r="F121" i="484"/>
  <c r="E121" i="484"/>
  <c r="H99" i="504"/>
  <c r="H100" i="504"/>
  <c r="C36" i="504" s="1"/>
  <c r="H98" i="504"/>
  <c r="H97" i="504"/>
  <c r="F98" i="504"/>
  <c r="F99" i="504"/>
  <c r="F100" i="504"/>
  <c r="F97" i="504"/>
  <c r="I99" i="480"/>
  <c r="I97" i="480"/>
  <c r="I98" i="480"/>
  <c r="I96" i="480"/>
  <c r="F96" i="480"/>
  <c r="F97" i="480"/>
  <c r="F98" i="480"/>
  <c r="F99" i="480"/>
  <c r="E99" i="480"/>
  <c r="E97" i="480"/>
  <c r="E98" i="480"/>
  <c r="E96" i="480"/>
  <c r="I100" i="483"/>
  <c r="I99" i="483"/>
  <c r="I98" i="483"/>
  <c r="I97" i="483"/>
  <c r="E100" i="483"/>
  <c r="F100" i="483"/>
  <c r="E99" i="483"/>
  <c r="F99" i="483"/>
  <c r="E98" i="483"/>
  <c r="F98" i="483"/>
  <c r="F97" i="483"/>
  <c r="E97" i="483"/>
  <c r="C98" i="483"/>
  <c r="C99" i="483"/>
  <c r="C100" i="483"/>
  <c r="C97" i="483"/>
  <c r="H62" i="483" l="1"/>
  <c r="H63" i="483"/>
  <c r="N49" i="527"/>
  <c r="N50" i="527"/>
  <c r="N49" i="481"/>
  <c r="F66" i="563"/>
  <c r="N49" i="483" l="1"/>
  <c r="C36" i="483"/>
  <c r="H97" i="503"/>
  <c r="F123" i="503" l="1"/>
  <c r="F97" i="503" s="1"/>
  <c r="D123" i="503"/>
  <c r="E97" i="503" s="1"/>
  <c r="J123" i="503"/>
  <c r="I97" i="503" s="1"/>
  <c r="C36" i="503" l="1"/>
  <c r="C37" i="503"/>
  <c r="AC4" i="180"/>
  <c r="Q7" i="180"/>
  <c r="Q8" i="180"/>
  <c r="Q9" i="180"/>
  <c r="Q10" i="180"/>
  <c r="Q11" i="180"/>
  <c r="Q6" i="180"/>
  <c r="Q12" i="180"/>
  <c r="Q13" i="180"/>
  <c r="Q14" i="180"/>
  <c r="Q15" i="180"/>
  <c r="Q16" i="180"/>
  <c r="Q20" i="180"/>
  <c r="Q21" i="180"/>
  <c r="Q22" i="180"/>
  <c r="Q23" i="180"/>
  <c r="Q24" i="180"/>
  <c r="Q25" i="180"/>
  <c r="Q26" i="180"/>
  <c r="Q28" i="180"/>
  <c r="Q29" i="180"/>
  <c r="Q30" i="180"/>
  <c r="Q31" i="180"/>
  <c r="Q32" i="180"/>
  <c r="Q33" i="180"/>
  <c r="Q34" i="180"/>
  <c r="Q35" i="180"/>
  <c r="Q36" i="180"/>
  <c r="Q37" i="180"/>
  <c r="Q38" i="180"/>
  <c r="Q39" i="180"/>
  <c r="Q40" i="180"/>
  <c r="P40" i="180"/>
  <c r="P39" i="180"/>
  <c r="P38" i="180"/>
  <c r="P37" i="180"/>
  <c r="P27" i="180"/>
  <c r="P36" i="180"/>
  <c r="P33" i="180"/>
  <c r="P31" i="180"/>
  <c r="P30" i="180"/>
  <c r="P29" i="180"/>
  <c r="P28" i="180"/>
  <c r="P25" i="180"/>
  <c r="P24" i="180"/>
  <c r="P23" i="180"/>
  <c r="P11" i="180"/>
  <c r="P9" i="180"/>
  <c r="P22" i="180"/>
  <c r="P6" i="180"/>
  <c r="P20" i="180"/>
  <c r="P35" i="180"/>
  <c r="P16" i="180"/>
  <c r="P32" i="180"/>
  <c r="P15" i="180"/>
  <c r="P34" i="180"/>
  <c r="P14" i="180"/>
  <c r="P13" i="180"/>
  <c r="P12" i="180"/>
  <c r="P10" i="180" l="1"/>
  <c r="P21" i="180"/>
  <c r="P8" i="180"/>
  <c r="P26" i="180"/>
  <c r="P7" i="180"/>
  <c r="H65" i="487" l="1"/>
  <c r="N56" i="487" s="1"/>
  <c r="H65" i="484"/>
  <c r="N56" i="484" s="1"/>
  <c r="H65" i="483"/>
  <c r="N56" i="483" s="1"/>
  <c r="H65" i="481"/>
  <c r="N56" i="481" s="1"/>
  <c r="H65" i="504"/>
  <c r="H65" i="498"/>
  <c r="H65" i="480"/>
  <c r="H65" i="503"/>
  <c r="N42" i="575" l="1"/>
  <c r="C14" i="575" s="1"/>
  <c r="N43" i="575"/>
  <c r="C13" i="575" s="1"/>
  <c r="N45" i="575"/>
  <c r="C37" i="575"/>
  <c r="C16" i="575" s="1"/>
  <c r="F64" i="540"/>
  <c r="D82" i="572" l="1"/>
  <c r="F64" i="572"/>
  <c r="H64" i="572" s="1"/>
  <c r="F63" i="572"/>
  <c r="F62" i="572"/>
  <c r="N45" i="572"/>
  <c r="N44" i="572"/>
  <c r="C15" i="572" s="1"/>
  <c r="N42" i="572"/>
  <c r="C14" i="572" s="1"/>
  <c r="C37" i="572"/>
  <c r="C16" i="572" s="1"/>
  <c r="I9" i="571" l="1"/>
  <c r="I10" i="571"/>
  <c r="I11" i="571"/>
  <c r="I12" i="571"/>
  <c r="I13" i="571"/>
  <c r="I14" i="571"/>
  <c r="I15" i="571"/>
  <c r="I16" i="571"/>
  <c r="I17" i="571"/>
  <c r="I18" i="571"/>
  <c r="I19" i="571"/>
  <c r="I20" i="571"/>
  <c r="I21" i="571"/>
  <c r="I22" i="571"/>
  <c r="I23" i="571"/>
  <c r="I24" i="571"/>
  <c r="I25" i="571"/>
  <c r="I26" i="571"/>
  <c r="I27" i="571"/>
  <c r="I28" i="571"/>
  <c r="I29" i="571"/>
  <c r="I30" i="571"/>
  <c r="I31" i="571"/>
  <c r="I32" i="571"/>
  <c r="J32" i="571"/>
  <c r="J31" i="571"/>
  <c r="J30" i="571"/>
  <c r="J29" i="571"/>
  <c r="J28" i="571"/>
  <c r="J27" i="571"/>
  <c r="J26" i="571"/>
  <c r="J25" i="571"/>
  <c r="J24" i="571"/>
  <c r="J23" i="571"/>
  <c r="J22" i="571"/>
  <c r="J21" i="571"/>
  <c r="J20" i="571"/>
  <c r="J19" i="571"/>
  <c r="J18" i="571"/>
  <c r="J17" i="571"/>
  <c r="J16" i="571"/>
  <c r="J15" i="571"/>
  <c r="J14" i="571"/>
  <c r="J13" i="571"/>
  <c r="J12" i="571"/>
  <c r="J11" i="571"/>
  <c r="J10" i="571"/>
  <c r="J9" i="571"/>
  <c r="J8" i="571"/>
  <c r="F66" i="570"/>
  <c r="H66" i="570" s="1"/>
  <c r="D82" i="570" l="1"/>
  <c r="N49" i="570"/>
  <c r="N42" i="570"/>
  <c r="C14" i="570" s="1"/>
  <c r="N44" i="570"/>
  <c r="C15" i="570" s="1"/>
  <c r="N45" i="570"/>
  <c r="G63" i="526"/>
  <c r="C36" i="570" l="1"/>
  <c r="C37" i="570"/>
  <c r="C16" i="570" s="1"/>
  <c r="N43" i="570"/>
  <c r="C13" i="570" s="1"/>
  <c r="H63" i="526"/>
  <c r="N50" i="526" s="1"/>
  <c r="D104" i="490"/>
  <c r="D105" i="490"/>
  <c r="H71" i="526" l="1"/>
  <c r="N49" i="526" s="1"/>
  <c r="H71" i="566"/>
  <c r="N49" i="566" s="1"/>
  <c r="H71" i="565"/>
  <c r="N49" i="565" s="1"/>
  <c r="H71" i="564"/>
  <c r="N49" i="564" s="1"/>
  <c r="F65" i="552"/>
  <c r="F70" i="552"/>
  <c r="D82" i="568" l="1"/>
  <c r="N45" i="568"/>
  <c r="N42" i="568"/>
  <c r="C14" i="568" s="1"/>
  <c r="C37" i="568"/>
  <c r="C16" i="568" s="1"/>
  <c r="C36" i="568" l="1"/>
  <c r="F67" i="509"/>
  <c r="H67" i="509" s="1"/>
  <c r="N50" i="509" s="1"/>
  <c r="H66" i="523" l="1"/>
  <c r="D86" i="566" l="1"/>
  <c r="D82" i="566"/>
  <c r="N44" i="566"/>
  <c r="C15" i="566" s="1"/>
  <c r="N45" i="566"/>
  <c r="N43" i="566"/>
  <c r="C13" i="566" s="1"/>
  <c r="N42" i="566"/>
  <c r="C14" i="566" s="1"/>
  <c r="C16" i="566"/>
  <c r="D86" i="565"/>
  <c r="D82" i="565"/>
  <c r="N44" i="565"/>
  <c r="C15" i="565" s="1"/>
  <c r="N45" i="565"/>
  <c r="N43" i="565"/>
  <c r="C13" i="565" s="1"/>
  <c r="N42" i="565"/>
  <c r="C14" i="565" s="1"/>
  <c r="C16" i="565"/>
  <c r="D86" i="564"/>
  <c r="D82" i="564"/>
  <c r="N44" i="564"/>
  <c r="C15" i="564" s="1"/>
  <c r="N45" i="564"/>
  <c r="N43" i="564"/>
  <c r="C13" i="564" s="1"/>
  <c r="N42" i="564"/>
  <c r="C14" i="564" s="1"/>
  <c r="C16" i="564"/>
  <c r="D46" i="490"/>
  <c r="I161" i="563"/>
  <c r="H161" i="563" s="1"/>
  <c r="I137" i="563"/>
  <c r="H137" i="563" s="1"/>
  <c r="F69" i="563"/>
  <c r="G64" i="561"/>
  <c r="F64" i="561"/>
  <c r="H64" i="561" l="1"/>
  <c r="N49" i="561" s="1"/>
  <c r="H66" i="563"/>
  <c r="D82" i="563" l="1"/>
  <c r="F62" i="563"/>
  <c r="N45" i="563"/>
  <c r="N42" i="563"/>
  <c r="C14" i="563" s="1"/>
  <c r="D82" i="562"/>
  <c r="H67" i="562"/>
  <c r="N45" i="562"/>
  <c r="N42" i="562"/>
  <c r="C14" i="562" s="1"/>
  <c r="C37" i="562"/>
  <c r="C16" i="562" s="1"/>
  <c r="F40" i="334"/>
  <c r="O74" i="334"/>
  <c r="G69" i="334"/>
  <c r="N43" i="334"/>
  <c r="H74" i="334"/>
  <c r="S74" i="334"/>
  <c r="N3" i="334"/>
  <c r="B40" i="334"/>
  <c r="R60" i="334"/>
  <c r="B43" i="334"/>
  <c r="G43" i="334"/>
  <c r="M69" i="334"/>
  <c r="O69" i="334"/>
  <c r="O40" i="334"/>
  <c r="B14" i="334"/>
  <c r="G3" i="334"/>
  <c r="M3" i="334"/>
  <c r="M40" i="334"/>
  <c r="B69" i="334"/>
  <c r="V40" i="334"/>
  <c r="P43" i="334"/>
  <c r="M43" i="334"/>
  <c r="T14" i="334"/>
  <c r="V3" i="334"/>
  <c r="S3" i="334"/>
  <c r="H60" i="334"/>
  <c r="O14" i="334"/>
  <c r="P74" i="334"/>
  <c r="F3" i="334"/>
  <c r="N69" i="334"/>
  <c r="G60" i="334"/>
  <c r="Q3" i="334"/>
  <c r="H69" i="334"/>
  <c r="V60" i="334"/>
  <c r="O3" i="334"/>
  <c r="Q14" i="334"/>
  <c r="F60" i="334"/>
  <c r="M14" i="334"/>
  <c r="F14" i="334"/>
  <c r="R40" i="334"/>
  <c r="Q60" i="334"/>
  <c r="H43" i="334"/>
  <c r="G14" i="334"/>
  <c r="T74" i="334"/>
  <c r="P40" i="334"/>
  <c r="F74" i="334"/>
  <c r="B3" i="334"/>
  <c r="G74" i="334"/>
  <c r="P69" i="334"/>
  <c r="N74" i="334"/>
  <c r="P60" i="334"/>
  <c r="P3" i="334"/>
  <c r="Q40" i="334"/>
  <c r="G40" i="334"/>
  <c r="N14" i="334"/>
  <c r="R43" i="334"/>
  <c r="R69" i="334"/>
  <c r="Q69" i="334"/>
  <c r="Q43" i="334"/>
  <c r="R73" i="334"/>
  <c r="B74" i="334"/>
  <c r="N40" i="334"/>
  <c r="Q74" i="334"/>
  <c r="D72" i="618" l="1"/>
  <c r="C39" i="618"/>
  <c r="F73" i="618"/>
  <c r="B73" i="618"/>
  <c r="B39" i="618"/>
  <c r="C73" i="618"/>
  <c r="D39" i="618"/>
  <c r="E73" i="618"/>
  <c r="F39" i="618"/>
  <c r="F12" i="618"/>
  <c r="D11" i="618"/>
  <c r="D12" i="618"/>
  <c r="C44" i="618"/>
  <c r="B12" i="618"/>
  <c r="F44" i="618"/>
  <c r="C12" i="618"/>
  <c r="B44" i="618"/>
  <c r="N49" i="562"/>
  <c r="N43" i="562" s="1"/>
  <c r="C13" i="562" s="1"/>
  <c r="N50" i="562"/>
  <c r="N44" i="562" s="1"/>
  <c r="C15" i="562" s="1"/>
  <c r="E40" i="334"/>
  <c r="E74" i="334"/>
  <c r="E60" i="334"/>
  <c r="E3" i="334"/>
  <c r="E14" i="334"/>
  <c r="Z3" i="334"/>
  <c r="C16" i="563"/>
  <c r="H3" i="334"/>
  <c r="P14" i="334"/>
  <c r="N60" i="334"/>
  <c r="O43" i="334"/>
  <c r="V74" i="334"/>
  <c r="F69" i="334"/>
  <c r="E44" i="618" l="1"/>
  <c r="D74" i="334"/>
  <c r="D40" i="334"/>
  <c r="D14" i="334"/>
  <c r="D3" i="334"/>
  <c r="E69" i="334"/>
  <c r="S60" i="334"/>
  <c r="H40" i="334"/>
  <c r="B60" i="334"/>
  <c r="R14" i="334"/>
  <c r="E39" i="618" l="1"/>
  <c r="E12" i="618"/>
  <c r="D69" i="334"/>
  <c r="D60" i="334"/>
  <c r="W60" i="334"/>
  <c r="X14" i="334"/>
  <c r="Z60" i="334"/>
  <c r="D82" i="561"/>
  <c r="N43" i="561"/>
  <c r="C13" i="561" s="1"/>
  <c r="N45" i="561"/>
  <c r="N44" i="561"/>
  <c r="C15" i="561" s="1"/>
  <c r="N42" i="561"/>
  <c r="C14" i="561" s="1"/>
  <c r="C16" i="561"/>
  <c r="R3" i="334"/>
  <c r="Q73" i="334"/>
  <c r="V14" i="334"/>
  <c r="M74" i="334"/>
  <c r="D44" i="618" l="1"/>
  <c r="W3" i="334"/>
  <c r="M60" i="334"/>
  <c r="H14" i="334"/>
  <c r="S14" i="334"/>
  <c r="R74" i="334"/>
  <c r="F43" i="334"/>
  <c r="T60" i="334"/>
  <c r="P73" i="334"/>
  <c r="D73" i="618" l="1"/>
  <c r="W14" i="334"/>
  <c r="Z14" i="334"/>
  <c r="X74" i="334"/>
  <c r="Z74" i="334"/>
  <c r="W74" i="334"/>
  <c r="E43" i="334"/>
  <c r="X60" i="334"/>
  <c r="V73" i="334"/>
  <c r="M19" i="334"/>
  <c r="B73" i="334"/>
  <c r="Q19" i="334"/>
  <c r="B19" i="334"/>
  <c r="P19" i="334"/>
  <c r="O60" i="334"/>
  <c r="G19" i="334"/>
  <c r="G73" i="334"/>
  <c r="T31" i="334"/>
  <c r="N19" i="334"/>
  <c r="N73" i="334"/>
  <c r="F72" i="618" l="1"/>
  <c r="C72" i="618"/>
  <c r="C43" i="618"/>
  <c r="F43" i="618"/>
  <c r="F11" i="618"/>
  <c r="C11" i="618"/>
  <c r="D43" i="334"/>
  <c r="X31" i="334"/>
  <c r="F65" i="560"/>
  <c r="V31" i="334"/>
  <c r="R19" i="334"/>
  <c r="S31" i="334"/>
  <c r="O73" i="334"/>
  <c r="S19" i="334"/>
  <c r="O19" i="334"/>
  <c r="F73" i="334"/>
  <c r="H19" i="334"/>
  <c r="F19" i="334"/>
  <c r="V19" i="334"/>
  <c r="M73" i="334"/>
  <c r="H73" i="334"/>
  <c r="T19" i="334"/>
  <c r="E72" i="618" l="1"/>
  <c r="B72" i="618"/>
  <c r="E11" i="618"/>
  <c r="B43" i="618"/>
  <c r="B11" i="618"/>
  <c r="E43" i="618"/>
  <c r="D43" i="618"/>
  <c r="W31" i="334"/>
  <c r="Z31" i="334"/>
  <c r="E19" i="334"/>
  <c r="X19" i="334"/>
  <c r="W19" i="334"/>
  <c r="E73" i="334"/>
  <c r="Z19" i="334"/>
  <c r="H65" i="560"/>
  <c r="N49" i="560" s="1"/>
  <c r="B58" i="334"/>
  <c r="N58" i="334"/>
  <c r="P58" i="334"/>
  <c r="Q58" i="334"/>
  <c r="F57" i="618" l="1"/>
  <c r="F33" i="618"/>
  <c r="D19" i="334"/>
  <c r="D73" i="334"/>
  <c r="D82" i="560"/>
  <c r="N43" i="560"/>
  <c r="C13" i="560" s="1"/>
  <c r="N45" i="560"/>
  <c r="N44" i="560"/>
  <c r="C15" i="560" s="1"/>
  <c r="N42" i="560"/>
  <c r="C14" i="560" s="1"/>
  <c r="C16" i="560"/>
  <c r="F58" i="334"/>
  <c r="H58" i="334"/>
  <c r="O58" i="334"/>
  <c r="R58" i="334"/>
  <c r="G58" i="334"/>
  <c r="M58" i="334"/>
  <c r="E57" i="618" l="1"/>
  <c r="B57" i="618"/>
  <c r="D57" i="618"/>
  <c r="C57" i="618"/>
  <c r="B33" i="618"/>
  <c r="E33" i="618"/>
  <c r="D33" i="618"/>
  <c r="C33" i="618"/>
  <c r="E58" i="334"/>
  <c r="D82" i="555"/>
  <c r="F68" i="555"/>
  <c r="G67" i="555"/>
  <c r="F67" i="555"/>
  <c r="G66" i="555"/>
  <c r="F66" i="555"/>
  <c r="D82" i="559"/>
  <c r="F64" i="559"/>
  <c r="N42" i="559"/>
  <c r="C14" i="559" s="1"/>
  <c r="C16" i="559"/>
  <c r="F71" i="554"/>
  <c r="H71" i="554" s="1"/>
  <c r="D58" i="334" l="1"/>
  <c r="H69" i="554"/>
  <c r="H68" i="554"/>
  <c r="H64" i="559"/>
  <c r="N51" i="559" s="1"/>
  <c r="H67" i="555"/>
  <c r="H66" i="555"/>
  <c r="H68" i="555"/>
  <c r="Q47" i="334"/>
  <c r="P47" i="334"/>
  <c r="N47" i="334"/>
  <c r="N49" i="559" l="1"/>
  <c r="N50" i="559"/>
  <c r="N56" i="555"/>
  <c r="N49" i="555"/>
  <c r="N45" i="559" l="1"/>
  <c r="N69" i="558"/>
  <c r="M69" i="558"/>
  <c r="L69" i="558"/>
  <c r="K69" i="558"/>
  <c r="J69" i="558"/>
  <c r="I69" i="558"/>
  <c r="H69" i="558"/>
  <c r="G69" i="558"/>
  <c r="F69" i="558"/>
  <c r="E69" i="558"/>
  <c r="D69" i="558"/>
  <c r="N28" i="558"/>
  <c r="M28" i="558"/>
  <c r="L28" i="558"/>
  <c r="K28" i="558"/>
  <c r="J28" i="558"/>
  <c r="I28" i="558"/>
  <c r="H28" i="558"/>
  <c r="G28" i="558"/>
  <c r="F28" i="558"/>
  <c r="E28" i="558"/>
  <c r="D28" i="558"/>
  <c r="G22" i="558"/>
  <c r="F22" i="558"/>
  <c r="E22" i="558"/>
  <c r="D22" i="558"/>
  <c r="D29" i="557"/>
  <c r="D28" i="557"/>
  <c r="D27" i="557"/>
  <c r="D26" i="557"/>
  <c r="D25" i="557"/>
  <c r="D24" i="557"/>
  <c r="D23" i="557"/>
  <c r="D22" i="557"/>
  <c r="D21" i="557"/>
  <c r="D20" i="557"/>
  <c r="G4" i="557"/>
  <c r="G5" i="557"/>
  <c r="G6" i="557"/>
  <c r="G7" i="557"/>
  <c r="G8" i="557"/>
  <c r="G9" i="557"/>
  <c r="G10" i="557"/>
  <c r="G11" i="557"/>
  <c r="G12" i="557"/>
  <c r="G13" i="557"/>
  <c r="G14" i="557"/>
  <c r="G15" i="557"/>
  <c r="G16" i="557"/>
  <c r="K268" i="558" l="1"/>
  <c r="K264" i="558"/>
  <c r="K260" i="558"/>
  <c r="K256" i="558"/>
  <c r="K269" i="558"/>
  <c r="K265" i="558"/>
  <c r="K261" i="558"/>
  <c r="K257" i="558"/>
  <c r="K253" i="558"/>
  <c r="K249" i="558"/>
  <c r="K245" i="558"/>
  <c r="K270" i="558"/>
  <c r="K266" i="558"/>
  <c r="K262" i="558"/>
  <c r="K258" i="558"/>
  <c r="K254" i="558"/>
  <c r="K250" i="558"/>
  <c r="K246" i="558"/>
  <c r="K242" i="558"/>
  <c r="K271" i="558"/>
  <c r="K255" i="558"/>
  <c r="K252" i="558"/>
  <c r="K244" i="558"/>
  <c r="K241" i="558"/>
  <c r="K237" i="558"/>
  <c r="K227" i="558"/>
  <c r="K226" i="558"/>
  <c r="K224" i="558"/>
  <c r="K221" i="558"/>
  <c r="K259" i="558"/>
  <c r="K251" i="558"/>
  <c r="K238" i="558"/>
  <c r="K229" i="558"/>
  <c r="K228" i="558"/>
  <c r="K225" i="558"/>
  <c r="K215" i="558"/>
  <c r="K263" i="558"/>
  <c r="K248" i="558"/>
  <c r="K243" i="558"/>
  <c r="K239" i="558"/>
  <c r="K235" i="558"/>
  <c r="K230" i="558"/>
  <c r="K219" i="558"/>
  <c r="K218" i="558"/>
  <c r="K216" i="558"/>
  <c r="K213" i="558"/>
  <c r="K267" i="558"/>
  <c r="K240" i="558"/>
  <c r="K222" i="558"/>
  <c r="K220" i="558"/>
  <c r="K207" i="558"/>
  <c r="K206" i="558"/>
  <c r="K204" i="558"/>
  <c r="K201" i="558"/>
  <c r="K189" i="558"/>
  <c r="K185" i="558"/>
  <c r="K211" i="558"/>
  <c r="K210" i="558"/>
  <c r="K208" i="558"/>
  <c r="K205" i="558"/>
  <c r="K195" i="558"/>
  <c r="K247" i="558"/>
  <c r="K236" i="558"/>
  <c r="K212" i="558"/>
  <c r="K203" i="558"/>
  <c r="K202" i="558"/>
  <c r="K200" i="558"/>
  <c r="K223" i="558"/>
  <c r="K199" i="558"/>
  <c r="K198" i="558"/>
  <c r="K196" i="558"/>
  <c r="K180" i="558"/>
  <c r="K176" i="558"/>
  <c r="K172" i="558"/>
  <c r="K168" i="558"/>
  <c r="K164" i="558"/>
  <c r="K160" i="558"/>
  <c r="K156" i="558"/>
  <c r="K182" i="558"/>
  <c r="K174" i="558"/>
  <c r="K217" i="558"/>
  <c r="K214" i="558"/>
  <c r="K188" i="558"/>
  <c r="K187" i="558"/>
  <c r="K186" i="558"/>
  <c r="K181" i="558"/>
  <c r="K177" i="558"/>
  <c r="K173" i="558"/>
  <c r="K169" i="558"/>
  <c r="K165" i="558"/>
  <c r="K161" i="558"/>
  <c r="K157" i="558"/>
  <c r="K153" i="558"/>
  <c r="K209" i="558"/>
  <c r="K184" i="558"/>
  <c r="K178" i="558"/>
  <c r="K171" i="558"/>
  <c r="K163" i="558"/>
  <c r="K197" i="558"/>
  <c r="K194" i="558"/>
  <c r="K175" i="558"/>
  <c r="K170" i="558"/>
  <c r="K162" i="558"/>
  <c r="K154" i="558"/>
  <c r="K158" i="558"/>
  <c r="K179" i="558"/>
  <c r="K167" i="558"/>
  <c r="K159" i="558"/>
  <c r="K183" i="558"/>
  <c r="K166" i="558"/>
  <c r="K155" i="558"/>
  <c r="H269" i="558"/>
  <c r="H265" i="558"/>
  <c r="H261" i="558"/>
  <c r="H257" i="558"/>
  <c r="H270" i="558"/>
  <c r="H266" i="558"/>
  <c r="H262" i="558"/>
  <c r="H258" i="558"/>
  <c r="H254" i="558"/>
  <c r="H250" i="558"/>
  <c r="H246" i="558"/>
  <c r="H271" i="558"/>
  <c r="H267" i="558"/>
  <c r="H263" i="558"/>
  <c r="H259" i="558"/>
  <c r="H255" i="558"/>
  <c r="H251" i="558"/>
  <c r="H247" i="558"/>
  <c r="H243" i="558"/>
  <c r="H264" i="558"/>
  <c r="H253" i="558"/>
  <c r="H245" i="558"/>
  <c r="H238" i="558"/>
  <c r="H228" i="558"/>
  <c r="H225" i="558"/>
  <c r="H268" i="558"/>
  <c r="H252" i="558"/>
  <c r="H244" i="558"/>
  <c r="H242" i="558"/>
  <c r="H239" i="558"/>
  <c r="H235" i="558"/>
  <c r="H219" i="558"/>
  <c r="H216" i="558"/>
  <c r="H256" i="558"/>
  <c r="H249" i="558"/>
  <c r="H240" i="558"/>
  <c r="H236" i="558"/>
  <c r="H223" i="558"/>
  <c r="H220" i="558"/>
  <c r="H217" i="558"/>
  <c r="H224" i="558"/>
  <c r="H215" i="558"/>
  <c r="H211" i="558"/>
  <c r="H208" i="558"/>
  <c r="H205" i="558"/>
  <c r="H195" i="558"/>
  <c r="H186" i="558"/>
  <c r="H260" i="558"/>
  <c r="H237" i="558"/>
  <c r="H213" i="558"/>
  <c r="H212" i="558"/>
  <c r="H209" i="558"/>
  <c r="H199" i="558"/>
  <c r="H196" i="558"/>
  <c r="H194" i="558"/>
  <c r="H207" i="558"/>
  <c r="H204" i="558"/>
  <c r="H201" i="558"/>
  <c r="H241" i="558"/>
  <c r="H227" i="558"/>
  <c r="H203" i="558"/>
  <c r="H200" i="558"/>
  <c r="H197" i="558"/>
  <c r="H185" i="558"/>
  <c r="H184" i="558"/>
  <c r="H181" i="558"/>
  <c r="H177" i="558"/>
  <c r="H173" i="558"/>
  <c r="H169" i="558"/>
  <c r="H165" i="558"/>
  <c r="H161" i="558"/>
  <c r="H157" i="558"/>
  <c r="H153" i="558"/>
  <c r="H183" i="558"/>
  <c r="H175" i="558"/>
  <c r="H182" i="558"/>
  <c r="H178" i="558"/>
  <c r="H174" i="558"/>
  <c r="H170" i="558"/>
  <c r="H166" i="558"/>
  <c r="H162" i="558"/>
  <c r="H158" i="558"/>
  <c r="H154" i="558"/>
  <c r="H248" i="558"/>
  <c r="H221" i="558"/>
  <c r="H179" i="558"/>
  <c r="H180" i="558"/>
  <c r="H172" i="558"/>
  <c r="H164" i="558"/>
  <c r="H188" i="558"/>
  <c r="H171" i="558"/>
  <c r="H163" i="558"/>
  <c r="H155" i="558"/>
  <c r="H189" i="558"/>
  <c r="H167" i="558"/>
  <c r="H168" i="558"/>
  <c r="H160" i="558"/>
  <c r="H187" i="558"/>
  <c r="H176" i="558"/>
  <c r="H159" i="558"/>
  <c r="H156" i="558"/>
  <c r="H202" i="558"/>
  <c r="H218" i="558"/>
  <c r="H229" i="558"/>
  <c r="H226" i="558"/>
  <c r="H206" i="558"/>
  <c r="H222" i="558"/>
  <c r="H198" i="558"/>
  <c r="H214" i="558"/>
  <c r="H230" i="558"/>
  <c r="H210" i="558"/>
  <c r="E270" i="558"/>
  <c r="E266" i="558"/>
  <c r="E262" i="558"/>
  <c r="E258" i="558"/>
  <c r="E271" i="558"/>
  <c r="E267" i="558"/>
  <c r="E263" i="558"/>
  <c r="E259" i="558"/>
  <c r="E255" i="558"/>
  <c r="E251" i="558"/>
  <c r="E247" i="558"/>
  <c r="E268" i="558"/>
  <c r="E264" i="558"/>
  <c r="E260" i="558"/>
  <c r="E256" i="558"/>
  <c r="E252" i="558"/>
  <c r="E248" i="558"/>
  <c r="E244" i="558"/>
  <c r="E257" i="558"/>
  <c r="E254" i="558"/>
  <c r="E246" i="558"/>
  <c r="E239" i="558"/>
  <c r="E235" i="558"/>
  <c r="E261" i="558"/>
  <c r="E253" i="558"/>
  <c r="E245" i="558"/>
  <c r="E240" i="558"/>
  <c r="E236" i="558"/>
  <c r="E229" i="558"/>
  <c r="E223" i="558"/>
  <c r="E220" i="558"/>
  <c r="E217" i="558"/>
  <c r="E265" i="558"/>
  <c r="E250" i="558"/>
  <c r="E241" i="558"/>
  <c r="E237" i="558"/>
  <c r="E227" i="558"/>
  <c r="E224" i="558"/>
  <c r="E221" i="558"/>
  <c r="E242" i="558"/>
  <c r="E228" i="558"/>
  <c r="E219" i="558"/>
  <c r="E216" i="558"/>
  <c r="E212" i="558"/>
  <c r="E209" i="558"/>
  <c r="E199" i="558"/>
  <c r="E196" i="558"/>
  <c r="E187" i="558"/>
  <c r="E249" i="558"/>
  <c r="E215" i="558"/>
  <c r="E203" i="558"/>
  <c r="E200" i="558"/>
  <c r="E197" i="558"/>
  <c r="E211" i="558"/>
  <c r="E208" i="558"/>
  <c r="E205" i="558"/>
  <c r="E207" i="558"/>
  <c r="E204" i="558"/>
  <c r="E201" i="558"/>
  <c r="E182" i="558"/>
  <c r="E178" i="558"/>
  <c r="E174" i="558"/>
  <c r="E170" i="558"/>
  <c r="E166" i="558"/>
  <c r="E162" i="558"/>
  <c r="E158" i="558"/>
  <c r="E154" i="558"/>
  <c r="E186" i="558"/>
  <c r="E185" i="558"/>
  <c r="E184" i="558"/>
  <c r="E176" i="558"/>
  <c r="E269" i="558"/>
  <c r="E238" i="558"/>
  <c r="E213" i="558"/>
  <c r="E195" i="558"/>
  <c r="E189" i="558"/>
  <c r="E188" i="558"/>
  <c r="E183" i="558"/>
  <c r="E179" i="558"/>
  <c r="E175" i="558"/>
  <c r="E171" i="558"/>
  <c r="E167" i="558"/>
  <c r="E163" i="558"/>
  <c r="E159" i="558"/>
  <c r="E155" i="558"/>
  <c r="E243" i="558"/>
  <c r="E225" i="558"/>
  <c r="E180" i="558"/>
  <c r="E173" i="558"/>
  <c r="E165" i="558"/>
  <c r="E177" i="558"/>
  <c r="E172" i="558"/>
  <c r="E164" i="558"/>
  <c r="E156" i="558"/>
  <c r="E160" i="558"/>
  <c r="E181" i="558"/>
  <c r="E169" i="558"/>
  <c r="E161" i="558"/>
  <c r="E153" i="558"/>
  <c r="E168" i="558"/>
  <c r="E157" i="558"/>
  <c r="E210" i="558"/>
  <c r="E226" i="558"/>
  <c r="E194" i="558"/>
  <c r="E202" i="558"/>
  <c r="E230" i="558"/>
  <c r="E198" i="558"/>
  <c r="E214" i="558"/>
  <c r="E206" i="558"/>
  <c r="E222" i="558"/>
  <c r="E218" i="558"/>
  <c r="I270" i="558"/>
  <c r="I266" i="558"/>
  <c r="I262" i="558"/>
  <c r="I258" i="558"/>
  <c r="I271" i="558"/>
  <c r="I267" i="558"/>
  <c r="I263" i="558"/>
  <c r="I259" i="558"/>
  <c r="I255" i="558"/>
  <c r="I251" i="558"/>
  <c r="I247" i="558"/>
  <c r="I268" i="558"/>
  <c r="I264" i="558"/>
  <c r="I260" i="558"/>
  <c r="I256" i="558"/>
  <c r="I252" i="558"/>
  <c r="I248" i="558"/>
  <c r="I244" i="558"/>
  <c r="I261" i="558"/>
  <c r="I250" i="558"/>
  <c r="I243" i="558"/>
  <c r="I242" i="558"/>
  <c r="I239" i="558"/>
  <c r="I235" i="558"/>
  <c r="I265" i="558"/>
  <c r="I249" i="558"/>
  <c r="I240" i="558"/>
  <c r="I236" i="558"/>
  <c r="I223" i="558"/>
  <c r="I220" i="558"/>
  <c r="I217" i="558"/>
  <c r="I269" i="558"/>
  <c r="I254" i="558"/>
  <c r="I246" i="558"/>
  <c r="I241" i="558"/>
  <c r="I237" i="558"/>
  <c r="I227" i="558"/>
  <c r="I224" i="558"/>
  <c r="I221" i="558"/>
  <c r="I213" i="558"/>
  <c r="I212" i="558"/>
  <c r="I209" i="558"/>
  <c r="I199" i="558"/>
  <c r="I196" i="558"/>
  <c r="I187" i="558"/>
  <c r="I225" i="558"/>
  <c r="I203" i="558"/>
  <c r="I200" i="558"/>
  <c r="I197" i="558"/>
  <c r="I253" i="558"/>
  <c r="I228" i="558"/>
  <c r="I215" i="558"/>
  <c r="I245" i="558"/>
  <c r="I238" i="558"/>
  <c r="I216" i="558"/>
  <c r="I182" i="558"/>
  <c r="I178" i="558"/>
  <c r="I174" i="558"/>
  <c r="I170" i="558"/>
  <c r="I166" i="558"/>
  <c r="I162" i="558"/>
  <c r="I158" i="558"/>
  <c r="I154" i="558"/>
  <c r="I219" i="558"/>
  <c r="I207" i="558"/>
  <c r="I201" i="558"/>
  <c r="I189" i="558"/>
  <c r="I180" i="558"/>
  <c r="I257" i="558"/>
  <c r="I211" i="558"/>
  <c r="I208" i="558"/>
  <c r="I205" i="558"/>
  <c r="I183" i="558"/>
  <c r="I179" i="558"/>
  <c r="I175" i="558"/>
  <c r="I171" i="558"/>
  <c r="I167" i="558"/>
  <c r="I163" i="558"/>
  <c r="I159" i="558"/>
  <c r="I155" i="558"/>
  <c r="I204" i="558"/>
  <c r="I188" i="558"/>
  <c r="I176" i="558"/>
  <c r="I195" i="558"/>
  <c r="I177" i="558"/>
  <c r="I169" i="558"/>
  <c r="I186" i="558"/>
  <c r="I184" i="558"/>
  <c r="I181" i="558"/>
  <c r="I168" i="558"/>
  <c r="I160" i="558"/>
  <c r="I185" i="558"/>
  <c r="I164" i="558"/>
  <c r="I173" i="558"/>
  <c r="I165" i="558"/>
  <c r="I157" i="558"/>
  <c r="I172" i="558"/>
  <c r="I156" i="558"/>
  <c r="I161" i="558"/>
  <c r="I153" i="558"/>
  <c r="I198" i="558"/>
  <c r="I214" i="558"/>
  <c r="I222" i="558"/>
  <c r="I202" i="558"/>
  <c r="I218" i="558"/>
  <c r="I230" i="558"/>
  <c r="I210" i="558"/>
  <c r="I226" i="558"/>
  <c r="I229" i="558"/>
  <c r="I194" i="558"/>
  <c r="I206" i="558"/>
  <c r="M270" i="558"/>
  <c r="M266" i="558"/>
  <c r="M262" i="558"/>
  <c r="M258" i="558"/>
  <c r="M229" i="558"/>
  <c r="M271" i="558"/>
  <c r="M267" i="558"/>
  <c r="M263" i="558"/>
  <c r="M259" i="558"/>
  <c r="M255" i="558"/>
  <c r="M251" i="558"/>
  <c r="M247" i="558"/>
  <c r="M268" i="558"/>
  <c r="M264" i="558"/>
  <c r="M260" i="558"/>
  <c r="M256" i="558"/>
  <c r="M252" i="558"/>
  <c r="M248" i="558"/>
  <c r="M244" i="558"/>
  <c r="M265" i="558"/>
  <c r="M254" i="558"/>
  <c r="M246" i="558"/>
  <c r="M239" i="558"/>
  <c r="M235" i="558"/>
  <c r="M269" i="558"/>
  <c r="M253" i="558"/>
  <c r="M245" i="558"/>
  <c r="M243" i="558"/>
  <c r="M242" i="558"/>
  <c r="M240" i="558"/>
  <c r="M236" i="558"/>
  <c r="M223" i="558"/>
  <c r="M220" i="558"/>
  <c r="M217" i="558"/>
  <c r="M257" i="558"/>
  <c r="M250" i="558"/>
  <c r="M241" i="558"/>
  <c r="M237" i="558"/>
  <c r="M227" i="558"/>
  <c r="M224" i="558"/>
  <c r="M221" i="558"/>
  <c r="M261" i="558"/>
  <c r="M249" i="558"/>
  <c r="M225" i="558"/>
  <c r="M219" i="558"/>
  <c r="M216" i="558"/>
  <c r="M209" i="558"/>
  <c r="M199" i="558"/>
  <c r="M196" i="558"/>
  <c r="M187" i="558"/>
  <c r="M194" i="558"/>
  <c r="M238" i="558"/>
  <c r="M215" i="558"/>
  <c r="M213" i="558"/>
  <c r="M212" i="558"/>
  <c r="M203" i="558"/>
  <c r="M200" i="558"/>
  <c r="M197" i="558"/>
  <c r="M211" i="558"/>
  <c r="M208" i="558"/>
  <c r="M205" i="558"/>
  <c r="M207" i="558"/>
  <c r="M204" i="558"/>
  <c r="M201" i="558"/>
  <c r="M186" i="558"/>
  <c r="M185" i="558"/>
  <c r="M184" i="558"/>
  <c r="M182" i="558"/>
  <c r="M178" i="558"/>
  <c r="M174" i="558"/>
  <c r="M170" i="558"/>
  <c r="M166" i="558"/>
  <c r="M162" i="558"/>
  <c r="M158" i="558"/>
  <c r="M154" i="558"/>
  <c r="M176" i="558"/>
  <c r="M195" i="558"/>
  <c r="M183" i="558"/>
  <c r="M179" i="558"/>
  <c r="M175" i="558"/>
  <c r="M171" i="558"/>
  <c r="M167" i="558"/>
  <c r="M163" i="558"/>
  <c r="M159" i="558"/>
  <c r="M155" i="558"/>
  <c r="M228" i="558"/>
  <c r="M180" i="558"/>
  <c r="M188" i="558"/>
  <c r="M181" i="558"/>
  <c r="M173" i="558"/>
  <c r="M165" i="558"/>
  <c r="M172" i="558"/>
  <c r="M164" i="558"/>
  <c r="M156" i="558"/>
  <c r="M177" i="558"/>
  <c r="M168" i="558"/>
  <c r="M189" i="558"/>
  <c r="M169" i="558"/>
  <c r="M161" i="558"/>
  <c r="M153" i="558"/>
  <c r="M160" i="558"/>
  <c r="M157" i="558"/>
  <c r="M202" i="558"/>
  <c r="M218" i="558"/>
  <c r="M230" i="558"/>
  <c r="M210" i="558"/>
  <c r="M206" i="558"/>
  <c r="M222" i="558"/>
  <c r="M198" i="558"/>
  <c r="M214" i="558"/>
  <c r="M226" i="558"/>
  <c r="G268" i="558"/>
  <c r="G264" i="558"/>
  <c r="G260" i="558"/>
  <c r="G256" i="558"/>
  <c r="G269" i="558"/>
  <c r="G265" i="558"/>
  <c r="G261" i="558"/>
  <c r="G257" i="558"/>
  <c r="G253" i="558"/>
  <c r="G249" i="558"/>
  <c r="G245" i="558"/>
  <c r="G270" i="558"/>
  <c r="G266" i="558"/>
  <c r="G262" i="558"/>
  <c r="G258" i="558"/>
  <c r="G254" i="558"/>
  <c r="G250" i="558"/>
  <c r="G246" i="558"/>
  <c r="G242" i="558"/>
  <c r="G267" i="558"/>
  <c r="G248" i="558"/>
  <c r="G241" i="558"/>
  <c r="G237" i="558"/>
  <c r="G227" i="558"/>
  <c r="G224" i="558"/>
  <c r="G222" i="558"/>
  <c r="G221" i="558"/>
  <c r="G271" i="558"/>
  <c r="G255" i="558"/>
  <c r="G247" i="558"/>
  <c r="G243" i="558"/>
  <c r="G238" i="558"/>
  <c r="G228" i="558"/>
  <c r="G226" i="558"/>
  <c r="G225" i="558"/>
  <c r="G215" i="558"/>
  <c r="G259" i="558"/>
  <c r="G252" i="558"/>
  <c r="G244" i="558"/>
  <c r="G239" i="558"/>
  <c r="G235" i="558"/>
  <c r="G219" i="558"/>
  <c r="G216" i="558"/>
  <c r="G214" i="558"/>
  <c r="G213" i="558"/>
  <c r="G236" i="558"/>
  <c r="G230" i="558"/>
  <c r="G207" i="558"/>
  <c r="G204" i="558"/>
  <c r="G202" i="558"/>
  <c r="G201" i="558"/>
  <c r="G189" i="558"/>
  <c r="G185" i="558"/>
  <c r="G240" i="558"/>
  <c r="G229" i="558"/>
  <c r="G220" i="558"/>
  <c r="G218" i="558"/>
  <c r="G217" i="558"/>
  <c r="G211" i="558"/>
  <c r="G208" i="558"/>
  <c r="G206" i="558"/>
  <c r="G205" i="558"/>
  <c r="G195" i="558"/>
  <c r="G263" i="558"/>
  <c r="G251" i="558"/>
  <c r="G212" i="558"/>
  <c r="G210" i="558"/>
  <c r="G209" i="558"/>
  <c r="G194" i="558"/>
  <c r="G188" i="558"/>
  <c r="G187" i="558"/>
  <c r="G186" i="558"/>
  <c r="G180" i="558"/>
  <c r="G176" i="558"/>
  <c r="G172" i="558"/>
  <c r="G168" i="558"/>
  <c r="G164" i="558"/>
  <c r="G160" i="558"/>
  <c r="G156" i="558"/>
  <c r="G196" i="558"/>
  <c r="G178" i="558"/>
  <c r="G223" i="558"/>
  <c r="G203" i="558"/>
  <c r="G200" i="558"/>
  <c r="G198" i="558"/>
  <c r="G197" i="558"/>
  <c r="G184" i="558"/>
  <c r="G181" i="558"/>
  <c r="G177" i="558"/>
  <c r="G173" i="558"/>
  <c r="G169" i="558"/>
  <c r="G165" i="558"/>
  <c r="G161" i="558"/>
  <c r="G157" i="558"/>
  <c r="G153" i="558"/>
  <c r="G199" i="558"/>
  <c r="G182" i="558"/>
  <c r="G183" i="558"/>
  <c r="G167" i="558"/>
  <c r="G174" i="558"/>
  <c r="G166" i="558"/>
  <c r="G158" i="558"/>
  <c r="G170" i="558"/>
  <c r="G175" i="558"/>
  <c r="G171" i="558"/>
  <c r="G163" i="558"/>
  <c r="G155" i="558"/>
  <c r="G179" i="558"/>
  <c r="G162" i="558"/>
  <c r="G154" i="558"/>
  <c r="G159" i="558"/>
  <c r="D269" i="558"/>
  <c r="D265" i="558"/>
  <c r="D261" i="558"/>
  <c r="D257" i="558"/>
  <c r="D270" i="558"/>
  <c r="D266" i="558"/>
  <c r="D262" i="558"/>
  <c r="D258" i="558"/>
  <c r="D254" i="558"/>
  <c r="D250" i="558"/>
  <c r="D246" i="558"/>
  <c r="D271" i="558"/>
  <c r="D267" i="558"/>
  <c r="D263" i="558"/>
  <c r="D259" i="558"/>
  <c r="D255" i="558"/>
  <c r="D251" i="558"/>
  <c r="D247" i="558"/>
  <c r="D243" i="558"/>
  <c r="D260" i="558"/>
  <c r="D249" i="558"/>
  <c r="D242" i="558"/>
  <c r="D238" i="558"/>
  <c r="D228" i="558"/>
  <c r="D225" i="558"/>
  <c r="D264" i="558"/>
  <c r="D248" i="558"/>
  <c r="D239" i="558"/>
  <c r="D235" i="558"/>
  <c r="D219" i="558"/>
  <c r="D216" i="558"/>
  <c r="D268" i="558"/>
  <c r="D253" i="558"/>
  <c r="D245" i="558"/>
  <c r="D240" i="558"/>
  <c r="D236" i="558"/>
  <c r="D223" i="558"/>
  <c r="D220" i="558"/>
  <c r="D217" i="558"/>
  <c r="D256" i="558"/>
  <c r="D244" i="558"/>
  <c r="D213" i="558"/>
  <c r="D211" i="558"/>
  <c r="D208" i="558"/>
  <c r="D205" i="558"/>
  <c r="D195" i="558"/>
  <c r="D194" i="558"/>
  <c r="D186" i="558"/>
  <c r="D252" i="558"/>
  <c r="D224" i="558"/>
  <c r="D212" i="558"/>
  <c r="D209" i="558"/>
  <c r="D199" i="558"/>
  <c r="D196" i="558"/>
  <c r="D221" i="558"/>
  <c r="D215" i="558"/>
  <c r="D181" i="558"/>
  <c r="D177" i="558"/>
  <c r="D173" i="558"/>
  <c r="D169" i="558"/>
  <c r="D165" i="558"/>
  <c r="D161" i="558"/>
  <c r="D157" i="558"/>
  <c r="D153" i="558"/>
  <c r="D200" i="558"/>
  <c r="D189" i="558"/>
  <c r="D188" i="558"/>
  <c r="D187" i="558"/>
  <c r="D179" i="558"/>
  <c r="D241" i="558"/>
  <c r="D227" i="558"/>
  <c r="D207" i="558"/>
  <c r="D204" i="558"/>
  <c r="D201" i="558"/>
  <c r="D182" i="558"/>
  <c r="D178" i="558"/>
  <c r="D174" i="558"/>
  <c r="D170" i="558"/>
  <c r="D166" i="558"/>
  <c r="D162" i="558"/>
  <c r="D158" i="558"/>
  <c r="D154" i="558"/>
  <c r="D237" i="558"/>
  <c r="D203" i="558"/>
  <c r="D197" i="558"/>
  <c r="D183" i="558"/>
  <c r="D175" i="558"/>
  <c r="D185" i="558"/>
  <c r="D176" i="558"/>
  <c r="D168" i="558"/>
  <c r="D180" i="558"/>
  <c r="D167" i="558"/>
  <c r="D159" i="558"/>
  <c r="D163" i="558"/>
  <c r="D184" i="558"/>
  <c r="D172" i="558"/>
  <c r="D164" i="558"/>
  <c r="D156" i="558"/>
  <c r="D171" i="558"/>
  <c r="D155" i="558"/>
  <c r="D160" i="558"/>
  <c r="D198" i="558"/>
  <c r="D214" i="558"/>
  <c r="D230" i="558"/>
  <c r="D206" i="558"/>
  <c r="D202" i="558"/>
  <c r="D218" i="558"/>
  <c r="D229" i="558"/>
  <c r="D210" i="558"/>
  <c r="D226" i="558"/>
  <c r="D222" i="558"/>
  <c r="L269" i="558"/>
  <c r="L265" i="558"/>
  <c r="L261" i="558"/>
  <c r="L257" i="558"/>
  <c r="L270" i="558"/>
  <c r="L266" i="558"/>
  <c r="L262" i="558"/>
  <c r="L258" i="558"/>
  <c r="L254" i="558"/>
  <c r="L250" i="558"/>
  <c r="L246" i="558"/>
  <c r="L271" i="558"/>
  <c r="L267" i="558"/>
  <c r="L263" i="558"/>
  <c r="L259" i="558"/>
  <c r="L255" i="558"/>
  <c r="L251" i="558"/>
  <c r="L247" i="558"/>
  <c r="L243" i="558"/>
  <c r="L268" i="558"/>
  <c r="L249" i="558"/>
  <c r="L238" i="558"/>
  <c r="L228" i="558"/>
  <c r="L225" i="558"/>
  <c r="L256" i="558"/>
  <c r="L248" i="558"/>
  <c r="L239" i="558"/>
  <c r="L235" i="558"/>
  <c r="L219" i="558"/>
  <c r="L216" i="558"/>
  <c r="L260" i="558"/>
  <c r="L253" i="558"/>
  <c r="L245" i="558"/>
  <c r="L242" i="558"/>
  <c r="L240" i="558"/>
  <c r="L236" i="558"/>
  <c r="L223" i="558"/>
  <c r="L220" i="558"/>
  <c r="L217" i="558"/>
  <c r="L252" i="558"/>
  <c r="L237" i="558"/>
  <c r="L211" i="558"/>
  <c r="L208" i="558"/>
  <c r="L205" i="558"/>
  <c r="L195" i="558"/>
  <c r="L186" i="558"/>
  <c r="L241" i="558"/>
  <c r="L227" i="558"/>
  <c r="L221" i="558"/>
  <c r="L209" i="558"/>
  <c r="L199" i="558"/>
  <c r="L196" i="558"/>
  <c r="L224" i="558"/>
  <c r="L189" i="558"/>
  <c r="L188" i="558"/>
  <c r="L187" i="558"/>
  <c r="L181" i="558"/>
  <c r="L177" i="558"/>
  <c r="L173" i="558"/>
  <c r="L169" i="558"/>
  <c r="L165" i="558"/>
  <c r="L161" i="558"/>
  <c r="L157" i="558"/>
  <c r="L153" i="558"/>
  <c r="L215" i="558"/>
  <c r="L212" i="558"/>
  <c r="L203" i="558"/>
  <c r="L197" i="558"/>
  <c r="L194" i="558"/>
  <c r="L179" i="558"/>
  <c r="L244" i="558"/>
  <c r="L207" i="558"/>
  <c r="L204" i="558"/>
  <c r="L201" i="558"/>
  <c r="L185" i="558"/>
  <c r="L184" i="558"/>
  <c r="L182" i="558"/>
  <c r="L178" i="558"/>
  <c r="L174" i="558"/>
  <c r="L170" i="558"/>
  <c r="L166" i="558"/>
  <c r="L162" i="558"/>
  <c r="L158" i="558"/>
  <c r="L154" i="558"/>
  <c r="L264" i="558"/>
  <c r="L213" i="558"/>
  <c r="L200" i="558"/>
  <c r="L183" i="558"/>
  <c r="L175" i="558"/>
  <c r="L168" i="558"/>
  <c r="L167" i="558"/>
  <c r="L159" i="558"/>
  <c r="L171" i="558"/>
  <c r="L176" i="558"/>
  <c r="L172" i="558"/>
  <c r="L164" i="558"/>
  <c r="L156" i="558"/>
  <c r="L180" i="558"/>
  <c r="L163" i="558"/>
  <c r="L155" i="558"/>
  <c r="L160" i="558"/>
  <c r="L206" i="558"/>
  <c r="L222" i="558"/>
  <c r="L214" i="558"/>
  <c r="L210" i="558"/>
  <c r="L226" i="558"/>
  <c r="L202" i="558"/>
  <c r="L218" i="558"/>
  <c r="L229" i="558"/>
  <c r="L198" i="558"/>
  <c r="L230" i="558"/>
  <c r="F271" i="558"/>
  <c r="F267" i="558"/>
  <c r="F263" i="558"/>
  <c r="F259" i="558"/>
  <c r="F268" i="558"/>
  <c r="F264" i="558"/>
  <c r="F260" i="558"/>
  <c r="F256" i="558"/>
  <c r="F252" i="558"/>
  <c r="F248" i="558"/>
  <c r="F244" i="558"/>
  <c r="F269" i="558"/>
  <c r="F265" i="558"/>
  <c r="F261" i="558"/>
  <c r="F257" i="558"/>
  <c r="F253" i="558"/>
  <c r="F249" i="558"/>
  <c r="F245" i="558"/>
  <c r="F270" i="558"/>
  <c r="F251" i="558"/>
  <c r="F240" i="558"/>
  <c r="F236" i="558"/>
  <c r="F229" i="558"/>
  <c r="F223" i="558"/>
  <c r="F258" i="558"/>
  <c r="F250" i="558"/>
  <c r="F241" i="558"/>
  <c r="F237" i="558"/>
  <c r="F227" i="558"/>
  <c r="F224" i="558"/>
  <c r="F221" i="558"/>
  <c r="F262" i="558"/>
  <c r="F255" i="558"/>
  <c r="F247" i="558"/>
  <c r="F243" i="558"/>
  <c r="F242" i="558"/>
  <c r="F238" i="558"/>
  <c r="F228" i="558"/>
  <c r="F225" i="558"/>
  <c r="F215" i="558"/>
  <c r="F239" i="558"/>
  <c r="F203" i="558"/>
  <c r="F200" i="558"/>
  <c r="F197" i="558"/>
  <c r="F188" i="558"/>
  <c r="F184" i="558"/>
  <c r="F266" i="558"/>
  <c r="F246" i="558"/>
  <c r="F207" i="558"/>
  <c r="F204" i="558"/>
  <c r="F201" i="558"/>
  <c r="F219" i="558"/>
  <c r="F199" i="558"/>
  <c r="F220" i="558"/>
  <c r="F213" i="558"/>
  <c r="F195" i="558"/>
  <c r="F189" i="558"/>
  <c r="F183" i="558"/>
  <c r="F179" i="558"/>
  <c r="F175" i="558"/>
  <c r="F171" i="558"/>
  <c r="F167" i="558"/>
  <c r="F163" i="558"/>
  <c r="F159" i="558"/>
  <c r="F155" i="558"/>
  <c r="F254" i="558"/>
  <c r="F211" i="558"/>
  <c r="F205" i="558"/>
  <c r="F181" i="558"/>
  <c r="F235" i="558"/>
  <c r="F216" i="558"/>
  <c r="F212" i="558"/>
  <c r="F209" i="558"/>
  <c r="F194" i="558"/>
  <c r="F187" i="558"/>
  <c r="F186" i="558"/>
  <c r="F185" i="558"/>
  <c r="F180" i="558"/>
  <c r="F176" i="558"/>
  <c r="F172" i="558"/>
  <c r="F168" i="558"/>
  <c r="F164" i="558"/>
  <c r="F160" i="558"/>
  <c r="F156" i="558"/>
  <c r="F217" i="558"/>
  <c r="F208" i="558"/>
  <c r="F177" i="558"/>
  <c r="F170" i="558"/>
  <c r="F169" i="558"/>
  <c r="F161" i="558"/>
  <c r="F153" i="558"/>
  <c r="F182" i="558"/>
  <c r="F173" i="558"/>
  <c r="F157" i="558"/>
  <c r="F178" i="558"/>
  <c r="F174" i="558"/>
  <c r="F166" i="558"/>
  <c r="F158" i="558"/>
  <c r="F196" i="558"/>
  <c r="F165" i="558"/>
  <c r="F162" i="558"/>
  <c r="F154" i="558"/>
  <c r="F202" i="558"/>
  <c r="F210" i="558"/>
  <c r="F218" i="558"/>
  <c r="F226" i="558"/>
  <c r="F198" i="558"/>
  <c r="F206" i="558"/>
  <c r="F214" i="558"/>
  <c r="F222" i="558"/>
  <c r="F230" i="558"/>
  <c r="J271" i="558"/>
  <c r="J267" i="558"/>
  <c r="J263" i="558"/>
  <c r="J259" i="558"/>
  <c r="J255" i="558"/>
  <c r="J268" i="558"/>
  <c r="J264" i="558"/>
  <c r="J260" i="558"/>
  <c r="J256" i="558"/>
  <c r="J252" i="558"/>
  <c r="J248" i="558"/>
  <c r="J244" i="558"/>
  <c r="J269" i="558"/>
  <c r="J265" i="558"/>
  <c r="J261" i="558"/>
  <c r="J257" i="558"/>
  <c r="J253" i="558"/>
  <c r="J249" i="558"/>
  <c r="J245" i="558"/>
  <c r="J258" i="558"/>
  <c r="J247" i="558"/>
  <c r="J240" i="558"/>
  <c r="J236" i="558"/>
  <c r="J223" i="558"/>
  <c r="J220" i="558"/>
  <c r="J262" i="558"/>
  <c r="J254" i="558"/>
  <c r="J246" i="558"/>
  <c r="J241" i="558"/>
  <c r="J237" i="558"/>
  <c r="J227" i="558"/>
  <c r="J224" i="558"/>
  <c r="J221" i="558"/>
  <c r="J266" i="558"/>
  <c r="J251" i="558"/>
  <c r="J238" i="558"/>
  <c r="J229" i="558"/>
  <c r="J228" i="558"/>
  <c r="J225" i="558"/>
  <c r="J215" i="558"/>
  <c r="J212" i="558"/>
  <c r="J217" i="558"/>
  <c r="J203" i="558"/>
  <c r="J200" i="558"/>
  <c r="J197" i="558"/>
  <c r="J194" i="558"/>
  <c r="J188" i="558"/>
  <c r="J184" i="558"/>
  <c r="J243" i="558"/>
  <c r="J219" i="558"/>
  <c r="J216" i="558"/>
  <c r="J207" i="558"/>
  <c r="J204" i="558"/>
  <c r="J201" i="558"/>
  <c r="J242" i="558"/>
  <c r="J239" i="558"/>
  <c r="J213" i="558"/>
  <c r="J209" i="558"/>
  <c r="J270" i="558"/>
  <c r="J235" i="558"/>
  <c r="J211" i="558"/>
  <c r="J208" i="558"/>
  <c r="J205" i="558"/>
  <c r="J183" i="558"/>
  <c r="J179" i="558"/>
  <c r="J175" i="558"/>
  <c r="J171" i="558"/>
  <c r="J167" i="558"/>
  <c r="J163" i="558"/>
  <c r="J159" i="558"/>
  <c r="J155" i="558"/>
  <c r="J177" i="558"/>
  <c r="J250" i="558"/>
  <c r="J199" i="558"/>
  <c r="J196" i="558"/>
  <c r="J189" i="558"/>
  <c r="J180" i="558"/>
  <c r="J176" i="558"/>
  <c r="J172" i="558"/>
  <c r="J168" i="558"/>
  <c r="J164" i="558"/>
  <c r="J160" i="558"/>
  <c r="J156" i="558"/>
  <c r="J195" i="558"/>
  <c r="J187" i="558"/>
  <c r="J186" i="558"/>
  <c r="J185" i="558"/>
  <c r="J181" i="558"/>
  <c r="J174" i="558"/>
  <c r="J166" i="558"/>
  <c r="J178" i="558"/>
  <c r="J173" i="558"/>
  <c r="J165" i="558"/>
  <c r="J157" i="558"/>
  <c r="J161" i="558"/>
  <c r="J182" i="558"/>
  <c r="J170" i="558"/>
  <c r="J162" i="558"/>
  <c r="J154" i="558"/>
  <c r="J169" i="558"/>
  <c r="J153" i="558"/>
  <c r="J158" i="558"/>
  <c r="J202" i="558"/>
  <c r="J210" i="558"/>
  <c r="J218" i="558"/>
  <c r="J226" i="558"/>
  <c r="J206" i="558"/>
  <c r="J222" i="558"/>
  <c r="J230" i="558"/>
  <c r="J198" i="558"/>
  <c r="J214" i="558"/>
  <c r="N210" i="558"/>
  <c r="N226" i="558"/>
  <c r="N271" i="558"/>
  <c r="N267" i="558"/>
  <c r="N263" i="558"/>
  <c r="N259" i="558"/>
  <c r="N255" i="558"/>
  <c r="N198" i="558"/>
  <c r="N214" i="558"/>
  <c r="N268" i="558"/>
  <c r="N264" i="558"/>
  <c r="N260" i="558"/>
  <c r="N256" i="558"/>
  <c r="N252" i="558"/>
  <c r="N248" i="558"/>
  <c r="N244" i="558"/>
  <c r="N202" i="558"/>
  <c r="N218" i="558"/>
  <c r="N230" i="558"/>
  <c r="N269" i="558"/>
  <c r="N265" i="558"/>
  <c r="N261" i="558"/>
  <c r="N257" i="558"/>
  <c r="N253" i="558"/>
  <c r="N249" i="558"/>
  <c r="N245" i="558"/>
  <c r="N262" i="558"/>
  <c r="N251" i="558"/>
  <c r="N243" i="558"/>
  <c r="N242" i="558"/>
  <c r="N240" i="558"/>
  <c r="N236" i="558"/>
  <c r="N229" i="558"/>
  <c r="N223" i="558"/>
  <c r="N220" i="558"/>
  <c r="N206" i="558"/>
  <c r="N266" i="558"/>
  <c r="N250" i="558"/>
  <c r="N241" i="558"/>
  <c r="N237" i="558"/>
  <c r="N227" i="558"/>
  <c r="N224" i="558"/>
  <c r="N221" i="558"/>
  <c r="N222" i="558"/>
  <c r="N270" i="558"/>
  <c r="N247" i="558"/>
  <c r="N238" i="558"/>
  <c r="N228" i="558"/>
  <c r="N225" i="558"/>
  <c r="N215" i="558"/>
  <c r="N212" i="558"/>
  <c r="N246" i="558"/>
  <c r="N213" i="558"/>
  <c r="N203" i="558"/>
  <c r="N200" i="558"/>
  <c r="N197" i="558"/>
  <c r="N188" i="558"/>
  <c r="N184" i="558"/>
  <c r="N254" i="558"/>
  <c r="N235" i="558"/>
  <c r="N207" i="558"/>
  <c r="N204" i="558"/>
  <c r="N201" i="558"/>
  <c r="N194" i="558"/>
  <c r="N216" i="558"/>
  <c r="N199" i="558"/>
  <c r="N258" i="558"/>
  <c r="N217" i="558"/>
  <c r="N195" i="558"/>
  <c r="N183" i="558"/>
  <c r="N179" i="558"/>
  <c r="N175" i="558"/>
  <c r="N171" i="558"/>
  <c r="N167" i="558"/>
  <c r="N163" i="558"/>
  <c r="N159" i="558"/>
  <c r="N155" i="558"/>
  <c r="N208" i="558"/>
  <c r="N189" i="558"/>
  <c r="N181" i="558"/>
  <c r="N219" i="558"/>
  <c r="N209" i="558"/>
  <c r="N180" i="558"/>
  <c r="N176" i="558"/>
  <c r="N172" i="558"/>
  <c r="N168" i="558"/>
  <c r="N164" i="558"/>
  <c r="N160" i="558"/>
  <c r="N156" i="558"/>
  <c r="N239" i="558"/>
  <c r="N211" i="558"/>
  <c r="N205" i="558"/>
  <c r="N177" i="558"/>
  <c r="N186" i="558"/>
  <c r="N178" i="558"/>
  <c r="N170" i="558"/>
  <c r="N182" i="558"/>
  <c r="N169" i="558"/>
  <c r="N161" i="558"/>
  <c r="N153" i="558"/>
  <c r="N174" i="558"/>
  <c r="N165" i="558"/>
  <c r="N196" i="558"/>
  <c r="N187" i="558"/>
  <c r="N185" i="558"/>
  <c r="N166" i="558"/>
  <c r="N158" i="558"/>
  <c r="N173" i="558"/>
  <c r="N157" i="558"/>
  <c r="N162" i="558"/>
  <c r="N154" i="558"/>
  <c r="E146" i="558"/>
  <c r="E142" i="558"/>
  <c r="E138" i="558"/>
  <c r="E134" i="558"/>
  <c r="E130" i="558"/>
  <c r="E126" i="558"/>
  <c r="E122" i="558"/>
  <c r="E118" i="558"/>
  <c r="E147" i="558"/>
  <c r="E143" i="558"/>
  <c r="E139" i="558"/>
  <c r="E135" i="558"/>
  <c r="E131" i="558"/>
  <c r="E127" i="558"/>
  <c r="E123" i="558"/>
  <c r="E119" i="558"/>
  <c r="E144" i="558"/>
  <c r="E136" i="558"/>
  <c r="E128" i="558"/>
  <c r="E120" i="558"/>
  <c r="E115" i="558"/>
  <c r="E112" i="558"/>
  <c r="E132" i="558"/>
  <c r="E124" i="558"/>
  <c r="E141" i="558"/>
  <c r="E133" i="558"/>
  <c r="E125" i="558"/>
  <c r="E116" i="558"/>
  <c r="E148" i="558"/>
  <c r="E140" i="558"/>
  <c r="E117" i="558"/>
  <c r="E113" i="558"/>
  <c r="E121" i="558"/>
  <c r="E129" i="558"/>
  <c r="E137" i="558"/>
  <c r="E145" i="558"/>
  <c r="E114" i="558"/>
  <c r="F147" i="558"/>
  <c r="F143" i="558"/>
  <c r="F139" i="558"/>
  <c r="F135" i="558"/>
  <c r="F131" i="558"/>
  <c r="F127" i="558"/>
  <c r="F123" i="558"/>
  <c r="F119" i="558"/>
  <c r="F148" i="558"/>
  <c r="F144" i="558"/>
  <c r="F140" i="558"/>
  <c r="F136" i="558"/>
  <c r="F132" i="558"/>
  <c r="F128" i="558"/>
  <c r="F124" i="558"/>
  <c r="F120" i="558"/>
  <c r="F141" i="558"/>
  <c r="F133" i="558"/>
  <c r="F125" i="558"/>
  <c r="F116" i="558"/>
  <c r="F112" i="558"/>
  <c r="F145" i="558"/>
  <c r="F114" i="558"/>
  <c r="F146" i="558"/>
  <c r="F138" i="558"/>
  <c r="F130" i="558"/>
  <c r="F122" i="558"/>
  <c r="F117" i="558"/>
  <c r="F113" i="558"/>
  <c r="F129" i="558"/>
  <c r="F137" i="558"/>
  <c r="F121" i="558"/>
  <c r="F118" i="558"/>
  <c r="F115" i="558"/>
  <c r="F126" i="558"/>
  <c r="F134" i="558"/>
  <c r="F142" i="558"/>
  <c r="J147" i="558"/>
  <c r="J143" i="558"/>
  <c r="J139" i="558"/>
  <c r="J135" i="558"/>
  <c r="J131" i="558"/>
  <c r="J127" i="558"/>
  <c r="J123" i="558"/>
  <c r="J119" i="558"/>
  <c r="J148" i="558"/>
  <c r="J144" i="558"/>
  <c r="J140" i="558"/>
  <c r="J136" i="558"/>
  <c r="J132" i="558"/>
  <c r="J128" i="558"/>
  <c r="J124" i="558"/>
  <c r="J120" i="558"/>
  <c r="J145" i="558"/>
  <c r="J137" i="558"/>
  <c r="J129" i="558"/>
  <c r="J121" i="558"/>
  <c r="J116" i="558"/>
  <c r="J112" i="558"/>
  <c r="J113" i="558"/>
  <c r="J141" i="558"/>
  <c r="J142" i="558"/>
  <c r="J134" i="558"/>
  <c r="J126" i="558"/>
  <c r="J118" i="558"/>
  <c r="J117" i="558"/>
  <c r="J125" i="558"/>
  <c r="J133" i="558"/>
  <c r="J114" i="558"/>
  <c r="J138" i="558"/>
  <c r="J146" i="558"/>
  <c r="J122" i="558"/>
  <c r="J130" i="558"/>
  <c r="J115" i="558"/>
  <c r="N147" i="558"/>
  <c r="N143" i="558"/>
  <c r="N139" i="558"/>
  <c r="N135" i="558"/>
  <c r="N131" i="558"/>
  <c r="N127" i="558"/>
  <c r="N123" i="558"/>
  <c r="N119" i="558"/>
  <c r="N144" i="558"/>
  <c r="N140" i="558"/>
  <c r="N136" i="558"/>
  <c r="N132" i="558"/>
  <c r="N128" i="558"/>
  <c r="N124" i="558"/>
  <c r="N120" i="558"/>
  <c r="N141" i="558"/>
  <c r="N133" i="558"/>
  <c r="N125" i="558"/>
  <c r="N116" i="558"/>
  <c r="N112" i="558"/>
  <c r="N137" i="558"/>
  <c r="N129" i="558"/>
  <c r="N146" i="558"/>
  <c r="N138" i="558"/>
  <c r="N130" i="558"/>
  <c r="N122" i="558"/>
  <c r="N117" i="558"/>
  <c r="N113" i="558"/>
  <c r="N145" i="558"/>
  <c r="N114" i="558"/>
  <c r="N121" i="558"/>
  <c r="N126" i="558"/>
  <c r="N134" i="558"/>
  <c r="N142" i="558"/>
  <c r="N115" i="558"/>
  <c r="N118" i="558"/>
  <c r="N148" i="558"/>
  <c r="I146" i="558"/>
  <c r="I142" i="558"/>
  <c r="I138" i="558"/>
  <c r="I134" i="558"/>
  <c r="I130" i="558"/>
  <c r="I126" i="558"/>
  <c r="I122" i="558"/>
  <c r="I118" i="558"/>
  <c r="I147" i="558"/>
  <c r="I143" i="558"/>
  <c r="I139" i="558"/>
  <c r="I135" i="558"/>
  <c r="I131" i="558"/>
  <c r="I127" i="558"/>
  <c r="I123" i="558"/>
  <c r="I119" i="558"/>
  <c r="I148" i="558"/>
  <c r="I140" i="558"/>
  <c r="I132" i="558"/>
  <c r="I124" i="558"/>
  <c r="I115" i="558"/>
  <c r="I120" i="558"/>
  <c r="I117" i="558"/>
  <c r="I113" i="558"/>
  <c r="I145" i="558"/>
  <c r="I137" i="558"/>
  <c r="I129" i="558"/>
  <c r="I121" i="558"/>
  <c r="I116" i="558"/>
  <c r="I112" i="558"/>
  <c r="I136" i="558"/>
  <c r="I144" i="558"/>
  <c r="I128" i="558"/>
  <c r="I141" i="558"/>
  <c r="I125" i="558"/>
  <c r="I114" i="558"/>
  <c r="I133" i="558"/>
  <c r="G148" i="558"/>
  <c r="G144" i="558"/>
  <c r="G140" i="558"/>
  <c r="G136" i="558"/>
  <c r="G132" i="558"/>
  <c r="G128" i="558"/>
  <c r="G124" i="558"/>
  <c r="G120" i="558"/>
  <c r="G145" i="558"/>
  <c r="G141" i="558"/>
  <c r="G137" i="558"/>
  <c r="G133" i="558"/>
  <c r="G129" i="558"/>
  <c r="G125" i="558"/>
  <c r="G121" i="558"/>
  <c r="G146" i="558"/>
  <c r="G138" i="558"/>
  <c r="G130" i="558"/>
  <c r="G122" i="558"/>
  <c r="G117" i="558"/>
  <c r="G113" i="558"/>
  <c r="G114" i="558"/>
  <c r="G134" i="558"/>
  <c r="G126" i="558"/>
  <c r="G118" i="558"/>
  <c r="G143" i="558"/>
  <c r="G135" i="558"/>
  <c r="G127" i="558"/>
  <c r="G119" i="558"/>
  <c r="G142" i="558"/>
  <c r="G115" i="558"/>
  <c r="G147" i="558"/>
  <c r="G112" i="558"/>
  <c r="G123" i="558"/>
  <c r="G116" i="558"/>
  <c r="G131" i="558"/>
  <c r="G139" i="558"/>
  <c r="K148" i="558"/>
  <c r="K144" i="558"/>
  <c r="K140" i="558"/>
  <c r="K136" i="558"/>
  <c r="K132" i="558"/>
  <c r="K128" i="558"/>
  <c r="K124" i="558"/>
  <c r="K120" i="558"/>
  <c r="K145" i="558"/>
  <c r="K141" i="558"/>
  <c r="K137" i="558"/>
  <c r="K133" i="558"/>
  <c r="K129" i="558"/>
  <c r="K125" i="558"/>
  <c r="K121" i="558"/>
  <c r="K142" i="558"/>
  <c r="K134" i="558"/>
  <c r="K126" i="558"/>
  <c r="K118" i="558"/>
  <c r="K117" i="558"/>
  <c r="K113" i="558"/>
  <c r="K122" i="558"/>
  <c r="K115" i="558"/>
  <c r="K147" i="558"/>
  <c r="K139" i="558"/>
  <c r="K131" i="558"/>
  <c r="K123" i="558"/>
  <c r="K114" i="558"/>
  <c r="K146" i="558"/>
  <c r="K138" i="558"/>
  <c r="K130" i="558"/>
  <c r="K135" i="558"/>
  <c r="K116" i="558"/>
  <c r="K143" i="558"/>
  <c r="K119" i="558"/>
  <c r="K127" i="558"/>
  <c r="K112" i="558"/>
  <c r="M146" i="558"/>
  <c r="M142" i="558"/>
  <c r="M138" i="558"/>
  <c r="M134" i="558"/>
  <c r="M130" i="558"/>
  <c r="M126" i="558"/>
  <c r="M122" i="558"/>
  <c r="M118" i="558"/>
  <c r="M147" i="558"/>
  <c r="M143" i="558"/>
  <c r="M139" i="558"/>
  <c r="M135" i="558"/>
  <c r="M131" i="558"/>
  <c r="M127" i="558"/>
  <c r="M123" i="558"/>
  <c r="M119" i="558"/>
  <c r="M144" i="558"/>
  <c r="M136" i="558"/>
  <c r="M128" i="558"/>
  <c r="M120" i="558"/>
  <c r="M115" i="558"/>
  <c r="M112" i="558"/>
  <c r="M148" i="558"/>
  <c r="M141" i="558"/>
  <c r="M133" i="558"/>
  <c r="M125" i="558"/>
  <c r="M116" i="558"/>
  <c r="M132" i="558"/>
  <c r="M113" i="558"/>
  <c r="M140" i="558"/>
  <c r="M124" i="558"/>
  <c r="M117" i="558"/>
  <c r="M129" i="558"/>
  <c r="M137" i="558"/>
  <c r="M114" i="558"/>
  <c r="M145" i="558"/>
  <c r="M121" i="558"/>
  <c r="D145" i="558"/>
  <c r="D141" i="558"/>
  <c r="D137" i="558"/>
  <c r="D133" i="558"/>
  <c r="D129" i="558"/>
  <c r="D125" i="558"/>
  <c r="D121" i="558"/>
  <c r="D146" i="558"/>
  <c r="D142" i="558"/>
  <c r="D138" i="558"/>
  <c r="D134" i="558"/>
  <c r="D130" i="558"/>
  <c r="D126" i="558"/>
  <c r="D122" i="558"/>
  <c r="D147" i="558"/>
  <c r="D139" i="558"/>
  <c r="D131" i="558"/>
  <c r="D123" i="558"/>
  <c r="D118" i="558"/>
  <c r="D114" i="558"/>
  <c r="D143" i="558"/>
  <c r="D144" i="558"/>
  <c r="D136" i="558"/>
  <c r="D128" i="558"/>
  <c r="D120" i="558"/>
  <c r="D115" i="558"/>
  <c r="D135" i="558"/>
  <c r="D127" i="558"/>
  <c r="D119" i="558"/>
  <c r="D116" i="558"/>
  <c r="D112" i="558"/>
  <c r="D124" i="558"/>
  <c r="D132" i="558"/>
  <c r="D113" i="558"/>
  <c r="D148" i="558"/>
  <c r="D117" i="558"/>
  <c r="D140" i="558"/>
  <c r="H145" i="558"/>
  <c r="H141" i="558"/>
  <c r="H137" i="558"/>
  <c r="H133" i="558"/>
  <c r="H129" i="558"/>
  <c r="H125" i="558"/>
  <c r="H121" i="558"/>
  <c r="H146" i="558"/>
  <c r="H142" i="558"/>
  <c r="H138" i="558"/>
  <c r="H134" i="558"/>
  <c r="H130" i="558"/>
  <c r="H126" i="558"/>
  <c r="H122" i="558"/>
  <c r="H118" i="558"/>
  <c r="H143" i="558"/>
  <c r="H135" i="558"/>
  <c r="H127" i="558"/>
  <c r="H119" i="558"/>
  <c r="H114" i="558"/>
  <c r="H139" i="558"/>
  <c r="H116" i="558"/>
  <c r="H148" i="558"/>
  <c r="H140" i="558"/>
  <c r="H132" i="558"/>
  <c r="H124" i="558"/>
  <c r="H115" i="558"/>
  <c r="H123" i="558"/>
  <c r="H112" i="558"/>
  <c r="H147" i="558"/>
  <c r="H131" i="558"/>
  <c r="H144" i="558"/>
  <c r="H120" i="558"/>
  <c r="H113" i="558"/>
  <c r="H136" i="558"/>
  <c r="H128" i="558"/>
  <c r="H117" i="558"/>
  <c r="L145" i="558"/>
  <c r="L141" i="558"/>
  <c r="L137" i="558"/>
  <c r="L133" i="558"/>
  <c r="L129" i="558"/>
  <c r="L125" i="558"/>
  <c r="L121" i="558"/>
  <c r="L146" i="558"/>
  <c r="L142" i="558"/>
  <c r="L138" i="558"/>
  <c r="L134" i="558"/>
  <c r="L130" i="558"/>
  <c r="L126" i="558"/>
  <c r="L122" i="558"/>
  <c r="L118" i="558"/>
  <c r="L147" i="558"/>
  <c r="L139" i="558"/>
  <c r="L131" i="558"/>
  <c r="L123" i="558"/>
  <c r="L114" i="558"/>
  <c r="L135" i="558"/>
  <c r="L127" i="558"/>
  <c r="L112" i="558"/>
  <c r="L144" i="558"/>
  <c r="L136" i="558"/>
  <c r="L128" i="558"/>
  <c r="L120" i="558"/>
  <c r="L115" i="558"/>
  <c r="L143" i="558"/>
  <c r="L119" i="558"/>
  <c r="L116" i="558"/>
  <c r="L132" i="558"/>
  <c r="L113" i="558"/>
  <c r="L140" i="558"/>
  <c r="L117" i="558"/>
  <c r="L124" i="558"/>
  <c r="L148" i="558"/>
  <c r="D87" i="563"/>
  <c r="F121" i="563" s="1"/>
  <c r="D86" i="563"/>
  <c r="M34" i="558"/>
  <c r="F65" i="558"/>
  <c r="J65" i="558"/>
  <c r="F102" i="558"/>
  <c r="J90" i="558"/>
  <c r="N78" i="558"/>
  <c r="G66" i="558"/>
  <c r="K46" i="558"/>
  <c r="J106" i="558"/>
  <c r="K103" i="558"/>
  <c r="F73" i="558"/>
  <c r="D55" i="558"/>
  <c r="H59" i="558"/>
  <c r="L63" i="558"/>
  <c r="H96" i="558"/>
  <c r="L71" i="558"/>
  <c r="E64" i="558"/>
  <c r="I52" i="558"/>
  <c r="M56" i="558"/>
  <c r="E101" i="558"/>
  <c r="I105" i="558"/>
  <c r="M93" i="558"/>
  <c r="L84" i="558"/>
  <c r="K74" i="558"/>
  <c r="E76" i="558"/>
  <c r="D31" i="558"/>
  <c r="I32" i="558"/>
  <c r="D35" i="558"/>
  <c r="I36" i="558"/>
  <c r="D39" i="558"/>
  <c r="I40" i="558"/>
  <c r="D43" i="558"/>
  <c r="I44" i="558"/>
  <c r="D47" i="558"/>
  <c r="I48" i="558"/>
  <c r="K54" i="558"/>
  <c r="H63" i="558"/>
  <c r="H31" i="558"/>
  <c r="M32" i="558"/>
  <c r="H35" i="558"/>
  <c r="M36" i="558"/>
  <c r="H39" i="558"/>
  <c r="M40" i="558"/>
  <c r="H43" i="558"/>
  <c r="M44" i="558"/>
  <c r="H47" i="558"/>
  <c r="M48" i="558"/>
  <c r="E56" i="558"/>
  <c r="M64" i="558"/>
  <c r="G30" i="558"/>
  <c r="L31" i="558"/>
  <c r="G34" i="558"/>
  <c r="L35" i="558"/>
  <c r="G38" i="558"/>
  <c r="L39" i="558"/>
  <c r="G42" i="558"/>
  <c r="L43" i="558"/>
  <c r="G46" i="558"/>
  <c r="L47" i="558"/>
  <c r="I50" i="558"/>
  <c r="D59" i="558"/>
  <c r="K30" i="558"/>
  <c r="E32" i="558"/>
  <c r="K34" i="558"/>
  <c r="E36" i="558"/>
  <c r="K38" i="558"/>
  <c r="E40" i="558"/>
  <c r="K42" i="558"/>
  <c r="E44" i="558"/>
  <c r="E48" i="558"/>
  <c r="L51" i="558"/>
  <c r="I60" i="558"/>
  <c r="N66" i="558"/>
  <c r="N62" i="558"/>
  <c r="N58" i="558"/>
  <c r="N54" i="558"/>
  <c r="N50" i="558"/>
  <c r="N63" i="558"/>
  <c r="N59" i="558"/>
  <c r="N55" i="558"/>
  <c r="N51" i="558"/>
  <c r="N64" i="558"/>
  <c r="N60" i="558"/>
  <c r="N56" i="558"/>
  <c r="N52" i="558"/>
  <c r="F33" i="558"/>
  <c r="N33" i="558"/>
  <c r="F41" i="558"/>
  <c r="N41" i="558"/>
  <c r="N45" i="558"/>
  <c r="G63" i="558"/>
  <c r="G59" i="558"/>
  <c r="G55" i="558"/>
  <c r="G51" i="558"/>
  <c r="G64" i="558"/>
  <c r="G60" i="558"/>
  <c r="G56" i="558"/>
  <c r="G52" i="558"/>
  <c r="G65" i="558"/>
  <c r="G61" i="558"/>
  <c r="G57" i="558"/>
  <c r="G53" i="558"/>
  <c r="K63" i="558"/>
  <c r="K59" i="558"/>
  <c r="K55" i="558"/>
  <c r="K51" i="558"/>
  <c r="K64" i="558"/>
  <c r="K60" i="558"/>
  <c r="K56" i="558"/>
  <c r="K52" i="558"/>
  <c r="K65" i="558"/>
  <c r="K61" i="558"/>
  <c r="K57" i="558"/>
  <c r="K53" i="558"/>
  <c r="D30" i="558"/>
  <c r="H30" i="558"/>
  <c r="L30" i="558"/>
  <c r="E31" i="558"/>
  <c r="I31" i="558"/>
  <c r="M31" i="558"/>
  <c r="F32" i="558"/>
  <c r="J32" i="558"/>
  <c r="N32" i="558"/>
  <c r="G33" i="558"/>
  <c r="K33" i="558"/>
  <c r="D34" i="558"/>
  <c r="H34" i="558"/>
  <c r="L34" i="558"/>
  <c r="E35" i="558"/>
  <c r="I35" i="558"/>
  <c r="M35" i="558"/>
  <c r="F36" i="558"/>
  <c r="J36" i="558"/>
  <c r="N36" i="558"/>
  <c r="G37" i="558"/>
  <c r="K37" i="558"/>
  <c r="D38" i="558"/>
  <c r="H38" i="558"/>
  <c r="L38" i="558"/>
  <c r="E39" i="558"/>
  <c r="I39" i="558"/>
  <c r="M39" i="558"/>
  <c r="F40" i="558"/>
  <c r="J40" i="558"/>
  <c r="N40" i="558"/>
  <c r="G41" i="558"/>
  <c r="K41" i="558"/>
  <c r="D42" i="558"/>
  <c r="H42" i="558"/>
  <c r="L42" i="558"/>
  <c r="E43" i="558"/>
  <c r="I43" i="558"/>
  <c r="M43" i="558"/>
  <c r="F44" i="558"/>
  <c r="J44" i="558"/>
  <c r="N44" i="558"/>
  <c r="G45" i="558"/>
  <c r="K45" i="558"/>
  <c r="D46" i="558"/>
  <c r="H46" i="558"/>
  <c r="L46" i="558"/>
  <c r="E47" i="558"/>
  <c r="I47" i="558"/>
  <c r="M47" i="558"/>
  <c r="F48" i="558"/>
  <c r="J48" i="558"/>
  <c r="N48" i="558"/>
  <c r="G49" i="558"/>
  <c r="K49" i="558"/>
  <c r="D50" i="558"/>
  <c r="K50" i="558"/>
  <c r="E52" i="558"/>
  <c r="J53" i="558"/>
  <c r="I56" i="558"/>
  <c r="N57" i="558"/>
  <c r="M60" i="558"/>
  <c r="G62" i="558"/>
  <c r="K66" i="558"/>
  <c r="F94" i="558"/>
  <c r="J98" i="558"/>
  <c r="N102" i="558"/>
  <c r="E72" i="558"/>
  <c r="J73" i="558"/>
  <c r="D75" i="558"/>
  <c r="I76" i="558"/>
  <c r="H80" i="558"/>
  <c r="F86" i="558"/>
  <c r="D92" i="558"/>
  <c r="M97" i="558"/>
  <c r="F66" i="558"/>
  <c r="F62" i="558"/>
  <c r="F58" i="558"/>
  <c r="F54" i="558"/>
  <c r="F50" i="558"/>
  <c r="F63" i="558"/>
  <c r="F59" i="558"/>
  <c r="F55" i="558"/>
  <c r="F51" i="558"/>
  <c r="F64" i="558"/>
  <c r="F60" i="558"/>
  <c r="F56" i="558"/>
  <c r="F52" i="558"/>
  <c r="J33" i="558"/>
  <c r="F45" i="558"/>
  <c r="F49" i="558"/>
  <c r="J49" i="558"/>
  <c r="N49" i="558"/>
  <c r="F53" i="558"/>
  <c r="J57" i="558"/>
  <c r="N61" i="558"/>
  <c r="D64" i="558"/>
  <c r="D60" i="558"/>
  <c r="D56" i="558"/>
  <c r="D52" i="558"/>
  <c r="D65" i="558"/>
  <c r="D61" i="558"/>
  <c r="D57" i="558"/>
  <c r="D53" i="558"/>
  <c r="D66" i="558"/>
  <c r="D62" i="558"/>
  <c r="D58" i="558"/>
  <c r="D54" i="558"/>
  <c r="H64" i="558"/>
  <c r="H60" i="558"/>
  <c r="H56" i="558"/>
  <c r="H52" i="558"/>
  <c r="H65" i="558"/>
  <c r="H61" i="558"/>
  <c r="H57" i="558"/>
  <c r="H53" i="558"/>
  <c r="H66" i="558"/>
  <c r="H62" i="558"/>
  <c r="H58" i="558"/>
  <c r="H54" i="558"/>
  <c r="H50" i="558"/>
  <c r="L64" i="558"/>
  <c r="L60" i="558"/>
  <c r="L56" i="558"/>
  <c r="L52" i="558"/>
  <c r="L65" i="558"/>
  <c r="L61" i="558"/>
  <c r="L57" i="558"/>
  <c r="L53" i="558"/>
  <c r="L66" i="558"/>
  <c r="L62" i="558"/>
  <c r="L58" i="558"/>
  <c r="L54" i="558"/>
  <c r="L50" i="558"/>
  <c r="E30" i="558"/>
  <c r="I30" i="558"/>
  <c r="M30" i="558"/>
  <c r="F31" i="558"/>
  <c r="J31" i="558"/>
  <c r="N31" i="558"/>
  <c r="G32" i="558"/>
  <c r="K32" i="558"/>
  <c r="D33" i="558"/>
  <c r="H33" i="558"/>
  <c r="L33" i="558"/>
  <c r="E34" i="558"/>
  <c r="I34" i="558"/>
  <c r="F35" i="558"/>
  <c r="J35" i="558"/>
  <c r="N35" i="558"/>
  <c r="G36" i="558"/>
  <c r="K36" i="558"/>
  <c r="D37" i="558"/>
  <c r="H37" i="558"/>
  <c r="L37" i="558"/>
  <c r="E38" i="558"/>
  <c r="I38" i="558"/>
  <c r="M38" i="558"/>
  <c r="F39" i="558"/>
  <c r="J39" i="558"/>
  <c r="N39" i="558"/>
  <c r="G40" i="558"/>
  <c r="K40" i="558"/>
  <c r="D41" i="558"/>
  <c r="H41" i="558"/>
  <c r="L41" i="558"/>
  <c r="E42" i="558"/>
  <c r="I42" i="558"/>
  <c r="M42" i="558"/>
  <c r="F43" i="558"/>
  <c r="J43" i="558"/>
  <c r="N43" i="558"/>
  <c r="G44" i="558"/>
  <c r="K44" i="558"/>
  <c r="D45" i="558"/>
  <c r="H45" i="558"/>
  <c r="L45" i="558"/>
  <c r="E46" i="558"/>
  <c r="I46" i="558"/>
  <c r="M46" i="558"/>
  <c r="F47" i="558"/>
  <c r="J47" i="558"/>
  <c r="N47" i="558"/>
  <c r="G48" i="558"/>
  <c r="K48" i="558"/>
  <c r="D49" i="558"/>
  <c r="H49" i="558"/>
  <c r="L49" i="558"/>
  <c r="E50" i="558"/>
  <c r="D51" i="558"/>
  <c r="N53" i="558"/>
  <c r="H55" i="558"/>
  <c r="G58" i="558"/>
  <c r="L59" i="558"/>
  <c r="F61" i="558"/>
  <c r="K62" i="558"/>
  <c r="G104" i="558"/>
  <c r="G100" i="558"/>
  <c r="G96" i="558"/>
  <c r="G92" i="558"/>
  <c r="G88" i="558"/>
  <c r="G84" i="558"/>
  <c r="G80" i="558"/>
  <c r="G105" i="558"/>
  <c r="G101" i="558"/>
  <c r="G97" i="558"/>
  <c r="G93" i="558"/>
  <c r="G89" i="558"/>
  <c r="G85" i="558"/>
  <c r="G81" i="558"/>
  <c r="G77" i="558"/>
  <c r="G106" i="558"/>
  <c r="G102" i="558"/>
  <c r="G98" i="558"/>
  <c r="G94" i="558"/>
  <c r="G90" i="558"/>
  <c r="G86" i="558"/>
  <c r="G82" i="558"/>
  <c r="G78" i="558"/>
  <c r="G103" i="558"/>
  <c r="G87" i="558"/>
  <c r="G75" i="558"/>
  <c r="G71" i="558"/>
  <c r="G107" i="558"/>
  <c r="G91" i="558"/>
  <c r="G76" i="558"/>
  <c r="G72" i="558"/>
  <c r="G95" i="558"/>
  <c r="G79" i="558"/>
  <c r="G73" i="558"/>
  <c r="K104" i="558"/>
  <c r="K100" i="558"/>
  <c r="K96" i="558"/>
  <c r="K92" i="558"/>
  <c r="K88" i="558"/>
  <c r="K84" i="558"/>
  <c r="K80" i="558"/>
  <c r="K105" i="558"/>
  <c r="K101" i="558"/>
  <c r="K97" i="558"/>
  <c r="K93" i="558"/>
  <c r="K89" i="558"/>
  <c r="K85" i="558"/>
  <c r="K81" i="558"/>
  <c r="K77" i="558"/>
  <c r="K106" i="558"/>
  <c r="K102" i="558"/>
  <c r="K98" i="558"/>
  <c r="K94" i="558"/>
  <c r="K90" i="558"/>
  <c r="K86" i="558"/>
  <c r="K82" i="558"/>
  <c r="K78" i="558"/>
  <c r="K107" i="558"/>
  <c r="K91" i="558"/>
  <c r="K75" i="558"/>
  <c r="K71" i="558"/>
  <c r="K95" i="558"/>
  <c r="K79" i="558"/>
  <c r="K76" i="558"/>
  <c r="K72" i="558"/>
  <c r="K99" i="558"/>
  <c r="K83" i="558"/>
  <c r="K73" i="558"/>
  <c r="D71" i="558"/>
  <c r="I72" i="558"/>
  <c r="N73" i="558"/>
  <c r="H75" i="558"/>
  <c r="M76" i="558"/>
  <c r="M81" i="558"/>
  <c r="K87" i="558"/>
  <c r="I93" i="558"/>
  <c r="G99" i="558"/>
  <c r="E105" i="558"/>
  <c r="J66" i="558"/>
  <c r="J62" i="558"/>
  <c r="J58" i="558"/>
  <c r="J54" i="558"/>
  <c r="J50" i="558"/>
  <c r="J63" i="558"/>
  <c r="J59" i="558"/>
  <c r="J55" i="558"/>
  <c r="J51" i="558"/>
  <c r="J64" i="558"/>
  <c r="J60" i="558"/>
  <c r="J56" i="558"/>
  <c r="J52" i="558"/>
  <c r="F37" i="558"/>
  <c r="J37" i="558"/>
  <c r="N37" i="558"/>
  <c r="J41" i="558"/>
  <c r="J45" i="558"/>
  <c r="E65" i="558"/>
  <c r="E61" i="558"/>
  <c r="E57" i="558"/>
  <c r="E53" i="558"/>
  <c r="E66" i="558"/>
  <c r="E62" i="558"/>
  <c r="E58" i="558"/>
  <c r="E54" i="558"/>
  <c r="E63" i="558"/>
  <c r="E59" i="558"/>
  <c r="E55" i="558"/>
  <c r="E51" i="558"/>
  <c r="I65" i="558"/>
  <c r="I61" i="558"/>
  <c r="I57" i="558"/>
  <c r="I53" i="558"/>
  <c r="I66" i="558"/>
  <c r="I62" i="558"/>
  <c r="I58" i="558"/>
  <c r="I54" i="558"/>
  <c r="I63" i="558"/>
  <c r="I59" i="558"/>
  <c r="I55" i="558"/>
  <c r="I51" i="558"/>
  <c r="M65" i="558"/>
  <c r="M61" i="558"/>
  <c r="M57" i="558"/>
  <c r="M53" i="558"/>
  <c r="M66" i="558"/>
  <c r="M62" i="558"/>
  <c r="M58" i="558"/>
  <c r="M54" i="558"/>
  <c r="M50" i="558"/>
  <c r="M63" i="558"/>
  <c r="M59" i="558"/>
  <c r="M55" i="558"/>
  <c r="M51" i="558"/>
  <c r="F30" i="558"/>
  <c r="J30" i="558"/>
  <c r="N30" i="558"/>
  <c r="G31" i="558"/>
  <c r="K31" i="558"/>
  <c r="D32" i="558"/>
  <c r="H32" i="558"/>
  <c r="L32" i="558"/>
  <c r="E33" i="558"/>
  <c r="I33" i="558"/>
  <c r="M33" i="558"/>
  <c r="F34" i="558"/>
  <c r="J34" i="558"/>
  <c r="N34" i="558"/>
  <c r="G35" i="558"/>
  <c r="K35" i="558"/>
  <c r="D36" i="558"/>
  <c r="H36" i="558"/>
  <c r="L36" i="558"/>
  <c r="E37" i="558"/>
  <c r="I37" i="558"/>
  <c r="M37" i="558"/>
  <c r="F38" i="558"/>
  <c r="J38" i="558"/>
  <c r="N38" i="558"/>
  <c r="G39" i="558"/>
  <c r="K39" i="558"/>
  <c r="D40" i="558"/>
  <c r="H40" i="558"/>
  <c r="L40" i="558"/>
  <c r="E41" i="558"/>
  <c r="I41" i="558"/>
  <c r="M41" i="558"/>
  <c r="F42" i="558"/>
  <c r="J42" i="558"/>
  <c r="N42" i="558"/>
  <c r="G43" i="558"/>
  <c r="K43" i="558"/>
  <c r="D44" i="558"/>
  <c r="H44" i="558"/>
  <c r="L44" i="558"/>
  <c r="E45" i="558"/>
  <c r="I45" i="558"/>
  <c r="M45" i="558"/>
  <c r="F46" i="558"/>
  <c r="J46" i="558"/>
  <c r="N46" i="558"/>
  <c r="G47" i="558"/>
  <c r="K47" i="558"/>
  <c r="D48" i="558"/>
  <c r="H48" i="558"/>
  <c r="L48" i="558"/>
  <c r="E49" i="558"/>
  <c r="I49" i="558"/>
  <c r="M49" i="558"/>
  <c r="G50" i="558"/>
  <c r="H51" i="558"/>
  <c r="M52" i="558"/>
  <c r="G54" i="558"/>
  <c r="L55" i="558"/>
  <c r="F57" i="558"/>
  <c r="K58" i="558"/>
  <c r="E60" i="558"/>
  <c r="J61" i="558"/>
  <c r="D63" i="558"/>
  <c r="I64" i="558"/>
  <c r="N65" i="558"/>
  <c r="H71" i="558"/>
  <c r="M72" i="558"/>
  <c r="G74" i="558"/>
  <c r="L75" i="558"/>
  <c r="I77" i="558"/>
  <c r="G83" i="558"/>
  <c r="E89" i="558"/>
  <c r="N94" i="558"/>
  <c r="L100" i="558"/>
  <c r="D105" i="558"/>
  <c r="D101" i="558"/>
  <c r="D97" i="558"/>
  <c r="D93" i="558"/>
  <c r="D89" i="558"/>
  <c r="D85" i="558"/>
  <c r="D81" i="558"/>
  <c r="D106" i="558"/>
  <c r="D102" i="558"/>
  <c r="D98" i="558"/>
  <c r="D94" i="558"/>
  <c r="D90" i="558"/>
  <c r="D86" i="558"/>
  <c r="D82" i="558"/>
  <c r="D78" i="558"/>
  <c r="D107" i="558"/>
  <c r="D103" i="558"/>
  <c r="D99" i="558"/>
  <c r="D95" i="558"/>
  <c r="D91" i="558"/>
  <c r="D87" i="558"/>
  <c r="D83" i="558"/>
  <c r="D79" i="558"/>
  <c r="H105" i="558"/>
  <c r="H101" i="558"/>
  <c r="H97" i="558"/>
  <c r="H93" i="558"/>
  <c r="H89" i="558"/>
  <c r="H85" i="558"/>
  <c r="H81" i="558"/>
  <c r="H77" i="558"/>
  <c r="H106" i="558"/>
  <c r="H102" i="558"/>
  <c r="H98" i="558"/>
  <c r="H94" i="558"/>
  <c r="H90" i="558"/>
  <c r="H86" i="558"/>
  <c r="H82" i="558"/>
  <c r="H78" i="558"/>
  <c r="H107" i="558"/>
  <c r="H103" i="558"/>
  <c r="H99" i="558"/>
  <c r="H95" i="558"/>
  <c r="H91" i="558"/>
  <c r="H87" i="558"/>
  <c r="H83" i="558"/>
  <c r="H79" i="558"/>
  <c r="L105" i="558"/>
  <c r="L101" i="558"/>
  <c r="L97" i="558"/>
  <c r="L93" i="558"/>
  <c r="L89" i="558"/>
  <c r="L85" i="558"/>
  <c r="L81" i="558"/>
  <c r="L77" i="558"/>
  <c r="L106" i="558"/>
  <c r="L102" i="558"/>
  <c r="L98" i="558"/>
  <c r="L94" i="558"/>
  <c r="L90" i="558"/>
  <c r="L86" i="558"/>
  <c r="L82" i="558"/>
  <c r="L78" i="558"/>
  <c r="L107" i="558"/>
  <c r="L103" i="558"/>
  <c r="L99" i="558"/>
  <c r="L95" i="558"/>
  <c r="L91" i="558"/>
  <c r="L87" i="558"/>
  <c r="L83" i="558"/>
  <c r="L79" i="558"/>
  <c r="E71" i="558"/>
  <c r="I71" i="558"/>
  <c r="M71" i="558"/>
  <c r="F72" i="558"/>
  <c r="J72" i="558"/>
  <c r="N72" i="558"/>
  <c r="D74" i="558"/>
  <c r="H74" i="558"/>
  <c r="L74" i="558"/>
  <c r="E75" i="558"/>
  <c r="I75" i="558"/>
  <c r="M75" i="558"/>
  <c r="F76" i="558"/>
  <c r="J76" i="558"/>
  <c r="N76" i="558"/>
  <c r="M77" i="558"/>
  <c r="L80" i="558"/>
  <c r="F82" i="558"/>
  <c r="E85" i="558"/>
  <c r="J86" i="558"/>
  <c r="D88" i="558"/>
  <c r="I89" i="558"/>
  <c r="N90" i="558"/>
  <c r="H92" i="558"/>
  <c r="L96" i="558"/>
  <c r="F98" i="558"/>
  <c r="J102" i="558"/>
  <c r="D104" i="558"/>
  <c r="N106" i="558"/>
  <c r="E106" i="558"/>
  <c r="E102" i="558"/>
  <c r="E98" i="558"/>
  <c r="E94" i="558"/>
  <c r="E90" i="558"/>
  <c r="E86" i="558"/>
  <c r="E82" i="558"/>
  <c r="E78" i="558"/>
  <c r="E107" i="558"/>
  <c r="E103" i="558"/>
  <c r="E99" i="558"/>
  <c r="E95" i="558"/>
  <c r="E91" i="558"/>
  <c r="E87" i="558"/>
  <c r="E83" i="558"/>
  <c r="E79" i="558"/>
  <c r="E104" i="558"/>
  <c r="E100" i="558"/>
  <c r="E96" i="558"/>
  <c r="E92" i="558"/>
  <c r="E88" i="558"/>
  <c r="E84" i="558"/>
  <c r="E80" i="558"/>
  <c r="I106" i="558"/>
  <c r="I102" i="558"/>
  <c r="I98" i="558"/>
  <c r="I94" i="558"/>
  <c r="I90" i="558"/>
  <c r="I86" i="558"/>
  <c r="I82" i="558"/>
  <c r="I78" i="558"/>
  <c r="I107" i="558"/>
  <c r="I103" i="558"/>
  <c r="I99" i="558"/>
  <c r="I95" i="558"/>
  <c r="I91" i="558"/>
  <c r="I87" i="558"/>
  <c r="I83" i="558"/>
  <c r="I79" i="558"/>
  <c r="I104" i="558"/>
  <c r="I100" i="558"/>
  <c r="I96" i="558"/>
  <c r="I92" i="558"/>
  <c r="I88" i="558"/>
  <c r="I84" i="558"/>
  <c r="I80" i="558"/>
  <c r="M106" i="558"/>
  <c r="M102" i="558"/>
  <c r="M98" i="558"/>
  <c r="M94" i="558"/>
  <c r="M90" i="558"/>
  <c r="M86" i="558"/>
  <c r="M82" i="558"/>
  <c r="M78" i="558"/>
  <c r="M107" i="558"/>
  <c r="M103" i="558"/>
  <c r="M99" i="558"/>
  <c r="M95" i="558"/>
  <c r="M91" i="558"/>
  <c r="M87" i="558"/>
  <c r="M83" i="558"/>
  <c r="M79" i="558"/>
  <c r="M104" i="558"/>
  <c r="M100" i="558"/>
  <c r="M96" i="558"/>
  <c r="M92" i="558"/>
  <c r="M88" i="558"/>
  <c r="M84" i="558"/>
  <c r="M80" i="558"/>
  <c r="F71" i="558"/>
  <c r="J71" i="558"/>
  <c r="N71" i="558"/>
  <c r="D73" i="558"/>
  <c r="H73" i="558"/>
  <c r="L73" i="558"/>
  <c r="E74" i="558"/>
  <c r="I74" i="558"/>
  <c r="M74" i="558"/>
  <c r="F75" i="558"/>
  <c r="J75" i="558"/>
  <c r="N75" i="558"/>
  <c r="D77" i="558"/>
  <c r="F78" i="558"/>
  <c r="E81" i="558"/>
  <c r="J82" i="558"/>
  <c r="D84" i="558"/>
  <c r="I85" i="558"/>
  <c r="N86" i="558"/>
  <c r="H88" i="558"/>
  <c r="M89" i="558"/>
  <c r="L92" i="558"/>
  <c r="E97" i="558"/>
  <c r="D100" i="558"/>
  <c r="I101" i="558"/>
  <c r="H104" i="558"/>
  <c r="M105" i="558"/>
  <c r="F107" i="558"/>
  <c r="F103" i="558"/>
  <c r="F99" i="558"/>
  <c r="F95" i="558"/>
  <c r="F91" i="558"/>
  <c r="F87" i="558"/>
  <c r="F83" i="558"/>
  <c r="F79" i="558"/>
  <c r="F104" i="558"/>
  <c r="F100" i="558"/>
  <c r="F96" i="558"/>
  <c r="F92" i="558"/>
  <c r="F88" i="558"/>
  <c r="F84" i="558"/>
  <c r="F80" i="558"/>
  <c r="F105" i="558"/>
  <c r="F101" i="558"/>
  <c r="F97" i="558"/>
  <c r="F93" i="558"/>
  <c r="F89" i="558"/>
  <c r="F85" i="558"/>
  <c r="F81" i="558"/>
  <c r="F77" i="558"/>
  <c r="J107" i="558"/>
  <c r="J103" i="558"/>
  <c r="J99" i="558"/>
  <c r="J95" i="558"/>
  <c r="J91" i="558"/>
  <c r="J87" i="558"/>
  <c r="J83" i="558"/>
  <c r="J79" i="558"/>
  <c r="J104" i="558"/>
  <c r="J100" i="558"/>
  <c r="J96" i="558"/>
  <c r="J92" i="558"/>
  <c r="J88" i="558"/>
  <c r="J84" i="558"/>
  <c r="J80" i="558"/>
  <c r="J105" i="558"/>
  <c r="J101" i="558"/>
  <c r="J97" i="558"/>
  <c r="J93" i="558"/>
  <c r="J89" i="558"/>
  <c r="J85" i="558"/>
  <c r="J81" i="558"/>
  <c r="J77" i="558"/>
  <c r="N107" i="558"/>
  <c r="N103" i="558"/>
  <c r="N99" i="558"/>
  <c r="N95" i="558"/>
  <c r="N91" i="558"/>
  <c r="N87" i="558"/>
  <c r="N83" i="558"/>
  <c r="N79" i="558"/>
  <c r="N104" i="558"/>
  <c r="N100" i="558"/>
  <c r="N96" i="558"/>
  <c r="N92" i="558"/>
  <c r="N88" i="558"/>
  <c r="N84" i="558"/>
  <c r="N80" i="558"/>
  <c r="N105" i="558"/>
  <c r="N101" i="558"/>
  <c r="N97" i="558"/>
  <c r="N93" i="558"/>
  <c r="N89" i="558"/>
  <c r="N85" i="558"/>
  <c r="N81" i="558"/>
  <c r="N77" i="558"/>
  <c r="D72" i="558"/>
  <c r="H72" i="558"/>
  <c r="L72" i="558"/>
  <c r="E73" i="558"/>
  <c r="I73" i="558"/>
  <c r="M73" i="558"/>
  <c r="F74" i="558"/>
  <c r="J74" i="558"/>
  <c r="N74" i="558"/>
  <c r="D76" i="558"/>
  <c r="H76" i="558"/>
  <c r="L76" i="558"/>
  <c r="E77" i="558"/>
  <c r="J78" i="558"/>
  <c r="D80" i="558"/>
  <c r="I81" i="558"/>
  <c r="N82" i="558"/>
  <c r="H84" i="558"/>
  <c r="M85" i="558"/>
  <c r="L88" i="558"/>
  <c r="F90" i="558"/>
  <c r="E93" i="558"/>
  <c r="J94" i="558"/>
  <c r="D96" i="558"/>
  <c r="I97" i="558"/>
  <c r="N98" i="558"/>
  <c r="H100" i="558"/>
  <c r="M101" i="558"/>
  <c r="L104" i="558"/>
  <c r="F106" i="558"/>
  <c r="F40" i="180"/>
  <c r="G40" i="180" s="1"/>
  <c r="F39" i="180"/>
  <c r="G39" i="180" s="1"/>
  <c r="F37" i="180"/>
  <c r="G37" i="180" s="1"/>
  <c r="F29" i="180"/>
  <c r="G29" i="180" s="1"/>
  <c r="F27" i="180"/>
  <c r="G27" i="180" s="1"/>
  <c r="F26" i="180"/>
  <c r="F8" i="180"/>
  <c r="G8" i="180" s="1"/>
  <c r="F7" i="180"/>
  <c r="G7" i="180" s="1"/>
  <c r="N42" i="555"/>
  <c r="C14" i="555" s="1"/>
  <c r="N43" i="555"/>
  <c r="C13" i="555" s="1"/>
  <c r="N44" i="555"/>
  <c r="C15" i="555" s="1"/>
  <c r="N45" i="555"/>
  <c r="C16" i="555"/>
  <c r="H19" i="180"/>
  <c r="AD4" i="180"/>
  <c r="AB4" i="180"/>
  <c r="H69" i="563" l="1"/>
  <c r="H62" i="575"/>
  <c r="G26" i="180"/>
  <c r="H72" i="568" s="1"/>
  <c r="E122" i="563"/>
  <c r="E121" i="563"/>
  <c r="G121" i="563" s="1"/>
  <c r="E160" i="563"/>
  <c r="E158" i="563"/>
  <c r="E133" i="563"/>
  <c r="E129" i="563"/>
  <c r="E125" i="563"/>
  <c r="E156" i="563"/>
  <c r="E154" i="563"/>
  <c r="E152" i="563"/>
  <c r="E150" i="563"/>
  <c r="E148" i="563"/>
  <c r="E146" i="563"/>
  <c r="E136" i="563"/>
  <c r="E132" i="563"/>
  <c r="E128" i="563"/>
  <c r="E124" i="563"/>
  <c r="E159" i="563"/>
  <c r="E157" i="563"/>
  <c r="E135" i="563"/>
  <c r="E131" i="563"/>
  <c r="E127" i="563"/>
  <c r="E123" i="563"/>
  <c r="E155" i="563"/>
  <c r="E147" i="563"/>
  <c r="E126" i="563"/>
  <c r="E153" i="563"/>
  <c r="E145" i="563"/>
  <c r="E151" i="563"/>
  <c r="E134" i="563"/>
  <c r="E149" i="563"/>
  <c r="E130" i="563"/>
  <c r="E137" i="563"/>
  <c r="E161" i="563"/>
  <c r="F156" i="563"/>
  <c r="F154" i="563"/>
  <c r="F152" i="563"/>
  <c r="F150" i="563"/>
  <c r="F148" i="563"/>
  <c r="F146" i="563"/>
  <c r="F122" i="563"/>
  <c r="F126" i="563"/>
  <c r="F130" i="563"/>
  <c r="F134" i="563"/>
  <c r="F159" i="563"/>
  <c r="F157" i="563"/>
  <c r="F123" i="563"/>
  <c r="F127" i="563"/>
  <c r="F131" i="563"/>
  <c r="F135" i="563"/>
  <c r="F155" i="563"/>
  <c r="F153" i="563"/>
  <c r="F151" i="563"/>
  <c r="F149" i="563"/>
  <c r="F147" i="563"/>
  <c r="F145" i="563"/>
  <c r="F124" i="563"/>
  <c r="F128" i="563"/>
  <c r="F132" i="563"/>
  <c r="F136" i="563"/>
  <c r="F160" i="563"/>
  <c r="F158" i="563"/>
  <c r="F133" i="563"/>
  <c r="F125" i="563"/>
  <c r="F129" i="563"/>
  <c r="F137" i="563"/>
  <c r="F161" i="563"/>
  <c r="F65" i="488"/>
  <c r="H65" i="488" s="1"/>
  <c r="F64" i="488"/>
  <c r="H64" i="488" s="1"/>
  <c r="D82" i="554"/>
  <c r="N45" i="554"/>
  <c r="N43" i="554"/>
  <c r="C13" i="554" s="1"/>
  <c r="N42" i="554"/>
  <c r="C14" i="554" s="1"/>
  <c r="C16" i="554"/>
  <c r="F62" i="553"/>
  <c r="F63" i="488"/>
  <c r="F104" i="553"/>
  <c r="F103" i="553"/>
  <c r="F102" i="553"/>
  <c r="F101" i="553"/>
  <c r="F100" i="553"/>
  <c r="F99" i="553"/>
  <c r="F98" i="553"/>
  <c r="D82" i="553"/>
  <c r="N43" i="553"/>
  <c r="C13" i="553" s="1"/>
  <c r="N42" i="553"/>
  <c r="C14" i="553" s="1"/>
  <c r="C36" i="553"/>
  <c r="H67" i="568" l="1"/>
  <c r="N55" i="568" s="1"/>
  <c r="N43" i="568" s="1"/>
  <c r="C13" i="568" s="1"/>
  <c r="H66" i="568" a="1"/>
  <c r="H66" i="568" s="1"/>
  <c r="F73" i="568" s="1"/>
  <c r="H73" i="568" s="1"/>
  <c r="H62" i="568" s="1"/>
  <c r="N50" i="568" s="1"/>
  <c r="N44" i="568" s="1"/>
  <c r="C15" i="568" s="1"/>
  <c r="C37" i="553"/>
  <c r="C16" i="553" s="1"/>
  <c r="G151" i="563"/>
  <c r="G159" i="563"/>
  <c r="G152" i="563"/>
  <c r="G122" i="563"/>
  <c r="G147" i="563"/>
  <c r="G146" i="563"/>
  <c r="G154" i="563"/>
  <c r="G131" i="563"/>
  <c r="G124" i="563"/>
  <c r="G129" i="563"/>
  <c r="G133" i="563"/>
  <c r="G134" i="563"/>
  <c r="G145" i="563"/>
  <c r="G149" i="563"/>
  <c r="G135" i="563"/>
  <c r="G156" i="563"/>
  <c r="G161" i="563"/>
  <c r="G153" i="563"/>
  <c r="G123" i="563"/>
  <c r="G157" i="563"/>
  <c r="G132" i="563"/>
  <c r="G150" i="563"/>
  <c r="G158" i="563"/>
  <c r="G130" i="563"/>
  <c r="G128" i="563"/>
  <c r="G148" i="563"/>
  <c r="G155" i="563"/>
  <c r="G137" i="563"/>
  <c r="H63" i="563" s="1"/>
  <c r="G126" i="563"/>
  <c r="G127" i="563"/>
  <c r="G136" i="563"/>
  <c r="G125" i="563"/>
  <c r="G160" i="563"/>
  <c r="D82" i="552"/>
  <c r="N42" i="552"/>
  <c r="C14" i="552" s="1"/>
  <c r="N45" i="552"/>
  <c r="C37" i="552"/>
  <c r="C16" i="552" s="1"/>
  <c r="S40" i="334"/>
  <c r="W40" i="334" l="1"/>
  <c r="Z40" i="334"/>
  <c r="N49" i="563"/>
  <c r="N43" i="563" s="1"/>
  <c r="C13" i="563" s="1"/>
  <c r="T40" i="334"/>
  <c r="X40" i="334" l="1"/>
  <c r="F66" i="551"/>
  <c r="H66" i="551" l="1"/>
  <c r="D82" i="551"/>
  <c r="N42" i="551"/>
  <c r="C14" i="551" s="1"/>
  <c r="N44" i="551"/>
  <c r="C15" i="551" s="1"/>
  <c r="N45" i="551"/>
  <c r="C16" i="551"/>
  <c r="N49" i="551" l="1"/>
  <c r="N43" i="551" s="1"/>
  <c r="C13" i="551" s="1"/>
  <c r="P49" i="551"/>
  <c r="N45" i="553" l="1"/>
  <c r="D82" i="549" l="1"/>
  <c r="N45" i="549"/>
  <c r="N44" i="549"/>
  <c r="C15" i="549" s="1"/>
  <c r="N42" i="549"/>
  <c r="C14" i="549" s="1"/>
  <c r="C16" i="549"/>
  <c r="D82" i="548"/>
  <c r="N45" i="548"/>
  <c r="N44" i="548"/>
  <c r="C15" i="548" s="1"/>
  <c r="N42" i="548"/>
  <c r="C14" i="548" s="1"/>
  <c r="C16" i="548"/>
  <c r="D82" i="547"/>
  <c r="N45" i="547"/>
  <c r="N44" i="547"/>
  <c r="C15" i="547" s="1"/>
  <c r="N42" i="547"/>
  <c r="C14" i="547" s="1"/>
  <c r="C16" i="546"/>
  <c r="D82" i="546"/>
  <c r="N44" i="546"/>
  <c r="C15" i="546" s="1"/>
  <c r="N43" i="546"/>
  <c r="C13" i="546" s="1"/>
  <c r="N45" i="546"/>
  <c r="N42" i="546"/>
  <c r="C14" i="546" s="1"/>
  <c r="H63" i="544"/>
  <c r="N50" i="544" s="1"/>
  <c r="H62" i="549" l="1"/>
  <c r="N43" i="548"/>
  <c r="C13" i="548" s="1"/>
  <c r="H66" i="544"/>
  <c r="H65" i="544"/>
  <c r="H64" i="544"/>
  <c r="H69" i="544" s="1"/>
  <c r="N49" i="549" l="1"/>
  <c r="N43" i="549" s="1"/>
  <c r="C13" i="549" s="1"/>
  <c r="N49" i="547"/>
  <c r="N43" i="547" s="1"/>
  <c r="C13" i="547" s="1"/>
  <c r="N44" i="544" l="1"/>
  <c r="C15" i="544" s="1"/>
  <c r="D82" i="544"/>
  <c r="N42" i="544"/>
  <c r="C14" i="544" s="1"/>
  <c r="N43" i="544"/>
  <c r="C13" i="544" s="1"/>
  <c r="N45" i="544"/>
  <c r="C16" i="544"/>
  <c r="D82" i="542" l="1"/>
  <c r="N42" i="542"/>
  <c r="C14" i="542" s="1"/>
  <c r="N45" i="542"/>
  <c r="C37" i="542"/>
  <c r="C16" i="542" s="1"/>
  <c r="AA4" i="180" l="1"/>
  <c r="D82" i="540" l="1"/>
  <c r="N45" i="540"/>
  <c r="N43" i="540"/>
  <c r="C13" i="540" s="1"/>
  <c r="N42" i="540"/>
  <c r="C14" i="540" s="1"/>
  <c r="C37" i="540"/>
  <c r="C16" i="540" s="1"/>
  <c r="C37" i="482" l="1"/>
  <c r="C36" i="482"/>
  <c r="F69" i="533" l="1"/>
  <c r="H69" i="533" l="1"/>
  <c r="D59" i="490"/>
  <c r="N49" i="533" l="1"/>
  <c r="N56" i="533"/>
  <c r="P49" i="533"/>
  <c r="F99" i="507"/>
  <c r="F100" i="507"/>
  <c r="F101" i="507"/>
  <c r="F102" i="507"/>
  <c r="F103" i="507"/>
  <c r="F104" i="507"/>
  <c r="F98" i="507"/>
  <c r="H65" i="507"/>
  <c r="G98" i="531"/>
  <c r="G99" i="531"/>
  <c r="G100" i="531"/>
  <c r="G97" i="531"/>
  <c r="C36" i="507" l="1"/>
  <c r="C37" i="507"/>
  <c r="C36" i="531"/>
  <c r="C37" i="531"/>
  <c r="D82" i="533"/>
  <c r="N45" i="533"/>
  <c r="N42" i="533"/>
  <c r="C14" i="533" s="1"/>
  <c r="C16" i="533"/>
  <c r="H67" i="532"/>
  <c r="D82" i="532"/>
  <c r="N45" i="532"/>
  <c r="N44" i="532"/>
  <c r="C15" i="532" s="1"/>
  <c r="N42" i="532"/>
  <c r="C14" i="532" s="1"/>
  <c r="C16" i="532"/>
  <c r="N43" i="533" l="1"/>
  <c r="C13" i="533" s="1"/>
  <c r="N44" i="559"/>
  <c r="C15" i="559" s="1"/>
  <c r="N43" i="559"/>
  <c r="C13" i="559" s="1"/>
  <c r="N44" i="533"/>
  <c r="C15" i="533" s="1"/>
  <c r="N45" i="531" l="1"/>
  <c r="N43" i="531"/>
  <c r="C13" i="531" s="1"/>
  <c r="N42" i="531"/>
  <c r="C14" i="531" s="1"/>
  <c r="C16" i="531"/>
  <c r="D86" i="527" l="1"/>
  <c r="D82" i="527"/>
  <c r="N45" i="527"/>
  <c r="N42" i="527"/>
  <c r="C14" i="527" s="1"/>
  <c r="C16" i="527"/>
  <c r="N44" i="527" l="1"/>
  <c r="C15" i="527" s="1"/>
  <c r="N43" i="527"/>
  <c r="C13" i="527" s="1"/>
  <c r="H67" i="525" l="1"/>
  <c r="F65" i="525"/>
  <c r="F138" i="525"/>
  <c r="F137" i="525"/>
  <c r="F136" i="525"/>
  <c r="F135" i="525"/>
  <c r="F134" i="525"/>
  <c r="F133" i="525"/>
  <c r="F132" i="525"/>
  <c r="F131" i="525"/>
  <c r="F130" i="525"/>
  <c r="F129" i="525"/>
  <c r="F128" i="525"/>
  <c r="F127" i="525"/>
  <c r="F126" i="525"/>
  <c r="F125" i="525"/>
  <c r="F124" i="525"/>
  <c r="F123" i="525"/>
  <c r="F122" i="525"/>
  <c r="F121" i="525"/>
  <c r="H65" i="525" l="1"/>
  <c r="C16" i="526"/>
  <c r="D86" i="526"/>
  <c r="D82" i="526"/>
  <c r="N45" i="526"/>
  <c r="N43" i="526"/>
  <c r="C13" i="526" s="1"/>
  <c r="N42" i="526"/>
  <c r="C14" i="526" s="1"/>
  <c r="H64" i="525"/>
  <c r="D82" i="525" l="1"/>
  <c r="N50" i="525" s="1"/>
  <c r="N45" i="525"/>
  <c r="N43" i="525"/>
  <c r="C13" i="525" s="1"/>
  <c r="N42" i="525"/>
  <c r="C14" i="525" s="1"/>
  <c r="C16" i="525"/>
  <c r="N44" i="525" l="1"/>
  <c r="C15" i="525" s="1"/>
  <c r="H70" i="521" l="1"/>
  <c r="F70" i="521"/>
  <c r="H63" i="521"/>
  <c r="F69" i="521" l="1"/>
  <c r="H69" i="521" s="1"/>
  <c r="D86" i="521" l="1"/>
  <c r="N42" i="523" l="1"/>
  <c r="C14" i="523" s="1"/>
  <c r="N44" i="523"/>
  <c r="C15" i="523" s="1"/>
  <c r="N45" i="523"/>
  <c r="C16" i="523"/>
  <c r="B12" i="522"/>
  <c r="B13" i="522"/>
  <c r="B14" i="522"/>
  <c r="B15" i="522"/>
  <c r="B16" i="522"/>
  <c r="B17" i="522"/>
  <c r="B18" i="522"/>
  <c r="B19" i="522"/>
  <c r="B20" i="522"/>
  <c r="B21" i="522"/>
  <c r="B22" i="522"/>
  <c r="B23" i="522"/>
  <c r="B24" i="522"/>
  <c r="B25" i="522"/>
  <c r="B26" i="522"/>
  <c r="B27" i="522"/>
  <c r="B28" i="522"/>
  <c r="B29" i="522"/>
  <c r="B30" i="522"/>
  <c r="B31" i="522"/>
  <c r="B32" i="522"/>
  <c r="B33" i="522"/>
  <c r="B34" i="522"/>
  <c r="B35" i="522"/>
  <c r="B36" i="522"/>
  <c r="B37" i="522"/>
  <c r="B38" i="522"/>
  <c r="B39" i="522"/>
  <c r="B40" i="522"/>
  <c r="B41" i="522"/>
  <c r="B42" i="522"/>
  <c r="B43" i="522"/>
  <c r="B44" i="522"/>
  <c r="B45" i="522"/>
  <c r="B46" i="522"/>
  <c r="B47" i="522"/>
  <c r="B48" i="522"/>
  <c r="B49" i="522"/>
  <c r="B50" i="522"/>
  <c r="B51" i="522"/>
  <c r="B52" i="522"/>
  <c r="B53" i="522"/>
  <c r="B54" i="522"/>
  <c r="B55" i="522"/>
  <c r="B56" i="522"/>
  <c r="B57" i="522"/>
  <c r="B58" i="522"/>
  <c r="B59" i="522"/>
  <c r="B60" i="522"/>
  <c r="B61" i="522"/>
  <c r="B62" i="522"/>
  <c r="B63" i="522"/>
  <c r="B64" i="522"/>
  <c r="B65" i="522"/>
  <c r="B66" i="522"/>
  <c r="B67" i="522"/>
  <c r="B68" i="522"/>
  <c r="B69" i="522"/>
  <c r="B70" i="522"/>
  <c r="B71" i="522"/>
  <c r="B72" i="522"/>
  <c r="B73" i="522"/>
  <c r="B74" i="522"/>
  <c r="B75" i="522"/>
  <c r="B76" i="522"/>
  <c r="B77" i="522"/>
  <c r="B78" i="522"/>
  <c r="B79" i="522"/>
  <c r="B80" i="522"/>
  <c r="B81" i="522"/>
  <c r="B82" i="522"/>
  <c r="B83" i="522"/>
  <c r="B84" i="522"/>
  <c r="B85" i="522"/>
  <c r="B86" i="522"/>
  <c r="B87" i="522"/>
  <c r="B88" i="522"/>
  <c r="B89" i="522"/>
  <c r="B90" i="522"/>
  <c r="B91" i="522"/>
  <c r="B92" i="522"/>
  <c r="B93" i="522"/>
  <c r="B94" i="522"/>
  <c r="B95" i="522"/>
  <c r="B96" i="522"/>
  <c r="B97" i="522"/>
  <c r="B98" i="522"/>
  <c r="B99" i="522"/>
  <c r="B100" i="522"/>
  <c r="B11" i="522"/>
  <c r="F16" i="522" a="1"/>
  <c r="G92" i="522" a="1"/>
  <c r="E58" i="522" a="1"/>
  <c r="E88" i="522" a="1"/>
  <c r="G41" i="522" a="1"/>
  <c r="G56" i="522" a="1"/>
  <c r="F89" i="522" a="1"/>
  <c r="F34" i="522" a="1"/>
  <c r="G61" i="522" a="1"/>
  <c r="E40" i="522" a="1"/>
  <c r="G73" i="522" a="1"/>
  <c r="F21" i="522" a="1"/>
  <c r="G44" i="522" a="1"/>
  <c r="E68" i="522" a="1"/>
  <c r="G40" i="522" a="1"/>
  <c r="G88" i="522" a="1"/>
  <c r="G60" i="522" a="1"/>
  <c r="F72" i="522" a="1"/>
  <c r="E82" i="522" a="1"/>
  <c r="G54" i="522" a="1"/>
  <c r="G77" i="522" a="1"/>
  <c r="F17" i="522" a="1"/>
  <c r="G20" i="522" a="1"/>
  <c r="G32" i="522" a="1"/>
  <c r="G38" i="522" a="1"/>
  <c r="G14" i="522" a="1"/>
  <c r="E78" i="522" a="1"/>
  <c r="G30" i="522" a="1"/>
  <c r="E44" i="522" a="1"/>
  <c r="F53" i="522" a="1"/>
  <c r="F40" i="522" a="1"/>
  <c r="E98" i="522" a="1"/>
  <c r="F94" i="522" a="1"/>
  <c r="G23" i="522" a="1"/>
  <c r="G31" i="522" a="1"/>
  <c r="F24" i="522" a="1"/>
  <c r="G46" i="522" a="1"/>
  <c r="E16" i="522" a="1"/>
  <c r="F92" i="522" a="1"/>
  <c r="G89" i="522" a="1"/>
  <c r="E17" i="522" a="1"/>
  <c r="G52" i="522" a="1"/>
  <c r="E52" i="522" a="1"/>
  <c r="E92" i="522" a="1"/>
  <c r="F71" i="522" a="1"/>
  <c r="G95" i="522" a="1"/>
  <c r="E96" i="522" a="1"/>
  <c r="E49" i="522" a="1"/>
  <c r="E85" i="522" a="1"/>
  <c r="E56" i="522" a="1"/>
  <c r="G48" i="522" a="1"/>
  <c r="E97" i="522" a="1"/>
  <c r="G16" i="522" a="1"/>
  <c r="E24" i="522" a="1"/>
  <c r="E64" i="522" a="1"/>
  <c r="F56" i="522" a="1"/>
  <c r="F74" i="522" a="1"/>
  <c r="G57" i="522" a="1"/>
  <c r="E13" i="522" a="1"/>
  <c r="G81" i="522" a="1"/>
  <c r="F41" i="522" a="1"/>
  <c r="G72" i="522" a="1"/>
  <c r="G33" i="522" a="1"/>
  <c r="E32" i="522" a="1"/>
  <c r="F42" i="522" a="1"/>
  <c r="F15" i="522" a="1"/>
  <c r="E83" i="522" a="1"/>
  <c r="E93" i="522" a="1"/>
  <c r="F32" i="522" a="1"/>
  <c r="G24" i="522" a="1"/>
  <c r="F18" i="522" a="1"/>
  <c r="G25" i="522" a="1"/>
  <c r="F75" i="522" a="1"/>
  <c r="E45" i="522" a="1"/>
  <c r="G22" i="522" a="1"/>
  <c r="F50" i="522" a="1"/>
  <c r="G29" i="522" a="1"/>
  <c r="F65" i="522" a="1"/>
  <c r="F84" i="522" a="1"/>
  <c r="F37" i="522" a="1"/>
  <c r="G64" i="522" a="1"/>
  <c r="G68" i="522" a="1"/>
  <c r="E72" i="522" a="1"/>
  <c r="F88" i="522" a="1"/>
  <c r="G96" i="522" a="1"/>
  <c r="F64" i="522" a="1"/>
  <c r="E76" i="522" a="1"/>
  <c r="F48" i="522" a="1"/>
  <c r="E66" i="522" a="1"/>
  <c r="F12" i="522" a="1"/>
  <c r="F80" i="522" a="1"/>
  <c r="F20" i="522" a="1"/>
  <c r="F96" i="522" a="1"/>
  <c r="G76" i="522" a="1"/>
  <c r="E20" i="522" a="1"/>
  <c r="G28" i="522" a="1"/>
  <c r="F26" i="522" a="1"/>
  <c r="G84" i="522" a="1"/>
  <c r="E11" i="522" a="1"/>
  <c r="F68" i="522" a="1"/>
  <c r="F52" i="522" a="1"/>
  <c r="G80" i="522" a="1"/>
  <c r="E57" i="522" a="1"/>
  <c r="E48" i="522" a="1"/>
  <c r="F36" i="522" a="1"/>
  <c r="E80" i="522" a="1"/>
  <c r="G69" i="522" a="1"/>
  <c r="F85" i="522" a="1"/>
  <c r="F91" i="522" a="1"/>
  <c r="G100" i="522" a="1"/>
  <c r="F87" i="522" a="1"/>
  <c r="E19" i="522" a="1"/>
  <c r="E39" i="522" a="1"/>
  <c r="F55" i="522" a="1"/>
  <c r="G79" i="522" a="1"/>
  <c r="F27" i="522" a="1"/>
  <c r="F47" i="522" a="1"/>
  <c r="E63" i="522" a="1"/>
  <c r="E35" i="522" a="1"/>
  <c r="G43" i="522" a="1"/>
  <c r="E51" i="522" a="1"/>
  <c r="E99" i="522" a="1"/>
  <c r="E11" i="522" l="1"/>
  <c r="E98" i="522"/>
  <c r="F94" i="522"/>
  <c r="E82" i="522"/>
  <c r="AB31" i="334" s="1"/>
  <c r="E78" i="522"/>
  <c r="AB8" i="334" s="1"/>
  <c r="F74" i="522"/>
  <c r="AC63" i="334" s="1"/>
  <c r="E66" i="522"/>
  <c r="E58" i="522"/>
  <c r="G54" i="522"/>
  <c r="F50" i="522"/>
  <c r="G46" i="522"/>
  <c r="F42" i="522"/>
  <c r="G38" i="522"/>
  <c r="F34" i="522"/>
  <c r="G30" i="522"/>
  <c r="F26" i="522"/>
  <c r="G22" i="522"/>
  <c r="F18" i="522"/>
  <c r="G14" i="522"/>
  <c r="E97" i="522"/>
  <c r="E93" i="522"/>
  <c r="G89" i="522"/>
  <c r="F89" i="522"/>
  <c r="E85" i="522"/>
  <c r="AB4" i="334" s="1"/>
  <c r="F85" i="522"/>
  <c r="AC45" i="334" s="1"/>
  <c r="G81" i="522"/>
  <c r="G77" i="522"/>
  <c r="G73" i="522"/>
  <c r="G69" i="522"/>
  <c r="F65" i="522"/>
  <c r="G61" i="522"/>
  <c r="E57" i="522"/>
  <c r="G57" i="522"/>
  <c r="F53" i="522"/>
  <c r="E49" i="522"/>
  <c r="E45" i="522"/>
  <c r="G41" i="522"/>
  <c r="F41" i="522"/>
  <c r="F37" i="522"/>
  <c r="G33" i="522"/>
  <c r="G29" i="522"/>
  <c r="G25" i="522"/>
  <c r="F21" i="522"/>
  <c r="E17" i="522"/>
  <c r="F17" i="522"/>
  <c r="E13" i="522"/>
  <c r="G100" i="522"/>
  <c r="F96" i="522"/>
  <c r="G96" i="522"/>
  <c r="E96" i="522"/>
  <c r="F92" i="522"/>
  <c r="G92" i="522"/>
  <c r="E92" i="522"/>
  <c r="F88" i="522"/>
  <c r="G88" i="522"/>
  <c r="E88" i="522"/>
  <c r="F84" i="522"/>
  <c r="G84" i="522"/>
  <c r="F80" i="522"/>
  <c r="AC34" i="334" s="1"/>
  <c r="G80" i="522"/>
  <c r="E80" i="522"/>
  <c r="AB34" i="334" s="1"/>
  <c r="G76" i="522"/>
  <c r="E76" i="522"/>
  <c r="F72" i="522"/>
  <c r="G72" i="522"/>
  <c r="E72" i="522"/>
  <c r="F68" i="522"/>
  <c r="G68" i="522"/>
  <c r="E68" i="522"/>
  <c r="F64" i="522"/>
  <c r="G64" i="522"/>
  <c r="E64" i="522"/>
  <c r="G60" i="522"/>
  <c r="F56" i="522"/>
  <c r="G56" i="522"/>
  <c r="E56" i="522"/>
  <c r="F52" i="522"/>
  <c r="G52" i="522"/>
  <c r="E52" i="522"/>
  <c r="F48" i="522"/>
  <c r="G48" i="522"/>
  <c r="E48" i="522"/>
  <c r="G44" i="522"/>
  <c r="E44" i="522"/>
  <c r="F40" i="522"/>
  <c r="G40" i="522"/>
  <c r="E40" i="522"/>
  <c r="F36" i="522"/>
  <c r="F32" i="522"/>
  <c r="G32" i="522"/>
  <c r="E32" i="522"/>
  <c r="G28" i="522"/>
  <c r="F24" i="522"/>
  <c r="G24" i="522"/>
  <c r="E24" i="522"/>
  <c r="F20" i="522"/>
  <c r="G20" i="522"/>
  <c r="E20" i="522"/>
  <c r="F16" i="522"/>
  <c r="G16" i="522"/>
  <c r="E16" i="522"/>
  <c r="F12" i="522"/>
  <c r="E99" i="522"/>
  <c r="G95" i="522"/>
  <c r="F91" i="522"/>
  <c r="F87" i="522"/>
  <c r="E83" i="522"/>
  <c r="G79" i="522"/>
  <c r="F75" i="522"/>
  <c r="F71" i="522"/>
  <c r="E63" i="522"/>
  <c r="F55" i="522"/>
  <c r="E51" i="522"/>
  <c r="F47" i="522"/>
  <c r="G43" i="522"/>
  <c r="E39" i="522"/>
  <c r="E35" i="522"/>
  <c r="G31" i="522"/>
  <c r="F27" i="522"/>
  <c r="G23" i="522"/>
  <c r="E19" i="522"/>
  <c r="F15" i="522"/>
  <c r="N43" i="596"/>
  <c r="C13" i="596" s="1"/>
  <c r="E61" i="522" a="1"/>
  <c r="G65" i="522" a="1"/>
  <c r="E67" i="522" a="1"/>
  <c r="G27" i="522" a="1"/>
  <c r="E37" i="522" a="1"/>
  <c r="F73" i="522" a="1"/>
  <c r="F78" i="522" a="1"/>
  <c r="G37" i="522" a="1"/>
  <c r="E22" i="522" a="1"/>
  <c r="F11" i="522" a="1"/>
  <c r="G63" i="522" a="1"/>
  <c r="E90" i="522" a="1"/>
  <c r="E79" i="522" a="1"/>
  <c r="G67" i="522" a="1"/>
  <c r="E30" i="522" a="1"/>
  <c r="E26" i="522" a="1"/>
  <c r="E71" i="522" a="1"/>
  <c r="G39" i="522" a="1"/>
  <c r="G11" i="522" a="1"/>
  <c r="E77" i="522" a="1"/>
  <c r="E91" i="522" a="1"/>
  <c r="G66" i="522" a="1"/>
  <c r="F69" i="522" a="1"/>
  <c r="E36" i="522" a="1"/>
  <c r="E75" i="522" a="1"/>
  <c r="G58" i="522" a="1"/>
  <c r="G85" i="522" a="1"/>
  <c r="E94" i="522" a="1"/>
  <c r="F83" i="522" a="1"/>
  <c r="G82" i="522" a="1"/>
  <c r="F67" i="522" a="1"/>
  <c r="F59" i="522" a="1"/>
  <c r="E54" i="522" a="1"/>
  <c r="G62" i="522" a="1"/>
  <c r="E23" i="522" a="1"/>
  <c r="F49" i="522" a="1"/>
  <c r="E27" i="522" a="1"/>
  <c r="E81" i="522" a="1"/>
  <c r="G87" i="522" a="1"/>
  <c r="F70" i="522" a="1"/>
  <c r="E21" i="522" a="1"/>
  <c r="F98" i="522" a="1"/>
  <c r="G83" i="522" a="1"/>
  <c r="E65" i="522" a="1"/>
  <c r="F99" i="522" a="1"/>
  <c r="G47" i="522" a="1"/>
  <c r="E73" i="522" a="1"/>
  <c r="G93" i="522" a="1"/>
  <c r="G99" i="522" a="1"/>
  <c r="G34" i="522" a="1"/>
  <c r="E60" i="522" a="1"/>
  <c r="G74" i="522" a="1"/>
  <c r="E28" i="522" a="1"/>
  <c r="E50" i="522" a="1"/>
  <c r="F29" i="522" a="1"/>
  <c r="G26" i="522" a="1"/>
  <c r="G98" i="522" a="1"/>
  <c r="E46" i="522" a="1"/>
  <c r="E53" i="522" a="1"/>
  <c r="E55" i="522" a="1"/>
  <c r="E84" i="522" a="1"/>
  <c r="G71" i="522" a="1"/>
  <c r="F31" i="522" a="1"/>
  <c r="F86" i="522" a="1"/>
  <c r="F77" i="522" a="1"/>
  <c r="F51" i="522" a="1"/>
  <c r="G49" i="522" a="1"/>
  <c r="G19" i="522" a="1"/>
  <c r="F90" i="522" a="1"/>
  <c r="G90" i="522" a="1"/>
  <c r="F76" i="522" a="1"/>
  <c r="F93" i="522" a="1"/>
  <c r="E42" i="522" a="1"/>
  <c r="E38" i="522" a="1"/>
  <c r="E41" i="522" a="1"/>
  <c r="E29" i="522" a="1"/>
  <c r="G78" i="522" a="1"/>
  <c r="E14" i="522" a="1"/>
  <c r="G13" i="522" a="1"/>
  <c r="F63" i="522" a="1"/>
  <c r="G53" i="522" a="1"/>
  <c r="F35" i="522" a="1"/>
  <c r="F23" i="522" a="1"/>
  <c r="G70" i="522" a="1"/>
  <c r="E62" i="522" a="1"/>
  <c r="F97" i="522" a="1"/>
  <c r="F58" i="522" a="1"/>
  <c r="E69" i="522" a="1"/>
  <c r="E31" i="522" a="1"/>
  <c r="F54" i="522" a="1"/>
  <c r="G18" i="522" a="1"/>
  <c r="F22" i="522" a="1"/>
  <c r="E12" i="522" a="1"/>
  <c r="E87" i="522" a="1"/>
  <c r="F39" i="522" a="1"/>
  <c r="G86" i="522" a="1"/>
  <c r="F19" i="522" a="1"/>
  <c r="G50" i="522" a="1"/>
  <c r="F33" i="522" a="1"/>
  <c r="F60" i="522" a="1"/>
  <c r="F82" i="522" a="1"/>
  <c r="G59" i="522" a="1"/>
  <c r="E18" i="522" a="1"/>
  <c r="E70" i="522" a="1"/>
  <c r="G51" i="522" a="1"/>
  <c r="F61" i="522" a="1"/>
  <c r="E47" i="522" a="1"/>
  <c r="F62" i="522" a="1"/>
  <c r="E15" i="522" a="1"/>
  <c r="F57" i="522" a="1"/>
  <c r="G97" i="522" a="1"/>
  <c r="E100" i="522" a="1"/>
  <c r="E33" i="522" a="1"/>
  <c r="F66" i="522" a="1"/>
  <c r="E25" i="522" a="1"/>
  <c r="F79" i="522" a="1"/>
  <c r="G45" i="522" a="1"/>
  <c r="G15" i="522" a="1"/>
  <c r="G75" i="522" a="1"/>
  <c r="F25" i="522" a="1"/>
  <c r="E86" i="522" a="1"/>
  <c r="G35" i="522" a="1"/>
  <c r="G55" i="522" a="1"/>
  <c r="F13" i="522" a="1"/>
  <c r="G36" i="522" a="1"/>
  <c r="F45" i="522" a="1"/>
  <c r="F81" i="522" a="1"/>
  <c r="E59" i="522" a="1"/>
  <c r="G94" i="522" a="1"/>
  <c r="G42" i="522" a="1"/>
  <c r="F100" i="522" a="1"/>
  <c r="E89" i="522" a="1"/>
  <c r="F28" i="522" a="1"/>
  <c r="F30" i="522" a="1"/>
  <c r="E74" i="522" a="1"/>
  <c r="G91" i="522" a="1"/>
  <c r="E43" i="522" a="1"/>
  <c r="F95" i="522" a="1"/>
  <c r="F46" i="522" a="1"/>
  <c r="G21" i="522" a="1"/>
  <c r="G12" i="522" a="1"/>
  <c r="G17" i="522" a="1"/>
  <c r="E34" i="522" a="1"/>
  <c r="E95" i="522" a="1"/>
  <c r="F43" i="522" a="1"/>
  <c r="F14" i="522" a="1"/>
  <c r="F38" i="522" a="1"/>
  <c r="F44" i="522" a="1"/>
  <c r="E33" i="522" l="1"/>
  <c r="F81" i="522"/>
  <c r="G97" i="522"/>
  <c r="F33" i="522"/>
  <c r="F25" i="522"/>
  <c r="AC5" i="334" s="1"/>
  <c r="E89" i="522"/>
  <c r="E65" i="522"/>
  <c r="F97" i="522"/>
  <c r="E37" i="522"/>
  <c r="E25" i="522"/>
  <c r="AB5" i="334" s="1"/>
  <c r="F57" i="522"/>
  <c r="G17" i="522"/>
  <c r="F49" i="522"/>
  <c r="G13" i="522"/>
  <c r="G37" i="522"/>
  <c r="G53" i="522"/>
  <c r="G49" i="522"/>
  <c r="F73" i="522"/>
  <c r="E81" i="522"/>
  <c r="E73" i="522"/>
  <c r="F69" i="522"/>
  <c r="E21" i="522"/>
  <c r="E77" i="522"/>
  <c r="G45" i="522"/>
  <c r="F45" i="522"/>
  <c r="E53" i="522"/>
  <c r="F29" i="522"/>
  <c r="F13" i="522"/>
  <c r="F100" i="522"/>
  <c r="E28" i="522"/>
  <c r="F76" i="522"/>
  <c r="G12" i="522"/>
  <c r="F60" i="522"/>
  <c r="F28" i="522"/>
  <c r="AC56" i="334" s="1"/>
  <c r="F44" i="522"/>
  <c r="E100" i="522"/>
  <c r="E36" i="522"/>
  <c r="E60" i="522"/>
  <c r="E12" i="522"/>
  <c r="E84" i="522"/>
  <c r="G36" i="522"/>
  <c r="E29" i="522"/>
  <c r="E41" i="522"/>
  <c r="G11" i="522"/>
  <c r="G58" i="522"/>
  <c r="F77" i="522"/>
  <c r="F11" i="522"/>
  <c r="E69" i="522"/>
  <c r="F93" i="522"/>
  <c r="G93" i="522"/>
  <c r="G94" i="522"/>
  <c r="E61" i="522"/>
  <c r="F61" i="522"/>
  <c r="G21" i="522"/>
  <c r="F54" i="522"/>
  <c r="E38" i="522"/>
  <c r="G66" i="522"/>
  <c r="F98" i="522"/>
  <c r="E14" i="522"/>
  <c r="F19" i="522"/>
  <c r="F58" i="522"/>
  <c r="E75" i="522"/>
  <c r="G15" i="522"/>
  <c r="F83" i="522"/>
  <c r="E54" i="522"/>
  <c r="F23" i="522"/>
  <c r="E31" i="522"/>
  <c r="E95" i="522"/>
  <c r="E30" i="522"/>
  <c r="AB74" i="334" s="1"/>
  <c r="F30" i="522"/>
  <c r="AC74" i="334" s="1"/>
  <c r="F14" i="522"/>
  <c r="F38" i="522"/>
  <c r="E15" i="522"/>
  <c r="F22" i="522"/>
  <c r="E50" i="522"/>
  <c r="E42" i="522"/>
  <c r="E34" i="522"/>
  <c r="G98" i="522"/>
  <c r="E46" i="522"/>
  <c r="F66" i="522"/>
  <c r="G50" i="522"/>
  <c r="G26" i="522"/>
  <c r="E26" i="522"/>
  <c r="G34" i="522"/>
  <c r="G19" i="522"/>
  <c r="E94" i="522"/>
  <c r="AC12" i="334"/>
  <c r="AC22" i="334"/>
  <c r="AC62" i="334"/>
  <c r="AC54" i="334"/>
  <c r="AB54" i="334"/>
  <c r="AB12" i="334"/>
  <c r="AB22" i="334"/>
  <c r="AB62" i="334"/>
  <c r="G85" i="522"/>
  <c r="G18" i="522"/>
  <c r="F35" i="522"/>
  <c r="F43" i="522"/>
  <c r="G47" i="522"/>
  <c r="E43" i="522"/>
  <c r="F86" i="522"/>
  <c r="E27" i="522"/>
  <c r="E70" i="522"/>
  <c r="F82" i="522"/>
  <c r="AC30" i="334" s="1"/>
  <c r="G90" i="522"/>
  <c r="E22" i="522"/>
  <c r="F46" i="522"/>
  <c r="G74" i="522"/>
  <c r="F99" i="522"/>
  <c r="E47" i="522"/>
  <c r="G78" i="522"/>
  <c r="E79" i="522"/>
  <c r="F62" i="522"/>
  <c r="F70" i="522"/>
  <c r="G86" i="522"/>
  <c r="E90" i="522"/>
  <c r="AB13" i="334" s="1"/>
  <c r="G42" i="522"/>
  <c r="F39" i="522"/>
  <c r="E23" i="522"/>
  <c r="G35" i="522"/>
  <c r="E67" i="522"/>
  <c r="G39" i="522"/>
  <c r="E91" i="522"/>
  <c r="E62" i="522"/>
  <c r="G70" i="522"/>
  <c r="E86" i="522"/>
  <c r="F59" i="522"/>
  <c r="G65" i="522"/>
  <c r="E18" i="522"/>
  <c r="E74" i="522"/>
  <c r="AB63" i="334" s="1"/>
  <c r="F31" i="522"/>
  <c r="G63" i="522"/>
  <c r="F67" i="522"/>
  <c r="F78" i="522"/>
  <c r="AC8" i="334" s="1"/>
  <c r="G27" i="522"/>
  <c r="G62" i="522"/>
  <c r="G82" i="522"/>
  <c r="F90" i="522"/>
  <c r="G59" i="522"/>
  <c r="AC40" i="334"/>
  <c r="AC44" i="334"/>
  <c r="AC71" i="334"/>
  <c r="AC11" i="334"/>
  <c r="AC70" i="334"/>
  <c r="AB30" i="334"/>
  <c r="G55" i="522"/>
  <c r="G87" i="522"/>
  <c r="F63" i="522"/>
  <c r="G83" i="522"/>
  <c r="E59" i="522"/>
  <c r="G91" i="522"/>
  <c r="G67" i="522"/>
  <c r="E87" i="522"/>
  <c r="G71" i="522"/>
  <c r="G51" i="522"/>
  <c r="E71" i="522"/>
  <c r="F95" i="522"/>
  <c r="F51" i="522"/>
  <c r="G75" i="522"/>
  <c r="E55" i="522"/>
  <c r="F79" i="522"/>
  <c r="G99" i="522"/>
  <c r="AB11" i="334"/>
  <c r="AB71" i="334"/>
  <c r="AC4" i="334"/>
  <c r="AB45" i="334"/>
  <c r="AB40" i="334"/>
  <c r="AB3" i="334"/>
  <c r="AB70" i="334"/>
  <c r="E19" i="180"/>
  <c r="AB75" i="334" l="1"/>
  <c r="AC75" i="334"/>
  <c r="AC26" i="334"/>
  <c r="AA22" i="334"/>
  <c r="AB60" i="334"/>
  <c r="AC60" i="334"/>
  <c r="AC14" i="334"/>
  <c r="AB14" i="334"/>
  <c r="AA12" i="334"/>
  <c r="AA54" i="334"/>
  <c r="AA62" i="334"/>
  <c r="AC31" i="334"/>
  <c r="AB19" i="334"/>
  <c r="AC13" i="334"/>
  <c r="AC19" i="334"/>
  <c r="D82" i="521"/>
  <c r="N45" i="521"/>
  <c r="N43" i="521"/>
  <c r="C13" i="521" s="1"/>
  <c r="N42" i="521"/>
  <c r="C14" i="521" s="1"/>
  <c r="C16" i="521"/>
  <c r="D82" i="341" l="1"/>
  <c r="D82" i="509"/>
  <c r="D82" i="481"/>
  <c r="D82" i="504"/>
  <c r="D81" i="480"/>
  <c r="D82" i="484"/>
  <c r="D82" i="487"/>
  <c r="D82" i="483"/>
  <c r="D82" i="492"/>
  <c r="D82" i="503"/>
  <c r="D82" i="500"/>
  <c r="D82" i="498"/>
  <c r="N56" i="494"/>
  <c r="D82" i="488"/>
  <c r="D82" i="496"/>
  <c r="H63" i="492" l="1"/>
  <c r="H62" i="492"/>
  <c r="C16" i="509" l="1"/>
  <c r="C16" i="494"/>
  <c r="H67" i="492" l="1"/>
  <c r="N45" i="509"/>
  <c r="N43" i="509"/>
  <c r="C13" i="509" s="1"/>
  <c r="N42" i="509"/>
  <c r="C14" i="509" s="1"/>
  <c r="N44" i="509" l="1"/>
  <c r="C15" i="509" s="1"/>
  <c r="N45" i="507" l="1"/>
  <c r="N43" i="507"/>
  <c r="C13" i="507" s="1"/>
  <c r="N42" i="507"/>
  <c r="C14" i="507" s="1"/>
  <c r="C16" i="507"/>
  <c r="H63" i="504" l="1"/>
  <c r="H62" i="504"/>
  <c r="N45" i="504"/>
  <c r="N42" i="504"/>
  <c r="C14" i="504" s="1"/>
  <c r="F63" i="503"/>
  <c r="H63" i="503" s="1"/>
  <c r="F62" i="503"/>
  <c r="H62" i="503" s="1"/>
  <c r="N45" i="503"/>
  <c r="N42" i="503"/>
  <c r="C14" i="503" s="1"/>
  <c r="C16" i="503"/>
  <c r="F63" i="500"/>
  <c r="H63" i="500" s="1"/>
  <c r="F62" i="500"/>
  <c r="H62" i="500" s="1"/>
  <c r="N45" i="500"/>
  <c r="N42" i="500"/>
  <c r="C37" i="500"/>
  <c r="C16" i="500" s="1"/>
  <c r="N49" i="503" l="1"/>
  <c r="N49" i="504"/>
  <c r="N56" i="504" s="1"/>
  <c r="H63" i="542"/>
  <c r="H64" i="542"/>
  <c r="H62" i="523"/>
  <c r="N49" i="523" s="1"/>
  <c r="N43" i="523" s="1"/>
  <c r="C13" i="523" s="1"/>
  <c r="H68" i="521"/>
  <c r="H66" i="542"/>
  <c r="C37" i="504"/>
  <c r="C16" i="504" s="1"/>
  <c r="C36" i="500"/>
  <c r="N49" i="542" l="1"/>
  <c r="N43" i="542" s="1"/>
  <c r="C13" i="542" s="1"/>
  <c r="N50" i="542"/>
  <c r="N44" i="542" s="1"/>
  <c r="C15" i="542" s="1"/>
  <c r="H64" i="580"/>
  <c r="H70" i="552"/>
  <c r="H62" i="572"/>
  <c r="N49" i="572" s="1"/>
  <c r="N43" i="572" s="1"/>
  <c r="C13" i="572" s="1"/>
  <c r="H65" i="582"/>
  <c r="N49" i="582" s="1"/>
  <c r="H62" i="507"/>
  <c r="N50" i="507" s="1"/>
  <c r="N44" i="507" s="1"/>
  <c r="C15" i="507" s="1"/>
  <c r="H66" i="491"/>
  <c r="N49" i="491" s="1"/>
  <c r="H69" i="532"/>
  <c r="H62" i="531"/>
  <c r="N50" i="531" s="1"/>
  <c r="N44" i="531" s="1"/>
  <c r="C15" i="531" s="1"/>
  <c r="H63" i="606"/>
  <c r="N50" i="606" s="1"/>
  <c r="N44" i="606" s="1"/>
  <c r="C15" i="606" s="1"/>
  <c r="H67" i="496"/>
  <c r="H62" i="563"/>
  <c r="H65" i="552"/>
  <c r="N50" i="552" s="1"/>
  <c r="N44" i="552" s="1"/>
  <c r="C15" i="552" s="1"/>
  <c r="H62" i="553"/>
  <c r="N50" i="553" s="1"/>
  <c r="N44" i="553" s="1"/>
  <c r="C15" i="553" s="1"/>
  <c r="H67" i="580"/>
  <c r="H63" i="488"/>
  <c r="N50" i="488" s="1"/>
  <c r="H64" i="540"/>
  <c r="H62" i="532"/>
  <c r="H62" i="606"/>
  <c r="C37" i="498"/>
  <c r="C16" i="498" s="1"/>
  <c r="F63" i="498"/>
  <c r="H63" i="498" s="1"/>
  <c r="F62" i="498"/>
  <c r="H62" i="498" s="1"/>
  <c r="N45" i="498"/>
  <c r="N42" i="498"/>
  <c r="C15" i="498" s="1"/>
  <c r="N50" i="563" l="1"/>
  <c r="N44" i="563" s="1"/>
  <c r="C15" i="563" s="1"/>
  <c r="N50" i="540"/>
  <c r="N44" i="540" s="1"/>
  <c r="C15" i="540" s="1"/>
  <c r="N49" i="580"/>
  <c r="N43" i="580" s="1"/>
  <c r="C13" i="580" s="1"/>
  <c r="N49" i="552"/>
  <c r="N43" i="552" s="1"/>
  <c r="C13" i="552" s="1"/>
  <c r="N49" i="606"/>
  <c r="N43" i="606" s="1"/>
  <c r="C13" i="606" s="1"/>
  <c r="N50" i="496"/>
  <c r="N49" i="496"/>
  <c r="N50" i="491"/>
  <c r="C36" i="498"/>
  <c r="C37" i="496" l="1"/>
  <c r="C16" i="496" s="1"/>
  <c r="N45" i="496"/>
  <c r="N43" i="496"/>
  <c r="C13" i="496" s="1"/>
  <c r="N42" i="496"/>
  <c r="C14" i="496" s="1"/>
  <c r="N43" i="494" l="1"/>
  <c r="C13" i="494" s="1"/>
  <c r="N44" i="494"/>
  <c r="C15" i="494" s="1"/>
  <c r="N45" i="494"/>
  <c r="N42" i="494"/>
  <c r="C14" i="494" s="1"/>
  <c r="N42" i="492" l="1"/>
  <c r="C14" i="492" s="1"/>
  <c r="N45" i="492"/>
  <c r="N44" i="491"/>
  <c r="C15" i="491" s="1"/>
  <c r="N42" i="491"/>
  <c r="C14" i="491" s="1"/>
  <c r="N45" i="491"/>
  <c r="C16" i="491"/>
  <c r="D63" i="490"/>
  <c r="D60" i="490"/>
  <c r="D12" i="490"/>
  <c r="D31" i="490"/>
  <c r="D28" i="490"/>
  <c r="D6" i="490"/>
  <c r="G104" i="488"/>
  <c r="H104" i="488" s="1"/>
  <c r="I104" i="488" s="1"/>
  <c r="G103" i="488"/>
  <c r="H103" i="488" s="1"/>
  <c r="I103" i="488" s="1"/>
  <c r="G102" i="488"/>
  <c r="H102" i="488" s="1"/>
  <c r="N45" i="488"/>
  <c r="N43" i="488"/>
  <c r="C13" i="488" s="1"/>
  <c r="N42" i="488"/>
  <c r="C14" i="488" s="1"/>
  <c r="N45" i="487"/>
  <c r="N42" i="487"/>
  <c r="C14" i="487" s="1"/>
  <c r="C37" i="487"/>
  <c r="C16" i="487" s="1"/>
  <c r="N45" i="484"/>
  <c r="N42" i="484"/>
  <c r="C14" i="484" s="1"/>
  <c r="C37" i="484"/>
  <c r="C16" i="484" s="1"/>
  <c r="C37" i="483"/>
  <c r="N45" i="483"/>
  <c r="N42" i="483"/>
  <c r="C14" i="483" s="1"/>
  <c r="C16" i="482"/>
  <c r="N42" i="482"/>
  <c r="C14" i="482" s="1"/>
  <c r="N44" i="482"/>
  <c r="C15" i="482" s="1"/>
  <c r="N45" i="482"/>
  <c r="N45" i="481"/>
  <c r="N42" i="481"/>
  <c r="C14" i="481" s="1"/>
  <c r="C37" i="481"/>
  <c r="C16" i="481" s="1"/>
  <c r="F63" i="480"/>
  <c r="H63" i="480" s="1"/>
  <c r="F62" i="480"/>
  <c r="H62" i="480" s="1"/>
  <c r="N45" i="480"/>
  <c r="N42" i="480"/>
  <c r="C14" i="480" s="1"/>
  <c r="N45" i="341"/>
  <c r="N44" i="341"/>
  <c r="C15" i="341" s="1"/>
  <c r="N43" i="341"/>
  <c r="C13" i="341" s="1"/>
  <c r="N42" i="341"/>
  <c r="C14" i="341" s="1"/>
  <c r="C37" i="341"/>
  <c r="C16" i="341" s="1"/>
  <c r="E17" i="180"/>
  <c r="E18" i="180"/>
  <c r="H64" i="492" s="1"/>
  <c r="E10" i="180"/>
  <c r="Z4" i="180"/>
  <c r="U12" i="334" l="1"/>
  <c r="U54" i="334"/>
  <c r="U22" i="334"/>
  <c r="U62" i="334"/>
  <c r="U45" i="334"/>
  <c r="U75" i="334"/>
  <c r="U11" i="334"/>
  <c r="U5" i="334"/>
  <c r="U13" i="334"/>
  <c r="U4" i="334"/>
  <c r="U30" i="334"/>
  <c r="U34" i="334"/>
  <c r="U63" i="334"/>
  <c r="U70" i="334"/>
  <c r="U8" i="334"/>
  <c r="U71" i="334"/>
  <c r="U74" i="334"/>
  <c r="U60" i="334"/>
  <c r="U14" i="334"/>
  <c r="U19" i="334"/>
  <c r="U31" i="334"/>
  <c r="U40" i="334"/>
  <c r="N49" i="480"/>
  <c r="N56" i="480" s="1"/>
  <c r="Y62" i="334" l="1"/>
  <c r="AD62" i="334"/>
  <c r="Y22" i="334"/>
  <c r="AD22" i="334"/>
  <c r="Y54" i="334"/>
  <c r="AD54" i="334"/>
  <c r="Y12" i="334"/>
  <c r="AD12" i="334"/>
  <c r="AD40" i="334"/>
  <c r="Y40" i="334"/>
  <c r="AD30" i="334"/>
  <c r="Y30" i="334"/>
  <c r="Y14" i="334"/>
  <c r="AD14" i="334"/>
  <c r="AD71" i="334"/>
  <c r="Y71" i="334"/>
  <c r="AD34" i="334"/>
  <c r="Y34" i="334"/>
  <c r="AD5" i="334"/>
  <c r="Y5" i="334"/>
  <c r="Y60" i="334"/>
  <c r="AD60" i="334"/>
  <c r="AD11" i="334"/>
  <c r="Y11" i="334"/>
  <c r="AD31" i="334"/>
  <c r="Y31" i="334"/>
  <c r="Y70" i="334"/>
  <c r="AD70" i="334"/>
  <c r="AD4" i="334"/>
  <c r="Y4" i="334"/>
  <c r="Y75" i="334"/>
  <c r="AD75" i="334"/>
  <c r="Y8" i="334"/>
  <c r="AD8" i="334"/>
  <c r="Y19" i="334"/>
  <c r="AD19" i="334"/>
  <c r="AD74" i="334"/>
  <c r="Y74" i="334"/>
  <c r="AD63" i="334"/>
  <c r="Y63" i="334"/>
  <c r="AD13" i="334"/>
  <c r="Y13" i="334"/>
  <c r="AD45" i="334"/>
  <c r="Y45" i="334"/>
  <c r="AA13" i="334" l="1"/>
  <c r="AA30" i="334"/>
  <c r="AA19" i="334"/>
  <c r="AA60" i="334"/>
  <c r="AA14" i="334"/>
  <c r="AA11" i="334"/>
  <c r="AA71" i="334"/>
  <c r="AA45" i="334"/>
  <c r="AA63" i="334"/>
  <c r="AA4" i="334"/>
  <c r="AA31" i="334"/>
  <c r="AA34" i="334"/>
  <c r="AA40" i="334"/>
  <c r="AA74" i="334"/>
  <c r="AA5" i="334"/>
  <c r="AA8" i="334"/>
  <c r="AA75" i="334"/>
  <c r="AA70" i="334"/>
  <c r="H64" i="581" l="1"/>
  <c r="C36" i="480"/>
  <c r="C37" i="480"/>
  <c r="N43" i="481"/>
  <c r="C13" i="481" s="1"/>
  <c r="N44" i="481"/>
  <c r="C15" i="481" s="1"/>
  <c r="H62" i="554"/>
  <c r="N50" i="554" s="1"/>
  <c r="N49" i="532"/>
  <c r="N43" i="532" s="1"/>
  <c r="C13" i="532" s="1"/>
  <c r="N44" i="526"/>
  <c r="C15" i="526" s="1"/>
  <c r="N44" i="496"/>
  <c r="C15" i="496" s="1"/>
  <c r="C16" i="492"/>
  <c r="N49" i="581" l="1"/>
  <c r="N56" i="581" s="1"/>
  <c r="N55" i="581"/>
  <c r="N49" i="492"/>
  <c r="N56" i="492" s="1"/>
  <c r="N55" i="492"/>
  <c r="N43" i="581" l="1"/>
  <c r="C13" i="581" s="1"/>
  <c r="N44" i="581"/>
  <c r="C15" i="581" s="1"/>
  <c r="N44" i="554"/>
  <c r="C15" i="554" s="1"/>
  <c r="E18" i="618" l="1"/>
  <c r="N43" i="491" l="1"/>
  <c r="C13" i="491" s="1"/>
  <c r="N43" i="482"/>
  <c r="C13" i="482" s="1"/>
  <c r="D61" i="490"/>
  <c r="N44" i="492"/>
  <c r="C15" i="492" s="1"/>
  <c r="I102" i="488"/>
  <c r="N44" i="521" l="1"/>
  <c r="C15" i="521" s="1"/>
  <c r="N49" i="500"/>
  <c r="N56" i="503"/>
  <c r="N49" i="498"/>
  <c r="N56" i="498" s="1"/>
  <c r="N43" i="504" l="1"/>
  <c r="C13" i="504" s="1"/>
  <c r="N44" i="504"/>
  <c r="C15" i="504" s="1"/>
  <c r="C13" i="500"/>
  <c r="N44" i="488" l="1"/>
  <c r="C15" i="488" s="1"/>
  <c r="C15" i="500"/>
  <c r="N43" i="500"/>
  <c r="N43" i="498"/>
  <c r="C13" i="498" s="1"/>
  <c r="N43" i="492"/>
  <c r="C13" i="492" s="1"/>
  <c r="N44" i="480"/>
  <c r="C15" i="480" s="1"/>
  <c r="N43" i="480"/>
  <c r="C13" i="480" s="1"/>
  <c r="C16" i="483"/>
  <c r="C16" i="480"/>
  <c r="C37" i="488"/>
  <c r="N43" i="503" l="1"/>
  <c r="C13" i="503" s="1"/>
  <c r="N44" i="503"/>
  <c r="C15" i="503" s="1"/>
  <c r="N43" i="484"/>
  <c r="C13" i="484" s="1"/>
  <c r="N44" i="484"/>
  <c r="C15" i="484" s="1"/>
  <c r="N44" i="500"/>
  <c r="N44" i="498"/>
  <c r="C14" i="498" s="1"/>
  <c r="R28" i="334"/>
  <c r="H61" i="334"/>
  <c r="Q27" i="334"/>
  <c r="O39" i="334"/>
  <c r="G53" i="334"/>
  <c r="T67" i="334"/>
  <c r="B52" i="334"/>
  <c r="F68" i="334"/>
  <c r="Q9" i="334"/>
  <c r="G50" i="334"/>
  <c r="G29" i="334"/>
  <c r="N27" i="334"/>
  <c r="B61" i="334"/>
  <c r="P49" i="334"/>
  <c r="G38" i="334"/>
  <c r="B32" i="334"/>
  <c r="S25" i="334"/>
  <c r="G28" i="334"/>
  <c r="G59" i="334"/>
  <c r="S73" i="334"/>
  <c r="V51" i="334"/>
  <c r="R24" i="334"/>
  <c r="M49" i="334"/>
  <c r="V41" i="334"/>
  <c r="H46" i="334"/>
  <c r="B48" i="334"/>
  <c r="G67" i="334"/>
  <c r="N48" i="334"/>
  <c r="T23" i="334"/>
  <c r="F35" i="334"/>
  <c r="F32" i="334"/>
  <c r="H7" i="334"/>
  <c r="H50" i="334"/>
  <c r="P50" i="334"/>
  <c r="P65" i="334"/>
  <c r="B41" i="334"/>
  <c r="M68" i="334"/>
  <c r="Q25" i="334"/>
  <c r="T49" i="334"/>
  <c r="T55" i="334"/>
  <c r="G7" i="334"/>
  <c r="F65" i="334"/>
  <c r="P28" i="334"/>
  <c r="M50" i="334"/>
  <c r="O7" i="334"/>
  <c r="H28" i="334"/>
  <c r="M36" i="334"/>
  <c r="B64" i="334"/>
  <c r="S20" i="334"/>
  <c r="B35" i="334"/>
  <c r="F51" i="334"/>
  <c r="T65" i="334"/>
  <c r="N53" i="334"/>
  <c r="N59" i="334"/>
  <c r="F23" i="334"/>
  <c r="R48" i="334"/>
  <c r="M18" i="334"/>
  <c r="O48" i="334"/>
  <c r="O68" i="334"/>
  <c r="M37" i="334"/>
  <c r="Q49" i="334"/>
  <c r="R20" i="334"/>
  <c r="P59" i="334"/>
  <c r="Q39" i="334"/>
  <c r="O23" i="334"/>
  <c r="H47" i="334"/>
  <c r="R37" i="334"/>
  <c r="P27" i="334"/>
  <c r="H67" i="334"/>
  <c r="N61" i="334"/>
  <c r="P68" i="334"/>
  <c r="V37" i="334"/>
  <c r="G35" i="334"/>
  <c r="Q15" i="334"/>
  <c r="Q68" i="334"/>
  <c r="V28" i="334"/>
  <c r="M32" i="334"/>
  <c r="G52" i="334"/>
  <c r="H9" i="334"/>
  <c r="S42" i="334"/>
  <c r="N55" i="334"/>
  <c r="O10" i="334"/>
  <c r="S67" i="334"/>
  <c r="N72" i="334"/>
  <c r="P53" i="334"/>
  <c r="B15" i="334"/>
  <c r="O29" i="334"/>
  <c r="V15" i="334"/>
  <c r="G9" i="334"/>
  <c r="T15" i="334"/>
  <c r="G18" i="334"/>
  <c r="R72" i="334"/>
  <c r="V58" i="334"/>
  <c r="P46" i="334"/>
  <c r="H65" i="334"/>
  <c r="R64" i="334"/>
  <c r="F27" i="334"/>
  <c r="B47" i="334"/>
  <c r="G25" i="334"/>
  <c r="H64" i="334"/>
  <c r="N50" i="334"/>
  <c r="F7" i="334"/>
  <c r="P17" i="334"/>
  <c r="Q16" i="334"/>
  <c r="V9" i="334"/>
  <c r="M15" i="334"/>
  <c r="N28" i="334"/>
  <c r="G72" i="334"/>
  <c r="F29" i="334"/>
  <c r="F31" i="618" l="1"/>
  <c r="D19" i="618"/>
  <c r="B67" i="618"/>
  <c r="C71" i="618"/>
  <c r="F14" i="618"/>
  <c r="D71" i="618"/>
  <c r="C66" i="618"/>
  <c r="D47" i="618"/>
  <c r="E46" i="618"/>
  <c r="F47" i="618"/>
  <c r="F46" i="618"/>
  <c r="B31" i="618"/>
  <c r="E66" i="618"/>
  <c r="E45" i="618"/>
  <c r="M53" i="334"/>
  <c r="T27" i="334"/>
  <c r="S15" i="334"/>
  <c r="F38" i="334"/>
  <c r="P42" i="334"/>
  <c r="O72" i="334"/>
  <c r="B55" i="334"/>
  <c r="G16" i="334"/>
  <c r="P32" i="334"/>
  <c r="V53" i="334"/>
  <c r="T69" i="334"/>
  <c r="P18" i="334"/>
  <c r="P25" i="334"/>
  <c r="H72" i="334"/>
  <c r="F72" i="334"/>
  <c r="S29" i="334"/>
  <c r="T59" i="334"/>
  <c r="M28" i="334"/>
  <c r="P16" i="334"/>
  <c r="M66" i="334"/>
  <c r="V17" i="334"/>
  <c r="Q72" i="334"/>
  <c r="O28" i="334"/>
  <c r="H48" i="334"/>
  <c r="R35" i="334"/>
  <c r="G64" i="334"/>
  <c r="R50" i="334"/>
  <c r="Q28" i="334"/>
  <c r="F42" i="334"/>
  <c r="V25" i="334"/>
  <c r="F36" i="334"/>
  <c r="S52" i="334"/>
  <c r="S9" i="334"/>
  <c r="N15" i="334"/>
  <c r="S49" i="334"/>
  <c r="P23" i="334"/>
  <c r="R7" i="334"/>
  <c r="P41" i="334"/>
  <c r="V27" i="334"/>
  <c r="R46" i="334"/>
  <c r="N32" i="334"/>
  <c r="P48" i="334"/>
  <c r="Q57" i="334"/>
  <c r="S33" i="334"/>
  <c r="F47" i="334"/>
  <c r="B25" i="334"/>
  <c r="O47" i="334"/>
  <c r="V20" i="334"/>
  <c r="N65" i="334"/>
  <c r="M35" i="334"/>
  <c r="S47" i="334"/>
  <c r="Q51" i="334"/>
  <c r="N9" i="334"/>
  <c r="M16" i="334"/>
  <c r="Q35" i="334"/>
  <c r="F55" i="334"/>
  <c r="P20" i="334"/>
  <c r="G24" i="334"/>
  <c r="N20" i="334"/>
  <c r="T37" i="334"/>
  <c r="H42" i="334"/>
  <c r="F41" i="334"/>
  <c r="V29" i="334"/>
  <c r="R27" i="334"/>
  <c r="O33" i="334"/>
  <c r="G46" i="334"/>
  <c r="T53" i="334"/>
  <c r="N51" i="334"/>
  <c r="P72" i="334"/>
  <c r="M47" i="334"/>
  <c r="V72" i="334"/>
  <c r="V24" i="334"/>
  <c r="B72" i="334"/>
  <c r="S65" i="334"/>
  <c r="T47" i="334"/>
  <c r="F49" i="334"/>
  <c r="F66" i="334"/>
  <c r="T52" i="334"/>
  <c r="Q59" i="334"/>
  <c r="M9" i="334"/>
  <c r="O9" i="334"/>
  <c r="P24" i="334"/>
  <c r="P64" i="334"/>
  <c r="H36" i="334"/>
  <c r="P9" i="334"/>
  <c r="T41" i="334"/>
  <c r="M7" i="334"/>
  <c r="M39" i="334"/>
  <c r="G48" i="334"/>
  <c r="B39" i="334"/>
  <c r="V66" i="334"/>
  <c r="N37" i="334"/>
  <c r="Q42" i="334"/>
  <c r="T35" i="334"/>
  <c r="B16" i="334"/>
  <c r="N64" i="334"/>
  <c r="R67" i="334"/>
  <c r="O37" i="334"/>
  <c r="G68" i="334"/>
  <c r="O42" i="334"/>
  <c r="G51" i="334"/>
  <c r="R25" i="334"/>
  <c r="B17" i="334"/>
  <c r="V65" i="334"/>
  <c r="H33" i="334"/>
  <c r="T46" i="334"/>
  <c r="O38" i="334"/>
  <c r="Q10" i="334"/>
  <c r="F50" i="334"/>
  <c r="V55" i="334"/>
  <c r="P51" i="334"/>
  <c r="R29" i="334"/>
  <c r="F25" i="334"/>
  <c r="O64" i="334"/>
  <c r="B66" i="334"/>
  <c r="R53" i="334"/>
  <c r="H53" i="334"/>
  <c r="R61" i="334"/>
  <c r="O16" i="334"/>
  <c r="O65" i="334"/>
  <c r="M64" i="334"/>
  <c r="F10" i="334"/>
  <c r="G65" i="334"/>
  <c r="G32" i="334"/>
  <c r="R33" i="334"/>
  <c r="T42" i="334"/>
  <c r="M27" i="334"/>
  <c r="M52" i="334"/>
  <c r="S36" i="334"/>
  <c r="N7" i="334"/>
  <c r="G61" i="334"/>
  <c r="M59" i="334"/>
  <c r="V64" i="334"/>
  <c r="G10" i="334"/>
  <c r="O17" i="334"/>
  <c r="R10" i="334"/>
  <c r="M25" i="334"/>
  <c r="G39" i="334"/>
  <c r="Q23" i="334"/>
  <c r="S24" i="334"/>
  <c r="T6" i="334"/>
  <c r="H32" i="334"/>
  <c r="M67" i="334"/>
  <c r="N46" i="334"/>
  <c r="S56" i="334"/>
  <c r="B20" i="334"/>
  <c r="H37" i="334"/>
  <c r="Q64" i="334"/>
  <c r="B49" i="334"/>
  <c r="M20" i="334"/>
  <c r="S66" i="334"/>
  <c r="B50" i="334"/>
  <c r="V32" i="334"/>
  <c r="R41" i="334"/>
  <c r="B46" i="334"/>
  <c r="S50" i="334"/>
  <c r="B23" i="334"/>
  <c r="P52" i="334"/>
  <c r="R36" i="334"/>
  <c r="T64" i="334"/>
  <c r="G17" i="334"/>
  <c r="Q61" i="334"/>
  <c r="S38" i="334"/>
  <c r="F37" i="334"/>
  <c r="B53" i="334"/>
  <c r="S17" i="334"/>
  <c r="B29" i="334"/>
  <c r="Q41" i="334"/>
  <c r="O53" i="334"/>
  <c r="O46" i="334"/>
  <c r="R47" i="334"/>
  <c r="O32" i="334"/>
  <c r="V42" i="334"/>
  <c r="H24" i="334"/>
  <c r="F9" i="334"/>
  <c r="O20" i="334"/>
  <c r="D32" i="618" l="1"/>
  <c r="D66" i="618"/>
  <c r="C45" i="618"/>
  <c r="B48" i="618"/>
  <c r="F48" i="618"/>
  <c r="E31" i="618"/>
  <c r="F15" i="618"/>
  <c r="B65" i="618"/>
  <c r="C31" i="618"/>
  <c r="C15" i="618"/>
  <c r="F71" i="618"/>
  <c r="F16" i="618"/>
  <c r="E71" i="618"/>
  <c r="C16" i="618"/>
  <c r="B46" i="618"/>
  <c r="C67" i="618"/>
  <c r="D45" i="618"/>
  <c r="E47" i="618"/>
  <c r="D46" i="618"/>
  <c r="B71" i="618"/>
  <c r="C47" i="618"/>
  <c r="F19" i="618"/>
  <c r="F65" i="618"/>
  <c r="E32" i="618"/>
  <c r="F45" i="618"/>
  <c r="B65" i="334"/>
  <c r="M48" i="334"/>
  <c r="O24" i="334"/>
  <c r="F59" i="334"/>
  <c r="Q65" i="334"/>
  <c r="F33" i="334"/>
  <c r="P38" i="334"/>
  <c r="M72" i="334"/>
  <c r="V18" i="334"/>
  <c r="S6" i="334"/>
  <c r="R68" i="334"/>
  <c r="M42" i="334"/>
  <c r="G49" i="334"/>
  <c r="M55" i="334"/>
  <c r="R66" i="334"/>
  <c r="O51" i="334"/>
  <c r="H29" i="334"/>
  <c r="S39" i="334"/>
  <c r="Q55" i="334"/>
  <c r="V69" i="334"/>
  <c r="H35" i="334"/>
  <c r="O15" i="334"/>
  <c r="T33" i="334"/>
  <c r="R32" i="334"/>
  <c r="T58" i="334"/>
  <c r="N35" i="334"/>
  <c r="N42" i="334"/>
  <c r="N24" i="334"/>
  <c r="O67" i="334"/>
  <c r="S53" i="334"/>
  <c r="V7" i="334"/>
  <c r="N52" i="334"/>
  <c r="S57" i="334"/>
  <c r="S28" i="334"/>
  <c r="T38" i="334"/>
  <c r="F20" i="334"/>
  <c r="O55" i="334"/>
  <c r="R57" i="334"/>
  <c r="M65" i="334"/>
  <c r="N41" i="334"/>
  <c r="R38" i="334"/>
  <c r="B57" i="334"/>
  <c r="V38" i="334"/>
  <c r="Q24" i="334"/>
  <c r="T32" i="334"/>
  <c r="S72" i="334"/>
  <c r="S43" i="334"/>
  <c r="S7" i="334"/>
  <c r="Q36" i="334"/>
  <c r="S27" i="334"/>
  <c r="T61" i="334"/>
  <c r="F52" i="334"/>
  <c r="T9" i="334"/>
  <c r="S61" i="334"/>
  <c r="R18" i="334"/>
  <c r="M33" i="334"/>
  <c r="N39" i="334"/>
  <c r="P15" i="334"/>
  <c r="S46" i="334"/>
  <c r="G42" i="334"/>
  <c r="N33" i="334"/>
  <c r="F67" i="334"/>
  <c r="F46" i="334"/>
  <c r="O49" i="334"/>
  <c r="F15" i="334"/>
  <c r="V67" i="334"/>
  <c r="V35" i="334"/>
  <c r="H59" i="334"/>
  <c r="B14" i="618" l="1"/>
  <c r="B32" i="618"/>
  <c r="B45" i="618"/>
  <c r="B66" i="618"/>
  <c r="D67" i="618"/>
  <c r="D65" i="618"/>
  <c r="D31" i="618"/>
  <c r="D56" i="618"/>
  <c r="B19" i="618"/>
  <c r="F56" i="618"/>
  <c r="C48" i="618"/>
  <c r="H49" i="334"/>
  <c r="Q66" i="334"/>
  <c r="N10" i="334"/>
  <c r="Q29" i="334"/>
  <c r="H23" i="334"/>
  <c r="M10" i="334"/>
  <c r="N38" i="334"/>
  <c r="B38" i="334"/>
  <c r="B10" i="334"/>
  <c r="P61" i="334"/>
  <c r="B37" i="334"/>
  <c r="O41" i="334"/>
  <c r="N29" i="334"/>
  <c r="G41" i="334"/>
  <c r="R23" i="334"/>
  <c r="R9" i="334"/>
  <c r="S32" i="334"/>
  <c r="V52" i="334"/>
  <c r="F39" i="334"/>
  <c r="N49" i="334"/>
  <c r="M46" i="334"/>
  <c r="P37" i="334"/>
  <c r="H52" i="334"/>
  <c r="G15" i="334"/>
  <c r="N68" i="334"/>
  <c r="O59" i="334"/>
  <c r="F57" i="334"/>
  <c r="N17" i="334"/>
  <c r="P36" i="334"/>
  <c r="F61" i="334"/>
  <c r="R49" i="334"/>
  <c r="B59" i="334"/>
  <c r="Q48" i="334"/>
  <c r="S41" i="334"/>
  <c r="V39" i="334"/>
  <c r="N23" i="334"/>
  <c r="T57" i="334"/>
  <c r="R16" i="334"/>
  <c r="P10" i="334"/>
  <c r="B9" i="334"/>
  <c r="Q37" i="334"/>
  <c r="F24" i="334"/>
  <c r="R15" i="334"/>
  <c r="G57" i="334"/>
  <c r="O27" i="334"/>
  <c r="M41" i="334"/>
  <c r="P7" i="334"/>
  <c r="S55" i="334"/>
  <c r="F17" i="334"/>
  <c r="S23" i="334"/>
  <c r="H68" i="334"/>
  <c r="G55" i="334"/>
  <c r="H66" i="334"/>
  <c r="F64" i="334"/>
  <c r="B18" i="334"/>
  <c r="P29" i="334"/>
  <c r="O61" i="334"/>
  <c r="S26" i="334"/>
  <c r="G23" i="334"/>
  <c r="B67" i="334"/>
  <c r="Q46" i="334"/>
  <c r="N25" i="334"/>
  <c r="G37" i="334"/>
  <c r="F53" i="334"/>
  <c r="Q52" i="334"/>
  <c r="F18" i="334"/>
  <c r="O36" i="334"/>
  <c r="V57" i="334"/>
  <c r="T39" i="334"/>
  <c r="H57" i="334"/>
  <c r="P67" i="334"/>
  <c r="T51" i="334"/>
  <c r="O35" i="334"/>
  <c r="T73" i="334"/>
  <c r="O25" i="334"/>
  <c r="Q50" i="334"/>
  <c r="S69" i="334"/>
  <c r="R17" i="334"/>
  <c r="G47" i="334"/>
  <c r="O66" i="334"/>
  <c r="B51" i="334"/>
  <c r="N16" i="334"/>
  <c r="N18" i="334"/>
  <c r="N57" i="334"/>
  <c r="P35" i="334"/>
  <c r="R39" i="334"/>
  <c r="N66" i="334"/>
  <c r="V33" i="334"/>
  <c r="Q7" i="334"/>
  <c r="R42" i="334"/>
  <c r="O50" i="334"/>
  <c r="Q53" i="334"/>
  <c r="B68" i="334"/>
  <c r="M38" i="334"/>
  <c r="T72" i="334"/>
  <c r="G27" i="334"/>
  <c r="M24" i="334"/>
  <c r="H17" i="334"/>
  <c r="Q17" i="334"/>
  <c r="V47" i="334"/>
  <c r="M17" i="334"/>
  <c r="N67" i="334"/>
  <c r="T7" i="334"/>
  <c r="T43" i="334"/>
  <c r="M61" i="334"/>
  <c r="R59" i="334"/>
  <c r="B36" i="334"/>
  <c r="Q18" i="334"/>
  <c r="T17" i="334"/>
  <c r="Q38" i="334"/>
  <c r="B7" i="334"/>
  <c r="S58" i="334"/>
  <c r="H27" i="334"/>
  <c r="S16" i="334"/>
  <c r="R65" i="334"/>
  <c r="B27" i="334"/>
  <c r="S59" i="334"/>
  <c r="B42" i="334"/>
  <c r="H10" i="334"/>
  <c r="H41" i="334"/>
  <c r="H55" i="334"/>
  <c r="V59" i="334"/>
  <c r="P55" i="334"/>
  <c r="R52" i="334"/>
  <c r="R55" i="334"/>
  <c r="R51" i="334"/>
  <c r="B28" i="334"/>
  <c r="T48" i="334"/>
  <c r="P57" i="334"/>
  <c r="M29" i="334"/>
  <c r="B33" i="334"/>
  <c r="H38" i="334"/>
  <c r="Q33" i="334"/>
  <c r="N36" i="334"/>
  <c r="H20" i="334"/>
  <c r="T28" i="334"/>
  <c r="S64" i="334"/>
  <c r="O18" i="334"/>
  <c r="V16" i="334"/>
  <c r="F28" i="334"/>
  <c r="V43" i="334"/>
  <c r="T29" i="334"/>
  <c r="G36" i="334"/>
  <c r="P39" i="334"/>
  <c r="H25" i="334"/>
  <c r="S37" i="334"/>
  <c r="Q20" i="334"/>
  <c r="V68" i="334"/>
  <c r="V49" i="334"/>
  <c r="M51" i="334"/>
  <c r="G33" i="334"/>
  <c r="T20" i="334"/>
  <c r="G66" i="334"/>
  <c r="S51" i="334"/>
  <c r="V61" i="334"/>
  <c r="V23" i="334"/>
  <c r="S48" i="334"/>
  <c r="H18" i="334"/>
  <c r="H51" i="334"/>
  <c r="V46" i="334"/>
  <c r="F48" i="334"/>
  <c r="B24" i="334"/>
  <c r="O57" i="334"/>
  <c r="M23" i="334"/>
  <c r="H39" i="334"/>
  <c r="S18" i="334"/>
  <c r="T66" i="334"/>
  <c r="T16" i="334"/>
  <c r="V48" i="334"/>
  <c r="H15" i="334"/>
  <c r="M57" i="334"/>
  <c r="B47" i="618" l="1"/>
  <c r="C56" i="618"/>
  <c r="B56" i="618"/>
  <c r="D48" i="618"/>
  <c r="D15" i="618"/>
  <c r="E67" i="618"/>
  <c r="E65" i="618"/>
  <c r="C46" i="618"/>
  <c r="F66" i="618"/>
  <c r="C14" i="618"/>
  <c r="B16" i="618"/>
  <c r="C65" i="618"/>
  <c r="F67" i="618"/>
  <c r="E14" i="618"/>
  <c r="D16" i="618"/>
  <c r="F32" i="618"/>
  <c r="C32" i="618"/>
  <c r="E16" i="618"/>
  <c r="E48" i="618"/>
  <c r="E56" i="618"/>
  <c r="D14" i="618"/>
  <c r="E19" i="618"/>
  <c r="Q67" i="334"/>
  <c r="Q32" i="334"/>
  <c r="G20" i="334"/>
  <c r="P33" i="334"/>
  <c r="P66" i="334"/>
  <c r="F16" i="334"/>
  <c r="O52" i="334"/>
  <c r="B15" i="618" l="1"/>
  <c r="C19" i="618"/>
  <c r="E13" i="618"/>
  <c r="E54" i="618"/>
  <c r="D49" i="618"/>
  <c r="W59" i="334"/>
  <c r="X59" i="334"/>
  <c r="W37" i="334"/>
  <c r="D53" i="618"/>
  <c r="X37" i="334"/>
  <c r="U61" i="334"/>
  <c r="AD61" i="334" s="1"/>
  <c r="Z61" i="334"/>
  <c r="X7" i="334"/>
  <c r="W7" i="334"/>
  <c r="D64" i="618"/>
  <c r="F4" i="618"/>
  <c r="AB32" i="334"/>
  <c r="AC32" i="334"/>
  <c r="E62" i="618"/>
  <c r="E63" i="618"/>
  <c r="D23" i="618"/>
  <c r="X47" i="334"/>
  <c r="D58" i="618"/>
  <c r="W47" i="334"/>
  <c r="X43" i="334"/>
  <c r="AC43" i="334"/>
  <c r="Z33" i="334"/>
  <c r="U33" i="334"/>
  <c r="Y33" i="334" s="1"/>
  <c r="E7" i="618"/>
  <c r="C28" i="618"/>
  <c r="F6" i="618"/>
  <c r="AB36" i="334"/>
  <c r="C22" i="618"/>
  <c r="D17" i="618"/>
  <c r="W55" i="334"/>
  <c r="X55" i="334"/>
  <c r="B54" i="618"/>
  <c r="E28" i="334"/>
  <c r="D28" i="334" s="1"/>
  <c r="C40" i="618"/>
  <c r="U15" i="334"/>
  <c r="Y15" i="334" s="1"/>
  <c r="Z15" i="334"/>
  <c r="E23" i="618"/>
  <c r="E9" i="618"/>
  <c r="AB20" i="334"/>
  <c r="AC20" i="334"/>
  <c r="F61" i="618"/>
  <c r="Z72" i="334"/>
  <c r="U72" i="334"/>
  <c r="AD72" i="334" s="1"/>
  <c r="U66" i="334"/>
  <c r="AD66" i="334" s="1"/>
  <c r="Z66" i="334"/>
  <c r="U51" i="334"/>
  <c r="AD51" i="334" s="1"/>
  <c r="Z51" i="334"/>
  <c r="B24" i="618"/>
  <c r="E68" i="334"/>
  <c r="D68" i="334" s="1"/>
  <c r="AB15" i="334"/>
  <c r="F2" i="618"/>
  <c r="AC15" i="334"/>
  <c r="X35" i="334"/>
  <c r="D37" i="618"/>
  <c r="W65" i="334"/>
  <c r="X65" i="334"/>
  <c r="D40" i="618"/>
  <c r="X72" i="334"/>
  <c r="D13" i="618"/>
  <c r="W72" i="334"/>
  <c r="AC6" i="334"/>
  <c r="X6" i="334"/>
  <c r="AC38" i="334"/>
  <c r="F10" i="618"/>
  <c r="AB38" i="334"/>
  <c r="F22" i="618"/>
  <c r="E2" i="618"/>
  <c r="U55" i="334"/>
  <c r="AD55" i="334" s="1"/>
  <c r="Z55" i="334"/>
  <c r="C49" i="618"/>
  <c r="U57" i="334"/>
  <c r="AD57" i="334" s="1"/>
  <c r="Z57" i="334"/>
  <c r="B8" i="618"/>
  <c r="E17" i="334"/>
  <c r="D17" i="334" s="1"/>
  <c r="E37" i="618"/>
  <c r="C51" i="618"/>
  <c r="AC58" i="334"/>
  <c r="X58" i="334"/>
  <c r="E57" i="334"/>
  <c r="D57" i="334" s="1"/>
  <c r="B38" i="618"/>
  <c r="X49" i="334"/>
  <c r="D59" i="618"/>
  <c r="W48" i="334"/>
  <c r="D28" i="618"/>
  <c r="X48" i="334"/>
  <c r="W17" i="334"/>
  <c r="X17" i="334"/>
  <c r="D8" i="618"/>
  <c r="U6" i="334"/>
  <c r="AD6" i="334" s="1"/>
  <c r="AB6" i="334"/>
  <c r="Z6" i="334"/>
  <c r="W6" i="334"/>
  <c r="E59" i="618"/>
  <c r="AC33" i="334"/>
  <c r="AB33" i="334"/>
  <c r="F9" i="618"/>
  <c r="Z20" i="334"/>
  <c r="U20" i="334"/>
  <c r="Y20" i="334" s="1"/>
  <c r="F13" i="618"/>
  <c r="AC72" i="334"/>
  <c r="AB72" i="334"/>
  <c r="U9" i="334"/>
  <c r="Y9" i="334" s="1"/>
  <c r="Z9" i="334"/>
  <c r="AC64" i="334"/>
  <c r="F35" i="618"/>
  <c r="AB64" i="334"/>
  <c r="B2" i="618"/>
  <c r="E15" i="334"/>
  <c r="D15" i="334" s="1"/>
  <c r="U47" i="334"/>
  <c r="AD47" i="334" s="1"/>
  <c r="Z47" i="334"/>
  <c r="F59" i="618"/>
  <c r="AC49" i="334"/>
  <c r="D9" i="618"/>
  <c r="W33" i="334"/>
  <c r="X33" i="334"/>
  <c r="AB61" i="334"/>
  <c r="AC61" i="334"/>
  <c r="F3" i="618"/>
  <c r="B17" i="618"/>
  <c r="E55" i="334"/>
  <c r="D55" i="334" s="1"/>
  <c r="F51" i="618"/>
  <c r="AB39" i="334"/>
  <c r="AC39" i="334"/>
  <c r="AB42" i="334"/>
  <c r="AC42" i="334"/>
  <c r="F7" i="618"/>
  <c r="E10" i="618"/>
  <c r="C63" i="618"/>
  <c r="E35" i="618"/>
  <c r="C3" i="618"/>
  <c r="Z7" i="334"/>
  <c r="U7" i="334"/>
  <c r="Y7" i="334" s="1"/>
  <c r="D68" i="618"/>
  <c r="X67" i="334"/>
  <c r="W67" i="334"/>
  <c r="D26" i="618"/>
  <c r="D60" i="618"/>
  <c r="C18" i="618"/>
  <c r="E37" i="334"/>
  <c r="D37" i="334" s="1"/>
  <c r="B53" i="618"/>
  <c r="B64" i="618"/>
  <c r="E7" i="334"/>
  <c r="D7" i="334" s="1"/>
  <c r="D35" i="618"/>
  <c r="W64" i="334"/>
  <c r="X64" i="334"/>
  <c r="AB58" i="334"/>
  <c r="U58" i="334"/>
  <c r="Y58" i="334" s="1"/>
  <c r="W58" i="334"/>
  <c r="Z58" i="334"/>
  <c r="Z37" i="334"/>
  <c r="U37" i="334"/>
  <c r="AD37" i="334" s="1"/>
  <c r="B50" i="618"/>
  <c r="E29" i="334"/>
  <c r="D29" i="334" s="1"/>
  <c r="B63" i="618"/>
  <c r="E27" i="334"/>
  <c r="D27" i="334" s="1"/>
  <c r="AC9" i="334"/>
  <c r="F34" i="618"/>
  <c r="AB9" i="334"/>
  <c r="E61" i="618"/>
  <c r="E38" i="618"/>
  <c r="E4" i="618"/>
  <c r="B27" i="618"/>
  <c r="E52" i="334"/>
  <c r="D52" i="334" s="1"/>
  <c r="B6" i="618"/>
  <c r="E36" i="334"/>
  <c r="D36" i="334" s="1"/>
  <c r="F36" i="618"/>
  <c r="AC23" i="334"/>
  <c r="AB23" i="334"/>
  <c r="AB65" i="334"/>
  <c r="F40" i="618"/>
  <c r="AC65" i="334"/>
  <c r="B41" i="618"/>
  <c r="E41" i="334"/>
  <c r="D41" i="334" s="1"/>
  <c r="E65" i="334"/>
  <c r="D65" i="334" s="1"/>
  <c r="B40" i="618"/>
  <c r="E68" i="618"/>
  <c r="C21" i="618"/>
  <c r="E34" i="618"/>
  <c r="E24" i="334"/>
  <c r="D24" i="334" s="1"/>
  <c r="B25" i="618"/>
  <c r="Z48" i="334"/>
  <c r="U48" i="334"/>
  <c r="Y48" i="334" s="1"/>
  <c r="C6" i="618"/>
  <c r="C17" i="618"/>
  <c r="AB7" i="334"/>
  <c r="AC7" i="334"/>
  <c r="F64" i="618"/>
  <c r="U29" i="334"/>
  <c r="AD29" i="334" s="1"/>
  <c r="Z29" i="334"/>
  <c r="Z39" i="334"/>
  <c r="U39" i="334"/>
  <c r="AD39" i="334" s="1"/>
  <c r="E67" i="334"/>
  <c r="D67" i="334" s="1"/>
  <c r="B68" i="618"/>
  <c r="C26" i="618"/>
  <c r="F49" i="618"/>
  <c r="AB59" i="334"/>
  <c r="AC59" i="334"/>
  <c r="Z38" i="334"/>
  <c r="U38" i="334"/>
  <c r="AD38" i="334" s="1"/>
  <c r="C36" i="618"/>
  <c r="E53" i="618"/>
  <c r="E66" i="334"/>
  <c r="D66" i="334" s="1"/>
  <c r="B62" i="618"/>
  <c r="E35" i="334"/>
  <c r="D35" i="334" s="1"/>
  <c r="B37" i="618"/>
  <c r="W73" i="334"/>
  <c r="AB73" i="334"/>
  <c r="U73" i="334"/>
  <c r="Y73" i="334" s="1"/>
  <c r="Z73" i="334"/>
  <c r="B22" i="618"/>
  <c r="E18" i="334"/>
  <c r="D18" i="334" s="1"/>
  <c r="E64" i="334"/>
  <c r="D64" i="334" s="1"/>
  <c r="B35" i="618"/>
  <c r="W23" i="334"/>
  <c r="D36" i="618"/>
  <c r="X23" i="334"/>
  <c r="U41" i="334"/>
  <c r="Y41" i="334" s="1"/>
  <c r="Z41" i="334"/>
  <c r="D25" i="618"/>
  <c r="E27" i="618"/>
  <c r="E24" i="618"/>
  <c r="F38" i="618"/>
  <c r="AB57" i="334"/>
  <c r="AC57" i="334"/>
  <c r="B10" i="618"/>
  <c r="E38" i="334"/>
  <c r="D38" i="334" s="1"/>
  <c r="Z53" i="334"/>
  <c r="W29" i="334"/>
  <c r="X29" i="334"/>
  <c r="D50" i="618"/>
  <c r="E25" i="334"/>
  <c r="D25" i="334" s="1"/>
  <c r="B60" i="618"/>
  <c r="AB17" i="334"/>
  <c r="AC17" i="334"/>
  <c r="F8" i="618"/>
  <c r="E21" i="618"/>
  <c r="D54" i="618"/>
  <c r="W28" i="334"/>
  <c r="X28" i="334"/>
  <c r="C27" i="618"/>
  <c r="AB56" i="334"/>
  <c r="Z56" i="334"/>
  <c r="U56" i="334"/>
  <c r="W56" i="334"/>
  <c r="E17" i="618"/>
  <c r="Z36" i="334"/>
  <c r="F68" i="618"/>
  <c r="AC67" i="334"/>
  <c r="AB67" i="334"/>
  <c r="C2" i="618"/>
  <c r="X46" i="334"/>
  <c r="B21" i="618"/>
  <c r="E53" i="334"/>
  <c r="D53" i="334" s="1"/>
  <c r="C58" i="618"/>
  <c r="W52" i="334"/>
  <c r="X52" i="334"/>
  <c r="D27" i="618"/>
  <c r="B34" i="618"/>
  <c r="E9" i="334"/>
  <c r="D9" i="334" s="1"/>
  <c r="U28" i="334"/>
  <c r="Y28" i="334" s="1"/>
  <c r="Z28" i="334"/>
  <c r="E49" i="618"/>
  <c r="W27" i="334"/>
  <c r="D63" i="618"/>
  <c r="X27" i="334"/>
  <c r="Z17" i="334"/>
  <c r="U17" i="334"/>
  <c r="Y17" i="334" s="1"/>
  <c r="E28" i="618"/>
  <c r="D6" i="618"/>
  <c r="W36" i="334"/>
  <c r="AC46" i="334"/>
  <c r="C23" i="618"/>
  <c r="F26" i="618"/>
  <c r="C10" i="618"/>
  <c r="E23" i="334"/>
  <c r="D23" i="334" s="1"/>
  <c r="B36" i="618"/>
  <c r="F24" i="618"/>
  <c r="B3" i="618"/>
  <c r="E61" i="334"/>
  <c r="D61" i="334" s="1"/>
  <c r="E40" i="618"/>
  <c r="C60" i="618"/>
  <c r="X51" i="334"/>
  <c r="D42" i="618"/>
  <c r="W51" i="334"/>
  <c r="C53" i="618"/>
  <c r="C62" i="618"/>
  <c r="B4" i="618"/>
  <c r="E32" i="334"/>
  <c r="D32" i="334" s="1"/>
  <c r="D38" i="618"/>
  <c r="X57" i="334"/>
  <c r="W57" i="334"/>
  <c r="C68" i="618"/>
  <c r="C61" i="618"/>
  <c r="B61" i="618"/>
  <c r="E20" i="334"/>
  <c r="D20" i="334" s="1"/>
  <c r="D18" i="618"/>
  <c r="X16" i="334"/>
  <c r="W16" i="334"/>
  <c r="C9" i="618"/>
  <c r="F23" i="618"/>
  <c r="C41" i="618"/>
  <c r="C38" i="618"/>
  <c r="C59" i="618"/>
  <c r="B49" i="618"/>
  <c r="E59" i="334"/>
  <c r="D59" i="334" s="1"/>
  <c r="Z27" i="334"/>
  <c r="U27" i="334"/>
  <c r="Y27" i="334" s="1"/>
  <c r="C42" i="618"/>
  <c r="U32" i="334"/>
  <c r="AD32" i="334" s="1"/>
  <c r="Z32" i="334"/>
  <c r="AC66" i="334"/>
  <c r="AB66" i="334"/>
  <c r="F62" i="618"/>
  <c r="AB55" i="334"/>
  <c r="F17" i="618"/>
  <c r="AC55" i="334"/>
  <c r="AC27" i="334"/>
  <c r="F63" i="618"/>
  <c r="AB27" i="334"/>
  <c r="D22" i="618"/>
  <c r="AB52" i="334"/>
  <c r="F27" i="618"/>
  <c r="AC52" i="334"/>
  <c r="W41" i="334"/>
  <c r="X41" i="334"/>
  <c r="D41" i="618"/>
  <c r="F54" i="618"/>
  <c r="AB28" i="334"/>
  <c r="AC28" i="334"/>
  <c r="Z42" i="334"/>
  <c r="U42" i="334"/>
  <c r="AD42" i="334" s="1"/>
  <c r="W26" i="334"/>
  <c r="Z26" i="334"/>
  <c r="U26" i="334"/>
  <c r="AD26" i="334" s="1"/>
  <c r="AB26" i="334"/>
  <c r="E51" i="618"/>
  <c r="AB51" i="334"/>
  <c r="F42" i="618"/>
  <c r="AC51" i="334"/>
  <c r="C35" i="618"/>
  <c r="E8" i="618"/>
  <c r="F53" i="618"/>
  <c r="AB37" i="334"/>
  <c r="AC37" i="334"/>
  <c r="F50" i="618"/>
  <c r="AB29" i="334"/>
  <c r="AC29" i="334"/>
  <c r="B26" i="618"/>
  <c r="E50" i="334"/>
  <c r="D50" i="334" s="1"/>
  <c r="E50" i="618"/>
  <c r="E6" i="618"/>
  <c r="B9" i="618"/>
  <c r="E33" i="334"/>
  <c r="D33" i="334" s="1"/>
  <c r="C8" i="618"/>
  <c r="E58" i="618"/>
  <c r="C37" i="618"/>
  <c r="E51" i="334"/>
  <c r="D51" i="334" s="1"/>
  <c r="B42" i="618"/>
  <c r="AC73" i="334"/>
  <c r="X73" i="334"/>
  <c r="Z59" i="334"/>
  <c r="U59" i="334"/>
  <c r="AD59" i="334" s="1"/>
  <c r="W32" i="334"/>
  <c r="X32" i="334"/>
  <c r="D4" i="618"/>
  <c r="X38" i="334"/>
  <c r="D10" i="618"/>
  <c r="W38" i="334"/>
  <c r="E64" i="618"/>
  <c r="E46" i="334"/>
  <c r="D46" i="334" s="1"/>
  <c r="C25" i="618"/>
  <c r="E49" i="334"/>
  <c r="D49" i="334" s="1"/>
  <c r="B59" i="618"/>
  <c r="B58" i="618"/>
  <c r="E47" i="334"/>
  <c r="D47" i="334" s="1"/>
  <c r="Z65" i="334"/>
  <c r="U65" i="334"/>
  <c r="AD65" i="334" s="1"/>
  <c r="Z52" i="334"/>
  <c r="U52" i="334"/>
  <c r="AD52" i="334" s="1"/>
  <c r="AC48" i="334"/>
  <c r="AB48" i="334"/>
  <c r="F28" i="618"/>
  <c r="C13" i="618"/>
  <c r="AB47" i="334"/>
  <c r="AA47" i="334" s="1"/>
  <c r="F58" i="618"/>
  <c r="AC47" i="334"/>
  <c r="Z69" i="334"/>
  <c r="W69" i="334"/>
  <c r="AB69" i="334"/>
  <c r="U69" i="334"/>
  <c r="AD69" i="334" s="1"/>
  <c r="E60" i="618"/>
  <c r="E3" i="618"/>
  <c r="B51" i="618"/>
  <c r="E39" i="334"/>
  <c r="D39" i="334" s="1"/>
  <c r="U23" i="334"/>
  <c r="Y23" i="334" s="1"/>
  <c r="Z23" i="334"/>
  <c r="W66" i="334"/>
  <c r="D62" i="618"/>
  <c r="X66" i="334"/>
  <c r="C7" i="618"/>
  <c r="E36" i="618"/>
  <c r="E25" i="618"/>
  <c r="W53" i="334"/>
  <c r="D21" i="618"/>
  <c r="E16" i="334"/>
  <c r="D16" i="334" s="1"/>
  <c r="B18" i="618"/>
  <c r="AC41" i="334"/>
  <c r="AB41" i="334"/>
  <c r="F41" i="618"/>
  <c r="Z67" i="334"/>
  <c r="U67" i="334"/>
  <c r="Y67" i="334" s="1"/>
  <c r="E22" i="618"/>
  <c r="D51" i="618"/>
  <c r="W39" i="334"/>
  <c r="X39" i="334"/>
  <c r="E48" i="334"/>
  <c r="D48" i="334" s="1"/>
  <c r="B28" i="618"/>
  <c r="Z64" i="334"/>
  <c r="U64" i="334"/>
  <c r="Y64" i="334" s="1"/>
  <c r="E10" i="334"/>
  <c r="D10" i="334" s="1"/>
  <c r="B23" i="618"/>
  <c r="AB43" i="334"/>
  <c r="Z43" i="334"/>
  <c r="U43" i="334"/>
  <c r="W43" i="334"/>
  <c r="D24" i="618"/>
  <c r="U16" i="334"/>
  <c r="Y16" i="334" s="1"/>
  <c r="Z16" i="334"/>
  <c r="F21" i="618"/>
  <c r="AB53" i="334"/>
  <c r="F18" i="618"/>
  <c r="AB16" i="334"/>
  <c r="AC16" i="334"/>
  <c r="B13" i="618"/>
  <c r="E72" i="334"/>
  <c r="D72" i="334" s="1"/>
  <c r="AC69" i="334"/>
  <c r="X69" i="334"/>
  <c r="C54" i="618"/>
  <c r="D2" i="618"/>
  <c r="W15" i="334"/>
  <c r="X15" i="334"/>
  <c r="B7" i="618"/>
  <c r="E42" i="334"/>
  <c r="D42" i="334" s="1"/>
  <c r="D7" i="618"/>
  <c r="W42" i="334"/>
  <c r="X42" i="334"/>
  <c r="C24" i="618"/>
  <c r="F60" i="618"/>
  <c r="E26" i="618"/>
  <c r="Y61" i="334"/>
  <c r="D3" i="618"/>
  <c r="W61" i="334"/>
  <c r="X61" i="334"/>
  <c r="C50" i="618"/>
  <c r="W20" i="334"/>
  <c r="X20" i="334"/>
  <c r="D61" i="618"/>
  <c r="AC35" i="334"/>
  <c r="F37" i="618"/>
  <c r="C4" i="618"/>
  <c r="E42" i="618"/>
  <c r="E41" i="618"/>
  <c r="C64" i="618"/>
  <c r="D34" i="618"/>
  <c r="W9" i="334"/>
  <c r="X9" i="334"/>
  <c r="F25" i="618"/>
  <c r="C34" i="618"/>
  <c r="AB49" i="334"/>
  <c r="AB18" i="334"/>
  <c r="AB24" i="334"/>
  <c r="AB50" i="334"/>
  <c r="AC53" i="334"/>
  <c r="AB46" i="334"/>
  <c r="AB25" i="334"/>
  <c r="W49" i="334"/>
  <c r="W18" i="334"/>
  <c r="W24" i="334"/>
  <c r="W50" i="334"/>
  <c r="X53" i="334"/>
  <c r="W46" i="334"/>
  <c r="W25" i="334"/>
  <c r="U49" i="334"/>
  <c r="U53" i="334"/>
  <c r="U46" i="334"/>
  <c r="Z46" i="334"/>
  <c r="T36" i="334"/>
  <c r="T24" i="334"/>
  <c r="T50" i="334"/>
  <c r="Y51" i="334" l="1"/>
  <c r="AD15" i="334"/>
  <c r="AA15" i="334" s="1"/>
  <c r="Y72" i="334"/>
  <c r="AD58" i="334"/>
  <c r="AA58" i="334" s="1"/>
  <c r="Y38" i="334"/>
  <c r="Y26" i="334"/>
  <c r="Y57" i="334"/>
  <c r="Y39" i="334"/>
  <c r="AD48" i="334"/>
  <c r="AA48" i="334" s="1"/>
  <c r="Y37" i="334"/>
  <c r="AD33" i="334"/>
  <c r="AA33" i="334" s="1"/>
  <c r="AA39" i="334"/>
  <c r="AD20" i="334"/>
  <c r="AA20" i="334" s="1"/>
  <c r="Y65" i="334"/>
  <c r="Y66" i="334"/>
  <c r="AA26" i="334"/>
  <c r="AA6" i="334"/>
  <c r="AA69" i="334"/>
  <c r="AA59" i="334"/>
  <c r="AA65" i="334"/>
  <c r="AA38" i="334"/>
  <c r="AA72" i="334"/>
  <c r="AD67" i="334"/>
  <c r="AA67" i="334" s="1"/>
  <c r="Y55" i="334"/>
  <c r="AD7" i="334"/>
  <c r="AA7" i="334" s="1"/>
  <c r="AA29" i="334"/>
  <c r="Y6" i="334"/>
  <c r="AA51" i="334"/>
  <c r="Y47" i="334"/>
  <c r="AA42" i="334"/>
  <c r="AA61" i="334"/>
  <c r="AD28" i="334"/>
  <c r="AA28" i="334" s="1"/>
  <c r="Y52" i="334"/>
  <c r="AD23" i="334"/>
  <c r="AA23" i="334" s="1"/>
  <c r="AD73" i="334"/>
  <c r="AA73" i="334" s="1"/>
  <c r="Y32" i="334"/>
  <c r="AA37" i="334"/>
  <c r="Y42" i="334"/>
  <c r="Y29" i="334"/>
  <c r="AA66" i="334"/>
  <c r="AD17" i="334"/>
  <c r="AA17" i="334" s="1"/>
  <c r="Y59" i="334"/>
  <c r="Y69" i="334"/>
  <c r="AD41" i="334"/>
  <c r="AA41" i="334" s="1"/>
  <c r="AD9" i="334"/>
  <c r="AA9" i="334" s="1"/>
  <c r="AD56" i="334"/>
  <c r="AA56" i="334" s="1"/>
  <c r="Y56" i="334"/>
  <c r="AD64" i="334"/>
  <c r="AA64" i="334" s="1"/>
  <c r="AD16" i="334"/>
  <c r="AA16" i="334" s="1"/>
  <c r="AD43" i="334"/>
  <c r="AA43" i="334" s="1"/>
  <c r="Y43" i="334"/>
  <c r="AD27" i="334"/>
  <c r="AA27" i="334" s="1"/>
  <c r="AA57" i="334"/>
  <c r="AA32" i="334"/>
  <c r="AA52" i="334"/>
  <c r="AD53" i="334"/>
  <c r="AD46" i="334"/>
  <c r="AD49" i="334"/>
  <c r="AA55" i="334"/>
  <c r="AC36" i="334"/>
  <c r="AC24" i="334"/>
  <c r="AC50" i="334"/>
  <c r="Y49" i="334"/>
  <c r="Y46" i="334"/>
  <c r="Y53" i="334"/>
  <c r="X36" i="334"/>
  <c r="X24" i="334"/>
  <c r="X50" i="334"/>
  <c r="U50" i="334"/>
  <c r="U24" i="334"/>
  <c r="U36" i="334"/>
  <c r="Z24" i="334"/>
  <c r="Z25" i="334"/>
  <c r="Z49" i="334"/>
  <c r="Z18" i="334"/>
  <c r="N43" i="483"/>
  <c r="C13" i="483" s="1"/>
  <c r="N44" i="483"/>
  <c r="C15" i="483" s="1"/>
  <c r="C16" i="488"/>
  <c r="V10" i="334"/>
  <c r="V50" i="334"/>
  <c r="AD50" i="334" l="1"/>
  <c r="AA46" i="334"/>
  <c r="AD24" i="334"/>
  <c r="AA53" i="334"/>
  <c r="AD36" i="334"/>
  <c r="AA49" i="334"/>
  <c r="Y50" i="334"/>
  <c r="Y36" i="334"/>
  <c r="Y24" i="334"/>
  <c r="N43" i="487"/>
  <c r="C13" i="487" s="1"/>
  <c r="N44" i="487"/>
  <c r="C15" i="487" s="1"/>
  <c r="T25" i="334"/>
  <c r="AA36" i="334" l="1"/>
  <c r="AA50" i="334"/>
  <c r="AA24" i="334"/>
  <c r="AC25" i="334"/>
  <c r="X25" i="334"/>
  <c r="U25" i="334"/>
  <c r="Z50" i="334"/>
  <c r="S10" i="334"/>
  <c r="T10" i="334"/>
  <c r="T18" i="334"/>
  <c r="AD25" i="334" l="1"/>
  <c r="AB10" i="334"/>
  <c r="AC18" i="334"/>
  <c r="AC10" i="334"/>
  <c r="Y25" i="334"/>
  <c r="W10" i="334"/>
  <c r="X18" i="334"/>
  <c r="X10" i="334"/>
  <c r="U10" i="334"/>
  <c r="U18" i="334"/>
  <c r="Z10" i="334"/>
  <c r="S68" i="334"/>
  <c r="T68" i="334"/>
  <c r="V36" i="334"/>
  <c r="AD18" i="334" l="1"/>
  <c r="AD10" i="334"/>
  <c r="AA25" i="334"/>
  <c r="AB68" i="334"/>
  <c r="AC68" i="334"/>
  <c r="Y18" i="334"/>
  <c r="Y10" i="334"/>
  <c r="W68" i="334"/>
  <c r="X68" i="334"/>
  <c r="U68" i="334"/>
  <c r="Z68" i="334"/>
  <c r="H21" i="334"/>
  <c r="N21" i="334"/>
  <c r="Q21" i="334"/>
  <c r="B21" i="334"/>
  <c r="P21" i="334"/>
  <c r="V21" i="334"/>
  <c r="E20" i="618" l="1"/>
  <c r="F20" i="618"/>
  <c r="E52" i="618"/>
  <c r="F52" i="618"/>
  <c r="AA10" i="334"/>
  <c r="AD68" i="334"/>
  <c r="AA18" i="334"/>
  <c r="Y68" i="334"/>
  <c r="T21" i="334"/>
  <c r="G21" i="334"/>
  <c r="R21" i="334"/>
  <c r="O21" i="334"/>
  <c r="F21" i="334"/>
  <c r="S35" i="334"/>
  <c r="S21" i="334"/>
  <c r="M21" i="334"/>
  <c r="D20" i="618" l="1"/>
  <c r="B20" i="618"/>
  <c r="C20" i="618"/>
  <c r="B52" i="618"/>
  <c r="C52" i="618"/>
  <c r="D52" i="618"/>
  <c r="AA68" i="334"/>
  <c r="AC21" i="334"/>
  <c r="W21" i="334"/>
  <c r="AB21" i="334"/>
  <c r="X21" i="334"/>
  <c r="E21" i="334"/>
  <c r="U21" i="334"/>
  <c r="Z21" i="334"/>
  <c r="AB35" i="334"/>
  <c r="W35" i="334"/>
  <c r="U35" i="334"/>
  <c r="Z35" i="334"/>
  <c r="AD35" i="334" l="1"/>
  <c r="AA35" i="334" s="1"/>
  <c r="Y21" i="334"/>
  <c r="D21" i="334"/>
  <c r="K27" i="607" s="1"/>
  <c r="L27" i="607" s="1"/>
  <c r="K45" i="607"/>
  <c r="L45" i="607" s="1"/>
  <c r="K60" i="607"/>
  <c r="L60" i="607" s="1"/>
  <c r="K64" i="607"/>
  <c r="L64" i="607" s="1"/>
  <c r="K66" i="607"/>
  <c r="L66" i="607" s="1"/>
  <c r="K58" i="607"/>
  <c r="L58" i="607" s="1"/>
  <c r="K63" i="607"/>
  <c r="L63" i="607" s="1"/>
  <c r="K51" i="607"/>
  <c r="L51" i="607" s="1"/>
  <c r="K43" i="607"/>
  <c r="L43" i="607" s="1"/>
  <c r="K71" i="607"/>
  <c r="L71" i="607" s="1"/>
  <c r="K37" i="607"/>
  <c r="L37" i="607" s="1"/>
  <c r="K67" i="607"/>
  <c r="L67" i="607" s="1"/>
  <c r="K61" i="607"/>
  <c r="L61" i="607" s="1"/>
  <c r="K69" i="607"/>
  <c r="L69" i="607" s="1"/>
  <c r="K65" i="607"/>
  <c r="L65" i="607" s="1"/>
  <c r="K26" i="607"/>
  <c r="L26" i="607" s="1"/>
  <c r="K56" i="607"/>
  <c r="L56" i="607" s="1"/>
  <c r="K21" i="607"/>
  <c r="L21" i="607" s="1"/>
  <c r="K24" i="607"/>
  <c r="L24" i="607" s="1"/>
  <c r="L75" i="607"/>
  <c r="AD21" i="334"/>
  <c r="Y35" i="334"/>
  <c r="N43" i="582"/>
  <c r="C13" i="582" s="1"/>
  <c r="S44" i="334"/>
  <c r="K53" i="607" l="1"/>
  <c r="L53" i="607" s="1"/>
  <c r="K35" i="607"/>
  <c r="L35" i="607" s="1"/>
  <c r="K23" i="607"/>
  <c r="L23" i="607" s="1"/>
  <c r="K73" i="607"/>
  <c r="L73" i="607" s="1"/>
  <c r="K28" i="607"/>
  <c r="L28" i="607" s="1"/>
  <c r="K57" i="607"/>
  <c r="L57" i="607" s="1"/>
  <c r="K32" i="607"/>
  <c r="L32" i="607" s="1"/>
  <c r="K46" i="607"/>
  <c r="L46" i="607" s="1"/>
  <c r="K38" i="607"/>
  <c r="L38" i="607" s="1"/>
  <c r="K42" i="607"/>
  <c r="L42" i="607" s="1"/>
  <c r="K48" i="607"/>
  <c r="L48" i="607" s="1"/>
  <c r="K72" i="607"/>
  <c r="L72" i="607" s="1"/>
  <c r="K55" i="607"/>
  <c r="L55" i="607" s="1"/>
  <c r="K49" i="607"/>
  <c r="L49" i="607" s="1"/>
  <c r="K62" i="607"/>
  <c r="L62" i="607" s="1"/>
  <c r="K40" i="607"/>
  <c r="L40" i="607" s="1"/>
  <c r="K59" i="607"/>
  <c r="L59" i="607" s="1"/>
  <c r="K52" i="607"/>
  <c r="L52" i="607" s="1"/>
  <c r="K54" i="607"/>
  <c r="L54" i="607" s="1"/>
  <c r="K47" i="607"/>
  <c r="L47" i="607" s="1"/>
  <c r="K44" i="607"/>
  <c r="L44" i="607" s="1"/>
  <c r="K25" i="607"/>
  <c r="L25" i="607" s="1"/>
  <c r="K34" i="607"/>
  <c r="L34" i="607" s="1"/>
  <c r="K68" i="607"/>
  <c r="L68" i="607" s="1"/>
  <c r="K39" i="607"/>
  <c r="L39" i="607" s="1"/>
  <c r="K41" i="607"/>
  <c r="L41" i="607" s="1"/>
  <c r="K70" i="607"/>
  <c r="L70" i="607" s="1"/>
  <c r="K36" i="607"/>
  <c r="L36" i="607" s="1"/>
  <c r="K50" i="607"/>
  <c r="L50" i="607" s="1"/>
  <c r="K31" i="607"/>
  <c r="L31" i="607" s="1"/>
  <c r="K29" i="607"/>
  <c r="L29" i="607" s="1"/>
  <c r="K74" i="607"/>
  <c r="L74" i="607" s="1"/>
  <c r="K16" i="607"/>
  <c r="L16" i="607" s="1"/>
  <c r="K19" i="607"/>
  <c r="L19" i="607" s="1"/>
  <c r="K14" i="607"/>
  <c r="L14" i="607" s="1"/>
  <c r="K17" i="607"/>
  <c r="L17" i="607" s="1"/>
  <c r="K20" i="607"/>
  <c r="L20" i="607" s="1"/>
  <c r="K30" i="607"/>
  <c r="L30" i="607" s="1"/>
  <c r="K33" i="607"/>
  <c r="L33" i="607" s="1"/>
  <c r="K18" i="607"/>
  <c r="L18" i="607" s="1"/>
  <c r="K15" i="607"/>
  <c r="L15" i="607" s="1"/>
  <c r="K22" i="607"/>
  <c r="L22" i="607" s="1"/>
  <c r="AA21" i="334"/>
  <c r="K13" i="607"/>
  <c r="L13" i="607" s="1"/>
  <c r="AB44" i="334"/>
  <c r="W44" i="334"/>
  <c r="U44" i="334"/>
  <c r="Z44" i="334"/>
  <c r="AD44" i="334" l="1"/>
  <c r="Y44" i="334"/>
  <c r="N301" i="204"/>
  <c r="N302" i="204"/>
  <c r="N300" i="204"/>
  <c r="N299" i="204"/>
  <c r="N297" i="204"/>
  <c r="N298" i="204"/>
  <c r="H75" i="575" s="1"/>
  <c r="AA44" i="334" l="1"/>
  <c r="H65" i="575"/>
  <c r="N50" i="575" s="1"/>
  <c r="H72" i="575"/>
  <c r="H67" i="575" s="1" a="1"/>
  <c r="H67" i="575" s="1"/>
  <c r="N44" i="575" l="1"/>
  <c r="C15" i="575" s="1"/>
  <c r="T3" i="334"/>
  <c r="AC3" i="334" l="1"/>
  <c r="X3" i="334"/>
  <c r="U3" i="334"/>
  <c r="AD3" i="334" l="1"/>
  <c r="Y3" i="334"/>
  <c r="AA3" i="33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tc={3A796DDC-D965-46D3-B7D1-FE2C87EC465E}</author>
  </authors>
  <commentList>
    <comment ref="K37" authorId="0" shapeId="0" xr:uid="{3A796DDC-D965-46D3-B7D1-FE2C87EC465E}">
      <text>
        <t>[Threaded comment]
Your version of Excel allows you to read this threaded comment; however, any edits to it will get removed if the file is opened in a newer version of Excel. Learn more: https://go.microsoft.com/fwlink/?linkid=870924
Comment:
    @Brendan Gray and @Lee Wood, we may need to split this one into steam and water boilers. Though we could also just limit the boiler upgrade to water-only. Lets check-in on this.</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tc={A6288B86-BB4E-4108-8796-51D544291916}</author>
  </authors>
  <commentList>
    <comment ref="C22" authorId="0" shapeId="0" xr:uid="{A6288B86-BB4E-4108-8796-51D544291916}">
      <text>
        <t>[Threaded comment]
Your version of Excel allows you to read this threaded comment; however, any edits to it will get removed if the file is opened in a newer version of Excel. Learn more: https://go.microsoft.com/fwlink/?linkid=870924
Comment:
    @Brendan Gray, do you which of these baselines applies for the current measure configurations you've made? Can you please simplify and after remove the TRM reference?</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tc={1C79E07F-EA23-4759-8CB6-89A70F3593A8}</author>
    <author>tc={03420084-CC2C-4970-9EC1-8B68AFAB634A}</author>
    <author>tc={A03B7622-E2BC-4557-B811-E84EE5C349EE}</author>
    <author>tc={15C33696-CEAD-48E9-B534-F33ACA0F2FB3}</author>
    <author>tc={571FB9AF-9572-4ACC-87E6-03A8DDA896E5}</author>
    <author>tc={60C277D5-3679-4DD2-8A95-910890CDFF96}</author>
    <author>tc={D3004E51-BEFA-4B9B-A26E-AC8848A8162A}</author>
  </authors>
  <commentList>
    <comment ref="P4" authorId="0" shapeId="0" xr:uid="{1C79E07F-EA23-4759-8CB6-89A70F3593A8}">
      <text>
        <t>[Threaded comment]
Your version of Excel allows you to read this threaded comment; however, any edits to it will get removed if the file is opened in a newer version of Excel. Learn more: https://go.microsoft.com/fwlink/?linkid=870924
Comment:
    Updated: IL TRM v8</t>
      </text>
    </comment>
    <comment ref="Q4" authorId="1" shapeId="0" xr:uid="{03420084-CC2C-4970-9EC1-8B68AFAB634A}">
      <text>
        <t>[Threaded comment]
Your version of Excel allows you to read this threaded comment; however, any edits to it will get removed if the file is opened in a newer version of Excel. Learn more: https://go.microsoft.com/fwlink/?linkid=870924
Comment:
    Updated with BES Actuals from Past Program Data Analysis</t>
      </text>
    </comment>
    <comment ref="D5" authorId="2" shapeId="0" xr:uid="{A03B7622-E2BC-4557-B811-E84EE5C349EE}">
      <text>
        <t>[Threaded comment]
Your version of Excel allows you to read this threaded comment; however, any edits to it will get removed if the file is opened in a newer version of Excel. Learn more: https://go.microsoft.com/fwlink/?linkid=870924
Comment:
    @Lee Wood we really shouldn't have 2 different lists. (Not a priority to fix, but should eventually standardize to the list in column B and C.)
Reply:
    I agree. But for now we do, so I want to have them mapped for later on when we standardize on a single list.</t>
      </text>
    </comment>
    <comment ref="L5" authorId="3" shapeId="0" xr:uid="{15C33696-CEAD-48E9-B534-F33ACA0F2FB3}">
      <text>
        <t>[Threaded comment]
Your version of Excel allows you to read this threaded comment; however, any edits to it will get removed if the file is opened in a newer version of Excel. Learn more: https://go.microsoft.com/fwlink/?linkid=870924
Comment:
    We will need to replace these. The "Climate Data" tab shows the different values per building type and climate zone.</t>
      </text>
    </comment>
    <comment ref="M5" authorId="4" shapeId="0" xr:uid="{571FB9AF-9572-4ACC-87E6-03A8DDA896E5}">
      <text>
        <t>[Threaded comment]
Your version of Excel allows you to read this threaded comment; however, any edits to it will get removed if the file is opened in a newer version of Excel. Learn more: https://go.microsoft.com/fwlink/?linkid=870924
Comment:
    IL TRM v7 p. 722 of 1092
Reply:
    Need to scale using AB CDD and IL values.
Reply:
    Rockford IL used as it is northern most city
Reply:
    We will need to replace these. The "Climate Data" tab shows the different values per building type and climate zone.</t>
      </text>
    </comment>
    <comment ref="B20" authorId="5" shapeId="0" xr:uid="{60C277D5-3679-4DD2-8A95-910890CDFF96}">
      <text>
        <t>[Threaded comment]
Your version of Excel allows you to read this threaded comment; however, any edits to it will get removed if the file is opened in a newer version of Excel. Learn more: https://go.microsoft.com/fwlink/?linkid=870924
Comment:
    For Heating and Cooling Drives, Hospital - VAV econ was used, but other building types exist as well.</t>
      </text>
    </comment>
    <comment ref="B23" authorId="6" shapeId="0" xr:uid="{D3004E51-BEFA-4B9B-A26E-AC8848A8162A}">
      <text>
        <t>[Threaded comment]
Your version of Excel allows you to read this threaded comment; however, any edits to it will get removed if the file is opened in a newer version of Excel. Learn more: https://go.microsoft.com/fwlink/?linkid=870924
Comment:
    Used Office - High Rise - VAV econ but other permutations exist (i.e. CAV econ, CAV no econ, FCU)</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tc={73BB5194-110C-4D73-87EB-27E0115C8CDB}</author>
    <author>tc={64FC77A7-AE48-4E8B-9617-77345A81291F}</author>
  </authors>
  <commentList>
    <comment ref="D57" authorId="0" shapeId="0" xr:uid="{73BB5194-110C-4D73-87EB-27E0115C8CDB}">
      <text>
        <t>[Threaded comment]
Your version of Excel allows you to read this threaded comment; however, any edits to it will get removed if the file is opened in a newer version of Excel. Learn more: https://go.microsoft.com/fwlink/?linkid=870924
Comment:
    Multifamily</t>
      </text>
    </comment>
    <comment ref="D58" authorId="1" shapeId="0" xr:uid="{64FC77A7-AE48-4E8B-9617-77345A81291F}">
      <text>
        <t>[Threaded comment]
Your version of Excel allows you to read this threaded comment; however, any edits to it will get removed if the file is opened in a newer version of Excel. Learn more: https://go.microsoft.com/fwlink/?linkid=870924
Comment:
    Single family</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Dan Mellinger</author>
    <author>Damon Lane</author>
  </authors>
  <commentList>
    <comment ref="AF10" authorId="0" shapeId="0" xr:uid="{07C1BA6F-17EF-40A8-8E35-27408BD7D609}">
      <text>
        <r>
          <rPr>
            <b/>
            <sz val="9"/>
            <color indexed="81"/>
            <rFont val="Tahoma"/>
            <family val="2"/>
          </rPr>
          <t>Dan Mellinger:</t>
        </r>
        <r>
          <rPr>
            <sz val="9"/>
            <color indexed="81"/>
            <rFont val="Tahoma"/>
            <family val="2"/>
          </rPr>
          <t xml:space="preserve">
T12HO standard practice for freezers and is exempted from GSFL federal standard.</t>
        </r>
      </text>
    </comment>
    <comment ref="AY33" authorId="1" shapeId="0" xr:uid="{6DF95B0D-63EF-4D2D-AD0B-406700065435}">
      <text>
        <r>
          <rPr>
            <b/>
            <sz val="9"/>
            <color indexed="81"/>
            <rFont val="Tahoma"/>
            <family val="2"/>
          </rPr>
          <t>Damon Lane:</t>
        </r>
        <r>
          <rPr>
            <sz val="9"/>
            <color indexed="81"/>
            <rFont val="Tahoma"/>
            <family val="2"/>
          </rPr>
          <t xml:space="preserve">
From CFL fixture baseline assumption in current TRM</t>
        </r>
      </text>
    </comment>
    <comment ref="C56" authorId="0" shapeId="0" xr:uid="{558B920D-C78F-4EB0-A59C-1A18C934BC42}">
      <text>
        <r>
          <rPr>
            <b/>
            <sz val="9"/>
            <color indexed="81"/>
            <rFont val="Tahoma"/>
            <family val="2"/>
          </rPr>
          <t>Dan Mellinger:</t>
        </r>
        <r>
          <rPr>
            <sz val="9"/>
            <color indexed="81"/>
            <rFont val="Tahoma"/>
            <family val="2"/>
          </rPr>
          <t xml:space="preserve">
2011 number was incorrect.</t>
        </r>
      </text>
    </comment>
    <comment ref="E56" authorId="0" shapeId="0" xr:uid="{518FD5B5-8F25-462F-AC8A-D394F9DFFE81}">
      <text>
        <r>
          <rPr>
            <b/>
            <sz val="9"/>
            <color indexed="81"/>
            <rFont val="Tahoma"/>
            <family val="2"/>
          </rPr>
          <t>Dan Mellinger:</t>
        </r>
        <r>
          <rPr>
            <sz val="9"/>
            <color indexed="81"/>
            <rFont val="Tahoma"/>
            <family val="2"/>
          </rPr>
          <t xml:space="preserve">
2011 number was incorrect.</t>
        </r>
      </text>
    </comment>
    <comment ref="P56" authorId="0" shapeId="0" xr:uid="{0ADDF463-841E-49A3-A810-9DA9E40C75FA}">
      <text>
        <r>
          <rPr>
            <b/>
            <sz val="9"/>
            <color indexed="81"/>
            <rFont val="Tahoma"/>
            <family val="2"/>
          </rPr>
          <t>Dan Mellinger:</t>
        </r>
        <r>
          <rPr>
            <sz val="9"/>
            <color indexed="81"/>
            <rFont val="Tahoma"/>
            <family val="2"/>
          </rPr>
          <t xml:space="preserve">
Per foot</t>
        </r>
      </text>
    </comment>
    <comment ref="Q56" authorId="0" shapeId="0" xr:uid="{E58631DE-EC66-4828-A5E1-50F83AED41A7}">
      <text>
        <r>
          <rPr>
            <b/>
            <sz val="9"/>
            <color indexed="81"/>
            <rFont val="Tahoma"/>
            <family val="2"/>
          </rPr>
          <t>Dan Mellinger:</t>
        </r>
        <r>
          <rPr>
            <sz val="9"/>
            <color indexed="81"/>
            <rFont val="Tahoma"/>
            <family val="2"/>
          </rPr>
          <t xml:space="preserve">
Per foot</t>
        </r>
      </text>
    </comment>
    <comment ref="W56" authorId="0" shapeId="0" xr:uid="{5D3903D4-799D-4D92-A06E-265A31C49B0A}">
      <text>
        <r>
          <rPr>
            <b/>
            <sz val="9"/>
            <color indexed="81"/>
            <rFont val="Tahoma"/>
            <family val="2"/>
          </rPr>
          <t>Dan Mellinger:</t>
        </r>
        <r>
          <rPr>
            <sz val="9"/>
            <color indexed="81"/>
            <rFont val="Tahoma"/>
            <family val="2"/>
          </rPr>
          <t xml:space="preserve">
Per foot</t>
        </r>
      </text>
    </comment>
    <comment ref="AE56" authorId="0" shapeId="0" xr:uid="{2B397DFA-F76D-4233-8B18-679EF728B0FA}">
      <text>
        <r>
          <rPr>
            <b/>
            <sz val="9"/>
            <color indexed="81"/>
            <rFont val="Tahoma"/>
            <family val="2"/>
          </rPr>
          <t>Dan Mellinger:</t>
        </r>
        <r>
          <rPr>
            <sz val="9"/>
            <color indexed="81"/>
            <rFont val="Tahoma"/>
            <family val="2"/>
          </rPr>
          <t xml:space="preserve">
Per foot</t>
        </r>
      </text>
    </comment>
    <comment ref="AK56" authorId="0" shapeId="0" xr:uid="{CBE46358-DB2B-49B8-9903-D713562674C0}">
      <text>
        <r>
          <rPr>
            <b/>
            <sz val="9"/>
            <color indexed="81"/>
            <rFont val="Tahoma"/>
            <family val="2"/>
          </rPr>
          <t>Dan Mellinger:</t>
        </r>
        <r>
          <rPr>
            <sz val="9"/>
            <color indexed="81"/>
            <rFont val="Tahoma"/>
            <family val="2"/>
          </rPr>
          <t xml:space="preserve">
Per foot</t>
        </r>
      </text>
    </comment>
    <comment ref="P57" authorId="0" shapeId="0" xr:uid="{73A58C86-2281-4D85-B3C2-E76146C8A94F}">
      <text>
        <r>
          <rPr>
            <b/>
            <sz val="9"/>
            <color indexed="81"/>
            <rFont val="Tahoma"/>
            <family val="2"/>
          </rPr>
          <t>Dan Mellinger:</t>
        </r>
        <r>
          <rPr>
            <sz val="9"/>
            <color indexed="81"/>
            <rFont val="Tahoma"/>
            <family val="2"/>
          </rPr>
          <t xml:space="preserve">
Per foot</t>
        </r>
      </text>
    </comment>
    <comment ref="Q57" authorId="0" shapeId="0" xr:uid="{30C48CCE-D650-42A5-B267-B69945921669}">
      <text>
        <r>
          <rPr>
            <b/>
            <sz val="9"/>
            <color indexed="81"/>
            <rFont val="Tahoma"/>
            <family val="2"/>
          </rPr>
          <t>Dan Mellinger:</t>
        </r>
        <r>
          <rPr>
            <sz val="9"/>
            <color indexed="81"/>
            <rFont val="Tahoma"/>
            <family val="2"/>
          </rPr>
          <t xml:space="preserve">
Per foot</t>
        </r>
      </text>
    </comment>
    <comment ref="W57" authorId="0" shapeId="0" xr:uid="{DAEE003E-0562-43DD-AEE9-8BD19A5113C2}">
      <text>
        <r>
          <rPr>
            <b/>
            <sz val="9"/>
            <color indexed="81"/>
            <rFont val="Tahoma"/>
            <family val="2"/>
          </rPr>
          <t>Dan Mellinger:</t>
        </r>
        <r>
          <rPr>
            <sz val="9"/>
            <color indexed="81"/>
            <rFont val="Tahoma"/>
            <family val="2"/>
          </rPr>
          <t xml:space="preserve">
Per foot</t>
        </r>
      </text>
    </comment>
    <comment ref="AA57" authorId="0" shapeId="0" xr:uid="{9D7856AD-F49F-425D-8049-9B496EE7EB73}">
      <text>
        <r>
          <rPr>
            <b/>
            <sz val="9"/>
            <color indexed="81"/>
            <rFont val="Tahoma"/>
            <family val="2"/>
          </rPr>
          <t>Dan Mellinger:</t>
        </r>
        <r>
          <rPr>
            <sz val="9"/>
            <color indexed="81"/>
            <rFont val="Tahoma"/>
            <family val="2"/>
          </rPr>
          <t xml:space="preserve">
T12HO standard practice for freezers, and is exempted from GSFL federal standard.</t>
        </r>
      </text>
    </comment>
    <comment ref="AE57" authorId="0" shapeId="0" xr:uid="{51AFE14C-21CB-4DC1-86B3-CFE4C5C20EF9}">
      <text>
        <r>
          <rPr>
            <b/>
            <sz val="9"/>
            <color indexed="81"/>
            <rFont val="Tahoma"/>
            <family val="2"/>
          </rPr>
          <t>Dan Mellinger:</t>
        </r>
        <r>
          <rPr>
            <sz val="9"/>
            <color indexed="81"/>
            <rFont val="Tahoma"/>
            <family val="2"/>
          </rPr>
          <t xml:space="preserve">
Per foot</t>
        </r>
      </text>
    </comment>
    <comment ref="AK57" authorId="0" shapeId="0" xr:uid="{BB2F048A-6C32-4BE7-9B38-160275765973}">
      <text>
        <r>
          <rPr>
            <b/>
            <sz val="9"/>
            <color indexed="81"/>
            <rFont val="Tahoma"/>
            <family val="2"/>
          </rPr>
          <t>Dan Mellinger:</t>
        </r>
        <r>
          <rPr>
            <sz val="9"/>
            <color indexed="81"/>
            <rFont val="Tahoma"/>
            <family val="2"/>
          </rPr>
          <t xml:space="preserve">
Per foot</t>
        </r>
      </text>
    </comment>
    <comment ref="O58" authorId="0" shapeId="0" xr:uid="{98C8CB66-D4A2-4DB9-BC78-FFFF054A6388}">
      <text>
        <r>
          <rPr>
            <b/>
            <sz val="9"/>
            <color indexed="81"/>
            <rFont val="Tahoma"/>
            <family val="2"/>
          </rPr>
          <t>Dan Mellinger:</t>
        </r>
        <r>
          <rPr>
            <sz val="9"/>
            <color indexed="81"/>
            <rFont val="Tahoma"/>
            <family val="2"/>
          </rPr>
          <t xml:space="preserve">
Per DLC v1.6</t>
        </r>
      </text>
    </comment>
    <comment ref="O59" authorId="0" shapeId="0" xr:uid="{81AC4FF9-38EF-4AF7-A508-2974E6DF02F2}">
      <text>
        <r>
          <rPr>
            <b/>
            <sz val="9"/>
            <color indexed="81"/>
            <rFont val="Tahoma"/>
            <family val="2"/>
          </rPr>
          <t>Dan Mellinger:</t>
        </r>
        <r>
          <rPr>
            <sz val="9"/>
            <color indexed="81"/>
            <rFont val="Tahoma"/>
            <family val="2"/>
          </rPr>
          <t xml:space="preserve">
Per DLC v1.6</t>
        </r>
      </text>
    </comment>
    <comment ref="O60" authorId="0" shapeId="0" xr:uid="{D8298419-46A5-4088-80E9-3C672371ACD1}">
      <text>
        <r>
          <rPr>
            <b/>
            <sz val="9"/>
            <color indexed="81"/>
            <rFont val="Tahoma"/>
            <family val="2"/>
          </rPr>
          <t>Dan Mellinger:</t>
        </r>
        <r>
          <rPr>
            <sz val="9"/>
            <color indexed="81"/>
            <rFont val="Tahoma"/>
            <family val="2"/>
          </rPr>
          <t xml:space="preserve">
Per DLC v1.6</t>
        </r>
      </text>
    </comment>
    <comment ref="O61" authorId="0" shapeId="0" xr:uid="{11B27C20-37F3-4EA2-9E56-EE84A7D31054}">
      <text>
        <r>
          <rPr>
            <b/>
            <sz val="9"/>
            <color indexed="81"/>
            <rFont val="Tahoma"/>
            <family val="2"/>
          </rPr>
          <t>Dan Mellinger:</t>
        </r>
        <r>
          <rPr>
            <sz val="9"/>
            <color indexed="81"/>
            <rFont val="Tahoma"/>
            <family val="2"/>
          </rPr>
          <t xml:space="preserve">
Per DLC v1.6</t>
        </r>
      </text>
    </comment>
    <comment ref="O62" authorId="0" shapeId="0" xr:uid="{1AA34C05-1CD5-4498-83E8-446CB461369F}">
      <text>
        <r>
          <rPr>
            <b/>
            <sz val="9"/>
            <color indexed="81"/>
            <rFont val="Tahoma"/>
            <family val="2"/>
          </rPr>
          <t>Dan Mellinger:</t>
        </r>
        <r>
          <rPr>
            <sz val="9"/>
            <color indexed="81"/>
            <rFont val="Tahoma"/>
            <family val="2"/>
          </rPr>
          <t xml:space="preserve">
Per DLC v1.6</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tc={1B10B42F-0AB5-493B-9469-35E604BEBE03}</author>
    <author>tc={C00CA8D8-C6B8-4E24-8452-4F2AABD6862B}</author>
    <author>tc={4C9D563D-5B37-4971-9ABF-A81AA716C41D}</author>
    <author>tc={5B4B04FB-585F-49C3-AB35-265AA1688EDC}</author>
    <author>tc={158EB81B-32C5-4FE1-A54F-D8D82324C103}</author>
    <author>tc={32CCC9AD-5449-4FAF-9811-85D6DC91B60D}</author>
    <author>tc={B50BFD51-BE1A-4257-A212-76ACB12EE9BF}</author>
    <author>tc={A2286AA8-1762-40CB-AF09-BAB67436F84D}</author>
    <author>tc={8F71C8CB-31F7-4CE0-9720-523F368C7EB0}</author>
    <author>tc={9B6E7584-E411-4FF2-968C-487AE73050B8}</author>
    <author>tc={B3D9DF3E-D70F-44E8-8374-C8E74F011587}</author>
    <author>tc={93A197B7-8E8B-4CBD-B0D1-013C26115F33}</author>
  </authors>
  <commentList>
    <comment ref="B41" authorId="0" shapeId="0" xr:uid="{1B10B42F-0AB5-493B-9469-35E604BEBE03}">
      <text>
        <t>[Threaded comment]
Your version of Excel allows you to read this threaded comment; however, any edits to it will get removed if the file is opened in a newer version of Excel. Learn more: https://go.microsoft.com/fwlink/?linkid=870924
Comment:
    CAV no econ</t>
      </text>
    </comment>
    <comment ref="B54" authorId="1" shapeId="0" xr:uid="{C00CA8D8-C6B8-4E24-8452-4F2AABD6862B}">
      <text>
        <t>[Threaded comment]
Your version of Excel allows you to read this threaded comment; however, any edits to it will get removed if the file is opened in a newer version of Excel. Learn more: https://go.microsoft.com/fwlink/?linkid=870924
Comment:
    CAV no econ</t>
      </text>
    </comment>
    <comment ref="B82" authorId="2" shapeId="0" xr:uid="{4C9D563D-5B37-4971-9ABF-A81AA716C41D}">
      <text>
        <t>[Threaded comment]
Your version of Excel allows you to read this threaded comment; however, any edits to it will get removed if the file is opened in a newer version of Excel. Learn more: https://go.microsoft.com/fwlink/?linkid=870924
Comment:
    CAV no econ</t>
      </text>
    </comment>
    <comment ref="B95" authorId="3" shapeId="0" xr:uid="{5B4B04FB-585F-49C3-AB35-265AA1688EDC}">
      <text>
        <t>[Threaded comment]
Your version of Excel allows you to read this threaded comment; however, any edits to it will get removed if the file is opened in a newer version of Excel. Learn more: https://go.microsoft.com/fwlink/?linkid=870924
Comment:
    CAV no econ</t>
      </text>
    </comment>
    <comment ref="B123" authorId="4" shapeId="0" xr:uid="{158EB81B-32C5-4FE1-A54F-D8D82324C103}">
      <text>
        <t>[Threaded comment]
Your version of Excel allows you to read this threaded comment; however, any edits to it will get removed if the file is opened in a newer version of Excel. Learn more: https://go.microsoft.com/fwlink/?linkid=870924
Comment:
    CAV no econ</t>
      </text>
    </comment>
    <comment ref="B136" authorId="5" shapeId="0" xr:uid="{32CCC9AD-5449-4FAF-9811-85D6DC91B60D}">
      <text>
        <t>[Threaded comment]
Your version of Excel allows you to read this threaded comment; however, any edits to it will get removed if the file is opened in a newer version of Excel. Learn more: https://go.microsoft.com/fwlink/?linkid=870924
Comment:
    CAV no econ</t>
      </text>
    </comment>
    <comment ref="B164" authorId="6" shapeId="0" xr:uid="{B50BFD51-BE1A-4257-A212-76ACB12EE9BF}">
      <text>
        <t>[Threaded comment]
Your version of Excel allows you to read this threaded comment; however, any edits to it will get removed if the file is opened in a newer version of Excel. Learn more: https://go.microsoft.com/fwlink/?linkid=870924
Comment:
    CAV no econ</t>
      </text>
    </comment>
    <comment ref="B177" authorId="7" shapeId="0" xr:uid="{A2286AA8-1762-40CB-AF09-BAB67436F84D}">
      <text>
        <t>[Threaded comment]
Your version of Excel allows you to read this threaded comment; however, any edits to it will get removed if the file is opened in a newer version of Excel. Learn more: https://go.microsoft.com/fwlink/?linkid=870924
Comment:
    CAV no econ</t>
      </text>
    </comment>
    <comment ref="B205" authorId="8" shapeId="0" xr:uid="{8F71C8CB-31F7-4CE0-9720-523F368C7EB0}">
      <text>
        <t>[Threaded comment]
Your version of Excel allows you to read this threaded comment; however, any edits to it will get removed if the file is opened in a newer version of Excel. Learn more: https://go.microsoft.com/fwlink/?linkid=870924
Comment:
    CAV no econ</t>
      </text>
    </comment>
    <comment ref="B218" authorId="9" shapeId="0" xr:uid="{9B6E7584-E411-4FF2-968C-487AE73050B8}">
      <text>
        <t>[Threaded comment]
Your version of Excel allows you to read this threaded comment; however, any edits to it will get removed if the file is opened in a newer version of Excel. Learn more: https://go.microsoft.com/fwlink/?linkid=870924
Comment:
    CAV no econ</t>
      </text>
    </comment>
    <comment ref="B246" authorId="10" shapeId="0" xr:uid="{B3D9DF3E-D70F-44E8-8374-C8E74F011587}">
      <text>
        <t>[Threaded comment]
Your version of Excel allows you to read this threaded comment; however, any edits to it will get removed if the file is opened in a newer version of Excel. Learn more: https://go.microsoft.com/fwlink/?linkid=870924
Comment:
    CAV no econ</t>
      </text>
    </comment>
    <comment ref="B259" authorId="11" shapeId="0" xr:uid="{93A197B7-8E8B-4CBD-B0D1-013C26115F33}">
      <text>
        <t>[Threaded comment]
Your version of Excel allows you to read this threaded comment; however, any edits to it will get removed if the file is opened in a newer version of Excel. Learn more: https://go.microsoft.com/fwlink/?linkid=870924
Comment:
    CAV no econ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tc={952D947B-BCB4-494F-88AD-8AC95AED403F}</author>
  </authors>
  <commentList>
    <comment ref="C56" authorId="0" shapeId="0" xr:uid="{952D947B-BCB4-494F-88AD-8AC95AED403F}">
      <text>
        <t>[Threaded comment]
Your version of Excel allows you to read this threaded comment; however, any edits to it will get removed if the file is opened in a newer version of Excel. Learn more: https://go.microsoft.com/fwlink/?linkid=870924
Comment:
    @Barend, I think this should say "deltaGJ_interactive="
Reply:
    Yep. I hope this isn't the case in every tab :( Might be worth doing a spot check.</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tc={361BA1B3-6BF7-4A10-A150-830163C5FE5F}</author>
  </authors>
  <commentList>
    <comment ref="N49" authorId="0" shapeId="0" xr:uid="{361BA1B3-6BF7-4A10-A150-830163C5FE5F}">
      <text>
        <t>[Threaded comment]
Your version of Excel allows you to read this threaded comment; however, any edits to it will get removed if the file is opened in a newer version of Excel. Learn more: https://go.microsoft.com/fwlink/?linkid=870924
Comment:
    Algorithm checks out using example1 in IL TRM. Just need to adjust variables to fit AB context (e.g. Capacity and FLHcool variables)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tc={20198A5F-F727-4564-A7CC-A9D717B836EE}</author>
  </authors>
  <commentList>
    <comment ref="C5" authorId="0" shapeId="0" xr:uid="{20198A5F-F727-4564-A7CC-A9D717B836EE}">
      <text>
        <t>[Threaded comment]
Your version of Excel allows you to read this threaded comment; however, any edits to it will get removed if the file is opened in a newer version of Excel. Learn more: https://go.microsoft.com/fwlink/?linkid=870924
Comment:
    This measure only characterizes replacing an ineficient heat pump with an efficient model. It does not include replacing a furnace/electric resistance heater.</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tc={2070815B-A7E8-4EA5-A1EB-2DC6FDF19A00}</author>
    <author>tc={C21DCEE2-0166-4944-914B-AC9674C0EAA1}</author>
  </authors>
  <commentList>
    <comment ref="N49" authorId="0" shapeId="0" xr:uid="{2070815B-A7E8-4EA5-A1EB-2DC6FDF19A00}">
      <text>
        <t>[Threaded comment]
Your version of Excel allows you to read this threaded comment; however, any edits to it will get removed if the file is opened in a newer version of Excel. Learn more: https://go.microsoft.com/fwlink/?linkid=870924
Comment:
    Using example values from IL TRM v7, the result is off by 2 kWh</t>
      </text>
    </comment>
    <comment ref="N56" authorId="1" shapeId="0" xr:uid="{C21DCEE2-0166-4944-914B-AC9674C0EAA1}">
      <text>
        <t>[Threaded comment]
Your version of Excel allows you to read this threaded comment; however, any edits to it will get removed if the file is opened in a newer version of Excel. Learn more: https://go.microsoft.com/fwlink/?linkid=870924
Comment:
    Using values in the example from IL TRM v7, the result is off by -0.1 therms.</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tc={8AB9EF6D-3DEF-4AB5-B1DD-078FA08824A9}</author>
    <author>tc={8CD621BA-1E63-4A1E-A192-9DDAAAC7CA47}</author>
  </authors>
  <commentList>
    <comment ref="H63" authorId="0" shapeId="0" xr:uid="{8AB9EF6D-3DEF-4AB5-B1DD-078FA08824A9}">
      <text>
        <t>[Threaded comment]
Your version of Excel allows you to read this threaded comment; however, any edits to it will get removed if the file is opened in a newer version of Excel. Learn more: https://go.microsoft.com/fwlink/?linkid=870924
Comment:
    Must integrate option for if size of AC unit is known. Formula only accounts for unknown AC unit size and therefore value is dependent on building type.
Reply:
    I thinkwe should have a drop-down for size of AC based on tons of capacity. But Lee can also chime in.</t>
      </text>
    </comment>
    <comment ref="H64" authorId="1" shapeId="0" xr:uid="{8CD621BA-1E63-4A1E-A192-9DDAAAC7CA47}">
      <text>
        <t>[Threaded comment]
Your version of Excel allows you to read this threaded comment; however, any edits to it will get removed if the file is opened in a newer version of Excel. Learn more: https://go.microsoft.com/fwlink/?linkid=870924
Comment:
    Must integrate option for if size of AC unit is known. Formula only accounts for unknown AC unit size and therefore value is dependent on building type.
Reply:
    I thinkwe should have a drop-down for size of AC based on tons of capacity. But Lee can also chime in.</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Barend Dronkers</author>
  </authors>
  <commentList>
    <comment ref="B119" authorId="0" shapeId="0" xr:uid="{8A4C1D59-04EA-401A-9834-D5458B07DF85}">
      <text>
        <r>
          <rPr>
            <b/>
            <sz val="9"/>
            <color indexed="81"/>
            <rFont val="Tahoma"/>
            <family val="2"/>
          </rPr>
          <t xml:space="preserve">Additional information: 
</t>
        </r>
        <r>
          <rPr>
            <sz val="9"/>
            <color indexed="81"/>
            <rFont val="Tahoma"/>
            <family val="2"/>
          </rPr>
          <t>Values converted from Rockford, IL to Calgary and Edmonton using CDD Ratio for Scaling (Average calculated using weighted average by building stock)</t>
        </r>
      </text>
    </comment>
    <comment ref="B143" authorId="0" shapeId="0" xr:uid="{2EF86753-DE45-48B6-807E-027085A0BB13}">
      <text>
        <r>
          <rPr>
            <b/>
            <sz val="9"/>
            <color indexed="81"/>
            <rFont val="Tahoma"/>
            <family val="2"/>
          </rPr>
          <t xml:space="preserve">Additional information: 
</t>
        </r>
        <r>
          <rPr>
            <sz val="9"/>
            <color indexed="81"/>
            <rFont val="Tahoma"/>
            <family val="2"/>
          </rPr>
          <t>Values converted from Rockford, IL to Calgary and Edmonton using CDD Ratio for Scaling (Average calculated using weighted average by building stock)</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tc={91EDA570-9F47-4492-A667-591F6E41F02D}</author>
  </authors>
  <commentList>
    <comment ref="D123" authorId="0" shapeId="0" xr:uid="{91EDA570-9F47-4492-A667-591F6E41F02D}">
      <text>
        <t>[Threaded comment]
Your version of Excel allows you to read this threaded comment; however, any edits to it will get removed if the file is opened in a newer version of Excel. Learn more: https://go.microsoft.com/fwlink/?linkid=870924
Comment:
    Looks like these are just deemed values, not actual</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tc={1A32B551-5888-4F79-AEB7-9DED7BD04542}</author>
  </authors>
  <commentList>
    <comment ref="C22" authorId="0" shapeId="0" xr:uid="{1A32B551-5888-4F79-AEB7-9DED7BD04542}">
      <text>
        <t>[Threaded comment]
Your version of Excel allows you to read this threaded comment; however, any edits to it will get removed if the file is opened in a newer version of Excel. Learn more: https://go.microsoft.com/fwlink/?linkid=870924
Comment:
    @Brendan Gray, do you which of these baselines applies for the current measure configurations you've made? Can you please simplify and after remove the TRM reference?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<sst xmlns="http://schemas.openxmlformats.org/spreadsheetml/2006/main" count="21919" uniqueCount="2925">
  <si>
    <t>EEA TRM v1</t>
  </si>
  <si>
    <r>
      <rPr>
        <b/>
        <sz val="11"/>
        <rFont val="Calibri"/>
        <family val="2"/>
        <scheme val="minor"/>
      </rPr>
      <t>INSTRUCTIONS</t>
    </r>
    <r>
      <rPr>
        <sz val="11"/>
        <rFont val="Calibri"/>
        <family val="2"/>
        <scheme val="minor"/>
      </rPr>
      <t>: This Dashboard lets you easily find measures using filters (Step 1 and 2), optionally specify the program year, region and type of savings to calculate (Step 3), and then view measure details (Step 4). Click the link to the detailed protocol for further details.</t>
    </r>
  </si>
  <si>
    <t>Dashboard</t>
  </si>
  <si>
    <t>Step 3*: Select Year, Type of Savings and Region</t>
  </si>
  <si>
    <t>Program settings, such as program year when measures will be installed, type of savings to calculate and which region measures are installed (default is Average).</t>
  </si>
  <si>
    <t>Fiscal Year</t>
  </si>
  <si>
    <t>Step 1: Select Sector</t>
  </si>
  <si>
    <t>Type of Savings</t>
  </si>
  <si>
    <t>Avoided Cost</t>
  </si>
  <si>
    <t>Region</t>
  </si>
  <si>
    <t>Average</t>
  </si>
  <si>
    <t>Sector</t>
  </si>
  <si>
    <t>Commercial</t>
  </si>
  <si>
    <t>HIDE</t>
  </si>
  <si>
    <t>Step 2: Filter by Type</t>
  </si>
  <si>
    <t>Step 4: View Measure Details (Enable Content/Macros to Auto-Refresh)</t>
  </si>
  <si>
    <t>Measures</t>
  </si>
  <si>
    <t xml:space="preserve">Measure Life (yrs) </t>
  </si>
  <si>
    <t xml:space="preserve">Lifetime Electric Savings (kWh) </t>
  </si>
  <si>
    <t xml:space="preserve">Lifetime Natural Gas Savings (GJ) </t>
  </si>
  <si>
    <t xml:space="preserve">Lifetime GHG Emissions Reductions (tCO2e) </t>
  </si>
  <si>
    <t>Lifetime Value of Savings ($)</t>
  </si>
  <si>
    <t>Measure ID (HIDE)</t>
  </si>
  <si>
    <t>Link to Detailed Protocol</t>
  </si>
  <si>
    <t>Step 2: Select Measure Type</t>
  </si>
  <si>
    <t>Default settings to use for preview of measure details provided in the filtered list below.</t>
  </si>
  <si>
    <t>Step X: Specify Where and How Measure is Installed</t>
  </si>
  <si>
    <t>Replacement Type</t>
  </si>
  <si>
    <t>RET</t>
  </si>
  <si>
    <t>Residential Building Type</t>
  </si>
  <si>
    <t>Home - detached</t>
  </si>
  <si>
    <t>Commercial Building Type</t>
  </si>
  <si>
    <t>Other</t>
  </si>
  <si>
    <t>Space Heating Fuel</t>
  </si>
  <si>
    <t>Natural gas</t>
  </si>
  <si>
    <t>Water Heating Fuel</t>
  </si>
  <si>
    <t>Measure identifier and link to protocol</t>
  </si>
  <si>
    <t>HIDE (DASHBOARD INDEX)</t>
  </si>
  <si>
    <t>Basic information about the measure</t>
  </si>
  <si>
    <t>Review of each protocol</t>
  </si>
  <si>
    <t>Common inputs</t>
  </si>
  <si>
    <t>Energy savings and cost information (gross at meter)</t>
  </si>
  <si>
    <t>Performance information</t>
  </si>
  <si>
    <t>Measure ID</t>
  </si>
  <si>
    <t>Hyperlink</t>
  </si>
  <si>
    <t>Sector and Measure Name</t>
  </si>
  <si>
    <t>Measure Name and Unit</t>
  </si>
  <si>
    <t>Measure Name</t>
  </si>
  <si>
    <t>Unit Basis</t>
  </si>
  <si>
    <t>Measure Type</t>
  </si>
  <si>
    <t>Assigned to …</t>
  </si>
  <si>
    <t>Structural Review</t>
  </si>
  <si>
    <t>Final Review</t>
  </si>
  <si>
    <t>CEIP Formula required</t>
  </si>
  <si>
    <t>Building Type</t>
  </si>
  <si>
    <t>Measure Life (yrs)</t>
  </si>
  <si>
    <t>Electricity Savings (kWh/year)</t>
  </si>
  <si>
    <t>Natural Gas Savings (GJ/year)</t>
  </si>
  <si>
    <t>GHG Emissions Reductions (tCO2e/year)</t>
  </si>
  <si>
    <t>Incremental Cost ($)</t>
  </si>
  <si>
    <t>Lifetime Electric Savings (kWh)</t>
  </si>
  <si>
    <t>Lifetime Natural Gas Savings (GJ)</t>
  </si>
  <si>
    <t>Lifetime GHG Emissions Reductions (tCO2e)</t>
  </si>
  <si>
    <t>Cost of Electric Savings (cents/kWh)</t>
  </si>
  <si>
    <t>Value of Savings ($)</t>
  </si>
  <si>
    <t>Value of Electricity Savings ($)</t>
  </si>
  <si>
    <t>Value of Natural Savings ($)</t>
  </si>
  <si>
    <t>Value of GHG Emissions Reductions ($)</t>
  </si>
  <si>
    <t>C-HC-001</t>
  </si>
  <si>
    <t>Barend reviewed</t>
  </si>
  <si>
    <t>Barend completed</t>
  </si>
  <si>
    <t>C-HC-002</t>
  </si>
  <si>
    <t>Revisions needed</t>
  </si>
  <si>
    <t>Barend reviewed. Checked latest IL TRM v8 for algorithm for consistency. Applied Canada energy efficiency ratios for typical heating and cooling equipments.</t>
  </si>
  <si>
    <t>Required - DONE</t>
  </si>
  <si>
    <t>C-HC-003</t>
  </si>
  <si>
    <t>C-HC-004</t>
  </si>
  <si>
    <t>Brendan reviewed</t>
  </si>
  <si>
    <t>Brendan completed by spliting HC-HEAT-013 measure into separate AC and HP measures.</t>
  </si>
  <si>
    <t>C-HC-005</t>
  </si>
  <si>
    <t>C-HC-006</t>
  </si>
  <si>
    <t>C-HC-007</t>
  </si>
  <si>
    <t>Barend reviewed and updated algorithm to reflect the IL TRM volume 2 C&amp;I Destratification Fan algorithm. Using heating hours for Alberta.</t>
  </si>
  <si>
    <t>C-HC-008</t>
  </si>
  <si>
    <t>Barend</t>
  </si>
  <si>
    <t>Brendan completed by spliting. AC measure is now HC-COOL-003.</t>
  </si>
  <si>
    <t>Required - NOT STARTED</t>
  </si>
  <si>
    <t>C-HC-009</t>
  </si>
  <si>
    <t>Barend completed. Updated baseline efficiency to global variable</t>
  </si>
  <si>
    <t>C-HC-010</t>
  </si>
  <si>
    <t>Barend completed. Typical configuration selected for deemed savings per CFM.</t>
  </si>
  <si>
    <t>C-HC-011</t>
  </si>
  <si>
    <t>Barend reviewed. Runtime hours and heat load requirements are now correlated using a lookup table. Efficiency of furnance = 96% (as per C&amp;I furnace measure).</t>
  </si>
  <si>
    <t>C-HC-012</t>
  </si>
  <si>
    <t>Barend reviewed. Brendan split measure for each application (3 types)</t>
  </si>
  <si>
    <t>C-HC-013</t>
  </si>
  <si>
    <t>Barend completed. Pick typical application (dampers/inlet vanes replaced with VSD and no dampers)</t>
  </si>
  <si>
    <t>C-HC-014</t>
  </si>
  <si>
    <t>C-HC-015</t>
  </si>
  <si>
    <t>C-HC-016</t>
  </si>
  <si>
    <t>Measure is incomplete</t>
  </si>
  <si>
    <t>Measure is characterized but needs a more thorough review.</t>
  </si>
  <si>
    <t>C-K-001</t>
  </si>
  <si>
    <t>Barend completed. Updated savings of annual BTU/CFM of outside air needed using Alberta-based values (scaled by HDD).</t>
  </si>
  <si>
    <t>C-K-002</t>
  </si>
  <si>
    <t>Barend completed. Deemed per valve.</t>
  </si>
  <si>
    <t>C-L-001</t>
  </si>
  <si>
    <t>Lee reviewed</t>
  </si>
  <si>
    <t>Complete but needs updated baseline efficiency and cost data</t>
  </si>
  <si>
    <t>C-L-002</t>
  </si>
  <si>
    <t>C-L-003</t>
  </si>
  <si>
    <t>Lee completed. (Later: update TRM baseline efficiency , electric heat interactive effect.)</t>
  </si>
  <si>
    <t>C-L-004</t>
  </si>
  <si>
    <t>Lee completed</t>
  </si>
  <si>
    <t>C-L-005</t>
  </si>
  <si>
    <t>C-L-006</t>
  </si>
  <si>
    <t>C-L-007</t>
  </si>
  <si>
    <t>C-L-008</t>
  </si>
  <si>
    <t>C-L-009</t>
  </si>
  <si>
    <t>C-R-001</t>
  </si>
  <si>
    <t>Measure is deemed. Split measures between walk-in freezer automatic door and walk-in refrigerator automatic door.</t>
  </si>
  <si>
    <t>Brendan completed.</t>
  </si>
  <si>
    <t>C-R-002</t>
  </si>
  <si>
    <t>Barend completed. Split into various different measures/permutations  and fridge/freezer</t>
  </si>
  <si>
    <t>C-R-003</t>
  </si>
  <si>
    <t>Barend reviewed. Brendan updated inputs to represent typical conditions.</t>
  </si>
  <si>
    <t>C-R-004</t>
  </si>
  <si>
    <t>C-R-005</t>
  </si>
  <si>
    <t>Barend completed. Use average lighting savings for Refrigerator and Freezer measure.</t>
  </si>
  <si>
    <t>C-R-006</t>
  </si>
  <si>
    <t>Barend completed. Brendan split into  fridge/freezer</t>
  </si>
  <si>
    <t>C-R-007</t>
  </si>
  <si>
    <t>C-R-008</t>
  </si>
  <si>
    <t>Barend completed. Changed unit basis to Horsepower of Fan Motor. Brendan removed Number of Fans variable.</t>
  </si>
  <si>
    <t>C-R-009</t>
  </si>
  <si>
    <t>C-R-010</t>
  </si>
  <si>
    <t>Barend completed. Updated number of annual hours that economizer operates using Alberta-specific estimates (scaled with HDD).</t>
  </si>
  <si>
    <t>C-R-011</t>
  </si>
  <si>
    <t>Barend completed. Split into various different measures/permutations and fridge/freezer</t>
  </si>
  <si>
    <t>C-W-001</t>
  </si>
  <si>
    <t>Completed by Barend. Needs formula integrated into CEIP worksheet or use default floor areas.</t>
  </si>
  <si>
    <t>C-W-002</t>
  </si>
  <si>
    <t>Barend completed. Electricity algorithm added.</t>
  </si>
  <si>
    <t>C-W-003</t>
  </si>
  <si>
    <t>C-W-004</t>
  </si>
  <si>
    <t>C-WB-001</t>
  </si>
  <si>
    <t>Barend reviewed. Needs additional refinement using Alberta weather data. Currently using IL data scaled to Alberta using HDD.</t>
  </si>
  <si>
    <t>C-WB-003</t>
  </si>
  <si>
    <t>C-WB-004</t>
  </si>
  <si>
    <t>C-WB-005</t>
  </si>
  <si>
    <t>C-WB-002</t>
  </si>
  <si>
    <t>R-HC-001</t>
  </si>
  <si>
    <t>Barend completed. Algorithm modified to be based on the furnace heating capacity (using part of natural gas furnace savings algorithm)</t>
  </si>
  <si>
    <t>R-HC-002</t>
  </si>
  <si>
    <t>R-HC-003</t>
  </si>
  <si>
    <t>R-HC-004</t>
  </si>
  <si>
    <t>Barend completed. Updated multiplier of heating and cooling savings -- dependent on size of the heating system -- using HEP Past Program Analysis Data.</t>
  </si>
  <si>
    <t>R-HC-005</t>
  </si>
  <si>
    <t>Barend reviewed. Need to examine typical boiler (steam or water) and sizing defaults.</t>
  </si>
  <si>
    <t>R-HC-006</t>
  </si>
  <si>
    <t>Barend reviewed. Need to assess heating season's energy efficiency derating due to cold climate conditions. Currently only 10% (from Illinois).</t>
  </si>
  <si>
    <t>R-HC-007</t>
  </si>
  <si>
    <t>R-HC-008</t>
  </si>
  <si>
    <t>Custom measure added</t>
  </si>
  <si>
    <t>R-HC-009</t>
  </si>
  <si>
    <t>R-L-001</t>
  </si>
  <si>
    <t>R-L-002</t>
  </si>
  <si>
    <t>Lee completed. Inputs need update but algorithm is good</t>
  </si>
  <si>
    <t>R-L-003</t>
  </si>
  <si>
    <t>Lee completed. Merged general service lighting and specialty lamps.</t>
  </si>
  <si>
    <t>R-W-001</t>
  </si>
  <si>
    <t>Barend completed. Added electricity algorithm.</t>
  </si>
  <si>
    <t>R-W-002</t>
  </si>
  <si>
    <t>Barend completed. Updated baseline energy efficiency.</t>
  </si>
  <si>
    <t>R-W-003</t>
  </si>
  <si>
    <t>Barend completed. Algorithm updated with Canada ENERGY STAR efficiency inputs. RRP Baseline data used for baseline efficiency.</t>
  </si>
  <si>
    <t>R-WB-001</t>
  </si>
  <si>
    <t>Brendan and Barend reviewed</t>
  </si>
  <si>
    <t>R-WB-002</t>
  </si>
  <si>
    <t>R-WB-003</t>
  </si>
  <si>
    <t>R-WB-004</t>
  </si>
  <si>
    <t>R-WB-005</t>
  </si>
  <si>
    <t>Barend updated baseline and efficient U-factors using RRP past program data.</t>
  </si>
  <si>
    <t>R-WB-006</t>
  </si>
  <si>
    <t>R-WB-007</t>
  </si>
  <si>
    <t>DER-001</t>
  </si>
  <si>
    <t>DER-002</t>
  </si>
  <si>
    <t>DER-003</t>
  </si>
  <si>
    <t>DER-004</t>
  </si>
  <si>
    <r>
      <t>Code</t>
    </r>
    <r>
      <rPr>
        <sz val="8"/>
        <color rgb="FFFFFFFF"/>
        <rFont val="Calibri"/>
        <family val="2"/>
        <scheme val="minor"/>
      </rPr>
      <t> </t>
    </r>
  </si>
  <si>
    <t>Link</t>
  </si>
  <si>
    <t>Upgrade Name</t>
  </si>
  <si>
    <t>Upgrade Description</t>
  </si>
  <si>
    <t>Eligibility Requirements</t>
  </si>
  <si>
    <t>Supporting Documentation for Project Application Form</t>
  </si>
  <si>
    <t>Supporting Documentation for Upgrade Completion Form</t>
  </si>
  <si>
    <t>Demand control building ventilation</t>
  </si>
  <si>
    <t>Demand control building ventilation consists of controls that adjust heating and ventilation air rates based on occupancy using sensor technologies. Sensor technologies include those that sense carbon dioxide levels and room occupancy. Control strategies are adjusted to reduce heating load and ventilation rates. Illustrative energy savings for ventilation control.</t>
  </si>
  <si>
    <t>Ventilation controls must involve carbon dioxide sensors installed on return air systems where no other sensors were previously installed. Systems with terminal reheat (constant volume or variable air volume) are not eligible. For a terminal reheat system, a custom savings calculation should be used.</t>
  </si>
  <si>
    <t>Small commercial smart thermostat</t>
  </si>
  <si>
    <t>Smart thermostats are used to reduce cooling and heating energy consumption through a configurable schedule of temperature setpoints (like a programmable thermostat), and automatic variations to that schedule to better match HVAC system runtimes to meet occupant comfort needs.</t>
  </si>
  <si>
    <t>The product must replace a manual-only thermostat and meet ENERGY STAR requirements.</t>
  </si>
  <si>
    <t>High-efficiency electric air cooled chiller</t>
  </si>
  <si>
    <t>High-efficiency electric air cooled chillers are able to remove more heat using less electricity than a standard efficiency unit as part of a comprehensive HVAC system.</t>
  </si>
  <si>
    <t>Chiller is air cooled and electric, and meets minimum efficiency standards as per IECC code (most recent). Only single-chiller applications are eligible. Chillers equipped with variable speed drives are not eligible.</t>
  </si>
  <si>
    <t>High-efficiency unitary air conditioner</t>
  </si>
  <si>
    <t>Unitary air conditioners are self-contained space conditioning equipment that deliver cooling to specific indoor spaces. Some units are split into outside and indoor modules.</t>
  </si>
  <si>
    <t>Meet Consortium for Energy Efficiency (CEE) Tier 1, 2 or Advanced Tier requirements for Unitary and Multi-split Air Conditioner and Heat Pumps.</t>
  </si>
  <si>
    <t>High-efficiency natural gas boiler</t>
  </si>
  <si>
    <t>A high-efficiency boiler extracts the maximum amount of heat from burning natural gas by using condensing technology. This means heat from condensing water in the exhaust is extracted in addition to regular combustion.</t>
  </si>
  <si>
    <t>The product must meet ENERGY STAR requirements, and certified to the CSA 4.9/ANSI Z21.13 CSA 4.9/ANSI Z21.13 standards for gas-fired low-pressure steam and hot water boilers. The high-efficiency boiler must have a thermal efficiency (AFUE) equal to or greater than 90%, use natural gas fuel and used in a hydronic (hot water) system. Steam and oil-fired boilers are not eligible.</t>
  </si>
  <si>
    <t>High-efficiency natural gas unit heater</t>
  </si>
  <si>
    <t>High-efficiency unit heaters extract the maximum amount of heat from burning natural gas by using condensing technology. This means heat from condensing water in the exhaust is extracted in addition to regular combustion.</t>
  </si>
  <si>
    <t>The unit heater must be included on the NRCan energy efficient products list, use condensing technology, have a thermal efficiency equal to or greater than 90% and be fueled by natural gas fuel.</t>
  </si>
  <si>
    <t>Destratification fan</t>
  </si>
  <si>
    <t>Heat introduced into a space with high ceilings forms temperature layers or strata. The warmest air is at the ceiling; the coolest is near the floor. A destratification fan removes these temperature strata by circulating heated air thereby reducing the heating system load.</t>
  </si>
  <si>
    <t>Eligible destratification fans must be high-velocity low-speed (HVLS) fans with a minimum diameter of 14 feet for use in conditioned spaced with a minimum of 25-foot ceilings.</t>
  </si>
  <si>
    <t>High-efficiency heat pump</t>
  </si>
  <si>
    <t>Heat pumps are year-round electric space conditioning systems that heat and cool from a single piece of equipment. Their cooling efficiency is like that of conventional air conditioners. Heat pumps provide heat at 100% or greater efficiencies, but the actual efficiency depends on where the heat pump sources its heat. Typical options include outside air, and shallow ground (also referred to as geo-exchange).</t>
  </si>
  <si>
    <t xml:space="preserve">High-efficiency heat pumps must meet Consortium for Energy Efficiency (CEE) Tier 1, 2 or Advanced Tier requirements for Unitary and Multi-split Air Conditioner and Heat Pumps. Eligible options include outside air, and shallow ground (also referred to as geo-exchange). </t>
  </si>
  <si>
    <t>High-efficiency natural gas furnace</t>
  </si>
  <si>
    <t>A high-efficiency furnace extracts the maximum amount of heat from burning natural gas by using condensing technology. This means heat from condensing water in the exhaust is extracted in addition to regular combustion.</t>
  </si>
  <si>
    <t>The product must meet ENERGY STAR requirements. That product must have an input energy value of less than 225,000 Btu/hr, an AFUE rating greater or equal to 96% and the product must be fueled by natural gas or propane gas. Oil-fired models are not eligible</t>
  </si>
  <si>
    <t>Ventilation heat/energy recovery</t>
  </si>
  <si>
    <t>Variable frequency/speed drives can adjust the flow of air in heating and cooling applications, unlike traditional drives that run on constant speed but use dampers and vanes to adjust flow. Adjusting flow by slowing the fan using a variable speed drive reduces the motor load and saves electricity.</t>
  </si>
  <si>
    <t xml:space="preserve">Only variable speed drives installed for supply and return fan applications are eligible. Variable speed drives installed for HVAC pumps and cooling tower fans are not eligible. Motor capacity maximum is 100 horsepower, and annual operating hours of motors must be at least 2,000 hours per year. Constant torque or installation on fans with forward curved inlet guide vanes is not eligible. Minimum sensible heat recovery effectiveness must be 65% at 0 degrees C. the product cannot be used to recover energy from areas where 100% fresh air is required. </t>
  </si>
  <si>
    <t>High-efficiency natural gas make-up air furnace</t>
  </si>
  <si>
    <t>Make-up air units ensure fresh outdoor air used for ventilation is delivered to the building at the desired indoor temperature.</t>
  </si>
  <si>
    <t>The installed product must be a condensing make-up air unit that uses 100% outside air. It must have a thermal efficiency greater or equal to 90%.</t>
  </si>
  <si>
    <t>Variable speed drive for motors in supply and return fan applications</t>
  </si>
  <si>
    <r>
      <t>Only for variable speed drives installed for HVAC pumps and cooling tower fan application are eligible. The motor capacity maximum is 100 horsepower, and the annual operating hours of motors must be at least 2,000 hours per year. Variable speed drives installed for HVAC pumps and cooling tower fans are not eligible.</t>
    </r>
    <r>
      <rPr>
        <sz val="11"/>
        <rFont val="Calibri"/>
        <family val="2"/>
        <scheme val="minor"/>
      </rPr>
      <t xml:space="preserve"> </t>
    </r>
    <r>
      <rPr>
        <sz val="9"/>
        <rFont val="Calibri"/>
        <family val="2"/>
        <scheme val="minor"/>
      </rPr>
      <t>Constant torque or installation on fans with forward curved inlet guide vanes is also not eligible.</t>
    </r>
  </si>
  <si>
    <t>Variable speed drive for motors in chilled water pumps</t>
  </si>
  <si>
    <t>Variable frequency/speed drives can adjust the flow of water in chilled water pumps.  Adjusting flow by slowing the pump reduces the motor load and saves electricity.</t>
  </si>
  <si>
    <t>Only for variable speed drives installed for hot water applications.  Motor capacity maximum is 100 Horsepower, and annual operating hours of motors must be at least 2,000 hours per year.</t>
  </si>
  <si>
    <t>Variable speed drive for motors in hot water pumps</t>
  </si>
  <si>
    <t>Variable frequency/speed drives can adjust the flow of water in hot water pumps.  Adjusting flow by slowing the pump reduces the motor load and saves electricity.</t>
  </si>
  <si>
    <t>Variable speed drive for motors in cooling tower fans</t>
  </si>
  <si>
    <t>Variable frequency/speed drives can adjust the speed of cooling tower fans.  Adjusting flow by slowing the fan reduces the motor load and saves electricity.</t>
  </si>
  <si>
    <t>Only for variable speed drives installed for HVAC cooling tower fan applications.  Motor capacity maximum is 100 Horsepower, and annual operating hours of motors must be at least 2,000 hours per year.</t>
  </si>
  <si>
    <t>Pipe and duct insulation</t>
  </si>
  <si>
    <t>Duct and pipe insulation ensures minimal heat is lost before it is delivered to conditioned spaces or water. Pipe insulation is installed using fibreglass, foam, calcium silicate or other types of insulation. The types of insulation used have similar insulating properties to existing bare pipe on straight piping as well as other pipe components (e.g. elbows, tees, valves, and flanges) for all non-residential installations.</t>
  </si>
  <si>
    <t>Indoor piping must have at least 1” of insulation (or equivalent R-value) and outdoor piping must have at least 2” of insulation (or equivalent R-value) and include an all-weather protective jacket. Insulation must be continuous and contiguous over fittings that directly connect to straight pipe, including elbows and tees.</t>
  </si>
  <si>
    <t>Demand control kitchen ventilation</t>
  </si>
  <si>
    <t>Commercial kitchen demand ventilation controls the rate of air ventilation based on cooking load and/or time of day. Illustrative energy savings for a typical commercial kitchen.</t>
  </si>
  <si>
    <t>The demand control kitchen ventilation must be installed for zones where ventilation operates 5,000 or more hours per year. The equipment must be installed in a dedicated commercial kitchen, exhaust hood and make-up air system and used in conjunction with variable-speed fan motor controls.</t>
  </si>
  <si>
    <t>High-efficiency pre-rinse spray valve</t>
  </si>
  <si>
    <t>Pre-rise valves use a spray of water to remove food waste from dishes before cleaning in a dishwasher. More efficient spray valves use less water thereby reducing water consumption and related water heating energy.</t>
  </si>
  <si>
    <t>The product must be a new or replacement low-flow pre-rinse spray valve with a low flow rate of less than or equal to 6 Litres per minute (1.6 gpm). The product must also replace a standard valve.</t>
  </si>
  <si>
    <t>Indoor lighting control</t>
  </si>
  <si>
    <t>Indoor lighting controls include daylight, occupancy and integrated lighting controls. These may be wall, remote, fixture and switch mounted.</t>
  </si>
  <si>
    <t>The product must be a Design Lights Consortium (DLC) qualified lighting control. Sensors with "manual on override" are not eligible. Controls may not be stepped or dimming, and daylight controls must vary the light output based on the level of sunlight received. The product must control a minimum load of 30 watts.</t>
  </si>
  <si>
    <t>Outdoor lighting control</t>
  </si>
  <si>
    <t>Outdoor lighting controls can switch on/off outdoor lighting based on motion detection and daylight.</t>
  </si>
  <si>
    <t>The product must be a Design Lights Consortium (DLC) qualified lighting control. Sensors with "manual on override" that can disable the automatic off feature are not eligible. The product must control a minimum load of 30 watts.</t>
  </si>
  <si>
    <t>Downlight fixture and retrofit kit</t>
  </si>
  <si>
    <t>Downlight fixtures and retrofit kits include various LED lighting fixtures that replace halogen, fluorescent and incandescent fixture equivalents.</t>
  </si>
  <si>
    <t>The product must be an ENERGY STAR certified downlighting fixture with a total light output equal to or greater than 400 lumens. Eligible lighting types include downlight recessed, downlight solid-state retrofit, downlight pendant or downlight surface mount.</t>
  </si>
  <si>
    <t>Bay fixture and retrofit kit</t>
  </si>
  <si>
    <t>Bay fixtures and retrofit kits include various LED lighting fixtures that replace high pressure sodium, metal halide and fluorescent bay lighting.</t>
  </si>
  <si>
    <t>The product must include Design Lights Consortium (DLC) qualified indoor low- and high-bay lighting fixtures, and retrofit kits. Replacement lamps are standard bay lighting fixtures, which includes high-pressure sodium lighting.</t>
  </si>
  <si>
    <t>Troffer fixture and retrofit kit</t>
  </si>
  <si>
    <t xml:space="preserve">Retrofit kits replace the fluorescent lamps and other luminaire components of an existing troffer lighting fixture (e.g. 2x2 fluorescent tubes) with LED lighting technology. </t>
  </si>
  <si>
    <t>The product must be a Design Lights Consortium (DLC) qualified indoor troffer fixtures or retrofit kit including 1x2, 1x4 and 2x2 fixtures.</t>
  </si>
  <si>
    <t>General service and specialty lamp</t>
  </si>
  <si>
    <t>These lighting measures include high-efficiency LED general service lamps (e.g. A-type 10 watt LED bulb) and specialty lighting (e.g. pin-based MR16 lamps).</t>
  </si>
  <si>
    <t>The product must meet ENERGY STAR, CEE or Design Lights Consortium (DLC) requirements. Eligible lamps include CEE T8 replacements, DLC lamps and luminaires, and ENERGY STAR shelf-mounted display and task lights, surface mount and recessed downlights, and desk lamps. Lamps and luminaires are for general purpose replacement and include E21 and E26 or standard, and pin base types.</t>
  </si>
  <si>
    <t>Linear LED tube replacing fluorescent tube</t>
  </si>
  <si>
    <t>Linear LED tube lighting replaces linear fluorescent tube lighting with LED equivalents.</t>
  </si>
  <si>
    <t xml:space="preserve">The product must be a Design Lights Consortium (DLC) qualified LED lamp and must replace 4 ft. linear fluorescent tubes, including UL Type A and Type C. LED tubes must be compatible with existing ballasts. </t>
  </si>
  <si>
    <t>Outdoor LED fixture and retrofit kit</t>
  </si>
  <si>
    <t>Outdoor LED lighting fixtures equivalents replace the lighting in previous outdoor lighting fixtures, including troffers, wall packs and luminaires (e.g. canopy, wall, pole- and arm-mounted, parking and passageway luminaires).</t>
  </si>
  <si>
    <t>The product must meet ENERGY STAR, CEE or Design Lights Consortium (DLC) requirements.</t>
  </si>
  <si>
    <t>LED exit sign</t>
  </si>
  <si>
    <t>This lighting measure consists of LED-equipped emergency exit signs that replace incandescent exit signs.</t>
  </si>
  <si>
    <t>The product must be a UL 924 certified LED exit sign with a wattage of less than or equal to 4 watts. The product must be listed under Standard C22.2 No. 141-15. Retrofit kits and screw-in lamps are not eligible.</t>
  </si>
  <si>
    <t>Automatic door for walk-in freezer</t>
  </si>
  <si>
    <t>Automatic, hydraulic-type door closer on the main insulated opaque door(s) of a walk-in freezer. These closers save energy by reducing the infiltration of warm outside air into the freezer area.</t>
  </si>
  <si>
    <t>The product must be an automatic, hydraulic-type door closer installed on an existing walk-in or reach-in freezer.</t>
  </si>
  <si>
    <t>Strip curtain for walk-in freezer</t>
  </si>
  <si>
    <t>Strip curtain barrier for a walk-in freezer. These curtains save energy by reducing the infiltration of warm outside air into the freezer area.</t>
  </si>
  <si>
    <t>To be eligible, the measure must be installed where there was no strip curtain previously, or where the existing strip curtain covers less than 85% of the door area. The new strip curtain must be installed to a walk-in freezer, be at least 0.06 inches thick and must cover the entire area of the doorway when the door is opened.</t>
  </si>
  <si>
    <t>High-efficiency door for reach-in freezer</t>
  </si>
  <si>
    <t>Installation of energy efficient doors for freezers without existing door. Doors save energy by reducing the infiltration of warm outside air into the freezer area.</t>
  </si>
  <si>
    <t>The product must meet ENERGY STAR efficiency standards and CEE Tier 1 or 2 requirements. New glass and solid doors replace open (single/multi-deck) display cases. Doors for reach-in display cases include one, two and three glass door reach-in, roll-in/through and pass-through commercial freezers.</t>
  </si>
  <si>
    <t>High-efficiency motor for walk/reach-in freezers</t>
  </si>
  <si>
    <t xml:space="preserve">Replacement of an existing, uncontrolled, and continuously operating standard-efficiency shaded-pole, permanent split capacitor (PSC) and electronically commutated (EC) evaporator fan motor in freezer display cases or evaporator of walk-in freezers. </t>
  </si>
  <si>
    <t>The new motor must be a 9-12 watt high-efficiency motor with a minimum of 73% efficiency, or a 38-50 watt motor with a minimum of 81% efficiency.</t>
  </si>
  <si>
    <t>Refrigerator and freezer LED case lighting</t>
  </si>
  <si>
    <t>Replacement of existing fixtures in refrigerator cases with LED lighting equivalents.</t>
  </si>
  <si>
    <t>The product must be listed by the Design Lights Consortium (DLC) and must replace fluorescent or incandescent refrigerated case lighting with LED alternatives.</t>
  </si>
  <si>
    <t>Automatic door for walk-in refrigerator</t>
  </si>
  <si>
    <t>Automatic, hydraulic-type door closer on the main insulated opaque door(s) of a walk-in refrigerator. These closers save energy by reducing the infiltration of warm outside air into the refrigerator area.</t>
  </si>
  <si>
    <t>The product must be an automatic, hydraulic-type door closer installed on an existing walk-in or reach-in refrigerator.</t>
  </si>
  <si>
    <t>Strip curtain for walk-in refrigerator</t>
  </si>
  <si>
    <t>Strip curtain barrier for a walk-in refrigerator. These curtains save energy by reducing the infiltration of warm outside air into the refrigerator area.</t>
  </si>
  <si>
    <t>The strip curtain must be installed where there was no strip curtain previously, or where the existing strip curtain covers less than 85% of the door area. The new strip curtain must be installed to a walk-in refrigerator, be at least 0.06 inches thick and must cover the entire area of the doorway when the door is opened.</t>
  </si>
  <si>
    <t>Evaporator fan control for motors</t>
  </si>
  <si>
    <t>Fan control for evaporator fan motors in existing walk-in refrigerators reduces the airflow of the evaporator when there is no refrigerant flow from the compressor.</t>
  </si>
  <si>
    <t>The fan control must reduce the airflow of the evaporator fan in an existing walk-in refrigerator or freezer when the compressor cycles off. The fan must control a minimum of 1/20 HP of electronically commutated motors where fans operate continuously at full speed. The control must reduce fan motor power by at least 75% during the compressor off cycle. The compressor must run more than 4,380 hours annually.</t>
  </si>
  <si>
    <t>High-efficiency motor for walk/reach-in refrigerators</t>
  </si>
  <si>
    <t>Replacement of an existing, uncontrolled, and continuously operating standard-efficiency shaded-pole, permanent split capacitor (PSC) and electronically commutated (EC) evaporator fan motor in refrigerator display cases or evaporator of walk-in refrigerators.</t>
  </si>
  <si>
    <t>Refrigeration economizer</t>
  </si>
  <si>
    <t>An economizer brings in outside air when weather conditions allow  rather than operating the refrigeration system's compressor. The upgrade also includes evaporator fan control (see evaporator fan control for details).</t>
  </si>
  <si>
    <t>The refrigeration economizer must be installed on a walk-in refrigeration system.</t>
  </si>
  <si>
    <t>High-efficiency door for reach-in refrigerator</t>
  </si>
  <si>
    <t>Installation of energy efficient doors for refrigerator without existing door. Doors save energy by reducing the infiltration of warm outside air into the refrigerator area.</t>
  </si>
  <si>
    <t>The product must meet ENERGY STAR efficiency standards and CEE Tier 1 or 2 requirements. New glass and solid doors replace open (single/multi-deck) display cases. Doors for reach-in display cases include one, two and three glass door reach-in, roll-in/through and pass-through commercial refrigerators.</t>
  </si>
  <si>
    <t>Tankless natural gas water heater</t>
  </si>
  <si>
    <t>Tankless, also called instantaneous or on-demand, water heaters provide hot water without using a storage tank. The tankless system avoids heat losses from water stored in the tank for longer periods. But the system must be sized appropriately to deliver the necessary instantaneous heat to water (e.g. shower, faucets, etc.).</t>
  </si>
  <si>
    <t>ENERGY STAR certified tankless hot water heater fueled by natural gas, with a minimum 75,000 BTU/hour capacity and 90% thermal efficiency. Only existing storage water heaters are eligible for this upgrade.</t>
  </si>
  <si>
    <t>High-efficiency natural gas storage water heater</t>
  </si>
  <si>
    <t>High-efficiency storage (tank-based) water heaters extract the maximum amount of heat from burning natural gas by using condensing technology. This means heat from condensing water in the exhaust is extracted in addition to regular combustion.</t>
  </si>
  <si>
    <t>The storage water heater must be ENERGY STAR certified with thermal efficiency greater than or equal to 90% and fueled by natural gas.</t>
  </si>
  <si>
    <t>Multi-residential hot water demand control</t>
  </si>
  <si>
    <t>Domestic Hot Water (DHW) recirculating pumps installed in multi-unit residential buildings shorten the amount of time it would otherwise take for hot water to reach each unit. These pumps can be operated continuously or be controlled. Advanced recirculation controls allow pumps to turn on only when the water temperature falls below a certain setpoint.</t>
  </si>
  <si>
    <t>Only hot water recirculation pump controls in multi-unit residential buildings are eligible for this upgrade.</t>
  </si>
  <si>
    <t>Drain water heat recovery</t>
  </si>
  <si>
    <t>Drain water heat recovery systems use heat exchangers to recover heat from hot water that is typically lost to greywater systems. The recovered heat is used to pre-heat shower water, significantly reducing water-heating energy consumption.</t>
  </si>
  <si>
    <t>The drain water heat recovery equipment must be listed in the NRCan list of drain-water heat recovery products.</t>
  </si>
  <si>
    <t>Air curtain for overhead doors</t>
  </si>
  <si>
    <t>An air curtain installed for outside overhead doors reduces exfiltration of warm air through the door opening and infiltration of colder air. This reduces heating energy needed to compensate for heat losses every time a door is opened.</t>
  </si>
  <si>
    <t xml:space="preserve">The overhead air curtain is designed for commercial and industrial applications and must be certified to the ANSI/AMCA 220 standard. Only standard models without added heating are eligible. Curtain must be installed where there is an overhead door opening without existing curtain, and where it separates a conditioned space from an unconditioned space with small negative/positive pressure. </t>
  </si>
  <si>
    <t>High-efficiency window</t>
  </si>
  <si>
    <t>When installed correctly, window upgrades increase air-tightness, reduce energy loss and reduce road noise. For example, upgrading to triple-pane, low-e, argon windows will provide greater energy savings.</t>
  </si>
  <si>
    <t>The product must meet ENERGY STAR requirements.</t>
  </si>
  <si>
    <t>Air infiltration / sealing and pressurization</t>
  </si>
  <si>
    <t>Air infiltration / sealing and pressurization reduce the amount of air that leaks in and out of the building. It is a cost-effective way to cut heating and cooling energy consumption, increase comfort, and create a healthier indoor environment. Poor building pressurization also causes unnecessary leaks and can be corrected through HVAC system optimization.</t>
  </si>
  <si>
    <t>To be eligible, ASTM E783, ASTM E779, ASTM E1105 and ASTM E1186 testing methodologies to detect air leakage and pressurization issues must be used. Upgrades include all equipment and labour needed to reduce air leakage by at least 5%.</t>
  </si>
  <si>
    <t>Building automation system upgrade</t>
  </si>
  <si>
    <t>Building automation is the automatic centralized control of a building's heating, ventilation and air conditioning, lighting and other systems. It enables optimum control of these systems meeting occupant needs. The upgrade may include new, replacement and/or optimization.</t>
  </si>
  <si>
    <t>The upgraded building automation system (BAS) may consist of a network of Building Controllers (BC), Advanced Application Controllers (AAC), Application Specific Controllers (ASC), and Smart Actuators (SA).  Every device in the system which executes control logic and directly controls HVAC equipment must conform to a standard BACnet Device profile asspecified in ANSI/ASHRAE 135-2004, BACnet Annex L. Hardwired actuators and sensors may be used in lieu of BACnet Smart Actuators and Smart Sensors. New pneumatic control is not eligible.</t>
  </si>
  <si>
    <t>Commercial insulation</t>
  </si>
  <si>
    <t>Insulation is used to slow the transfer of heat from inside and outside of the building. Insulation may be added to the roof, walls, and other components of the building envelope. The insulation reduces heat and cooling energy consumption.</t>
  </si>
  <si>
    <t>No eligibility requirements at this time.</t>
  </si>
  <si>
    <t>DER</t>
  </si>
  <si>
    <t>Photovoltaic solar system and related components</t>
  </si>
  <si>
    <t>Solar photovoltaic systems convert solar energy into electricity for use by the building. Additional components include smart inverters that optimize electricity generation from the sun and can control electric output based on grid requirements.</t>
  </si>
  <si>
    <t xml:space="preserve">All solar photovoltaic systems must meed these requirements: All modules/systems are grid-connected; all module/system inverter warranty period(s) must be a minimum of 10 years; all PV modules must be CSA or UL certified and warranty period must be a minimum of 25 years. Residential projects require a letter of approval from their Electricity Provider and a signed Microgeneration Agreement. Commercial projects sized up to 150 KW need an operating agreement (or equivalent). For any residential or commercial system sized greater than 150 KW, the operating procedures or equivalent are required. For purposes of sizing, the output is defined as the combined storage and microgeneration (e.g. solar PV system) outputs. </t>
  </si>
  <si>
    <t>Solar thermal water heating</t>
  </si>
  <si>
    <t>Solar thermal water heating includes thermal tubes that capture solar energy and convert this into hot water. This may be used for domestic hot water and space heating and cooling.</t>
  </si>
  <si>
    <t xml:space="preserve">All solar thermal collectors must be CSA or UL certified. A residential minimum of SRCC OG-100 rating; and a commercial minimum of SRCC OG-300 rating; and solar thermal system components must have a minimum warranty period of 5 years. </t>
  </si>
  <si>
    <t>Combined heat and power</t>
  </si>
  <si>
    <t>Combined heat and power converts fossil fuel and/or biomass energy into both heat and electricity.</t>
  </si>
  <si>
    <t>The combined heat and power system is entirely grid-connected. All system component(s) warranty period(s) must be a minimum of 5 years. Residential projects require a letter of approval from their Electricity Provider and a signed Microgeneration Agreement. Commercial projects sized up to 150 KW need an operating agreement (or equivalent). For any residential or commercial system sized greater than 150 KW, the operating procedures or equivalent are required. For purposes of sizing, the output is defined as the electrical output of the combined heat and power system.</t>
  </si>
  <si>
    <t>Electric vehicle charging infrastructure</t>
  </si>
  <si>
    <t>Electric vehicle charging infrastructure is capable of charging one or more electric vehicles.</t>
  </si>
  <si>
    <t>The electric vehicle charging infrastructure must be either a level 2 (240 Volt-AC) or DC fast charging unit. The EV charging unit(s) must be networkable (e.g., wireless or ethernet connectivity), be CSA or UL certified, and have a minimum current rating of 16 Amps.</t>
  </si>
  <si>
    <t>Residential</t>
  </si>
  <si>
    <t>Residential smart thermostat</t>
  </si>
  <si>
    <t>Smart thermostats are used to reduce home cooling and heating loads through a configurable schedule of temperature setpoints (like a programmable thermostat) and automatic scheduling to better match heating and cooling to meet occupant comfort needs.</t>
  </si>
  <si>
    <t>The smart thermostat must meet ENERGY STAR requirements.</t>
  </si>
  <si>
    <t>High-efficiency central air conditioner</t>
  </si>
  <si>
    <t>Air conditioning equipment that is centrally installed in the home. High-efficiency technology uses less electricity to move indoor heat to the outside of the home.</t>
  </si>
  <si>
    <r>
      <t>The central air conditioner must be a ducted and split tunit hat meets ENERGY STAR requirements.</t>
    </r>
    <r>
      <rPr>
        <sz val="8"/>
        <rFont val="Calibri"/>
        <family val="2"/>
        <scheme val="minor"/>
      </rPr>
      <t>  </t>
    </r>
    <r>
      <rPr>
        <sz val="9"/>
        <rFont val="Calibri"/>
        <family val="2"/>
        <scheme val="minor"/>
      </rPr>
      <t xml:space="preserve"> SEER must be equal or greater than 15, or EER equal or greater than 12.</t>
    </r>
  </si>
  <si>
    <t>A high-efficiency furnace extracts the maximum amount of heat from burning natural gas by using condensing technology. This means heat from condensed water in the exhaust is extracted in addition to regular combustion.</t>
  </si>
  <si>
    <t>The product must meet ENERGY STAR for Northern Climate Zone requirements. It must be equipped with a high-efficiency electronically commutated fan motor. AFUE must be equal or greater than 95%.</t>
  </si>
  <si>
    <t>ECM motor for residential furnace</t>
  </si>
  <si>
    <t>An efficient fan motor adjusts the rate at which furnace heat is delivered to the home. Efficient fan motors with variable speed control use significantly less electricity.</t>
  </si>
  <si>
    <t>The fan motor must replace a constant speed motor installed in a natural gas furnace . The new motor must have a variable input. A brushless DC motor, also known as an ECM, qualifies.</t>
  </si>
  <si>
    <t>A high-efficiency boiler extracts the maximum amount of heat from natural gas by using condensing technology. This means heat from condensing water in the exhaust is extracted in addition to regular combustion.</t>
  </si>
  <si>
    <r>
      <t>The residential natural gas boiler must meet ENERGY STAR requirements. It must include outdoor reset control and have an AFUE equal to or greater than 95%.</t>
    </r>
    <r>
      <rPr>
        <sz val="8"/>
        <rFont val="Calibri"/>
        <family val="2"/>
        <scheme val="minor"/>
      </rPr>
      <t>  </t>
    </r>
  </si>
  <si>
    <t>High-efficiency air source heat pump</t>
  </si>
  <si>
    <t>A heat pump is a year-round space conditioning systems that provide heating and cooling. An air-source heat pump moves heat from and to outside air.</t>
  </si>
  <si>
    <t>The residential air source heat pump must meet ENERGY STAR requirements.</t>
  </si>
  <si>
    <t>Air source heat pump replacing natural gas furnace</t>
  </si>
  <si>
    <t>Heat and energy recovery ventilation</t>
  </si>
  <si>
    <t>Heat and energy recovery equipment extracts heat and/or energy from stale air exhausted to the outside of the home. The recovered energy is used to reduce the heating of fresh air delivered to the home.</t>
  </si>
  <si>
    <t>Heat or energy recovery ventilator must be a factory-assembled, packaged unit including fans or blowers that transfer heat between two isolated airstreams. Excludes portable units.</t>
  </si>
  <si>
    <t>Duct and pipe insulation ensures minimal heat is lost before it is delivered to conditioned spaces or water.</t>
  </si>
  <si>
    <t>The insulation must be installed on pipe or duct with no existing insulation. A minimum of R-5 or 2" of insulation must be added.</t>
  </si>
  <si>
    <t>Lighting controls use motion and daylight sensing to control indoor lighting. Multiple fixtures may be controlled through one sensor or each fixture may have its own. These sensors are an effective way to control lighting use in low occupancy areas.</t>
  </si>
  <si>
    <t>Lighting controls including timers, occupancy and daylight sensors must be Design Lights Consortium (DLC) qualified. Sensors with "manual on override", stepped and dimming controls are not eligible.</t>
  </si>
  <si>
    <t>Lighting fixture</t>
  </si>
  <si>
    <t xml:space="preserve">Permanently installed and hardwired LED lighting fixture including a downlight, track light fixture, ceiling and wall-mounted fixture or porchlight fixture. </t>
  </si>
  <si>
    <t>The LED lighting fixture must meet ENERGY STAR requirements. Plug-in fixtures such as table lamps and floor lamps are not eligible.</t>
  </si>
  <si>
    <t>LED general service lamp (e.g. A-type LED bulb) or specialty lighting (e.g. pin-based MR16 lamp).</t>
  </si>
  <si>
    <t>The lamp must meet ENERGY STAR requirements. All types of LED general service lamp and specialty pin-based lighting are eligible.</t>
  </si>
  <si>
    <t>Drain water heat recovery transfers heat from shower drain water to pre-warm the cold supply water before it goes into the water heater.</t>
  </si>
  <si>
    <t>The drain water heat recovery equipment must be listed in the NRCan approved list of drain-water heat recovery products.</t>
  </si>
  <si>
    <t>Tankless (also called instantaneous or on-demand) water heaters supply hot domestic water to the home without using a storage tank. The tankless system avoids heat loss from water stored a tank that must be regularly re-heated to maintain a safe water temperature.</t>
  </si>
  <si>
    <t>The tankless natural gas water heater must meet ENERGY STAR requirements.</t>
  </si>
  <si>
    <t>Heat pump water heater</t>
  </si>
  <si>
    <t>A heat pump water heater replaces a conventional electric storage hot water heater. Typically, heat is sourced from the furnace room and delivers hot water at much higher efficiencies than conventional tank-based heaters.</t>
  </si>
  <si>
    <t>The heat pump water heater must meet ENERGY STAR requirements, and must replace existing electric storage hot water heater only.</t>
  </si>
  <si>
    <t>Attic insulation</t>
  </si>
  <si>
    <t>Attic insulation reduces heat loss through the attic area of the building envelope. This reduces the load on the heating and/or cooling system.</t>
  </si>
  <si>
    <t>The new insulation must be added to an attic with less than R-30 existing insulation, or less than or equal to 8” of insulation. A minimum of R-19 or 6" of insulation must be added.</t>
  </si>
  <si>
    <t>Wall insulation</t>
  </si>
  <si>
    <t>Wall insulation reduces heat loss through the wall areas of the building envelope. This reduces the load on the heating and/or cooling system.</t>
  </si>
  <si>
    <t>The new insulation must be added to wall areas where there is no existing insulation. A minimum of R-13 or 4" of insulation must be added.</t>
  </si>
  <si>
    <t>Crawlspace insulation</t>
  </si>
  <si>
    <t>Crawlspace insulation reduces heat loss through the crawlspace areas of the building envelope. This reduces the load on the heating and/or cooling system.</t>
  </si>
  <si>
    <t>The new insulation must be added to crawlspaces where there is no existing insulation. A minimum of R-5 or 2" of insulation must be added. Floor and crawl space insulation requires lapped and sealed vapour barrier.</t>
  </si>
  <si>
    <t>Rim joist insulation</t>
  </si>
  <si>
    <t>Insulation added to the caveties around rim joists reduces heat loss through these areas of the building envelope. This reduces the load on the heating and/or cooling system.</t>
  </si>
  <si>
    <t>The new insulation must be added to cavities around rim joists where there is no existing insulation. A minimum of R10 value spray foam or all joints must be air sealed with caulk or spray foam and insulated with a minimum of R-10 value.</t>
  </si>
  <si>
    <t>Triple pane low-e window</t>
  </si>
  <si>
    <t>Tripple pane window using a low-e glazing that increase air-tightness and reduce energy loss through window.</t>
  </si>
  <si>
    <t>The window must have three or more panes with a low-e glazing and meet ENERGY STAR for Northern Climate Zone requirements.</t>
  </si>
  <si>
    <t>Air sealing (infiltration reduction)</t>
  </si>
  <si>
    <t xml:space="preserve">Reducing air leakage is a cost-effective way to reduce heating and cooling energy consumption, increase comfort, and create a healthier indoor environment. Caulking and weatherstripping are common air-sealing techniques. </t>
  </si>
  <si>
    <t xml:space="preserve">A Pre-and Post-Retrofit Home Energy Evaluation must be completed with an analysis of energy savings. A minimum 20% reduction in air leakage must be achieved as indicated by a blower door test. </t>
  </si>
  <si>
    <t>Window shading device</t>
  </si>
  <si>
    <t>A window shading device installed in on the exterior or interior of a window controls solar energy gain into the home. Some devices also have insulating properties that reduce heat losses.</t>
  </si>
  <si>
    <t>A Pre- and Post- Retrofit Home Energy Evaluation must be completed and must include an analysis of energy savings.</t>
  </si>
  <si>
    <t>TRM Summary - TEMPLATE</t>
  </si>
  <si>
    <t>Value</t>
  </si>
  <si>
    <t>Measure ID _Version</t>
  </si>
  <si>
    <t>Name</t>
  </si>
  <si>
    <t>Measure Summary</t>
  </si>
  <si>
    <t>Notes</t>
  </si>
  <si>
    <t>External Measure ID</t>
  </si>
  <si>
    <t>Version</t>
  </si>
  <si>
    <t>Valid From (date)</t>
  </si>
  <si>
    <t>Valid To (date)</t>
  </si>
  <si>
    <t>Gross electricity savings (kWh/yr)</t>
  </si>
  <si>
    <t>Gross electric demand savings (kW/yr)</t>
  </si>
  <si>
    <t>Gross natural gas savings (GJ/yr)</t>
  </si>
  <si>
    <t>Incremental cost (CAD)</t>
  </si>
  <si>
    <t>Source</t>
  </si>
  <si>
    <t>Measure Lifetime (yrs)</t>
  </si>
  <si>
    <t>Description</t>
  </si>
  <si>
    <t>Definition of Measure</t>
  </si>
  <si>
    <t>Description of Efficient Condition</t>
  </si>
  <si>
    <t>Description of Baseline Condition</t>
  </si>
  <si>
    <t>Application</t>
  </si>
  <si>
    <t xml:space="preserve">Do NOT change. Currently specified default replacement type. Algorithm for other type not yet built.   </t>
  </si>
  <si>
    <t>Cost characterization</t>
  </si>
  <si>
    <t>Unit</t>
  </si>
  <si>
    <t>Labour Cost</t>
  </si>
  <si>
    <t>CAD</t>
  </si>
  <si>
    <t>Efficient Equipment Cost</t>
  </si>
  <si>
    <t>Baseline Equipment Cost</t>
  </si>
  <si>
    <t>Total Installed Cost</t>
  </si>
  <si>
    <t>Incremental Cost</t>
  </si>
  <si>
    <t>Savings (Gross at meter)</t>
  </si>
  <si>
    <t>Adjusted Gross Savings</t>
  </si>
  <si>
    <t>Measure level savings, corrected for interactive effects and any other impacts EEA want to consider (such as ISR)</t>
  </si>
  <si>
    <t>Total electric demand savings</t>
  </si>
  <si>
    <t>ΔkW_total = ΔkW_gross + ΔkW_interactive</t>
  </si>
  <si>
    <t>kW</t>
  </si>
  <si>
    <t>Total electricity savings</t>
  </si>
  <si>
    <t>ΔkWh_total = ΔkWh_gross + ΔkWh_interactive</t>
  </si>
  <si>
    <t>kWh</t>
  </si>
  <si>
    <t>Total natural gas savings</t>
  </si>
  <si>
    <t>ΔGJ_total = ΔGJ_total + ΔGJ_interactive</t>
  </si>
  <si>
    <t>GJ</t>
  </si>
  <si>
    <t>Total water savings</t>
  </si>
  <si>
    <t>Δm^3_total = Δm^3_gross + Δm^3_interactive</t>
  </si>
  <si>
    <t>m^3</t>
  </si>
  <si>
    <t>Technical Savings</t>
  </si>
  <si>
    <t>Direct savings from the measure (for lighting: direct impact of delta watts, before interactive effects or other impacts)</t>
  </si>
  <si>
    <t>Gross electric demand savings</t>
  </si>
  <si>
    <t xml:space="preserve">ΔkW_gross = </t>
  </si>
  <si>
    <t>Gross electricity savings</t>
  </si>
  <si>
    <t>ΔkWh_gross =</t>
  </si>
  <si>
    <t>Gross natural gas savings</t>
  </si>
  <si>
    <t xml:space="preserve">ΔGJ_gross = </t>
  </si>
  <si>
    <t>Gross water savings</t>
  </si>
  <si>
    <t xml:space="preserve">Δm^3_gross = </t>
  </si>
  <si>
    <t>Interactive Effects</t>
  </si>
  <si>
    <t>Any energy (or other resource) impact on other end-uses (positive or negative)</t>
  </si>
  <si>
    <t>Interactive electric demand</t>
  </si>
  <si>
    <t xml:space="preserve">ΔkW_interactive = </t>
  </si>
  <si>
    <t>Interactive electricity savings</t>
  </si>
  <si>
    <t>ΔkWh_interactive =</t>
  </si>
  <si>
    <t>Interactive natural gas savings</t>
  </si>
  <si>
    <t>ΔGJ_interactive =</t>
  </si>
  <si>
    <t>Interactive water savings</t>
  </si>
  <si>
    <t xml:space="preserve">Δm^3_interactive = </t>
  </si>
  <si>
    <t>Variables and Calculations</t>
  </si>
  <si>
    <t>Variable</t>
  </si>
  <si>
    <t>Variable Name</t>
  </si>
  <si>
    <t>Definition</t>
  </si>
  <si>
    <t>Lookup Name</t>
  </si>
  <si>
    <t>Lookup Label</t>
  </si>
  <si>
    <t>Source / Notes</t>
  </si>
  <si>
    <t>Constants and Conversion Factors</t>
  </si>
  <si>
    <t>Index</t>
  </si>
  <si>
    <t>Constant</t>
  </si>
  <si>
    <t>Wh_per_kWh</t>
  </si>
  <si>
    <t>kWh / Wh</t>
  </si>
  <si>
    <t>N/A</t>
  </si>
  <si>
    <t>GJ_per_kWh</t>
  </si>
  <si>
    <t>GJ / kWh</t>
  </si>
  <si>
    <t>Engineering Toolbox Unit Converter</t>
  </si>
  <si>
    <t>m3_per_gal</t>
  </si>
  <si>
    <t>m^3 / gal</t>
  </si>
  <si>
    <t>GJ_per_therm</t>
  </si>
  <si>
    <t>GJ / therm</t>
  </si>
  <si>
    <t>Therm_per_BTU</t>
  </si>
  <si>
    <t>Therm / BTU</t>
  </si>
  <si>
    <t>Lookup Tables (copy and repeat as necessary)</t>
  </si>
  <si>
    <t>Table Name</t>
  </si>
  <si>
    <t>Labels and Values to Look up</t>
  </si>
  <si>
    <t>Label 1</t>
  </si>
  <si>
    <t>Label 2</t>
  </si>
  <si>
    <t>Label 3</t>
  </si>
  <si>
    <t>Label 4</t>
  </si>
  <si>
    <t>Label 5</t>
  </si>
  <si>
    <t>Label 6</t>
  </si>
  <si>
    <t>Label 7</t>
  </si>
  <si>
    <t>Label 8</t>
  </si>
  <si>
    <t>Label 9</t>
  </si>
  <si>
    <t>Label 10</t>
  </si>
  <si>
    <t>Lookup Name and Description</t>
  </si>
  <si>
    <t>TRM Summary</t>
  </si>
  <si>
    <t>Summary</t>
  </si>
  <si>
    <t>HVAC - Control</t>
  </si>
  <si>
    <t>kBTU/hour of Heating</t>
  </si>
  <si>
    <t>IL TRM v8 volume 3 Res 5.3.16 Advanced Thermostats</t>
  </si>
  <si>
    <t>Smart thermostats are used to reduce cooling and heating energy consumption through a configurable schedule of temperature setpoints (like a programmable thermostat), and automatic schedule variations to better match HVAC system runtimes to meet occupant comfort needs.</t>
  </si>
  <si>
    <t>Manual/Programmable thermostat blend.</t>
  </si>
  <si>
    <t>Product must meet ENERGY STAR requirements.</t>
  </si>
  <si>
    <t>ΔkWh_gross =  EFLH * Capacity /  ElectricHeatEfficiency * GJ_per_BTU * (1-GasShare) * Heating_Reduction * kWh_per_BTU</t>
  </si>
  <si>
    <t>ΔGJ_gross =  EFLH * Capacity /  AFUE * GasShare) * Heating_Reduction * GJ_per_BTU</t>
  </si>
  <si>
    <t>ΔGJ_gross =</t>
  </si>
  <si>
    <t>AFUE</t>
  </si>
  <si>
    <t>Heating efficiency of natural gas heating system</t>
  </si>
  <si>
    <t>%</t>
  </si>
  <si>
    <t>Global variables (see for source): SpaceHeatingEfficiency.R.NG</t>
  </si>
  <si>
    <t>HeatingReduction</t>
  </si>
  <si>
    <t>Heating gains for smart thermostats versus the average consumption</t>
  </si>
  <si>
    <t>https://aceee.org/sites/default/files/publications/researchreports/u1507.pdf</t>
  </si>
  <si>
    <t>ElectricHeatEfficiency</t>
  </si>
  <si>
    <t>Heating efficiency of electric system</t>
  </si>
  <si>
    <t>IL TRM v8 volume 3 Res 5.6.6 Rim/Band Joist Insulation defaults for electric cooling efficiency. Average</t>
  </si>
  <si>
    <t>GasShare</t>
  </si>
  <si>
    <t>Homes space and water heating is natural gas based on NRCan</t>
  </si>
  <si>
    <t>User specified: Space Heating Fuel</t>
  </si>
  <si>
    <t>EFLH</t>
  </si>
  <si>
    <t>Equivalent Full Load Hours for gas heating</t>
  </si>
  <si>
    <t>hour</t>
  </si>
  <si>
    <t>Climate data (see for source): EFLH (building type, region)</t>
  </si>
  <si>
    <t>Capacity</t>
  </si>
  <si>
    <t>Gas furnace input capacity</t>
  </si>
  <si>
    <t>BTU/hour</t>
  </si>
  <si>
    <t>Defined by the unit basis: 1,000 BTU/hour</t>
  </si>
  <si>
    <t>Lookup and Description</t>
  </si>
  <si>
    <t>HVAC - Cooling</t>
  </si>
  <si>
    <t>Ton of Cooling</t>
  </si>
  <si>
    <t>IL TRM v8 volume 3 Res 5.3.3 Central Air Conditioning</t>
  </si>
  <si>
    <t>The central air conditioner must be a ducted and split tunit hat meets ENERGY STAR requirements.   SEER must be equal or greater than 15, or EER equal or greater than 12.</t>
  </si>
  <si>
    <t>Do NOT change. Currently specified default replacement type. Algorithm for other type not yet built.</t>
  </si>
  <si>
    <t xml:space="preserve">ΔkWh_gross = (EFLC * Capacity * (1/(SEER_Base * (1 – DeratingCool_Base)) - 1/(SEERee * SEER_Adjustment * (1 – DeratingCool_EE))))/1000 </t>
  </si>
  <si>
    <t>EFLC</t>
  </si>
  <si>
    <t>Effective full load cooling hours</t>
  </si>
  <si>
    <t>Size of new equipment in BTU/hour (note 1 ton = 12,000 BTU/hour)</t>
  </si>
  <si>
    <t>Defined by the unit basis: 12,000 BTU/hour (= 1 Ton of cooling)</t>
  </si>
  <si>
    <t>SEER_Base</t>
  </si>
  <si>
    <t>Seasonal Energy Efficiency Ratio of baseline unit</t>
  </si>
  <si>
    <t>BTU/kWh</t>
  </si>
  <si>
    <t>Global variables (see for source): SpaceCoolingEfficiency.R.E</t>
  </si>
  <si>
    <t>SEER_EE</t>
  </si>
  <si>
    <t>Rated Seasonal Energy Efficiency Ratio of ENERGY STAR unit (kBTU/kWh)</t>
  </si>
  <si>
    <t>IL TRM v7 Central Air Conditioner. Page 722 of 1092. Defaults.</t>
  </si>
  <si>
    <t>SEER_Adjust</t>
  </si>
  <si>
    <t>Adjustment percentage to account for in-situ performance of the unit</t>
  </si>
  <si>
    <t>IL TRM v7 Central Air Conditioner. Page 722 to 723 of 1092. Calculation: 0.805 * (EERee/SEEee) + 0.367)</t>
  </si>
  <si>
    <t>DeratingCool_EE</t>
  </si>
  <si>
    <t>Efficent Central Air Conditioner Cooling derating</t>
  </si>
  <si>
    <t>IL TRM v7 Central Air Conditioner. Page 722 of 1092. Derating based on quality of the installation. Derating = 0% if Quality Installation is performed; = 10% if Quality Installation is not performed or unknown</t>
  </si>
  <si>
    <t>DeratingCool_Base</t>
  </si>
  <si>
    <t>Baseline Central Air Conditioner Cooling derating</t>
  </si>
  <si>
    <t>IL TRM v7 Central Air Conditioner. Page 723 of 1092.</t>
  </si>
  <si>
    <t>EE_EnergyStar</t>
  </si>
  <si>
    <t xml:space="preserve">Energy Efficiency Ratio of ENERGY STAR unit </t>
  </si>
  <si>
    <t>IL TRM v7 Central Air Conditioner. Pge 720 of 1092. EER_EE as per definition of efficient equipment = 12.5. EER is the ratio of cooling output (BTU/h) per electric input at standard conditions.</t>
  </si>
  <si>
    <t>Building Type and Air Conditioner Capacity</t>
  </si>
  <si>
    <t>Home - attached</t>
  </si>
  <si>
    <t>Home - unknown</t>
  </si>
  <si>
    <t>Efficient SEER and Incremental Cost</t>
  </si>
  <si>
    <t>SEER</t>
  </si>
  <si>
    <t>COP</t>
  </si>
  <si>
    <t>SEER 14</t>
  </si>
  <si>
    <t>SEER 15</t>
  </si>
  <si>
    <t>SEER 16</t>
  </si>
  <si>
    <t>SEER 17</t>
  </si>
  <si>
    <t>SEER 18</t>
  </si>
  <si>
    <t>HVAC - Heating</t>
  </si>
  <si>
    <t>IL TRM v8 volume 3 Res 5.3.7 Gas High Efficiency Furnace</t>
  </si>
  <si>
    <t xml:space="preserve">Do NOT change. Currently specified default replacement type. Algorithm for other type not yet built.	</t>
  </si>
  <si>
    <t>ΔGJ_total =EFLH * Capacity / (1 - Derating_EE) * ( AFUE_EE * (1 - Derating_EE) / (AFUE_Base * (1 - Derating_Base))  - 1) * GJ_per_BTU</t>
  </si>
  <si>
    <t>AFUE_Base</t>
  </si>
  <si>
    <t>Baseline furnace Annual Fuel Utilization Efficiency (AFUE) Rating</t>
  </si>
  <si>
    <t>Derating_Base</t>
  </si>
  <si>
    <t>Baseline furnace AFUE derating</t>
  </si>
  <si>
    <t>Global variables (see for source): SpaceHeatingDerating.R.NG</t>
  </si>
  <si>
    <t>AFUE_EE</t>
  </si>
  <si>
    <t>Efficent Furnace Annual Fuel Utilization Efficiency Rating</t>
  </si>
  <si>
    <t>Used 95% until more Alberta-specific information is provided.</t>
  </si>
  <si>
    <t>Derating_EE</t>
  </si>
  <si>
    <t>Efficent furnace AFUE derating</t>
  </si>
  <si>
    <t>IL TRM v8 volume 3 Res 5.3.7 Gas High Efficiency Furnace. 0% if verified quality installation is performed. 6.4% if verified quality installation is not performed or unknown.</t>
  </si>
  <si>
    <t>FurnaceType</t>
  </si>
  <si>
    <t>Type of efficient furnace</t>
  </si>
  <si>
    <t>AFUE 95%</t>
  </si>
  <si>
    <t>Drop-down</t>
  </si>
  <si>
    <t>Residential Furnace by AFUE</t>
  </si>
  <si>
    <t>AFUE 80%</t>
  </si>
  <si>
    <t>AFUE 90%</t>
  </si>
  <si>
    <t>AFUE 91%</t>
  </si>
  <si>
    <t>AFUE 92%</t>
  </si>
  <si>
    <t>AFUE 93%</t>
  </si>
  <si>
    <t>AFUE 94%</t>
  </si>
  <si>
    <t>AFUE 96%</t>
  </si>
  <si>
    <t>Furnace Motor</t>
  </si>
  <si>
    <t>IL TRM v8 volume 3 Res 5.3.5 Furnace Blower Motor</t>
  </si>
  <si>
    <t>ΔkWh_gross = Capacity_cooling * CoolingkWhSavings</t>
  </si>
  <si>
    <t>ΔGJ_gross = - HeatingkWhSavings * Capacity_cooling / AFUE * GJ_per kWh</t>
  </si>
  <si>
    <t>CapacityCooling</t>
  </si>
  <si>
    <t>Capacity of cooling system in tons (if no cooling installed then this quantity is still used in the electric savings category)</t>
  </si>
  <si>
    <t>Ton</t>
  </si>
  <si>
    <t>IL TRM v8 volume 3 Res 5.3.5 Furnace Blower Motor. Multiply by 2 tons for furnaces &lt;70 kBTU, by 3 tons for furnaces 70 kBTU – 90 kBTU and by 4 tons for furnaces 90+ kBTU for system installation scenarios "Furnace, No Cooling System" and "Furnace, Cooling System unknown". From HEP Past Program Analysis, 65% of furnaces are less than 70 kBTU/hour. 21% are 70-90 kBTU/hour and the remainder are greater than 90 kBTU/hour.</t>
  </si>
  <si>
    <t>CoolingkWhSavings</t>
  </si>
  <si>
    <t>Blower fan kWh savings per ton of cooling</t>
  </si>
  <si>
    <t>IL TRM v8 volume 3 Res 5.3.5 Furnace Blower Motor. Value is also dependent on Region. 202 kWh is the value used in the example for Marion (CAC receiving rebate (most common)).</t>
  </si>
  <si>
    <t>HeatingkWhSavings</t>
  </si>
  <si>
    <t>Heating kWh savings per ton of cooling</t>
  </si>
  <si>
    <t>IL TRM v8 volume 3 Res 5.3.5 Furnace Blower Motor. Value is dependent on Region. 39 kWh is the savings used in the example (Marion).
"If heating size is unknown or if the system does not include cooling, assume a 3-ton system" for Capacity_cooling</t>
  </si>
  <si>
    <t>Efficiency of the Furnace</t>
  </si>
  <si>
    <t>IL TRM v8 volume 3 Res 5.3.5 Furnace Blower Motor If unknown assume 95% if in new furnace or 64.4 AFUE% if in existing furnace</t>
  </si>
  <si>
    <t>IL TRM v7 volume 3 Res Gas High Efficiency Boiler</t>
  </si>
  <si>
    <t>The residential natural gas boiler must meet ENERGY STAR requirements. It must include outdoor reset control and have an AFUE equal to or greater than 95%.  </t>
  </si>
  <si>
    <t>ΔGJ_total = EFLH * CAPInput * (AFUE_EE / AFUE_Base - 1) / 100,000 * GJ_per_therm</t>
  </si>
  <si>
    <t>Baseline Furnace Annual Fuel Utilization Efficiency (AFUE) rating</t>
  </si>
  <si>
    <t>CAPInput</t>
  </si>
  <si>
    <t>Gas Furnace input capacity</t>
  </si>
  <si>
    <t>User defined. 95% is default.</t>
  </si>
  <si>
    <t>EfficientBoilerType</t>
  </si>
  <si>
    <t>Type of efficient boiler</t>
  </si>
  <si>
    <t>Efficient Boiler by Efficiency</t>
  </si>
  <si>
    <t>AFUE 82%</t>
  </si>
  <si>
    <t>AFUE 85%</t>
  </si>
  <si>
    <t>IL TRM v8 volume 3 Res 5.3.1 Air Source Heat Pump</t>
  </si>
  <si>
    <t>ΔkWh_gross = ((FLHC * CapacityCooling * (1/(SEER_Base * (1 – DeratingCool_Base)) - 1/(SEER_EE * SEER_Adjustment * (1 – DeratingCool_EE)))) / 1000) + ((FLHheat * CapacityHeating * (1/(HSPF_Base * (1 – DeratingHeat_Base)) - 1/(HSPF_EE * HSPF_Adjustment * (1 – DeratingHeat_EE)))) / 1000</t>
  </si>
  <si>
    <t xml:space="preserve">ΔGJ_total = </t>
  </si>
  <si>
    <t>Effective full load hours by climate zone</t>
  </si>
  <si>
    <t>Climate data (see for source): EFLC (building type, region)</t>
  </si>
  <si>
    <t>Cooling Capacity of Air Source Heat Pump (BTU/hour)</t>
  </si>
  <si>
    <t>Seasonal Energy Efficiency Ratio of baseline Air Source Heat Pump</t>
  </si>
  <si>
    <t>kBTU/kWh</t>
  </si>
  <si>
    <t>IL TRM v8 volume 3 Res 5.3.1 Air Source Heat Pump. Default assumed.</t>
  </si>
  <si>
    <t>Baseline Cooling derating</t>
  </si>
  <si>
    <t>SEER_Adjustment</t>
  </si>
  <si>
    <t>IL TRM v8 volume 3 Res 5.3.1 Air Source Heat Pump. 0% if Quality Installation is performed, 10% if Quality Installation is not performed or unknown.</t>
  </si>
  <si>
    <t>Efficent ASHP Cooling derating</t>
  </si>
  <si>
    <t>IL TRM v8 volume 3 Res 5.3.1 Air Source Heat Pump. Formula is found on page 710 of 1092. EER in examples is 13. 0% if Quality Installation is performed, 10% if Quality Installation is not performed or unknown.</t>
  </si>
  <si>
    <t>Full load hours of heating</t>
  </si>
  <si>
    <t>CapacityHeating</t>
  </si>
  <si>
    <t>Heating Capacity of Air Source Heat Pump (BTU/hour)</t>
  </si>
  <si>
    <t>HSPF_Base</t>
  </si>
  <si>
    <t>Heating System Performance Factor of baseline Air Source Heat Pump (kBTU/kWh)</t>
  </si>
  <si>
    <t>DeratingHeat_Base</t>
  </si>
  <si>
    <t>Baseline Heating derating</t>
  </si>
  <si>
    <t>Global variables (see for source): SpaceHeatingDerating.R.HP</t>
  </si>
  <si>
    <t>HSPF_EE</t>
  </si>
  <si>
    <t>Heating System Performance Factor of efficient Air Source Heat Pump
(kBTU/kWh)</t>
  </si>
  <si>
    <t>IL TRM v8 volume 3 Res 5.3.1 Air Source Heat Pump. Actual or 8.5 if unknown.</t>
  </si>
  <si>
    <t>HSPF_Adjustment</t>
  </si>
  <si>
    <t>IL TRM v8 volume 3 Res 5.3.1 Air Source Heat Pump. Formula is found on page 711 of 1092.</t>
  </si>
  <si>
    <t>DeratingHeat_EE</t>
  </si>
  <si>
    <t>Efficient ASHP Heating derating</t>
  </si>
  <si>
    <t xml:space="preserve">IL TRM v7 page 711 of 1092. 0% if Quality Installation is performed, 10% if Quality Installation is not performed.
</t>
  </si>
  <si>
    <t>ΔkWh_gross = - ( CoolingInstalled * FLHC * CapacityCooling * (1/SEER_EE  - 1/SEER_Base) + EFLH * CapacityHeating * 1/ ( HSPF_EE  * (1 - DeratingHeatPump)) ) * 1 kWh / 1,000 Wh</t>
  </si>
  <si>
    <t>ΔGJ_total = EFLH * CapacityHeating  / (AFUE * (1 - DeratingFurnace)) * GJ_per_BTU</t>
  </si>
  <si>
    <t>DeratingFurnace</t>
  </si>
  <si>
    <t>DeratingHeatPump</t>
  </si>
  <si>
    <t>New heat pump HSPF derating</t>
  </si>
  <si>
    <t>CoolingInstalled</t>
  </si>
  <si>
    <t>If an air conditioning system exists and is being replaced by the heat pump</t>
  </si>
  <si>
    <t>If AC is installed, then 100%. If not installed then 0%.</t>
  </si>
  <si>
    <t>This measure is a custom measure</t>
  </si>
  <si>
    <t>Custom</t>
  </si>
  <si>
    <t>Missing source information</t>
  </si>
  <si>
    <t>ΔkWh_gross = Custom</t>
  </si>
  <si>
    <t>ΔGJ_total = Custom</t>
  </si>
  <si>
    <t>Lighting - Control</t>
  </si>
  <si>
    <t>Sensor</t>
  </si>
  <si>
    <t>MN TRM v3 Residential Lighting - Controls page 32 of 672.</t>
  </si>
  <si>
    <t>ΔkWh_gross = ControlledWatts * ESF * Hours * SystemFactor</t>
  </si>
  <si>
    <t>MN TRM v3 pages 32 to 33 of 672.</t>
  </si>
  <si>
    <t>ΔGJ_interactive = ControlledWatts * ESF * Hours *WasteHeatFactor</t>
  </si>
  <si>
    <t>MN TRM v3 page of 672.</t>
  </si>
  <si>
    <t>ControlledWatts</t>
  </si>
  <si>
    <t>Total connected fixture load</t>
  </si>
  <si>
    <t>User specified input. MN TRM v3 Residential Lighting - Controls specifies 0.56 kW as default.</t>
  </si>
  <si>
    <t>SpaceType</t>
  </si>
  <si>
    <t xml:space="preserve">Space where the connected lighting and measure is installed. </t>
  </si>
  <si>
    <t>Indoor conditioned space</t>
  </si>
  <si>
    <t>Assumed indoor installation.</t>
  </si>
  <si>
    <t>HVACType</t>
  </si>
  <si>
    <t>HVAC system type (heating only, heating and cooling, cooling unknown)</t>
  </si>
  <si>
    <t>Heating Only</t>
  </si>
  <si>
    <t>Assumed heating only system type.</t>
  </si>
  <si>
    <t>ESF</t>
  </si>
  <si>
    <t>Energy savings factor</t>
  </si>
  <si>
    <t>MN TRM v3 Residential Lighting - Controls. “Residential Lighting Controls Market Characterization” Consortium for Energy Efficiency (CEE), January 9, 2014. Average of lighting on during unoccupied times across multiple room locations.</t>
  </si>
  <si>
    <t>Hours</t>
  </si>
  <si>
    <t>Hours per day of lighting use for given space</t>
  </si>
  <si>
    <t>MN TRM v3 Residential Lighting - Lighting End Use. Table 2. Based on lighting logger study conducted as part of the PY3 ComEd Residential Lighting Program evaluation. “ComEd Residential Energy Star Lighting Program Metering Study: Overview of Study Protocols” and “Memo RE: Lighting Logger Study Results – Version 2, Date: May 27, 2011, To: David Nichols and ComEd Residential Lighting Interested Parties, From: Amy Buege and Jeremy Eddy; Navigant Evaluation Team”.</t>
  </si>
  <si>
    <t>SystemFactor</t>
  </si>
  <si>
    <t>A factor that scales energy savings based on the type of space the control is installed, and the heating and/or cooling present</t>
  </si>
  <si>
    <t>MN TRM v3 Residential Lighting - Lighting End Use. Table 1. Factors calculated through energy modeling be FES 2012.</t>
  </si>
  <si>
    <t>WasteHeatFactor</t>
  </si>
  <si>
    <t>Heating system penalty factor resulting from lighting control</t>
  </si>
  <si>
    <t>HPF</t>
  </si>
  <si>
    <t>GJ_per_Dth</t>
  </si>
  <si>
    <t>GJ / Dth</t>
  </si>
  <si>
    <t>Space Type, Hours of Use, Interactive effects, and Heating Penalty Factor</t>
  </si>
  <si>
    <t>Heating and Cooling</t>
  </si>
  <si>
    <t>Cooling Unknown</t>
  </si>
  <si>
    <t>Indoor conditioned</t>
  </si>
  <si>
    <t>Multi-residential common</t>
  </si>
  <si>
    <t>Outdoor and unconditioned</t>
  </si>
  <si>
    <t>Pin-based and other specialty lighting.</t>
  </si>
  <si>
    <t>Lighting - Indoor fixture</t>
  </si>
  <si>
    <t>Fixture</t>
  </si>
  <si>
    <t>IL TRM v8 volume 3 Res 5.5.9 LED Fixtures</t>
  </si>
  <si>
    <t>ΔkWh_gross = ((Watts_Base - Watts_EE) * LightingHours * 1 kWh / 1,000 Wh</t>
  </si>
  <si>
    <t>ΔkWh_interactive = (Watts_Base - Watts_EE)  * LightingHours * InteractiveCF * CoolShare * 1 kWh / 1,000 Wh</t>
  </si>
  <si>
    <t>ΔGJ_interactive = (Watts_Base - Watts_EE) * LightingHours * InteractiveHF * HeatShare * 1 kWh / 1,000 Wh * GJ_per_KWh</t>
  </si>
  <si>
    <t>Watts_Base</t>
  </si>
  <si>
    <t>Wattage of baseline unit</t>
  </si>
  <si>
    <t>40% CFL and 60% Halogen Replacement</t>
  </si>
  <si>
    <t>Baseline Watts</t>
  </si>
  <si>
    <t>Watts</t>
  </si>
  <si>
    <t>User specified input.</t>
  </si>
  <si>
    <t>Watts_EE</t>
  </si>
  <si>
    <t>Wattage of energy efficient unit</t>
  </si>
  <si>
    <t>EE Watts</t>
  </si>
  <si>
    <t>LightingHours</t>
  </si>
  <si>
    <t>Average hours of use per year</t>
  </si>
  <si>
    <t>HOU</t>
  </si>
  <si>
    <t>Building data (see for source): HOU (building type)</t>
  </si>
  <si>
    <t>InteractiveHF</t>
  </si>
  <si>
    <t>Interactive effect - heating factor</t>
  </si>
  <si>
    <t>IE_HEAT</t>
  </si>
  <si>
    <t>Building data (see for source): IE_HEAT (building type)</t>
  </si>
  <si>
    <t>InteractiveCF</t>
  </si>
  <si>
    <t>Interactive effect - cooling factor</t>
  </si>
  <si>
    <t>IE_COOL</t>
  </si>
  <si>
    <t>Building data (see for source): IE_COOL (building type)</t>
  </si>
  <si>
    <t>CoolShare</t>
  </si>
  <si>
    <t>Share of buildings with cooling system</t>
  </si>
  <si>
    <t>Global variables (see for source): SpaceCoolingShare.R.E</t>
  </si>
  <si>
    <t>HeatShare</t>
  </si>
  <si>
    <t>Share of buildings with heating system</t>
  </si>
  <si>
    <t>Global variables (see for source): SpaceCoolingShare.R.NG</t>
  </si>
  <si>
    <t>Baseline Condition of Lighting being Replaced</t>
  </si>
  <si>
    <t>ISR</t>
  </si>
  <si>
    <t xml:space="preserve">40% CFL 26W Pin Base &amp; 60% Halogen PAR30/38
Replaced by
≤16W Qualified LED PAR30 &amp; PAR38 (minimum 600 Lumen output) </t>
  </si>
  <si>
    <t>Lighting - Indoor lamp</t>
  </si>
  <si>
    <t>Lamp</t>
  </si>
  <si>
    <t>ΔkWh_gross = (Watts_Base - Watts_EE) * LightingHours * 1 kW / 1,000 W</t>
  </si>
  <si>
    <t>ΔkWh_interactive = (Watts_Base - Watts_EE) * LightingHours * 1 kW / 1,000 W * InteractiveCF * CoolShare</t>
  </si>
  <si>
    <t>ΔGJ_interactive = (Watts_Base - Watts_EE) * LightingHours * 1 kW / 1,000 W * InteractiveHF * HeatShare * GJ per KWh</t>
  </si>
  <si>
    <t>Non A-line LED Lighting</t>
  </si>
  <si>
    <t>10% CMH PAR38 &amp; 90% Halogen PAR38
Replaced by
12.2W LED</t>
  </si>
  <si>
    <t>Instead of using the Summerhill HIR Calculator, using the same showerhead assumptions and algorithms and multiplying by typical DWHR device energy recovery efficiency.</t>
  </si>
  <si>
    <t>Water - Heating</t>
  </si>
  <si>
    <t>Drain</t>
  </si>
  <si>
    <t>ΔkWh_gross =  Δm^3_gross * Water.Density.SI * Water.HeatCapacity.SI * (TempShower - TempSupply) / HeaterRecoveryEfficiency * DrainRecoveryEfficiency * (1 - ShareNG) * kWh_per_GJ</t>
  </si>
  <si>
    <t>ΔGJ_gross = Δm^3_gross * Water.Density.SI * Water.HeatCapacity.SI * (TempShower - TempSupply) / HeaterRecoveryEfficiency * DrainRecoveryEfficiency * ShareNG</t>
  </si>
  <si>
    <t>Δm^3_gross = FlowRate * Length * Household * SPCD * Days_per_Year / Litres_per_m3</t>
  </si>
  <si>
    <t>Lookup Value</t>
  </si>
  <si>
    <t>FlowRate</t>
  </si>
  <si>
    <t>Flow rate of base equipment</t>
  </si>
  <si>
    <t>L/min</t>
  </si>
  <si>
    <t>Global variables (see for source): WaterFlowRate.R.Shower.SI</t>
  </si>
  <si>
    <t>Length</t>
  </si>
  <si>
    <t>Length of shower for baseline</t>
  </si>
  <si>
    <t>min</t>
  </si>
  <si>
    <t>IL TRM v7 Low Flow Showerheads. Typical flow rate of baseline shower head.</t>
  </si>
  <si>
    <t>TempShower</t>
  </si>
  <si>
    <t>Shower water temperature</t>
  </si>
  <si>
    <t>° C</t>
  </si>
  <si>
    <t>IL TRM v7 Low Flow Showerheads. Typical comfortable shower temperature (100 °F).</t>
  </si>
  <si>
    <t>TempSupply</t>
  </si>
  <si>
    <t>Incoming water temperature from well or municipal system</t>
  </si>
  <si>
    <t>WATER_SUPPLY</t>
  </si>
  <si>
    <t>°C</t>
  </si>
  <si>
    <t>Climate data (see for source): WATER_SUPPLY (region).</t>
  </si>
  <si>
    <t>SPCD</t>
  </si>
  <si>
    <t>Number of showers per person per day</t>
  </si>
  <si>
    <t>#/person/day</t>
  </si>
  <si>
    <t>IL TRM v7 Low Flow Showerheads</t>
  </si>
  <si>
    <t>Household</t>
  </si>
  <si>
    <t>Average number of people per household</t>
  </si>
  <si>
    <t>BuildingType</t>
  </si>
  <si>
    <t>PEOPLE</t>
  </si>
  <si>
    <t>person</t>
  </si>
  <si>
    <t>Building data (see for source): PEOPLE (building type)</t>
  </si>
  <si>
    <t>HeaterRecoveryEfficiency</t>
  </si>
  <si>
    <t>Recovery efficiency of water heater</t>
  </si>
  <si>
    <t>RE</t>
  </si>
  <si>
    <t>DrainRecoveryEfficiency</t>
  </si>
  <si>
    <t>Drain water heat recovery efficiency</t>
  </si>
  <si>
    <t>Typical recovery efficiency of DWHR equipment</t>
  </si>
  <si>
    <t>ShareNG</t>
  </si>
  <si>
    <t>Share of installations with natural gas water heaters</t>
  </si>
  <si>
    <t>Measure input (water heating fuel type): 0 or 100%.</t>
  </si>
  <si>
    <t>Water_Heat_Cap</t>
  </si>
  <si>
    <t>GJ / ° C / Litre</t>
  </si>
  <si>
    <t>Recovery Efficiency</t>
  </si>
  <si>
    <t>Natural gas, shared</t>
  </si>
  <si>
    <t>Natural gas, individual</t>
  </si>
  <si>
    <t>Electricity</t>
  </si>
  <si>
    <t>Average of shared and individual</t>
  </si>
  <si>
    <t>Showers per Household</t>
  </si>
  <si>
    <t>SPH</t>
  </si>
  <si>
    <t>Apartment - high-rise</t>
  </si>
  <si>
    <t>Apartment - low-rise</t>
  </si>
  <si>
    <t>Apartment - mid-rise</t>
  </si>
  <si>
    <t>Home - unknown type</t>
  </si>
  <si>
    <t>Water Heater</t>
  </si>
  <si>
    <t>IL TRM v8 volume 3 Res 5.4.2 Gas Water Heater</t>
  </si>
  <si>
    <t xml:space="preserve">ΔkWh_gross = </t>
  </si>
  <si>
    <t>ΔGJ_gross = (1 / Eff_Base - 1 / Eff_EE) *GPD * Household * Days_per_Year * Water.Density.IMP * (TempTank - TempSupply) * Water.HeatCapacity.IMP * GJ_per_BTU</t>
  </si>
  <si>
    <t>GPD</t>
  </si>
  <si>
    <t>Gallons Per Day of hot water use per person</t>
  </si>
  <si>
    <t>gal/day</t>
  </si>
  <si>
    <t>IL TRM v8 volume 3 Res 5.4.2 Gas Water Heater. Calculated using 45.5 gals hot water per day per household / 2.59 people per household.</t>
  </si>
  <si>
    <t>TempTank</t>
  </si>
  <si>
    <t>Water tank temperature</t>
  </si>
  <si>
    <t>°F</t>
  </si>
  <si>
    <t>Global variables (see for source): Water.T.DHW.IMP</t>
  </si>
  <si>
    <t>Supply water temperature</t>
  </si>
  <si>
    <t>Eff_Base</t>
  </si>
  <si>
    <t>Uniform Energy Factor rating of standard storage water heater according to federal standards</t>
  </si>
  <si>
    <t>Global variables (see for source): WaterHeatingEfficiency.R.NG</t>
  </si>
  <si>
    <t>Eff_EE</t>
  </si>
  <si>
    <t>Uniform Energy Factor Rating for efficient equipment</t>
  </si>
  <si>
    <t>IL TRM v8 volume 3 Res 5.4.2 Gas Water Heater. Using tankless whole-house efficiency of 0.91566.</t>
  </si>
  <si>
    <t>person/household</t>
  </si>
  <si>
    <t>IL TRM v7</t>
  </si>
  <si>
    <r>
      <rPr>
        <b/>
        <sz val="10"/>
        <color rgb="FFFFFFFF"/>
        <rFont val="Calibri"/>
        <family val="2"/>
        <scheme val="minor"/>
      </rPr>
      <t>Household Unit Type</t>
    </r>
  </si>
  <si>
    <r>
      <rPr>
        <b/>
        <sz val="10"/>
        <color rgb="FFFFFFFF"/>
        <rFont val="Calibri"/>
        <family val="2"/>
        <scheme val="minor"/>
      </rPr>
      <t>Household</t>
    </r>
  </si>
  <si>
    <t>Single-Family - Deemed</t>
  </si>
  <si>
    <t>Multifamily - Deemed</t>
  </si>
  <si>
    <t>Actual Occupancy or Number of Bedrooms</t>
  </si>
  <si>
    <t>IL TRM v8 volume 3 Res 5.4.3 Heat Pump Water Heaters</t>
  </si>
  <si>
    <t>ΔkWh_gross = GPD * Household * Days_per_Year * Water.Density.IMP * (TempOut-TempIn) * Water.HeatCapacity.IMP / BTU_per_kWh * ( 
(1/TE_Base - 1/TE_EE) +  ( 1   - 1/TE_EE ) * LocationFactor * ( CoolWHS / SpaceCool_EE * LatentMultiplier -  HeatWHS / SpaceHeat_EE * (1-WaterHeatingShare.R.NG) ))</t>
  </si>
  <si>
    <t>ΔGJ_interactive =  - GPD * Household * Days_per_Year * Water.Density.IMP * (TOut – TIn)  * Water.HeatCapacity.IMP * (1-1/ UEF_EE) * LocationFactor *  HeatWHS / AFUE * GJ_per_BTU * ShareNG</t>
  </si>
  <si>
    <t>TE_Base</t>
  </si>
  <si>
    <t>Thermal Efficiency of standard electric water heater</t>
  </si>
  <si>
    <t>Global variables (see for source): WaterHeatingEfficiency.R.E</t>
  </si>
  <si>
    <t>TE_EE</t>
  </si>
  <si>
    <t>Thermal Efficiency of heat pump water heater</t>
  </si>
  <si>
    <t>Average UEF from ENERGY STAR product list, as sourced from NRCan website. https://www.nrcan.gc.ca/energy/products/categories/water-heaters/14556</t>
  </si>
  <si>
    <t>SpaceCool_EE</t>
  </si>
  <si>
    <t>Efficiency of central air conditioning (if installed)</t>
  </si>
  <si>
    <t>Global variables (see for source): SpaceCoolingEfficiency.R.COP</t>
  </si>
  <si>
    <t>SpaceHeat_EE</t>
  </si>
  <si>
    <t>Efficiency of electric space heating</t>
  </si>
  <si>
    <t>Global variables (see for source): SpaceHeatingEfficiency.R.E</t>
  </si>
  <si>
    <t>people</t>
  </si>
  <si>
    <t>InstallLocation</t>
  </si>
  <si>
    <t>Location of water heater installation</t>
  </si>
  <si>
    <t>Conditioned</t>
  </si>
  <si>
    <t>LocationFactor</t>
  </si>
  <si>
    <t>Location factor</t>
  </si>
  <si>
    <t>LF</t>
  </si>
  <si>
    <t>Share of space heating delivered using natural gas heating system</t>
  </si>
  <si>
    <t>TempOut</t>
  </si>
  <si>
    <t>Output temperature of water heater</t>
  </si>
  <si>
    <t>Global variables (see for source): Water.T.DHW.F</t>
  </si>
  <si>
    <t>TempIn</t>
  </si>
  <si>
    <t>Input temperature of water heater</t>
  </si>
  <si>
    <t>Climate data (see for source): WATER_SUPPLY (region). Converted from °C to °F.</t>
  </si>
  <si>
    <t>Efficiency of natural gas heating system (if installed)</t>
  </si>
  <si>
    <t>LatentMultiplier</t>
  </si>
  <si>
    <t>Latent multiplier to account for latent cooling demand</t>
  </si>
  <si>
    <t>CoolWHS</t>
  </si>
  <si>
    <t>Portion of reduced waste heat that results in cooling savings.</t>
  </si>
  <si>
    <t>HeatWHS</t>
  </si>
  <si>
    <t>Portion of reduced waste heat that results in increased heating load.</t>
  </si>
  <si>
    <t>Therm_per_kWh</t>
  </si>
  <si>
    <t>Therm / kWh</t>
  </si>
  <si>
    <t>IL TRM v7 Heat Pump Water Heaters page 825 of 1092.</t>
  </si>
  <si>
    <t>BTU_per_kWh</t>
  </si>
  <si>
    <t>BTU / kWh</t>
  </si>
  <si>
    <t>IL TRM v7 Heat Pump Water Heaters</t>
  </si>
  <si>
    <t>L_per_gal</t>
  </si>
  <si>
    <t>L / gal</t>
  </si>
  <si>
    <t>Location of installation and Location Factor</t>
  </si>
  <si>
    <t>HPWH installation in a conditioned space</t>
  </si>
  <si>
    <t>Unknown</t>
  </si>
  <si>
    <t>HPWH installation in an unknown location</t>
  </si>
  <si>
    <t>Unconditioned</t>
  </si>
  <si>
    <t>installation in an unconditioned space</t>
  </si>
  <si>
    <t>Whole Building</t>
  </si>
  <si>
    <t>ft^2 of Insulation</t>
  </si>
  <si>
    <t>IL TRM v8 volume 3 Res 5.6.5 Ceiling/Attic Insulation</t>
  </si>
  <si>
    <t>ΔkWh_gross = ( 1 / R_Exist - 1/R_New) * Area * (1-FramingFactor) * Hours_per_Day ) * ( CoolingShare * CDD * CoolingAdjustment / 1,000 BTU per kBTU / CoolingSEER  +  (1-ShareNG) * HDD * HeatingAdjustment   /  ElectricHeatEfficiency / kWh_per_BTU ) + ( ΔGJ_gross * FurnaceFanEnergy * FanAdjustment * kWh_per_GJ )</t>
  </si>
  <si>
    <t>ΔGJ_gross = ShareNG* ( 1 / R_exist - 1/R_new) * Area * (1-FramingFactor) * Hours_per_day * HDD) / AFUE * GJ_per_BTU</t>
  </si>
  <si>
    <t>CDD</t>
  </si>
  <si>
    <t>Cooling Degree Days</t>
  </si>
  <si>
    <t>Climate data (see for source): CDD (region)</t>
  </si>
  <si>
    <t>HDD</t>
  </si>
  <si>
    <t>Heating Degree Days</t>
  </si>
  <si>
    <t>Climate data (see for source): HDD (region)</t>
  </si>
  <si>
    <t>R_Exist</t>
  </si>
  <si>
    <t>Existing insulation R-Value</t>
  </si>
  <si>
    <t>R-Value</t>
  </si>
  <si>
    <t>R_New</t>
  </si>
  <si>
    <t>New insulation R-Value</t>
  </si>
  <si>
    <t>Area</t>
  </si>
  <si>
    <t>Area to be insulated</t>
  </si>
  <si>
    <t>ft^2</t>
  </si>
  <si>
    <t>FramingFactor</t>
  </si>
  <si>
    <t>Framing factor</t>
  </si>
  <si>
    <t>CoolingAdjustment</t>
  </si>
  <si>
    <t>Adjustment to the engineering algorithm, includes discretionary use factor.</t>
  </si>
  <si>
    <t>Discretionary use factor (0.75) and cooling algorithm adjustment factor (1.21). IL TRM v8 volume 3 Res 5.6.5 Ceiling/Attic Insulation</t>
  </si>
  <si>
    <t>HeatingAdjustment</t>
  </si>
  <si>
    <t>Adjustment to the engineering algorithm</t>
  </si>
  <si>
    <t>FanAdjustment</t>
  </si>
  <si>
    <t>CoolingShare</t>
  </si>
  <si>
    <t>Share of homes with cooling</t>
  </si>
  <si>
    <t>Share of homes with natural gas heating</t>
  </si>
  <si>
    <t>Measure input (space heating fuel type): 0 or 100%.</t>
  </si>
  <si>
    <t>Electric heating system efficiency</t>
  </si>
  <si>
    <t>Unkown</t>
  </si>
  <si>
    <t>IL TRM v8 volume 3 Res 5.6.5 Ceiling/Attic Insulation. Average type of electric heating efficiency.</t>
  </si>
  <si>
    <t>FurnaceFanEnergy</t>
  </si>
  <si>
    <t>Furnace fan energy as a percentage of the annual heat fuel consumption</t>
  </si>
  <si>
    <t>CoolingSEER</t>
  </si>
  <si>
    <t>Efficiency of cooling system (SEER)</t>
  </si>
  <si>
    <t>kBUT/kWh</t>
  </si>
  <si>
    <t>Global variables (see for source): SpaceCoolingEfficiency.R.SEER</t>
  </si>
  <si>
    <t>Natural gas heating system efficiency (AFUE)</t>
  </si>
  <si>
    <t>Global variables (see for source): AFUE</t>
  </si>
  <si>
    <t>Feet_per_inch</t>
  </si>
  <si>
    <t>Feet / inch</t>
  </si>
  <si>
    <t>Electric Heating System Type</t>
  </si>
  <si>
    <t>Efficiency</t>
  </si>
  <si>
    <t>Heat pump</t>
  </si>
  <si>
    <t>Electric resistance</t>
  </si>
  <si>
    <t>Can also include basement sidewall as long as the R-values of the Earth are included in the calculation. These are included in a second lookup table.</t>
  </si>
  <si>
    <t>IL TRM v8 volume 3 Res 5.6.4 Wall Insulation</t>
  </si>
  <si>
    <t xml:space="preserve"> </t>
  </si>
  <si>
    <t>Discretionary use factor (0.75) and cooling algorithm adjustment factor (0.8). IL TRM v8 volume 3 Res 5.6.4 Wall Insulation</t>
  </si>
  <si>
    <t>IL TRM v8 volume 3 Res 5.6.6 Rim/Band Joist Insulation</t>
  </si>
  <si>
    <t>No fan adjustment in IL TRM v8 volume 3 Res 5.6.6 Rim/Band Joist Insulation</t>
  </si>
  <si>
    <t>Earth, Below Grade R-values per Feet Below Grade</t>
  </si>
  <si>
    <t>Below Grade R-value</t>
  </si>
  <si>
    <t>Depth below grade (ft)</t>
  </si>
  <si>
    <t>Earth R-value (°F-ft2-h/Btu)</t>
  </si>
  <si>
    <t>Average Earth R-value
(°F-ft2-h/Btu)</t>
  </si>
  <si>
    <t>Total BG R-value (earth + R-1.0 foundation) default</t>
  </si>
  <si>
    <t>IL TRM v8 volume 3 Res 5.6.3 Floor Insulation Above Crawlspace</t>
  </si>
  <si>
    <t>Discretionary use factor (0.75) and cooling algorithm adjustment factor (0.8). IL TRM v8 volume 3 Res 5.6.3 Floor Insulation Above Crawlspace</t>
  </si>
  <si>
    <t>No fan adjustment in IL TRM v8 volume 3 Res 5.6.3 Floor Insulation Above Crawlspace</t>
  </si>
  <si>
    <t>Discretionary use factor (0.75) and cooling algorithm adjustment factor (0.8). IL TRM v8 volume 3 Res 5.6.6 Rim/Band Joist Insulation</t>
  </si>
  <si>
    <t>ft^2 of Window</t>
  </si>
  <si>
    <t>PUC TRM Volume 2, 2021: ENERGY STAR Windows</t>
  </si>
  <si>
    <t>ΔkWh_gross = IF Space Heating Fuel = "Electricity" Then (U_Exist - U_New) * Area / Ft2_per_m2 * HDD * Hours_per_Day / 1000 / ElectricEfficiency</t>
  </si>
  <si>
    <t>ΔGJ_gross = 
IF Space Heating Fuel = "Natural gas" Then (U_Exist - U_New) * Area / Ft2_per_m2 * HDD * Hours_per_Day / 1000 * GJ_per_kWh / AFUE</t>
  </si>
  <si>
    <t>Region corresponding to the climate zone</t>
  </si>
  <si>
    <t>degree-days</t>
  </si>
  <si>
    <t>Window are in square feet</t>
  </si>
  <si>
    <t>U_New</t>
  </si>
  <si>
    <t>Thermal transmittance (metric U-value)</t>
  </si>
  <si>
    <t>U</t>
  </si>
  <si>
    <t>W / (m^2 * K)</t>
  </si>
  <si>
    <t>Summerhill window Calculator (derived from HOT 2000 software). Selected value corresponds with 0.28 U-Value (imperial). This is slightly worse than the average from RRP data analysis (0.22).</t>
  </si>
  <si>
    <t>U_Exist</t>
  </si>
  <si>
    <t>RRP data analysis results show an existing U-value of 0.5 (Imperial), equivalent to a large 2-pane, wod frame window. U-Value is 2.8 (metric).</t>
  </si>
  <si>
    <t>WindowTypeExisting</t>
  </si>
  <si>
    <t>Existing Window Type</t>
  </si>
  <si>
    <t xml:space="preserve">Double pane, Wood frame, Large </t>
  </si>
  <si>
    <t>Heating system efficiency</t>
  </si>
  <si>
    <t>ElectricEfficiency</t>
  </si>
  <si>
    <t>Electric heating efficiency</t>
  </si>
  <si>
    <t>U_Metric_per_U_Imp</t>
  </si>
  <si>
    <t>W/m2·K / BTU/h·ft2·F</t>
  </si>
  <si>
    <t>https://betterhomesbc.ca/faqs/how-can-i-convert-an-imperial-u-factor-to-a-metric-u-factor/</t>
  </si>
  <si>
    <t>Ft2_per_m2</t>
  </si>
  <si>
    <t>ft^2 / m^2</t>
  </si>
  <si>
    <t>Hours_per_Day</t>
  </si>
  <si>
    <t>hour / day</t>
  </si>
  <si>
    <t>In the HIR algorithms (calculator spreadsheets) this is set at 20 hours per day</t>
  </si>
  <si>
    <t>Replacement Window U-Factor (W / (m^2 K)) by Region and Climate Zone</t>
  </si>
  <si>
    <t>U-Factor (BTU/h / (ft^2 * F))</t>
  </si>
  <si>
    <t>Baseline Window Spec by Type</t>
  </si>
  <si>
    <t>U-Factor (Imp)</t>
  </si>
  <si>
    <t xml:space="preserve">Single pane, Metal frame, Small </t>
  </si>
  <si>
    <t xml:space="preserve">Single pane, Metal frame, Medium </t>
  </si>
  <si>
    <t xml:space="preserve">Single pane, Metal frame, Large </t>
  </si>
  <si>
    <t xml:space="preserve">Single pane, Wood frame, Small </t>
  </si>
  <si>
    <t xml:space="preserve">Single pane, Wood frame, Medium </t>
  </si>
  <si>
    <t xml:space="preserve">Single pane, Wood frame, Large </t>
  </si>
  <si>
    <t xml:space="preserve">Single pane, Vinyl frame, Small </t>
  </si>
  <si>
    <t xml:space="preserve">Single pane, Vinyl frame, Medium </t>
  </si>
  <si>
    <t xml:space="preserve">Single pane, Vinyl frame, Large </t>
  </si>
  <si>
    <t xml:space="preserve">Double pane, Metal frame, Small </t>
  </si>
  <si>
    <t xml:space="preserve">Double pane, Metal frame, Medium </t>
  </si>
  <si>
    <t xml:space="preserve">Double pane, Metal frame, Large </t>
  </si>
  <si>
    <t xml:space="preserve">Double pane, Wood frame, Small </t>
  </si>
  <si>
    <t xml:space="preserve">Double pane, Wood frame, Medium </t>
  </si>
  <si>
    <t xml:space="preserve">Double pane, Vinyl frame, Small </t>
  </si>
  <si>
    <t xml:space="preserve">Double pane, Vinyl frame, Medium </t>
  </si>
  <si>
    <t xml:space="preserve">Double pane, Vinyl frame, Large </t>
  </si>
  <si>
    <t>ΔkWh_gross = custom</t>
  </si>
  <si>
    <t>ΔGJ_gross = custom</t>
  </si>
  <si>
    <t>Commerical Kitchen - Control</t>
  </si>
  <si>
    <t>Horsepower of Exhaust Fan</t>
  </si>
  <si>
    <t>IL TRM v8 volume 2 C&amp;I 4.2.16 Kitchen Demand Ventilation Controls</t>
  </si>
  <si>
    <t>ΔkWh_gross = SavingsPerHP * HP</t>
  </si>
  <si>
    <t>ΔGJ_gross = (ReductionCFM * HP * AnnualHeatingLoad / AFUE) * GJ_per_BTU</t>
  </si>
  <si>
    <t xml:space="preserve">ΔGJ_interactive = </t>
  </si>
  <si>
    <t>SavingsPerHP</t>
  </si>
  <si>
    <t>Savings per HP of the exhaust fan</t>
  </si>
  <si>
    <t>KWh</t>
  </si>
  <si>
    <t>IL TRM v8 volume 2 C&amp;I 4.2.16 Kitchen Demand Ventilation Controls. kWh savings per exhaust fan HP = 4,486.</t>
  </si>
  <si>
    <t>HP</t>
  </si>
  <si>
    <t>Horsepower of the exhaust fan for the ventilation system</t>
  </si>
  <si>
    <t>hp</t>
  </si>
  <si>
    <t>Defined by the unit basis: 1 hp</t>
  </si>
  <si>
    <t>ReductionCFM</t>
  </si>
  <si>
    <t>Average airflow reduction per exhaust fan HP with demand control ventilation</t>
  </si>
  <si>
    <t>CFM / Horsepower</t>
  </si>
  <si>
    <t>IL TRM v8 volume 2 C&amp;I 4.2.16 Kitchen Demand Ventilation Controls. Default value.</t>
  </si>
  <si>
    <t>AnnualHeatingLoad</t>
  </si>
  <si>
    <t>Annual BTU/CFM of outside air per hour needed as make-up for exhaust fan</t>
  </si>
  <si>
    <t>BTU/CFM</t>
  </si>
  <si>
    <t>Climate data (see for source): KitchenVentilationHeatLoad (region)</t>
  </si>
  <si>
    <t>Heating efficiency of the make-up air unit</t>
  </si>
  <si>
    <t>Global variables (see for source): SpaceHeatingEfficiency.CI.NG</t>
  </si>
  <si>
    <t>Conversions</t>
  </si>
  <si>
    <t>Conversion</t>
  </si>
  <si>
    <t>Factor</t>
  </si>
  <si>
    <t>Wh per kWh</t>
  </si>
  <si>
    <t>GJ per kWh</t>
  </si>
  <si>
    <t>m^3 per gal</t>
  </si>
  <si>
    <t>GJ per Therms</t>
  </si>
  <si>
    <t>Commercial Kitchen - Control</t>
  </si>
  <si>
    <t>Valve</t>
  </si>
  <si>
    <t>IL TRM v8 volume 2 C&amp;I 4.2.11 High Efficiency Pre-Rinse Spray Valve</t>
  </si>
  <si>
    <t>ΔkWh_gross = Δm^3_gross * Water.Density.SI * Water.HeatCapacity.SI * (Tout - Tin) * (1/EFF_Elec) * kWh_per_GJ * (1 - ShareNG)</t>
  </si>
  <si>
    <t>ΔGJ_gross = Δm^3_gross * Water.Density.SI * Water.HeatCapacity.SI * (Tout - Tin) * (1/EFF_Gas)</t>
  </si>
  <si>
    <t>Δm^3_gross = AnnualHours * (Flow_Base - Flow_EE) * Minutes_per_Hour * m3_per_Gallon</t>
  </si>
  <si>
    <t>Flow_Base</t>
  </si>
  <si>
    <t>Base case flow in gals per minute, or custom</t>
  </si>
  <si>
    <t>gpm</t>
  </si>
  <si>
    <t>IL TRM v8 volume 2 C&amp;I 4.2.11 High Efficiency Pre-Rinse Spray Valve. Default of 2.14 gpm for existing valves.</t>
  </si>
  <si>
    <t>Flow_EE</t>
  </si>
  <si>
    <t>Efficient case flow in gals per minute or custom</t>
  </si>
  <si>
    <t>IL TRM v8 volume 2 C&amp;I 4.2.11 High Efficiency Pre-Rinse Spray Valve. Default value of 0.98 gpm.</t>
  </si>
  <si>
    <t>AnnualHours</t>
  </si>
  <si>
    <t>Hours per year that the pre-rinse spray valve is used at the site</t>
  </si>
  <si>
    <t>Annual_Hours</t>
  </si>
  <si>
    <t>hours</t>
  </si>
  <si>
    <t>IL TRM v8 volume 2 C&amp;I 4.2.11 High Efficiency Pre-Rinse Spray Valve. Days per year pre-rinse spray valve is used at the site, custom, otherwise 312 days/yr based on assumed 6 days/wk x 52 wk/yr = 312 day/yr.</t>
  </si>
  <si>
    <t>Type of application for measure based on the size of the commercial kitchen</t>
  </si>
  <si>
    <t>Medium-sized casual dining restaurants</t>
  </si>
  <si>
    <t>IL TRM v8 volume 2 C&amp;I 4.2.11 High Efficiency Pre-Rinse Spray Valve.  Options vary by type of restaurant, including small, medium and large institutional restaurants.</t>
  </si>
  <si>
    <t>Percentage of water heated by natural gas</t>
  </si>
  <si>
    <t>TempOutlet</t>
  </si>
  <si>
    <t>Water temperature of the domestic water supply (water heater setpoint)</t>
  </si>
  <si>
    <t>Water temperature of the water supply (from the utility)</t>
  </si>
  <si>
    <t>EFF_Elec</t>
  </si>
  <si>
    <t>Efficiency of electric water heater supplying hot water to pre-rinse spray valve</t>
  </si>
  <si>
    <t>Global variables (see for source): WaterHeatingEfficiency.CI.E</t>
  </si>
  <si>
    <t>EFF_Gas</t>
  </si>
  <si>
    <t>Efficiency of gas water heater supplying hot water to pre-rinse spray valve</t>
  </si>
  <si>
    <t>Global variables (see for source): WaterHeatingEfficiency.CI.NG</t>
  </si>
  <si>
    <t>Type of Application</t>
  </si>
  <si>
    <t>Hours_Day</t>
  </si>
  <si>
    <t>Small, quick- service restaurants</t>
  </si>
  <si>
    <t>Large institutional establishments with cafeteria</t>
  </si>
  <si>
    <t>ft^2 of Conditioned Space</t>
  </si>
  <si>
    <t>IL TRM v8 volume 2 C&amp;I 4.4.19 Demand Controlled Ventilation</t>
  </si>
  <si>
    <t>ΔkWh_gross = ConditionSpace / 1000 * ( SavingsCooling + (1-ShareNG) * ( ShareHeatPump * SavingsHeatPump + (1-ShareHeatPump) * SavingsElectric) )</t>
  </si>
  <si>
    <t>ΔGJ_gross = ConditionSpace / 1000 * SavingsNaturalGas * ShareNG</t>
  </si>
  <si>
    <t>ConditionSpace</t>
  </si>
  <si>
    <t>Actual square footage of conditioned space controlled by sensor</t>
  </si>
  <si>
    <t>Defined by the unit basis: 1 ft^2</t>
  </si>
  <si>
    <t>SavingsCooling</t>
  </si>
  <si>
    <t>Cooling Savings Factor</t>
  </si>
  <si>
    <t>kWh/1,000 ft^2</t>
  </si>
  <si>
    <t>IL TRM v8 page 326 of 1184. Savings factor based on Building Type and Region. See Climate Data tabs. Values for Alberta regions based off of IL TRM v8 value.</t>
  </si>
  <si>
    <t>SavingsHeatPUmp</t>
  </si>
  <si>
    <t>Heating Savings factor for facilities heated by Heat Pump (HP)</t>
  </si>
  <si>
    <t>SavingsElectric</t>
  </si>
  <si>
    <t>Heating Savings factor for facilities heated by Electric Resistance (ER)</t>
  </si>
  <si>
    <t>SavingsNaturalGas</t>
  </si>
  <si>
    <t>Heating Savings Factor</t>
  </si>
  <si>
    <t>GJ/1,000 ft^2</t>
  </si>
  <si>
    <t>Share of heating system fueled by natural gas</t>
  </si>
  <si>
    <t>ShareHeatPump</t>
  </si>
  <si>
    <t>Share of electric heating system that uses heat pumps vs electric resistance</t>
  </si>
  <si>
    <t>Assume that all electric heating is provided using heat pumps.</t>
  </si>
  <si>
    <t>kBTU/hour of Capacity</t>
  </si>
  <si>
    <t>IL TRM v8 volume 2 C&amp;I 4.4.48 Small Commercial Thermostat</t>
  </si>
  <si>
    <t>ΔkWh_gross = (1-ShareNG) * (ElecHeatCapacity * 1/HPSF_Base * EFLH * HeatingReduction + ElecCoolCapacity * 1/SEER_Base * EFLC *CoolingReduction) + ShareNG * ΔGJ_gross * FanEnergyRatio * kWh_per_GJ</t>
  </si>
  <si>
    <t>ΔGJ_gross = ShareNG * (EFLH * NGHeatCapacity * 1/AFUE * HeatingReduction) * GJ_per_kBTU</t>
  </si>
  <si>
    <t>Share of heat provided by natural gas</t>
  </si>
  <si>
    <t>ElecHeatCapacity</t>
  </si>
  <si>
    <t>Capacity of the electric heating equipment in kBTU per hour</t>
  </si>
  <si>
    <t>kBTU/hour</t>
  </si>
  <si>
    <t>Defined by the unit basis: 1 kBTU/hour</t>
  </si>
  <si>
    <t>HPSF_Base</t>
  </si>
  <si>
    <t>Heating Seasonal Performance Factor of the baseline equipment</t>
  </si>
  <si>
    <t>Assume an average of heat pump and electric resistive heating from global variables. Efficiency coverted into units of a HSPF ratio (kWh of numerator is converted intok BTU)</t>
  </si>
  <si>
    <t>Heating mode equivalent full load hours in Existing Buildings</t>
  </si>
  <si>
    <t>Assumed percentage reduction in total building heating energy consumption due to thermostat</t>
  </si>
  <si>
    <t>IL TRM v8 volume 2 C&amp;I 4.4.48 Small Commercial Thermostat. Deemed value of 7.0%.</t>
  </si>
  <si>
    <t>FanEnergyRatio</t>
  </si>
  <si>
    <t>Furnace Fan energy consumption as a percentage of annual fuel consumption</t>
  </si>
  <si>
    <t>ElecCoolCapacity</t>
  </si>
  <si>
    <t>Capacity of the electric cooling equipment actually installed in kBTU/hour</t>
  </si>
  <si>
    <t>Seasonal Energy Efficiency Ratio of the cooling equipment</t>
  </si>
  <si>
    <t>Global variables (see for source): SpaceCoolingEfficiency.CI.E</t>
  </si>
  <si>
    <t>Equivalent Full Load Hours for cooling in Existing Buildings</t>
  </si>
  <si>
    <t>CoolingReduction</t>
  </si>
  <si>
    <t>Assumed average percentage reduction in total building cooling energy consumption due to installation of thermostat</t>
  </si>
  <si>
    <t>IL TRM v8 volume 2 C&amp;I 4.4.48 Small Commercial Thermostat. Deemed value of 8%.</t>
  </si>
  <si>
    <t>NGHeatCapacity</t>
  </si>
  <si>
    <t>Capacity of the natural gas heating equipment actually installed in kBTU/hour</t>
  </si>
  <si>
    <t>Annual Fuel Utilization Efficiency Rating</t>
  </si>
  <si>
    <t>Therms per BTU</t>
  </si>
  <si>
    <t>kWh_per_therm</t>
  </si>
  <si>
    <t>Energy Efficiency of Heat Pumps/AC by Type and Size</t>
  </si>
  <si>
    <t>EER_Base</t>
  </si>
  <si>
    <t>Compliance date</t>
  </si>
  <si>
    <t>Small Commercial Packaged Air Conditioning and Heating Equipment (Air-Cooled), Electric Resistance Heating or No Heating</t>
  </si>
  <si>
    <t>Ratio = IEER</t>
  </si>
  <si>
    <t>IL TRM v8 volume 2 C&amp;I 4.4.15 Single-Package and Split System Unitary Air Conditioners</t>
  </si>
  <si>
    <t>Small Commercial Packaged Air Conditioning and Heating Equipment (Air-Cooled), All Other Types of Heating</t>
  </si>
  <si>
    <t>Large Commercial Packaged Air Conditioning and Heating Equipment (Air-Cooled), Electric Resistance Heating or No Heating</t>
  </si>
  <si>
    <t>Large Commercial Packaged Air Conditioning and Heating Equipment (Air-Cooled), All Other Types of Heating</t>
  </si>
  <si>
    <t>Very Large Commercial Packaged Air Conditioning and Heating Equipment (Air-Cooled), Electric Resistance Heating or No Heating</t>
  </si>
  <si>
    <t>Very Large Commercial Packaged Air Conditioning and Heating Equipment (Air-Cooled), All Other Types of Heating</t>
  </si>
  <si>
    <t>Small Commercial Package Air- Conditioning and Heating Equipment (Air-Cooled, 3-Phase, Split-System)</t>
  </si>
  <si>
    <t>Ratio = SEER</t>
  </si>
  <si>
    <t>Ton of Chiller</t>
  </si>
  <si>
    <t>IL TRM v8 volume 2 C&amp;I 4.4.6 Electric Chiller</t>
  </si>
  <si>
    <t>ΔkWh_gross = Capacity * (Efficiency_Base – Efficiency_EE) * EFLC</t>
  </si>
  <si>
    <t>Defined by the unit basis: 1 Ton (Imperial)</t>
  </si>
  <si>
    <t>Efficiency_Base</t>
  </si>
  <si>
    <t>Energy Efficiency Ratio of baseline unit</t>
  </si>
  <si>
    <t>EER</t>
  </si>
  <si>
    <t>Efficiency_EE</t>
  </si>
  <si>
    <t>Energy Efficiency Ratio of efficient unit</t>
  </si>
  <si>
    <t>EquipmentType</t>
  </si>
  <si>
    <t>Equipment by size and efficiency from lookup</t>
  </si>
  <si>
    <t>150 ton, 9.9 EER</t>
  </si>
  <si>
    <t>SEER_per_COP</t>
  </si>
  <si>
    <t>SEER / COP</t>
  </si>
  <si>
    <t>Capacity, EER and Incremental Cost per Efficient Type</t>
  </si>
  <si>
    <t>50 ton, 9.9 EER</t>
  </si>
  <si>
    <t>100 ton, 9.9 EER</t>
  </si>
  <si>
    <t>200 ton, 9.9 EER</t>
  </si>
  <si>
    <t>400 ton, 9.9 EER</t>
  </si>
  <si>
    <t>50 ton, 10.2 EER</t>
  </si>
  <si>
    <t>100 ton, 10.2 EER</t>
  </si>
  <si>
    <t>150 ton, 10.2 EER</t>
  </si>
  <si>
    <t>200 ton, 10.2 EER</t>
  </si>
  <si>
    <t>400 ton, 10.2 EER</t>
  </si>
  <si>
    <t>50 ton, 10.52 EER</t>
  </si>
  <si>
    <t>100 ton, 10.52 EER</t>
  </si>
  <si>
    <t>150 ton, 10.52 EER</t>
  </si>
  <si>
    <t>200 ton, 10.52 EER</t>
  </si>
  <si>
    <t>400 ton, 10.52 EER</t>
  </si>
  <si>
    <t>50 ton, 10.7 EER</t>
  </si>
  <si>
    <t>100 ton, 10.7 EER</t>
  </si>
  <si>
    <t>150 ton, 10.7 EER</t>
  </si>
  <si>
    <t>200 ton, 10.7 EER</t>
  </si>
  <si>
    <t>400 ton, 10.7 EER</t>
  </si>
  <si>
    <t>ΔkWh_gross = (Capacity * kBTU/hour per Ton) * [(1/IEERbase) – (1/IEERee)] * EFLH</t>
  </si>
  <si>
    <t>Capacity of the cooling equipment in tons per hour</t>
  </si>
  <si>
    <t>Energy Efficiency Ratio of the baseline equipment (type of ratio defined in lookup table)</t>
  </si>
  <si>
    <t>IL TRM v8 volume 2 C&amp;I 4.4.15 Single-Package and Split System Unitary Air Conditioners. The value 13 is used in the example for IL TRM v8.</t>
  </si>
  <si>
    <t>EER_EE</t>
  </si>
  <si>
    <t>Energy Efficiency Ratio of the energy efficient equipment (ratio matches type of base)</t>
  </si>
  <si>
    <t>IL TRM v8 volume 2 C&amp;I 4.4.15 Single-Package and Split System Unitary Air Conditioners. The value 15 is used in the example for IL TRM v8.</t>
  </si>
  <si>
    <t>Equivalent Full Load Hours for cooling</t>
  </si>
  <si>
    <t>Equipment type of AC unit</t>
  </si>
  <si>
    <t>Typical package chosen on the basis of typical IEER (efficiency ratio).</t>
  </si>
  <si>
    <t>kBtuh_per_ton</t>
  </si>
  <si>
    <t>Btuh / ton</t>
  </si>
  <si>
    <t xml:space="preserve">IL TRM v8 volume 2 C&amp;I 4.4.15 Single-Package and Split System Unitary Air Conditioners. </t>
  </si>
  <si>
    <t>IL TRM v8 volume 2 C&amp;I 4.4.10 High Efficiency Boiler</t>
  </si>
  <si>
    <t>ΔGJ_gross = (Capacity * EFLH * (EFF_EE - Eff_Base)/Eff_Base *  GJ_per_BTU</t>
  </si>
  <si>
    <t xml:space="preserve">Nominal rating of the input capacity of the boiler </t>
  </si>
  <si>
    <t>Equivalent full load hour</t>
  </si>
  <si>
    <t>Baseline efficiency</t>
  </si>
  <si>
    <t>Baseline Efficiency</t>
  </si>
  <si>
    <t>MN TRM 3.0 Commercial HVAC - Boilers Space Heating Only. Table 2. Efficiency of the baseline boiler.</t>
  </si>
  <si>
    <t>Efficiency of the new high-efficiency boiler at actual operating conditions</t>
  </si>
  <si>
    <t>EE Efficiency</t>
  </si>
  <si>
    <t>ENERGY STAR certified boilers are at least 87% efficient. The majority are 95% or greater.</t>
  </si>
  <si>
    <t>Type</t>
  </si>
  <si>
    <t>Type of boiler (medium and output)</t>
  </si>
  <si>
    <t>Steam (except natural draft) &gt; 2,500 MBH</t>
  </si>
  <si>
    <t>User input based on the desired product.</t>
  </si>
  <si>
    <t>Steam, &lt; 300 MBH</t>
  </si>
  <si>
    <t>Steam (except natural draft), 300-2,500 MBH</t>
  </si>
  <si>
    <t>Steam (natural draft) 300-2,500 MBH</t>
  </si>
  <si>
    <t>Steam, natural draft, &gt; 2,500 MBH</t>
  </si>
  <si>
    <t>Hot Water, &lt; 300 MBH</t>
  </si>
  <si>
    <t>MN TRM V 2.1, Commercial HVAC, Boilers, Space Heating Only, Page 353. Cost in USD, sourced from ICF. Labour is 30% approx. of EE cost.</t>
  </si>
  <si>
    <t>Hot Water, 300-2,500 MBH</t>
  </si>
  <si>
    <t>Hot Water, &gt; 2,500 MBH</t>
  </si>
  <si>
    <t>MN TRM v3.0 page 343 of 672.</t>
  </si>
  <si>
    <t>ΔGJ_gross = (Capacity * LoadFactor * EFLH * Eff_EE * (1 / Eff_Base - 1 / Eff_EE) * GJ_per_BTU</t>
  </si>
  <si>
    <t>MN TRM v3.0, Commercial HVAC - Condensing Unit Heaters; pg 343</t>
  </si>
  <si>
    <t>LoadFactor</t>
  </si>
  <si>
    <t>Average loading of the unit heater</t>
  </si>
  <si>
    <t>MN TRM v3.0 Commercial HVAC - Condensing Unit Heaters. Load factor assumed to be 0.77 (Focus on Energy Evaluation, Business Programs: Deemed Savings Manual V1.0, March 22, 2010. This factor implies that heating systems are 30% oversized on average.)</t>
  </si>
  <si>
    <t>Baseline equipment thermal efficiency</t>
  </si>
  <si>
    <t>MN TRM v3.0 Commercial HVAC - Condensing Unit Heaters. Efficiency of the baseline is 80% (ASHRAE 90.1 2007, Heating, Ventilating, and Air Conditioning, Table 6.8.1E)</t>
  </si>
  <si>
    <t>Energy efficient equipment thermal efficiency</t>
  </si>
  <si>
    <t>IL TRM v8 volume 2 C&amp;I 4.4.5 Condensing Unit Heaters. Definition of equipment is defined for 90%.</t>
  </si>
  <si>
    <t>BTUh_per_Dth</t>
  </si>
  <si>
    <t>IL TRM v8 volume 2 C&amp;I 4.4.34 Destratification Fan</t>
  </si>
  <si>
    <t>ΔkWh_gross =  (1-ShareNG) * (TempGradient * CeilingHeight + TempFloor - TempRoof_EE ) * ( CeilingArea / RoofR ) * EFLH / ElectricHeatEff * kWh_per_BTU</t>
  </si>
  <si>
    <t>ΔGJ_gross = ShareNG * (TempGradient * CeilingHeight + TempFloor - TempRoof_EE ) * ( CeilingArea / RoofR ) * EFLH / AFUE * GJ_per_BTU</t>
  </si>
  <si>
    <t>ΔkWh_interactive = - (FanPower * NumberOfFans * HOURS)</t>
  </si>
  <si>
    <t>RoofR</t>
  </si>
  <si>
    <t>Thermal resistance through roof (R-value)</t>
  </si>
  <si>
    <t>R-value (Imp.)</t>
  </si>
  <si>
    <t>IL TRM v8 Volume 2: C&amp;I: Destratification Fan. Default R-value for retrofit.</t>
  </si>
  <si>
    <t>CeilingArea</t>
  </si>
  <si>
    <t>Ceiling area of the conditioned space</t>
  </si>
  <si>
    <t>TempGradient</t>
  </si>
  <si>
    <t>Temperature gained per feet of ceiling height</t>
  </si>
  <si>
    <t>°F/ft</t>
  </si>
  <si>
    <t>IL TRM v8 Volume 2: C&amp;I: Destratification Fan.  Default gradient</t>
  </si>
  <si>
    <t>CeilingHeight</t>
  </si>
  <si>
    <t>Height of the ceiling in the space</t>
  </si>
  <si>
    <t>ft</t>
  </si>
  <si>
    <t xml:space="preserve">Assumed. Typical height of warehouse ceiling. </t>
  </si>
  <si>
    <t>ThermostatTemp</t>
  </si>
  <si>
    <t>Thermostat Setpoint</t>
  </si>
  <si>
    <t>From global variables, and used to calculate floor and ceiling temperatures</t>
  </si>
  <si>
    <t>Thermal efficiency of heating equipment</t>
  </si>
  <si>
    <t>TempFloor</t>
  </si>
  <si>
    <t>Temperature of floor, an offset from Thermostat setpoint temperature</t>
  </si>
  <si>
    <t>IL TRM v8 Volume 2: C&amp;I: Destratification Fan. Calculated using -4 °F offset from thermostat setpoint temperature.</t>
  </si>
  <si>
    <t>TempRoof</t>
  </si>
  <si>
    <t>Temperature of roof after installation of destratification fans</t>
  </si>
  <si>
    <t>IL TRM v8 Volume 2: C&amp;I: Destratification Fan. Calculated using +1 °F offset from thermostat setpoint temperature.</t>
  </si>
  <si>
    <t>ElectricHeatEff</t>
  </si>
  <si>
    <t>Efficiency of electric heating equipment</t>
  </si>
  <si>
    <t>Global variables (see for source): SpaceHeatingEfficiency.CI.E</t>
  </si>
  <si>
    <t>Share of natural gas used for heating</t>
  </si>
  <si>
    <t>R-value (imp) per RSI</t>
  </si>
  <si>
    <t>R-value (imperial) per RSI units. The RSI unit is expressed in terms of "K⋅m2/W"</t>
  </si>
  <si>
    <t>K_per_F</t>
  </si>
  <si>
    <t>K / F</t>
  </si>
  <si>
    <t>Kelvin per Fahrenheit</t>
  </si>
  <si>
    <t>m2_per_ft2</t>
  </si>
  <si>
    <t>m^2 / ft^2</t>
  </si>
  <si>
    <t>USD to CAD</t>
  </si>
  <si>
    <t>CAD / USD</t>
  </si>
  <si>
    <t>https://www.bankofcanada.ca/rates/exchange/annual-average-exchange-rates/</t>
  </si>
  <si>
    <t>Incremental Cost (USD) Table</t>
  </si>
  <si>
    <t>Diameter (ft)</t>
  </si>
  <si>
    <t>14-ft fan diameter</t>
  </si>
  <si>
    <t>16-ft fan diameter</t>
  </si>
  <si>
    <t>18-ft fan diameter</t>
  </si>
  <si>
    <t>20-ft fan diameter</t>
  </si>
  <si>
    <t>22-ft fan diameter</t>
  </si>
  <si>
    <t>24-ft fan diameter</t>
  </si>
  <si>
    <t>kBTU/hour of Heating and Cooling</t>
  </si>
  <si>
    <t>IL TRM v8 volume 2 C&amp;I 4.4.9 Air and Water Source Heat Pump Systems</t>
  </si>
  <si>
    <t xml:space="preserve">ΔkWh_gross = CapacityCooling * (1 / CE_Base – 1 / CE_EE) * EFLC + CapacityHeating / BTU_per_Wh * (1 / COP_Base – 1 / COP_EE) * EFLH </t>
  </si>
  <si>
    <t>CE_Base</t>
  </si>
  <si>
    <t xml:space="preserve">Seasonal energy efficiency ratio (SEER) for cooling of the baseline equipment </t>
  </si>
  <si>
    <t>BTU/Wh</t>
  </si>
  <si>
    <t>Global variables (see for source): SpaceCoolingEfficiency.CI.SEER</t>
  </si>
  <si>
    <t>CE_EE</t>
  </si>
  <si>
    <t xml:space="preserve">Seasonal energy efficiency ratio (SEER) for cooling of the energy efficient equipment </t>
  </si>
  <si>
    <t>IL TRM v8 volume 2 C&amp;I 4.4.9 Air and Water Source Heat Pump Systems. Default value of 16 is used.</t>
  </si>
  <si>
    <t>COP_Base</t>
  </si>
  <si>
    <t>Coefficient of performance (COP) of the baseline equipment for heating</t>
  </si>
  <si>
    <t>Global variables (see for source): SpaceHeatingEfficiency.CI.COP</t>
  </si>
  <si>
    <t>COP_EE</t>
  </si>
  <si>
    <t>Coefficient of performance (COP) of the energy efficient equipment for heating</t>
  </si>
  <si>
    <t>IL TRM v7 Air and Water Source Heat Pump Systems page 225 of 1092. Use actual installed values . If rating is HSPF, COP = HSPF / BTU_per_Wh. The value 9.5 is used in the example for IL TRM v7 Air and Water Source Heat Pump Systems page 231 of 1092.</t>
  </si>
  <si>
    <t>Equivalent full load hours for heating</t>
  </si>
  <si>
    <t>IL TRM v7 Air and Water Source Heat Pump Systems page 224 of 1092. Heating mode equivalent full load hours are provided in section 4.4 HVAC End Use. The value 1354 is used in the example for IL TRM v7 Air and Water Source Heat Pump Systems page 231 of 1092.</t>
  </si>
  <si>
    <t>Capacity of the heating equipment in kBTU per hour</t>
  </si>
  <si>
    <t>HeatPump</t>
  </si>
  <si>
    <t>Efficient Heat Pumps by Type and Size</t>
  </si>
  <si>
    <t>Water source, packaged (≥65,000 BTU/h and
&lt;135,000BTU/h)</t>
  </si>
  <si>
    <t xml:space="preserve">IL TRM v7 Air and Water Source Heat Pump Systems page 225 of 1092. </t>
  </si>
  <si>
    <t>Capacity of the cooling equipment in kBTU per hour</t>
  </si>
  <si>
    <t>Defined by the unit basis: 1,000 BTU/hour (set to capacity of heating as default)</t>
  </si>
  <si>
    <t>Cooling Efficiency Unit</t>
  </si>
  <si>
    <t>Heating Efficiency Unit</t>
  </si>
  <si>
    <t>Air source, packaged (≥65,000 BTU/h and &lt;135,000 BTU/h)</t>
  </si>
  <si>
    <t>IEER</t>
  </si>
  <si>
    <t>Air source, packaged (≥135,000 BTU/h and &lt;240,000 BTU/h)</t>
  </si>
  <si>
    <t>Air source, packaged (≥240,000 BTU/h and &lt;760,000 BTU/h)</t>
  </si>
  <si>
    <t>Air source, split-system (&lt;65,000 BTU/h)</t>
  </si>
  <si>
    <t>Air source, packaged (&lt;65,000BTU/h)</t>
  </si>
  <si>
    <t>Water source, packaged (&lt;17,000 BTU/h)</t>
  </si>
  <si>
    <t>Water source, packaged (≥17,000 BTU/h and &lt;65,000 BTU/h)</t>
  </si>
  <si>
    <t>Water source, packaged (≥65,000 BTU/h and &lt;135,000BTU/h)</t>
  </si>
  <si>
    <t>IL TRM v8 volume 2 C&amp;I 4.4.11 High efficiency furnace. Existing equipment is assumed 5.5. years.</t>
  </si>
  <si>
    <t>ΔGJ_total = EFLH * Capacity * (AFUE_EE - AFUE_Base) / AFUE_Base * Therm per BTU * GJ per Therm</t>
  </si>
  <si>
    <t>IL TRM v8 volume 2 C&amp;I 4.4.11 High efficiency furnace. Minimum efficiency for upgraded natural gas furnace.</t>
  </si>
  <si>
    <t>Nominal Heating Input Capacity Furnace Size for efficient unit not
existing unit</t>
  </si>
  <si>
    <t>IL TRM v8 volume 2 C&amp;I 4.4.11 High efficiency furnace. Default value assumed.</t>
  </si>
  <si>
    <t>Small Commercial Furnace by AFUE</t>
  </si>
  <si>
    <t>IL TRM v8 volume 2 C&amp;I 4.4.11 High efficiency furnace</t>
  </si>
  <si>
    <t>This measure analyzes the heating and cooling savings
potential from recovering energy from exhaust or relief building air. This measure assumes that during unoccupied
hours of the building no exhaust or relief air is available for energy recovery.</t>
  </si>
  <si>
    <t>CFM of Ventilation</t>
  </si>
  <si>
    <t xml:space="preserve">IL TRM v8 volume 2 C&amp;I 4.4.27 Energy Recovery Ventilator </t>
  </si>
  <si>
    <t>ΔkWh_gross = AirFlow * (1 - AirTransferRatio) * ElectricSavingsRatioNorm</t>
  </si>
  <si>
    <t>IL TRM v8 volume 2 C&amp;I 4.4.27 Energy Recovery Ventilator.</t>
  </si>
  <si>
    <t>ΔGJ_total = (TempReturnAir - TempOutsideAir) / DeltaC_per_Delta_F * SensibleHeatEquationConstant *  AirFlow_CFM * (1 - AirTransferRatio) * ThermalEffectiveness * EFLH * DailyOccupancyHours / 24 / AFUE * GJ_per_BTU</t>
  </si>
  <si>
    <t>ElectricSavingsNorm</t>
  </si>
  <si>
    <t>Electric savings achieved during cooling days normalized to airflow</t>
  </si>
  <si>
    <t>kWh / CFM</t>
  </si>
  <si>
    <t>IL TRM v8 volume 2 C&amp;I 4.4.27 Energy Recovery Ventilator. See lookup tables in this measure protocol for additional source information.</t>
  </si>
  <si>
    <t>AirFlow</t>
  </si>
  <si>
    <t>Air flow to which heat is supplied</t>
  </si>
  <si>
    <t>CFM</t>
  </si>
  <si>
    <t>Defined by the unit basis: 1 CFM</t>
  </si>
  <si>
    <t>AirTransferRatio</t>
  </si>
  <si>
    <t>Percentage of supply air made up of cross-leakage from exhaust air</t>
  </si>
  <si>
    <t>IL TRM v8 volume 2 C&amp;I 4.4.27 Energy Recovery Ventilator. Default assumed cross-leakage percentage from exhaust air</t>
  </si>
  <si>
    <t>ThermalEffectiveness</t>
  </si>
  <si>
    <t>The thermal effectiveness of energy recovery</t>
  </si>
  <si>
    <t>Thermal Effectiveness</t>
  </si>
  <si>
    <t>IL TRM v8 volume 2 C&amp;I 4.4.27 Energy Recovery Ventilator. Based on type of device.</t>
  </si>
  <si>
    <t>TempReturnAir</t>
  </si>
  <si>
    <t>Temperature of return air to building</t>
  </si>
  <si>
    <t>Global variables (see for source): Air.T.Indoor.SI</t>
  </si>
  <si>
    <t>TemOutsideAir</t>
  </si>
  <si>
    <t>Temperature of outside air on design day</t>
  </si>
  <si>
    <t>COLD_AIR</t>
  </si>
  <si>
    <t>Climate data (see for source): COLD_AIR (region)</t>
  </si>
  <si>
    <t>DailyOccupancyHours</t>
  </si>
  <si>
    <t>Average hours per day that the facility is occupied</t>
  </si>
  <si>
    <t>OPERATING_HOURS</t>
  </si>
  <si>
    <t>Climate data (see for source): EFLH (building type, region). Converted to hours per day.</t>
  </si>
  <si>
    <t>Efficiency of heating system</t>
  </si>
  <si>
    <t>ERV_Type</t>
  </si>
  <si>
    <t>Type of ERV selected</t>
  </si>
  <si>
    <t>Rotary wheel</t>
  </si>
  <si>
    <t>Use default of ratoary wheel. Enthalpy plate results in similar savings.</t>
  </si>
  <si>
    <t>ElectricSavingsBuildingType</t>
  </si>
  <si>
    <t>Building type used for the elctricity savings lookup tables</t>
  </si>
  <si>
    <t>Use one of the building types listed in the Electric Savings Normalized lookup table if the selected BuildingType is listed. If not, use the Other building type.</t>
  </si>
  <si>
    <t>YYC_per_Rockford_IL_CDD</t>
  </si>
  <si>
    <t>YEG_per_Rockford_IL_CDD</t>
  </si>
  <si>
    <t>Sensible_heat_equation</t>
  </si>
  <si>
    <t>BTU/h/CFM.°F</t>
  </si>
  <si>
    <t>Constant used in the sensible heat equations (BTU/h/CFM.°F)</t>
  </si>
  <si>
    <t>Energy Recovery Equipment, Thermal Effectiveness and Cost</t>
  </si>
  <si>
    <t>Incremental Cost per CFM</t>
  </si>
  <si>
    <t>Plate heat exchanger</t>
  </si>
  <si>
    <t>IL TRM v8 volume 2 C&amp;I 4.4.27 Energy Recovery Ventilator</t>
  </si>
  <si>
    <t>Heat pipe</t>
  </si>
  <si>
    <t>Enthalpy Wheel, Normalized Electric Savings per Air Flow (kWh per CFM)</t>
  </si>
  <si>
    <t>Calgary Area</t>
  </si>
  <si>
    <t>Edmonton Area</t>
  </si>
  <si>
    <t>Rockford</t>
  </si>
  <si>
    <t>Stock</t>
  </si>
  <si>
    <t>Healthcare clinic</t>
  </si>
  <si>
    <t>Accommodation - units</t>
  </si>
  <si>
    <t>Apartment - unknown type</t>
  </si>
  <si>
    <t>Hospital</t>
  </si>
  <si>
    <t>Office - low-rise</t>
  </si>
  <si>
    <t>Office - mid-rise</t>
  </si>
  <si>
    <t>Office - high-rise</t>
  </si>
  <si>
    <t>Retail - food</t>
  </si>
  <si>
    <t>Retail - department store</t>
  </si>
  <si>
    <t>Retail - strip mall</t>
  </si>
  <si>
    <t>University or college</t>
  </si>
  <si>
    <t>School - primary</t>
  </si>
  <si>
    <t>School - secondary</t>
  </si>
  <si>
    <t>Enthalpy Plate, Normalized Electric Savings per Air Flow (kWh per CFM)</t>
  </si>
  <si>
    <t>IL TRM v8 volume 2 C&amp;I 4.4.37 Unitary HVAC Condensing Furnace</t>
  </si>
  <si>
    <t>ΔGJ_total = HeatLoadPerCFM * CFM * (1/AFUE__Base - 1/AFUE_EE) * GJ_per_BTU</t>
  </si>
  <si>
    <t>IL TRM v8</t>
  </si>
  <si>
    <t>ΔkWh_interactive = - (FanRuntime * CFM * PressureChange ) / (MotorEfficiency * ConversionFactor)</t>
  </si>
  <si>
    <t>HeatLoadPerCFM</t>
  </si>
  <si>
    <t>Hounal heating load per CFM of outside air based on selected supply air temperature</t>
  </si>
  <si>
    <t>Climate data (see for source): HeatLoadCFM (region)</t>
  </si>
  <si>
    <t>Baseline thermal efficiency of make-up air unit</t>
  </si>
  <si>
    <t>Efficient equipment thermal efficiency of make-up air unit</t>
  </si>
  <si>
    <t>IL TRM v8 volume 2 C&amp;I 4.4.37 Unitary HVAC Condensing Furnace. Use high-efficiency (AFUE) for natural gas furnaces.</t>
  </si>
  <si>
    <t>Flow rate requirement for outside air</t>
  </si>
  <si>
    <t>RuntimePercent</t>
  </si>
  <si>
    <t>Percent of year that the fan is running</t>
  </si>
  <si>
    <t>Closest match to percentage share of operating hours.</t>
  </si>
  <si>
    <t>FanRuntime</t>
  </si>
  <si>
    <t>Annual runtime of fan (hours)</t>
  </si>
  <si>
    <t>Runtime hours determined by multiplying % of annual hours by 8,760 hours in a year.</t>
  </si>
  <si>
    <t>PressureChange</t>
  </si>
  <si>
    <t>Incremental pressure drop</t>
  </si>
  <si>
    <t>inch W.G.</t>
  </si>
  <si>
    <t>IL TRM v8 volume 2 C&amp;I 4.4.37 Unitary HVAC Condensing Furnace. Assume 0.15 if actual value not known.</t>
  </si>
  <si>
    <t>MotorEfficiency</t>
  </si>
  <si>
    <t>Efficiency of the fan motor</t>
  </si>
  <si>
    <t>IL TRM v8 volume 2 C&amp;I 4.4.37 Unitary HVAC Condensing Furnace. Assume 0.60 if actual value not known.</t>
  </si>
  <si>
    <t>ConversionFactor</t>
  </si>
  <si>
    <t>Conversion factor (fan Horsepower conversion: 6356/ 0.746 = 8520)</t>
  </si>
  <si>
    <t>#</t>
  </si>
  <si>
    <t>IL TRM v8 volume 2 C&amp;I 4.4.37 Unitary HVAC Condensing Furnace. Equation conversion factor.</t>
  </si>
  <si>
    <t>SupplyAirTemp</t>
  </si>
  <si>
    <t>Air temperature of the desired supply air</t>
  </si>
  <si>
    <t>29 °C</t>
  </si>
  <si>
    <t>IL TRM v8 volume 2 C&amp;I 4.4.37 Unitary HVAC Condensing Furnace. Use 29 °C default.</t>
  </si>
  <si>
    <t>RuntimeByBuilding</t>
  </si>
  <si>
    <t>Runtime hours from Building Data (pre-defined for each building type)</t>
  </si>
  <si>
    <t>PERCENT_HOURS</t>
  </si>
  <si>
    <t>Percent of 8,760 hours year-round operating schedule from global variables.</t>
  </si>
  <si>
    <t>HeatLoadFraction</t>
  </si>
  <si>
    <t>Percent of full heat load based on fan runtime estimate</t>
  </si>
  <si>
    <t>% of Load</t>
  </si>
  <si>
    <t>Percent of full load based on lookup table. Heat Load and Operating Hours percentages are not linearly related. A lookuptable is needed to match Operating Hours % to Heat Load %.</t>
  </si>
  <si>
    <t>% of Load (BTU/CFM) per % of Annual Operating Hours of Supply Air Fan</t>
  </si>
  <si>
    <t>IL TRM v8 volume 2 C&amp;I 4.4.37 Unitary HVAC Condensing Furnace. Derived from tables 3-14.</t>
  </si>
  <si>
    <t>% hours</t>
  </si>
  <si>
    <t>% load</t>
  </si>
  <si>
    <t>Motors and drives</t>
  </si>
  <si>
    <t>Horsepower of Motor</t>
  </si>
  <si>
    <t>IL TRM v8 volume 2 C&amp;I 4.4.26 Variable Speed Drives for HVAC Supply and Return Fans</t>
  </si>
  <si>
    <t>Only for variable speed drives installed for HVAC pumps and cooling tower fan application are eligible. The motor capacity maximum is 100 horsepower, and the annual operating hours of motors must be at least 2,000 hours per year. Variable speed drives installed for HVAC pumps and cooling tower fans are not eligible. Constant torque or installation on fans with forward curved inlet guide vanes is also not eligible.</t>
  </si>
  <si>
    <t>Currently not being used in the calculation. Alternatively, the type may influence the hours of use instead of application of the motor itself.</t>
  </si>
  <si>
    <t>ΔkWh_gross = DesignLoadFactor * kW_per_HP * Horsepower / MotorEfficiency * (LFRatio_Base - LFRatio_EE) * (1 + InteractiveEffect) * OperatingHours</t>
  </si>
  <si>
    <t>Motor efficiency assumed</t>
  </si>
  <si>
    <t>IL TRM v8 volume 2 C&amp;I 4.4.26 Variable Speed Drives for HVAC Supply and Return Fans. 93% assumed</t>
  </si>
  <si>
    <t>Horsepower</t>
  </si>
  <si>
    <t>Horsepower of motor</t>
  </si>
  <si>
    <t>OperatingHours</t>
  </si>
  <si>
    <t>Annual operating hours</t>
  </si>
  <si>
    <t>FAN_DRIVE</t>
  </si>
  <si>
    <t>Building data (see for source): FAN_DRIVE (building type)</t>
  </si>
  <si>
    <t>LFRatio_EE</t>
  </si>
  <si>
    <t>Load Factor with VSD installed</t>
  </si>
  <si>
    <t>Ratio</t>
  </si>
  <si>
    <t>LFRatio_Base</t>
  </si>
  <si>
    <t>Load Factor in baseline case</t>
  </si>
  <si>
    <t>Application_EE</t>
  </si>
  <si>
    <t>Retrofit type of flow control used for fan</t>
  </si>
  <si>
    <t>Outlet Damper, FC Fans</t>
  </si>
  <si>
    <t>Selected type from drop-down.</t>
  </si>
  <si>
    <t>Application_Base</t>
  </si>
  <si>
    <t>Baseline type of flow control used for fan</t>
  </si>
  <si>
    <t>No Control or Bypass Damper</t>
  </si>
  <si>
    <t>DesignLoadFactor</t>
  </si>
  <si>
    <t>Load factor of motor at design flow rate</t>
  </si>
  <si>
    <t>IL TRM v8 volume 2 C&amp;I 4.4.26 Variable Speed Drives for HVAC Supply and Return Fans. Default is 65%.</t>
  </si>
  <si>
    <t>InteractiveEffect</t>
  </si>
  <si>
    <t>Interactive effect of the HVAC system</t>
  </si>
  <si>
    <t>IL TRM v8 volume 2 C&amp;I 4.4.26 Variable Speed Drives for HVAC Supply and Return Fans. Defaults is 15.7%</t>
  </si>
  <si>
    <t>kWh_per_HP</t>
  </si>
  <si>
    <t>kW / HP</t>
  </si>
  <si>
    <t>Partial Load Ratio per Control Type for Default Distribution of Flow</t>
  </si>
  <si>
    <t>Discharge Dampers</t>
  </si>
  <si>
    <t>Outlet Damper, BI &amp; Airfoil Fans</t>
  </si>
  <si>
    <t>Inlet Damper Box</t>
  </si>
  <si>
    <t>Inlet Guide Vane, BI &amp; Airfoil Fans</t>
  </si>
  <si>
    <t>Inlet Vane Dampers</t>
  </si>
  <si>
    <t>Eddy Current Drives</t>
  </si>
  <si>
    <t>Inlet Guide Vane, FC Fans</t>
  </si>
  <si>
    <t>VFD with duct static pressure controls</t>
  </si>
  <si>
    <t>VFD with low/no duct static pressure</t>
  </si>
  <si>
    <t>Motor Efficiency by Horsepower</t>
  </si>
  <si>
    <t>Averages used, from tab 'Motors'. IL TRM v8 volume 2 C&amp;I 4.4.26 Variable Speed Drives for HVAC Supply and Return Fans. Douglass, J. (2005). Induction Motor Efficiency Standards. Washington State University and the Northwest Energy Efficiency Alliance, Extension Energy Program, Olympia, WA, October 2005.</t>
  </si>
  <si>
    <t>IL TRM v8 volume 2 C&amp;I 4.4.17 Variable Speed Drives for HVAC Pumps and Cooling Tower</t>
  </si>
  <si>
    <t>ΔkWh_gross = (kW_per_HP * HP * LoadFactor / MotorEfficiency) * OperatingHours * ESF</t>
  </si>
  <si>
    <t>IL TRM v8 volume 2 C&amp;I 4.4.17 Variable Speed Drives for HVAC Pumps and Cooling Tower.</t>
  </si>
  <si>
    <t>Motor load factor at the pump or fan design flow rate</t>
  </si>
  <si>
    <t>IL TRM v8 volume 2 C&amp;I 4.4.17 Variable Speed Drives for HVAC Pumps and Cooling Tower. Assumd 65% for calculating kW.</t>
  </si>
  <si>
    <t>Efficiency of motor</t>
  </si>
  <si>
    <t>COOLING_DRIVE</t>
  </si>
  <si>
    <t>Building data (see for source): COOLING_DRIVE (building type)</t>
  </si>
  <si>
    <t>Energy Savings Factor</t>
  </si>
  <si>
    <t>Rated Motor Horsepower</t>
  </si>
  <si>
    <t>ΔkWh_gross = Horsepower * LoadFactor / MotorEfficiency * OperatingHours * ESF * kW_per_HP</t>
  </si>
  <si>
    <t xml:space="preserve">IL TRM v8 volume 2 C&amp;I 4.4.17 Variable Speed Drives for HVAC Pumps and Cooling Tower. Motors are assumed to have a load factor of 65% for calculating kW if actual values cannot be determined. </t>
  </si>
  <si>
    <t>IL TRM v8 volume 2 C&amp;I 4.4.17 Variable Speed Drives for HVAC Pumps and Cooling Tower. Assumed 93%.</t>
  </si>
  <si>
    <t>HEATING_DRIVE</t>
  </si>
  <si>
    <t>Building data (see for source): HEATING_DRIVE (building type)</t>
  </si>
  <si>
    <t>IL TRM v8 volume 2 C&amp;I 4.4.17 Variable Speed Drives for HVAC Pumps and Cooling Tower. Example uses 57.18%.</t>
  </si>
  <si>
    <t>kW_per_HP</t>
  </si>
  <si>
    <t xml:space="preserve">Conversion from HP to kW. MN TRM v3 C/I HVAC - Variable Speed Drives, page 323 of 672. </t>
  </si>
  <si>
    <t>IL TRM v8 volume 2 C&amp;I 4.4.17 Variable Speed Drives for HVAC Pumps and Cooling Tower. Example in MN TRM v3 uses 57.18%.</t>
  </si>
  <si>
    <t>IL TRM v8 volume 2 C&amp;I 4.4.24 Small Pipe Insulation</t>
  </si>
  <si>
    <t>R_Base</t>
  </si>
  <si>
    <t>Existing pipe insulation (1 if none)</t>
  </si>
  <si>
    <t>(hr-°F-ft^2)
/ (BTU * in)</t>
  </si>
  <si>
    <t>Pipe heat loss coefficient of uninsulated pipe</t>
  </si>
  <si>
    <t>R_EE</t>
  </si>
  <si>
    <t>New pipe insulation</t>
  </si>
  <si>
    <t>IL TRM v7 volume 2: C&amp;I Pipe Insulation table of conductivity values (resistance = 1/conductivity)</t>
  </si>
  <si>
    <t>PipeDiameter</t>
  </si>
  <si>
    <t>Diameter of the pipe</t>
  </si>
  <si>
    <t>inch</t>
  </si>
  <si>
    <t>DeltaT</t>
  </si>
  <si>
    <t>Temperature difference between fluid in pipe (typ. water) and surrounding air.</t>
  </si>
  <si>
    <t>Assumed difference for typical building and hot water</t>
  </si>
  <si>
    <t>PipeFeet</t>
  </si>
  <si>
    <t>Foot of pipe being insulated</t>
  </si>
  <si>
    <t>Efficiency of heating equipment</t>
  </si>
  <si>
    <t>Hours of heating based on building type</t>
  </si>
  <si>
    <t>TRF</t>
  </si>
  <si>
    <t>Thermal Regain Factor</t>
  </si>
  <si>
    <t>IL TRM v7 volume 2: C&amp;I Pipe Insulation</t>
  </si>
  <si>
    <t>InsulationThickness</t>
  </si>
  <si>
    <t>Thickness of pipe insulation</t>
  </si>
  <si>
    <t>Diameter</t>
  </si>
  <si>
    <t>InsulationType</t>
  </si>
  <si>
    <t>User-selected thickness/type of insulation</t>
  </si>
  <si>
    <t>1 inch</t>
  </si>
  <si>
    <t>PipeLocation</t>
  </si>
  <si>
    <t>Location of the pipe</t>
  </si>
  <si>
    <t>Indoor, unheated</t>
  </si>
  <si>
    <t>Thermal Regain Factor (TRF) and Temperature</t>
  </si>
  <si>
    <t>Indoor semi-conditioned</t>
  </si>
  <si>
    <t>Combined all indoor lighting controls (daylight and occupancy)</t>
  </si>
  <si>
    <t>IL TRM v8 volume 2 C&amp;I 4.5.10 Lighting Controls</t>
  </si>
  <si>
    <t>Equal to incremental cost for lighting controls</t>
  </si>
  <si>
    <t>ΔkWh_gross = ControlledWatts * Hours * ESF</t>
  </si>
  <si>
    <t>ΔGJ_interactive = ΔkWh_gross * WasteHeatFactor</t>
  </si>
  <si>
    <t>Lighting load that is controlled</t>
  </si>
  <si>
    <t>kW Controlled</t>
  </si>
  <si>
    <t>IL TRM v8 volume 2 C&amp;I 4.5.10 Lighting Controls. Estimates of watts controlled are based on Efficency Vermont data as provided in the 2018 TRM.</t>
  </si>
  <si>
    <t>IL TRM v8 volume 2 C&amp;I 4.5.10 Lighting Controls.. Interior controls % savings based on LBNL, Williams et al, "Lighting Controls in Commercial Buildings", 2012, p172. Case</t>
  </si>
  <si>
    <t>Lighting Waste Heat Share for natural gas heated buildings</t>
  </si>
  <si>
    <t>WHF</t>
  </si>
  <si>
    <t>Building data (see for source): WHF (building type)</t>
  </si>
  <si>
    <t>Natural gas heating system efficiency</t>
  </si>
  <si>
    <t>Type of lighting control</t>
  </si>
  <si>
    <t>Lighting Control</t>
  </si>
  <si>
    <t>Fixture, Occupancy Sensor</t>
  </si>
  <si>
    <t>Lighting Controls</t>
  </si>
  <si>
    <t>Switch, Occupancy Sensor</t>
  </si>
  <si>
    <t>Wall, Occupancy Sensor</t>
  </si>
  <si>
    <t>Fixture, Daylight Sensor</t>
  </si>
  <si>
    <t>Wall, Daylight Sensor</t>
  </si>
  <si>
    <t>Integrated  Dual  Occupancy  &amp;  Daylight  Sensor  (Fixtures &lt; 10,000 Lumens)</t>
  </si>
  <si>
    <t>Exterior Occupancy Sensor</t>
  </si>
  <si>
    <t>BES Past Program Data Analysis</t>
  </si>
  <si>
    <t>Row Labels</t>
  </si>
  <si>
    <t>Sum of Number Units</t>
  </si>
  <si>
    <t>Average of Equipment Cost</t>
  </si>
  <si>
    <t>Average of Wattage Original</t>
  </si>
  <si>
    <t>Average of wattage new</t>
  </si>
  <si>
    <t>Daylight control - indoor - ceiling or wall remote mounted sensor</t>
  </si>
  <si>
    <t>Daylight control - indoor - fixture-mounted dual occupancy and daylight control</t>
  </si>
  <si>
    <t>Daylight control - indoor - switch or fixture mounted sensor</t>
  </si>
  <si>
    <t>Occupancy control - indoor - ceiling or remote mounted sensor</t>
  </si>
  <si>
    <t>Occupancy control - indoor - fixture mounted sensor</t>
  </si>
  <si>
    <t>Occupancy control - indoor - wall or switch mounted sensor</t>
  </si>
  <si>
    <t>Combined all outdoor lighting controls.</t>
  </si>
  <si>
    <t>Does not apply for outdoor fixtures</t>
  </si>
  <si>
    <t>Outdoor, fixture occupancy sensor</t>
  </si>
  <si>
    <t>Downlight / omni-directional fixtures</t>
  </si>
  <si>
    <t>IL TRM v8 volume 2 C&amp;I 4.5.4 LED Bulbs and Fixtures</t>
  </si>
  <si>
    <t>ΔkWh_gross = (Watts_Base - Watts_EE) /1,000 W per kW * Hours</t>
  </si>
  <si>
    <t>User specified input. BES Past Program Data Analysis (ICF) values as default.</t>
  </si>
  <si>
    <t>Efficient Watts</t>
  </si>
  <si>
    <t>Waste Heat Factor for natural gas heated buildings</t>
  </si>
  <si>
    <t>Natural gas efficiency</t>
  </si>
  <si>
    <t>Type of LED tube</t>
  </si>
  <si>
    <t>LED Recessed, Surface, Pendant Downlights</t>
  </si>
  <si>
    <t>Fixture Type</t>
  </si>
  <si>
    <t>Baseline cost from Illinois TRM v. 8</t>
  </si>
  <si>
    <t>Average of lamp wattage</t>
  </si>
  <si>
    <t>Count of lamp wattage</t>
  </si>
  <si>
    <t>Count of wattage new</t>
  </si>
  <si>
    <t>Average of Measure Life</t>
  </si>
  <si>
    <t>Downlight fixture and retrofit kit - &gt;800 lumen</t>
  </si>
  <si>
    <t>Downlight fixture and retrofit kit - 400 to 599 lumen</t>
  </si>
  <si>
    <t>Downlight fixture and retrofit kit - 600 to 799 lumen</t>
  </si>
  <si>
    <t>Weighted Average</t>
  </si>
  <si>
    <t>Hanging bay fixtures or retrofit kits. Seperate permutations for each.</t>
  </si>
  <si>
    <t>Bay fixture and retrofit kit - LED - 10,000 to 14,999 lumen</t>
  </si>
  <si>
    <t>Baseline cost from IL TRM v6, in USD. Needs to be updated.</t>
  </si>
  <si>
    <t>Average of Base Watts</t>
  </si>
  <si>
    <t>Average of EE watts</t>
  </si>
  <si>
    <t>Bay fixture and retrofit kit - LED - &lt;10,000 lumen</t>
  </si>
  <si>
    <t>Bay fixture and retrofit kit - LED - 15,000 to 19,999 lumen</t>
  </si>
  <si>
    <t>Bay fixture and retrofit kit - LED - &gt;20,000 lumen</t>
  </si>
  <si>
    <t>High-bay fixture - 4-lamp - T5HO</t>
  </si>
  <si>
    <t>High-bay fixture - 6-lamp - T5HO</t>
  </si>
  <si>
    <t>Grand Total</t>
  </si>
  <si>
    <t>Whole troffer, or retrofit of existing troffer. Includes LED strips.</t>
  </si>
  <si>
    <t>LED 2x2 Recessed Light Fixture</t>
  </si>
  <si>
    <t>2000-3500 lumens output</t>
  </si>
  <si>
    <t>Illinois TRM v. 6.0;  table on page 371; cost information in USD</t>
  </si>
  <si>
    <t>3501-5000 lumens output</t>
  </si>
  <si>
    <t>LED 2x4 Recessed Light Fixture</t>
  </si>
  <si>
    <t>3000-4500 lumens output</t>
  </si>
  <si>
    <t>4501-6000 lumens output</t>
  </si>
  <si>
    <t>6001-7500 lumens output</t>
  </si>
  <si>
    <t>LED 1x4 Recessed Light Fixture</t>
  </si>
  <si>
    <t>1500-3000 lumen output</t>
  </si>
  <si>
    <t>3001-4500 lumen output</t>
  </si>
  <si>
    <t>4501-6000 lumen output</t>
  </si>
  <si>
    <t>All screw-in lamps.</t>
  </si>
  <si>
    <t>Type of bulb</t>
  </si>
  <si>
    <t>Omnidirectional</t>
  </si>
  <si>
    <t>Lamp Type</t>
  </si>
  <si>
    <t>Decorative and Globe</t>
  </si>
  <si>
    <t>Default Wattage</t>
  </si>
  <si>
    <t>&lt; 60 Watt</t>
  </si>
  <si>
    <t>60 to 150 Watt</t>
  </si>
  <si>
    <t>General service - LED - replacing &lt;60 Watt</t>
  </si>
  <si>
    <t>General service - LED - replacing 61 to 150 Watt</t>
  </si>
  <si>
    <t>LED tubes are less in favour to Retrofit Kits and Full Troffer Replacement. But these are cheap and get good savings. Combine with all the other LED tube measure permutations.</t>
  </si>
  <si>
    <t>IL TRM v8 pg 459</t>
  </si>
  <si>
    <t>4-feet Type A and C</t>
  </si>
  <si>
    <t>Lifetime</t>
  </si>
  <si>
    <t>2-feet Type A and C</t>
  </si>
  <si>
    <t>ICF documentation; no source</t>
  </si>
  <si>
    <t>2-feet Type B</t>
  </si>
  <si>
    <t>4-feet Type B</t>
  </si>
  <si>
    <t>Linear - LED tube (2 feet) - replacing fluorescent tube</t>
  </si>
  <si>
    <t>Linear - LED tube (2 feet) - UL Type B - replacing fluorescent tube</t>
  </si>
  <si>
    <t>Linear - LED tube (4 feet) - replacing fluorescent tube</t>
  </si>
  <si>
    <t>Linear - LED tube (4 feet) - UL Type B - replacing fluorescent tube</t>
  </si>
  <si>
    <t>Whole troffer, or retrofit of existing troffer in outdoor setting. Includes LED strips.</t>
  </si>
  <si>
    <t>Lighting - Outdoor fixture</t>
  </si>
  <si>
    <t>LED Exterior Fixtures, &gt; 15,000 lumens</t>
  </si>
  <si>
    <t>Lighting Waste Heat Factor for Natural Gas heated buildings</t>
  </si>
  <si>
    <t>LED Exterior Fixtures, &lt;= 5,000 lumens</t>
  </si>
  <si>
    <t>100W Metal Halide</t>
  </si>
  <si>
    <t>LED Exterior Fixtures, 5,001-10,000 lumens</t>
  </si>
  <si>
    <t>175W Pulse Start Metal Halide</t>
  </si>
  <si>
    <t>LED Exterior Fixtures, 10,001-15,000 lumens</t>
  </si>
  <si>
    <t>250W Pulse Start Metal Halide</t>
  </si>
  <si>
    <t>400W Pulse Start Metal Halide</t>
  </si>
  <si>
    <t>Exterior LED fixture and retrofit kit -  &lt;5,000 lumen</t>
  </si>
  <si>
    <t>Exterior LED fixture and retrofit kit -  5,000 to 9,999 lumen</t>
  </si>
  <si>
    <t>Exterior LED fixture and retrofit kit -  10,000 to 14,999 lumen</t>
  </si>
  <si>
    <t>Exterior LED fixture and retrofit kit -  &gt;15,000 lumen</t>
  </si>
  <si>
    <t>Lighting - Specialty</t>
  </si>
  <si>
    <t>Sign</t>
  </si>
  <si>
    <t>Refrigeration - Door</t>
  </si>
  <si>
    <t>Door</t>
  </si>
  <si>
    <t>IL TRM v8 volume 2 C&amp;I 4.6.1 Automatic Door Closer for Walk-In Coolers and Freezers</t>
  </si>
  <si>
    <t>ΔkWh_gross = DeemedSavings</t>
  </si>
  <si>
    <t>DeemedSavings</t>
  </si>
  <si>
    <t>Deemed savings for installation of door</t>
  </si>
  <si>
    <t>IL TRM v8 volume 2 C&amp;I 4.6.1 Automatic Door Closer for Walk-In Coolers and Freezers. Deemed savings based on values from through PG&amp;E’s Workpaper PGECOREF110.1 – Auto-Closers for Main Cooler or Freezer Doors. Savings are averaged across all California climate zones and vintages.</t>
  </si>
  <si>
    <t>ft^2 of Doorway Area</t>
  </si>
  <si>
    <t>IL TRM v8 volume 2 C&amp;I 4.6.7 Strip Curtain for Walk-in Coolers and Freezers</t>
  </si>
  <si>
    <t>IL TRM v8 page 599 of 1184</t>
  </si>
  <si>
    <t>ΔkWh_gross = SavingsPerArea * DoorwayArea</t>
  </si>
  <si>
    <t>BuildUnitCurtain</t>
  </si>
  <si>
    <t>Building Type, Refrigeration Unit Type, Prexisting Curtains</t>
  </si>
  <si>
    <t>Prexisting curtain</t>
  </si>
  <si>
    <t>UnitDefined</t>
  </si>
  <si>
    <t>Doorway area, if known</t>
  </si>
  <si>
    <t xml:space="preserve">User specified input. </t>
  </si>
  <si>
    <t>SavingsPerArea</t>
  </si>
  <si>
    <t>Average annual kWh savings per square foot of infiltration barrier.</t>
  </si>
  <si>
    <t>Savings per Square Feet</t>
  </si>
  <si>
    <t>ΔkWh /ft^2</t>
  </si>
  <si>
    <t>DoorwayArea</t>
  </si>
  <si>
    <t>Doorway area</t>
  </si>
  <si>
    <t xml:space="preserve">IL TRM v8 volume 2 C&amp;I 4.6.7 Strip Curtain for Walk-in Coolers and Freezers. </t>
  </si>
  <si>
    <t>Savings and Doorway Area for Installations with Prexisting Curtains</t>
  </si>
  <si>
    <t>Convenience store</t>
  </si>
  <si>
    <t>Restaurant</t>
  </si>
  <si>
    <t>Savings and Doorway Area for Installations with No Prexisting Curtains</t>
  </si>
  <si>
    <t>No prexisting curtain</t>
  </si>
  <si>
    <t>EVT TRM pages 136 and 142 of 572.</t>
  </si>
  <si>
    <t>ΔkWh_gross = kWhSavings</t>
  </si>
  <si>
    <t>EVT TRM page 133 of 144.</t>
  </si>
  <si>
    <t>UnitCapacity</t>
  </si>
  <si>
    <t>Unit type and capacity category</t>
  </si>
  <si>
    <t>30-50 cf (two-door)</t>
  </si>
  <si>
    <t>NOTE: 30-50 cf (two-door) is default unit type and capacity category - allows to achieve a good average final per unit savings value. Annual kWh Savings Relative to Base Case by Internal Volume or Capacity (cubic feet), by Refrigeration Unit Type, and by Tier. Tier 1 is ENERGY STAR. EVT TRM page 133 to 144.</t>
  </si>
  <si>
    <t>DoorType_Tier</t>
  </si>
  <si>
    <t>Door type and unit tier</t>
  </si>
  <si>
    <t>Solid door, tier 2</t>
  </si>
  <si>
    <t>NOTE: Solid door, tier 2 is default unit type and capacity category - allows to achieve a good average final per unit savings value. Annual kWh Savings Relative to Base Case by Internal Volume or Capacity (cubic feet), by Refrigeration Unit Type, and by Tier. Tier 1 is ENERGY STAR. EVT TRM page 133 to 144.</t>
  </si>
  <si>
    <t>kWhSavings</t>
  </si>
  <si>
    <t>kWh savings</t>
  </si>
  <si>
    <t>Annual kWh Savings Relative to Base Case by Internal Volume or Capacity (cubic feet), by Refrigeration Unit Type, and by Tier. Tier 1 is ENERGY STAR. EVT TRM page 133 to 144.</t>
  </si>
  <si>
    <t>Annual kWh Savings Relative to Base Case by Internal Volume or Capacity (cubic feet) by Tier</t>
  </si>
  <si>
    <t>Solid door, tier 1</t>
  </si>
  <si>
    <t>Glass door, single tier</t>
  </si>
  <si>
    <t>&lt;15 cf (one door)</t>
  </si>
  <si>
    <t>Annual kWh Savings Relative to Base Case by Internal Volume or Capacity (cubic feet), by Refrigeration Unit Type, and by Tier. Tier 1 is ENERGY STAR. The High-Efficiency unit is one that qualifies for ENERGY STAR V 2.0 label, equivalent to the CEE qualification. There is only one CEE Tier for high efficiency reach-in, glass door freezers. EVT TRM page 139 to 144.</t>
  </si>
  <si>
    <t>15-30 cf (one door)</t>
  </si>
  <si>
    <t>&gt;50 cf (three door)</t>
  </si>
  <si>
    <t>Chest configuration</t>
  </si>
  <si>
    <t>Refrigeration - Motor</t>
  </si>
  <si>
    <t>Motor</t>
  </si>
  <si>
    <t>IL TRM v8 volume 2 C&amp;I 4.6.11 Q-Sync Motors for Walk-in and Reach-in Coolers/Freezers</t>
  </si>
  <si>
    <t>ΔkWh_gross = Savings * Motors</t>
  </si>
  <si>
    <t>Savings</t>
  </si>
  <si>
    <t>Overall annual savings per motor</t>
  </si>
  <si>
    <t>kWh/motor</t>
  </si>
  <si>
    <t>IL TRM v8 volume 2 C&amp;I 4.6.11 Q-Sync Motors for Walk-in and Reach-in Coolers/Freezers. Lookup tables used to calculate deemed values for 9-12 Watt and 38-50 Watt motors.</t>
  </si>
  <si>
    <t>MotorSize</t>
  </si>
  <si>
    <t>Size of motor (9-12 Watt; 38-50 Watt)</t>
  </si>
  <si>
    <t>9-12 Watt</t>
  </si>
  <si>
    <t>Defined by the measure type: 38-50 Watt motor for refrigerators</t>
  </si>
  <si>
    <t>Temp</t>
  </si>
  <si>
    <t>Temperature where motor is installed (application)</t>
  </si>
  <si>
    <t>MotorType</t>
  </si>
  <si>
    <t>Type of motor</t>
  </si>
  <si>
    <t>Motors</t>
  </si>
  <si>
    <t>Number of motors installed</t>
  </si>
  <si>
    <t>Defined by the unit basis: 1 motor</t>
  </si>
  <si>
    <t>DefinedSavings</t>
  </si>
  <si>
    <t>Savings for specific size, type and application temperature (if known)</t>
  </si>
  <si>
    <t>9-12 Watt Motor Savings by Temperature (kWh / year)</t>
  </si>
  <si>
    <t>Low</t>
  </si>
  <si>
    <t>Medium</t>
  </si>
  <si>
    <t>SPM</t>
  </si>
  <si>
    <t>Shaded-pole motor (SPM)</t>
  </si>
  <si>
    <t>ECM</t>
  </si>
  <si>
    <t>EC motor (ECM)</t>
  </si>
  <si>
    <t>PSC</t>
  </si>
  <si>
    <t>38-50 Watt Motor Savings by Temperature (kWh / year)</t>
  </si>
  <si>
    <t>PSC motor</t>
  </si>
  <si>
    <t>Applications and Weighting Factors</t>
  </si>
  <si>
    <t>Motor Type Share (SPM)</t>
  </si>
  <si>
    <t>More Type Share (ECM)</t>
  </si>
  <si>
    <t>Low Temperature Share</t>
  </si>
  <si>
    <t>Medium Temperature Share</t>
  </si>
  <si>
    <t>9-12 Watt Motor Savings</t>
  </si>
  <si>
    <t>38-50 Watt Motor Savings</t>
  </si>
  <si>
    <t>Other Retail Categories</t>
  </si>
  <si>
    <t>Restaurants and Bars</t>
  </si>
  <si>
    <t>Supermarkets</t>
  </si>
  <si>
    <t>Refrigeration - Lighting</t>
  </si>
  <si>
    <t>MN TRM v3 page 235 of 672</t>
  </si>
  <si>
    <t>ΔkWh_gross = (kW_Base – kW_EE) * AnnualHours * (1 + ApplicationFactor)</t>
  </si>
  <si>
    <t>kW_Base</t>
  </si>
  <si>
    <t>Baseline fixture wattage</t>
  </si>
  <si>
    <t>MN TRM v3 C/I Lighting - Refrigerator/Freezer Case LEDs.</t>
  </si>
  <si>
    <t>kW_EE</t>
  </si>
  <si>
    <t>Proposed fixture wattage</t>
  </si>
  <si>
    <t>Annual case light hours</t>
  </si>
  <si>
    <t>ApplicationFactor</t>
  </si>
  <si>
    <t>Refrigeration factor</t>
  </si>
  <si>
    <t xml:space="preserve">MN TRM v3 C/I Lighting - Refrigerator/Freezer Case LEDs. 0.40 (for refrigerator applications, assumes COP of 2.5), 0.77 (for freezer applications, assumes COP of 1.3). </t>
  </si>
  <si>
    <t>Type of application</t>
  </si>
  <si>
    <t>Average of refrigerator and freezer used. Total sazings does not significantly vary using the average.</t>
  </si>
  <si>
    <t>Refrigeration Application Type and Refrigeration Factor</t>
  </si>
  <si>
    <t>Refrigerator</t>
  </si>
  <si>
    <t>Freezer</t>
  </si>
  <si>
    <t xml:space="preserve"> IL TRM v8 volume 2 C&amp;I 4.6.1 Automatic Door Closer for Walk-In Coolers and Freezers. Deemed. Savings calculations are based on values from through PG&amp;E’s Workpaper PGECOREF110.1 – Auto-Closers for Main Cooler or Freezer Doors. Savings are averaged across all California climate zones and vintages.</t>
  </si>
  <si>
    <t>IL TRM v8 page 598 of 1184.</t>
  </si>
  <si>
    <t>4.6.7 Strip Curtain for Walk-in Coolers and Freezers</t>
  </si>
  <si>
    <t>DoorwayArea_Defined</t>
  </si>
  <si>
    <t xml:space="preserve">User defined. </t>
  </si>
  <si>
    <t>4.6.7 Strip Curtain for Walk-in Coolers and Freezers. Default doorway areas if unkown.</t>
  </si>
  <si>
    <t>Supermarket</t>
  </si>
  <si>
    <t>Convenience Store</t>
  </si>
  <si>
    <t>Warehouse</t>
  </si>
  <si>
    <t>Refrigeration - Control</t>
  </si>
  <si>
    <t>IL TRM v8 page 596 of 1184.</t>
  </si>
  <si>
    <t>IL TRM v8 page 597 of 1184</t>
  </si>
  <si>
    <t>ΔkWh_gross = SavingsPerMotor</t>
  </si>
  <si>
    <t>IL TRM v8 page 597 of 1184.</t>
  </si>
  <si>
    <t>SavingsPerMotor</t>
  </si>
  <si>
    <t>Savings per motor based on the motor rating of the ECM motor</t>
  </si>
  <si>
    <t>Savings per Motor</t>
  </si>
  <si>
    <t>IL TRM v8 volume 2 C&amp;I 4.6.6 Evaporator Fan Control for Electrically Commutated Motors.</t>
  </si>
  <si>
    <t>FanHorsepower</t>
  </si>
  <si>
    <t>Motor rating input</t>
  </si>
  <si>
    <t>Evaporator Fan Motor Rating (of ECM) and Annual kWh savings per motor</t>
  </si>
  <si>
    <t>1/15 - 1/20HP</t>
  </si>
  <si>
    <t>1/5HP</t>
  </si>
  <si>
    <t>1/3HP</t>
  </si>
  <si>
    <t>1/2HP</t>
  </si>
  <si>
    <t>3/4HP</t>
  </si>
  <si>
    <t>38-50 Watt</t>
  </si>
  <si>
    <t>Defined by the measure type: 9-12 Watt motor for refrigerators</t>
  </si>
  <si>
    <t>Horsepower of Compressor</t>
  </si>
  <si>
    <t>IL TRM v8 volume 2 C&amp;I 4.6.8 Refrigeration Economizers</t>
  </si>
  <si>
    <t>ΔkWh_gross = (HP * CondenserSavings) - ( EconomizerLoad * EconomizerDC * AnnualHours) + ((EvaporatorLoad  * Fans - CirculatingFanLoad) * AnnualHours * CompressorDC * BonusFactor) * FanControl</t>
  </si>
  <si>
    <t>FanControl</t>
  </si>
  <si>
    <t>Share of installation with fan control</t>
  </si>
  <si>
    <t>IL TRM v8 volume 2 C&amp;I 4.6.8 Refrigeration Economizers. Default configuration.</t>
  </si>
  <si>
    <t>Fans</t>
  </si>
  <si>
    <t>Number of evaporator fans</t>
  </si>
  <si>
    <t>Horsepower of compressor</t>
  </si>
  <si>
    <t>Number of annual hours that economizer operates</t>
  </si>
  <si>
    <t>Dependent on region measure is installed. Annual hours scaled using HDD from  IL TRM v8 volume 2 C&amp;I 4.6.8 Refrigeration Economizers.</t>
  </si>
  <si>
    <t>CondenserSavings</t>
  </si>
  <si>
    <t>Condensing unit savings, per hp.</t>
  </si>
  <si>
    <t>kWh/HP</t>
  </si>
  <si>
    <t>Dependent on condensing unit type. IL TRM v8 page 602 of 1184.</t>
  </si>
  <si>
    <t>CondenserType</t>
  </si>
  <si>
    <t>Condensing unit type</t>
  </si>
  <si>
    <t>IL TRM v8 volume 2 C&amp;I 4.6.8 Refrigeration Economizers. Average of configurations.</t>
  </si>
  <si>
    <t>CompressorDC</t>
  </si>
  <si>
    <t>Duty cycle of the compressor</t>
  </si>
  <si>
    <t>IL TRM v8 volume 2 C&amp;I 4.6.8 Refrigeration Economizers. Default 50%.</t>
  </si>
  <si>
    <t>EvaporatorLoad</t>
  </si>
  <si>
    <t>Connected load kW of each evaporator fan</t>
  </si>
  <si>
    <t>CirculatingFanLoad</t>
  </si>
  <si>
    <t>Connected load kW of the circulating fan</t>
  </si>
  <si>
    <t>EconomizerDC</t>
  </si>
  <si>
    <t>Duty cycle of the economizer fan on days that are cool enough for the economizer to be working</t>
  </si>
  <si>
    <t>EconomizerLoad</t>
  </si>
  <si>
    <t>Connected load kW of the economizer fan</t>
  </si>
  <si>
    <t>BonusFactor</t>
  </si>
  <si>
    <t>Bonus factor for reduced cooling load from running the evaporator fan less or (1.3)</t>
  </si>
  <si>
    <t>IL TRM v8 volume 2 C&amp;I 4.6.8 Refrigeration Economizers. Bonus factor for reduced cooling load from running the evaporator fanless or 1.3.</t>
  </si>
  <si>
    <t>Region and Economizer Operating Hours</t>
  </si>
  <si>
    <t>Need to find Alta hours</t>
  </si>
  <si>
    <t>Central</t>
  </si>
  <si>
    <t>East</t>
  </si>
  <si>
    <t>North Central</t>
  </si>
  <si>
    <t>North East</t>
  </si>
  <si>
    <t>North West</t>
  </si>
  <si>
    <t>South</t>
  </si>
  <si>
    <t>South East</t>
  </si>
  <si>
    <t>South West</t>
  </si>
  <si>
    <t>West</t>
  </si>
  <si>
    <t>Condensing Unit Type and Savings (kWh/year)</t>
  </si>
  <si>
    <t>Hermetic / Semi-Hermetic</t>
  </si>
  <si>
    <t>IL TRM v8 page 602 of 1184.</t>
  </si>
  <si>
    <t>Scroll</t>
  </si>
  <si>
    <t>Discus</t>
  </si>
  <si>
    <t>ΔkWh_gross = DoorSavings</t>
  </si>
  <si>
    <t>Refrigerator, 30-50 cf (two-door)</t>
  </si>
  <si>
    <t>Efficiency Vermont TRM 2014-87. Commercial Solid Door Reach-In Refrigerators (I-E-3-c)</t>
  </si>
  <si>
    <t>DoorType</t>
  </si>
  <si>
    <t>Door type (efficiency level and material)</t>
  </si>
  <si>
    <t>DoorSavings</t>
  </si>
  <si>
    <t>Efficiency Vermont TRM 2014-87. Commercial Solid Door Reach-In Refrigerators (I-E-3-c). Annual kWh Savings Relative to Base Case by Internal Volume or Capacity (cubic feet), by Refrigeration Unit Type, and by Tier. Tier 1 is ENERGY STAR.</t>
  </si>
  <si>
    <t xml:space="preserve">Annual kWh Savings Relative to Base Case by Internal Volume or Capacity (cubic feet), by Refrigeration Unit Type, and by Tier. </t>
  </si>
  <si>
    <t>Glass door, tier 1</t>
  </si>
  <si>
    <t>Glass door, tier 2</t>
  </si>
  <si>
    <t>Refrigerator, &lt;15 cf (one door)</t>
  </si>
  <si>
    <t>Annual kWh Savings Relative to Base Case by Internal Volume or Capacity (cubic feet), by Refrigeration Unit Type, and by Tier. Tier 1 is ENERGY STAR. EVT TRM page 133 to 138.</t>
  </si>
  <si>
    <t>Refrigerator, 15-30 cf (one door)</t>
  </si>
  <si>
    <t>Refrigerator, &gt;50 cf (three door)</t>
  </si>
  <si>
    <t>Needs Formula integrated into CEIP Worksheet</t>
  </si>
  <si>
    <t xml:space="preserve">IL TRM v8 volume 2 C&amp;I 4.3.1 Water Heater </t>
  </si>
  <si>
    <t>ΔGJ_gross = (WaterUse * WaterWeight * HeatCap_Water * (Tout-SupplyTemp)*((1/Eff_Base-1/Eff_EE) + (SL_Base - SL_eff)* HoursPerYear)* GJ per BTU</t>
  </si>
  <si>
    <t>The savings calculations came primarily from a document drafted by Dunsky Energy (Alberta Energy Efficiency Program Design: Phase 2, Appendix B: Measure-Level Energy Savings for BNI Energy Savings), who referenced Illinois TRM v. 6.0 (4.3.1 and 4.3.5). When in contradiction, we used guidance from the document from Dunsky first. IL TRM v8 4.3.1 Water Heater.</t>
  </si>
  <si>
    <t>ConditionedArea</t>
  </si>
  <si>
    <t>Assumed conditioned area of building</t>
  </si>
  <si>
    <t>FLOOR_AREA</t>
  </si>
  <si>
    <t>ft ^2</t>
  </si>
  <si>
    <t>Floor area corresponds to Building Type. Various sources used in the BuildingType table. May be replaced with actual floor area.</t>
  </si>
  <si>
    <t>WaterUse</t>
  </si>
  <si>
    <t>Water usage per year</t>
  </si>
  <si>
    <t>gal</t>
  </si>
  <si>
    <t>Calculated from building conditioned area and water intensity. Water usage per year is calculated on a consumption per unit area by building type basis rather than consumption per usable storage tank capacity. IL TRM v8 4.3.1 Water Heater.</t>
  </si>
  <si>
    <t>WaterUsePerArea</t>
  </si>
  <si>
    <t>Annual water used per square feet</t>
  </si>
  <si>
    <t>WATER</t>
  </si>
  <si>
    <t xml:space="preserve">Litres / ft^2 </t>
  </si>
  <si>
    <t>Building data (see for source): WATER (building type)</t>
  </si>
  <si>
    <t>TempOutput</t>
  </si>
  <si>
    <t>Water output temperature</t>
  </si>
  <si>
    <t>Water input temperature</t>
  </si>
  <si>
    <t>Efficiency of new water heater</t>
  </si>
  <si>
    <t>IL TRM v8 volume 2 C&amp;I 4.3.1 Water Heater. Example uses a UEF of 90%.</t>
  </si>
  <si>
    <t>TankLoss_Base</t>
  </si>
  <si>
    <t>Estimated standby loss of baseline water heater tank</t>
  </si>
  <si>
    <t>IL TRM v8 volume 2 C&amp;I 4.3.1 Water Heater. Calculated using formula: Input Rating * 1000/800 + 110 x SQRT(Tank Volume).</t>
  </si>
  <si>
    <t>TankLoss_EE</t>
  </si>
  <si>
    <t>Nameplate standby loss of new water heater tank</t>
  </si>
  <si>
    <t>BTU/hr</t>
  </si>
  <si>
    <t>MN TRM v3 Commercial Hot Water - Gas Water Heater. Calculated using formula: 6.47 x (Tank Volume) + 430</t>
  </si>
  <si>
    <t>HeaterCapacity</t>
  </si>
  <si>
    <t>Minimum heating capacity of water heater</t>
  </si>
  <si>
    <t>WATER_HEAT_CAP</t>
  </si>
  <si>
    <t>(BTU / hour) / ft^2</t>
  </si>
  <si>
    <t>Building data (see for source): WATER_HEAT_CAP (building type)</t>
  </si>
  <si>
    <t>TankVolume</t>
  </si>
  <si>
    <t>Gallons per 1000 ft^2 per day</t>
  </si>
  <si>
    <t>IL TRM v8 volume 2 C&amp;I 4.3.1 Water Heater. Example uses a 120 gal tank.</t>
  </si>
  <si>
    <t>Gal_per_L</t>
  </si>
  <si>
    <t>Gal / L</t>
  </si>
  <si>
    <t>IL TRM v8 C&amp;I: 4.3.1 Water Heater. Page 116 of 645</t>
  </si>
  <si>
    <t>ΔGJ_gross = (HotWaterUse * Water.Density.IMP * Water.HeatCapacity.IMP * (TempOutput-TempSupply )* (1 / Efficiency_Base - 1/Efficiency_EE) + StandByLoss * TankLoss_Base * Hours_per_Year / Efficiency_Base )* GJ_per_BTU</t>
  </si>
  <si>
    <t>Calculated from building conditioned area and water intensity. May be replaced with actual water usage.</t>
  </si>
  <si>
    <t>IL TRM v8 volume 2 C&amp;I 4.3.1 Water Heater. Calculated using formula: Input Rating /800 + 110 x SQRT(Tank Volume).</t>
  </si>
  <si>
    <t>Litres / ft^2</t>
  </si>
  <si>
    <t>Volume of the water storage tank</t>
  </si>
  <si>
    <t>Tank Volume</t>
  </si>
  <si>
    <t>IL TRM v8 volume 2 C&amp;I 4.3.1 Water Heater. Tank volume used in example calculation.</t>
  </si>
  <si>
    <t>Capacity of the natural gas heater</t>
  </si>
  <si>
    <t>(BTU / hour)</t>
  </si>
  <si>
    <t>Type of commercial water heating equipment</t>
  </si>
  <si>
    <t>Commercial 75,000-155,000 BTU/hour, &gt; 120 Gallon tank</t>
  </si>
  <si>
    <t>IL TRM v8 volume 2 C&amp;I 4.3.1 Water Heater. User specified.</t>
  </si>
  <si>
    <t>StandByLoss</t>
  </si>
  <si>
    <t>Include if specific type of heater</t>
  </si>
  <si>
    <t>Standby Loss</t>
  </si>
  <si>
    <t>IL TRM v8 volume 2 C&amp;I 4.3.1 Water Heater. Lookuptable based on type of water heater.</t>
  </si>
  <si>
    <t>Type of Water Heating Equipment and Cost (USD)</t>
  </si>
  <si>
    <t>Uniform Energy Factor</t>
  </si>
  <si>
    <t>Installed Cost</t>
  </si>
  <si>
    <t>Residential-duty &lt; 75,000 BTU/hour, 100 Gallon tank</t>
  </si>
  <si>
    <t>Commercial &gt; 155,000 BTU/hour, &gt; 120 Gallon tank</t>
  </si>
  <si>
    <t>Dwelling Unit</t>
  </si>
  <si>
    <t>IL TRM v8 page 211 of 1184.</t>
  </si>
  <si>
    <t>ΔkWh_gross = 656 (deemed)</t>
  </si>
  <si>
    <t>Deemed. IL TRM v8 page 211 of 1184.</t>
  </si>
  <si>
    <t>ΔGJ_gross = InputCapacity * (t_normal_occ * R_normal_occ + t_low_occ * R_low_occ) / 100,000 * GJ_per_therm (calculated) 
ΔGJ_gross = UnitNGSavings * NumberUnits * GJ_per_therm (deemed)</t>
  </si>
  <si>
    <t>NumberUnits</t>
  </si>
  <si>
    <t>Number of units in building</t>
  </si>
  <si>
    <t>units</t>
  </si>
  <si>
    <t>Defined by the unit basis: 1 housing unit</t>
  </si>
  <si>
    <t>BoilerSavingsUnit</t>
  </si>
  <si>
    <t>Deemed natural gas savings per building unit</t>
  </si>
  <si>
    <t>Boiler Savings</t>
  </si>
  <si>
    <t>IL TRM v8 page 213 of 1184. Based on the default values for variables used in calculation of NG savings.</t>
  </si>
  <si>
    <t>BoilerCapacityUnit</t>
  </si>
  <si>
    <t>Default boiler input capacity if capacity unknown (per building's room or unit)</t>
  </si>
  <si>
    <t>DHW Boiler Capacity per Unit</t>
  </si>
  <si>
    <t>BTU/hour/unit</t>
  </si>
  <si>
    <t>IL TRM v8 page 212 of 1184. If unknown DHW capacity use 4,938 BTU/hour per room for Dormitories and 12,493 BTU/hour per apartment for Multi-Family Buildings.</t>
  </si>
  <si>
    <t>HoursNormalOccupancy</t>
  </si>
  <si>
    <t>Total operating hours of domestic hot water burner, when the facility has normal occupancy</t>
  </si>
  <si>
    <t>Hours of Normal Occupancy</t>
  </si>
  <si>
    <t>IL TRM v8 page 212 of 1184. If unknown, assume 1,688 hours for Dormitories and 2,089 hours for Multi-Family buildings.</t>
  </si>
  <si>
    <t>HoursLowOccupancy</t>
  </si>
  <si>
    <t>Total operating hours of domestic hot water burner, when the facility has low occupancy.</t>
  </si>
  <si>
    <t>Hours of Low Occupancy</t>
  </si>
  <si>
    <t>IL TRM v8 page 212 of 1184. If unknown, assume 520 hours for Dormitories and 0 hours for Multi-Family buildings.</t>
  </si>
  <si>
    <t>SavingsNormalOccupancy</t>
  </si>
  <si>
    <t>Reduction (%) in total operating hours of domestic hot water burner, due to installed central domestic hot water controls, during normal occupancy period.</t>
  </si>
  <si>
    <t>Savings during Normal Occupancy</t>
  </si>
  <si>
    <t>IL TRM v8 page 213 of 1184. 22.44% for Dormitories, 24.02% for Multi-Family Buildings.</t>
  </si>
  <si>
    <t>SavingsLowOccupancy</t>
  </si>
  <si>
    <t>Reduction (%) in total operating hours of domestic hot water burner, due to installed central domestic hot water controls, during low occupancy period.</t>
  </si>
  <si>
    <t>Savings during Low Occupancy</t>
  </si>
  <si>
    <t>IL TRM v8 page 213 of 1184. 44.57% for Dormitories, 0% for Multi-Family Buildings</t>
  </si>
  <si>
    <t>InputCapacity</t>
  </si>
  <si>
    <t>Capacity of boiler used for domestic hot water</t>
  </si>
  <si>
    <t>IL TRM v8 page 212 of 1184. If the facility uses the same boiler for space heat and domestic hot water, estimate the boiler input capacity for only domestic hot water loads. If this cannot be estimated, use 22.75% of total boiler input capacity for Multi-Family Buildings and 16.48% of total boiler input capacity for Dormitories, as domestic hot water load. If unknown capacity use 4,938 BTU/hour per room for Dormitories and 12,493 BTU/hour per apartment for Multi-Family Buildings.</t>
  </si>
  <si>
    <t>Default values per building type</t>
  </si>
  <si>
    <t>DHW Share of Boiler Capacity</t>
  </si>
  <si>
    <t>Instead of using the Summerhill HIR Calculator, using the same Showerhead assumptions and algorithms and multiplying by typical DWHR device energy recovery efficiency.</t>
  </si>
  <si>
    <t>From online literature</t>
  </si>
  <si>
    <t>ΔkWh_gross =  FlowRate * Length * Days_per_Year * ShowersPerDay  * WaterHeatC * (TempShower - TempSupply) / RecoveryEfficiency * EfficiencyDWHR * (1 - ShareNG) * kWh_per_GJ</t>
  </si>
  <si>
    <t>ΔGJ_gross = FlowRate * Length * Days_per_Year * ShowersPerDay * WaterHeatC * (TempShower - TempSupply) / RecoveryEfficiency * EfficiencyDWHR * ShareNG</t>
  </si>
  <si>
    <t>Global variables (see for source): WaterFlowRate.CI.Shower.SI</t>
  </si>
  <si>
    <t>IL TRM v8 volume 2 C&amp;I .3.3 Low Flow Showerheads. Default length of shower.</t>
  </si>
  <si>
    <t>Shower temperature</t>
  </si>
  <si>
    <t>IL TRM v8 volume 2 C&amp;I .3.3 Low Flow Showerheads. Shower temperature converted to celcius.</t>
  </si>
  <si>
    <t>ShowersPerDay</t>
  </si>
  <si>
    <t>Number of showers per day</t>
  </si>
  <si>
    <t># /  day</t>
  </si>
  <si>
    <t>IL TRM v8 volume 2 C&amp;I .3.3 Low Flow Showerheads. Estimate number of showers taken per day for small office. This needs to be scaled or custom adjusted per instance.</t>
  </si>
  <si>
    <t>EfficiencyRecovery</t>
  </si>
  <si>
    <t>IL TRM v8 volume 2 C&amp;I .3.3 Low Flow Showerheads. Estimated recovery efficiency.</t>
  </si>
  <si>
    <t>EfficiencyDWHR</t>
  </si>
  <si>
    <t>NRCan Drain Water Heat Recovery Product List. Typical recovery efficiency of DWHR equipment</t>
  </si>
  <si>
    <t>IL TRM v8 volume 2 C&amp;I 4.4.33 Industrial Air Curtain</t>
  </si>
  <si>
    <t>ΔGJ_gross = (1-CurtainEffectiveness)* (Air.HeatCapacity.IMP * TotalCFM * (IndoorTemp - OutdoorTemp) * HoursAnnual * (HeatingDays / Days_per_Year) / AFUE</t>
  </si>
  <si>
    <t>HoursAnnual</t>
  </si>
  <si>
    <t>Average hours of use per year that the door is open.</t>
  </si>
  <si>
    <t>Building data (see for source): OPERATING_HOURS (building type)</t>
  </si>
  <si>
    <t>HeatingDays</t>
  </si>
  <si>
    <t>Heating days per year</t>
  </si>
  <si>
    <t>day</t>
  </si>
  <si>
    <t>IL TRM v8 volume 2 C&amp;I 4.4.33 Industrial Air Curtain. Total days in year above balance point temperature. Used to adjust annual hours doorway is open to only include the hours when heating is required.</t>
  </si>
  <si>
    <t>TempSetpoint</t>
  </si>
  <si>
    <t>Setpoint temperature for heating season</t>
  </si>
  <si>
    <t>50 °F</t>
  </si>
  <si>
    <t>IL TRM v8 volume 2 C&amp;I 4.4.33 Industrial Air Curtain. Typical setpoint for industrial/loading bay area.</t>
  </si>
  <si>
    <t>TotalCFM</t>
  </si>
  <si>
    <t>Total air flow through doorway, including air flow from wind and thermal effects</t>
  </si>
  <si>
    <t xml:space="preserve">IL TRM v8 volume 2 C&amp;I 4.4.33 Industrial Air Curtain. Calculated by formula:  sqrt[(CFM_w)^2 + (CFMt^2)]. </t>
  </si>
  <si>
    <t>WindCFM</t>
  </si>
  <si>
    <t>Infiltration due to the wind</t>
  </si>
  <si>
    <t>IL TRM v8 volume 2 C&amp;I 4.4.33 Industrial Air Curtain. Calculated by formula:  (V_wh * C_wh) * C_v * A_d * (88 fpm/mph).</t>
  </si>
  <si>
    <t>ThermalCFM</t>
  </si>
  <si>
    <t>Infiltration due to thermal forces</t>
  </si>
  <si>
    <t>IL TRM v8 volume 2 C&amp;I 4.4.33 Industrial Air Curtain. Calculated by formula: A_d * C_dh * (60 sec/min) * sqrt[2 * Accel_from_Gravity * Height/2 * (T_ih – T_oh) / (459.7 + T_ih)].</t>
  </si>
  <si>
    <t>WindSpeed</t>
  </si>
  <si>
    <t>Average wind speed during the heating season</t>
  </si>
  <si>
    <t>MPH</t>
  </si>
  <si>
    <t>IL TRM v8 volume 2 C&amp;I 4.4.33 Industrial Air Curtain. Relatively similar to Calgary windspeed.</t>
  </si>
  <si>
    <t>WindDirectionFactor</t>
  </si>
  <si>
    <t>Wind speed correction factor due to wind direction  in heating season</t>
  </si>
  <si>
    <t>WindOpenFactor</t>
  </si>
  <si>
    <t>Factor translating wind (at given speed) into airflow into doorway associated with wind</t>
  </si>
  <si>
    <t>IL TRM v8 volume 2 C&amp;I 4.4.33 Industrial Air Curtain. Assumes diagonal wind entry into doorway.</t>
  </si>
  <si>
    <t>Area of the doorway</t>
  </si>
  <si>
    <t>ThermalDischargeFactor</t>
  </si>
  <si>
    <t>Discharge coefficient during the heating season</t>
  </si>
  <si>
    <t>IL TRM v8 volume 2 C&amp;I 4.4.33 Industrial Air Curtain. Assumes diagonal wind. Calculated by formula: 0.4+0.0025*ABS(TempIndoor - TempOutdoor)</t>
  </si>
  <si>
    <t>CurtainEffectiveness</t>
  </si>
  <si>
    <t>Effectiveness of air curtain</t>
  </si>
  <si>
    <t>IL TRM v8 volume 2 C&amp;I 4.4.33 Industrial Air Curtain.</t>
  </si>
  <si>
    <t>TempIndoor</t>
  </si>
  <si>
    <t>Average indoor air temperature during heating season</t>
  </si>
  <si>
    <t>Specified by drop-down in 'TempSetpoint' variable.</t>
  </si>
  <si>
    <t>TempOutdoor</t>
  </si>
  <si>
    <t>Average outdoor temp during heating season</t>
  </si>
  <si>
    <t>Climate data (see for source): OutdoorTemperature (region)</t>
  </si>
  <si>
    <t>Rankine_per_Fahrenheit</t>
  </si>
  <si>
    <t>R</t>
  </si>
  <si>
    <t>Known conversion from F to R (add)</t>
  </si>
  <si>
    <t>Height_Doorway</t>
  </si>
  <si>
    <t>Characteristics of Air Curtains by Door Size</t>
  </si>
  <si>
    <t>Fan Horsepower</t>
  </si>
  <si>
    <t>8’w x 8’h</t>
  </si>
  <si>
    <t>10’w x 10’h</t>
  </si>
  <si>
    <t>10’w x 12’h</t>
  </si>
  <si>
    <t>12’w x 14’h</t>
  </si>
  <si>
    <t>16’w x 16’h</t>
  </si>
  <si>
    <t>Indoor Setpoint Temperature</t>
  </si>
  <si>
    <t>Temperature</t>
  </si>
  <si>
    <t>45 °F</t>
  </si>
  <si>
    <t>55 °F</t>
  </si>
  <si>
    <t>60 °F</t>
  </si>
  <si>
    <t>65 °F</t>
  </si>
  <si>
    <t>GravityConstant</t>
  </si>
  <si>
    <t>ft / sec^2</t>
  </si>
  <si>
    <t>This measure is a custom measure
Eligibility requirements to be determined</t>
  </si>
  <si>
    <t>Alternative Energy</t>
  </si>
  <si>
    <t>Electric Vehicle</t>
  </si>
  <si>
    <t>Global Variables</t>
  </si>
  <si>
    <t>Economic Factors</t>
  </si>
  <si>
    <t>Discount Rate</t>
  </si>
  <si>
    <r>
      <rPr>
        <b/>
        <sz val="11"/>
        <rFont val="Calibri"/>
        <family val="2"/>
        <scheme val="minor"/>
      </rPr>
      <t>Discount Rate</t>
    </r>
    <r>
      <rPr>
        <sz val="11"/>
        <rFont val="Calibri"/>
        <family val="2"/>
        <scheme val="minor"/>
      </rPr>
      <t>: Nominal (all values in cash flow in year-of currency)</t>
    </r>
  </si>
  <si>
    <t>Discount.Rate.Nominal</t>
  </si>
  <si>
    <t>From Potential Study</t>
  </si>
  <si>
    <r>
      <rPr>
        <b/>
        <sz val="11"/>
        <rFont val="Calibri"/>
        <family val="2"/>
        <scheme val="minor"/>
      </rPr>
      <t>Discount Rate:</t>
    </r>
    <r>
      <rPr>
        <sz val="11"/>
        <rFont val="Calibri"/>
        <family val="2"/>
        <scheme val="minor"/>
      </rPr>
      <t xml:space="preserve"> Real (all values in cash flow in present day currency)</t>
    </r>
  </si>
  <si>
    <t>Discount.Rate.Real</t>
  </si>
  <si>
    <t>Discounted by inflation</t>
  </si>
  <si>
    <r>
      <rPr>
        <b/>
        <sz val="11"/>
        <rFont val="Calibri"/>
        <family val="2"/>
        <scheme val="minor"/>
      </rPr>
      <t xml:space="preserve">Inflation: </t>
    </r>
    <r>
      <rPr>
        <sz val="11"/>
        <rFont val="Calibri"/>
        <family val="2"/>
        <scheme val="minor"/>
      </rPr>
      <t>Approximate inflation rate assumed</t>
    </r>
  </si>
  <si>
    <t>Inflation</t>
  </si>
  <si>
    <t xml:space="preserve">Assumption. Bank of Canada's target.  http://www.bankofcanada.ca/rates/indicators/key-variables/inflation-control-target/ </t>
  </si>
  <si>
    <t>EE Jobs and GDP</t>
  </si>
  <si>
    <t xml:space="preserve">Job-years per MW of Residential Solar Installed </t>
  </si>
  <si>
    <t>JobFactor.Solar.R</t>
  </si>
  <si>
    <t>Pembina Institute. Job Growth in Clean Energy: Employment in Alberta’s emerging renewable and energy efficiency sectors.</t>
  </si>
  <si>
    <t>Job-years per MW of Commercial Solar Installed</t>
  </si>
  <si>
    <t>JobFactor.Solar.C</t>
  </si>
  <si>
    <t>Job-years per MW of R+C Solar Installed</t>
  </si>
  <si>
    <t>JobFactor.Solar</t>
  </si>
  <si>
    <t>Calculated</t>
  </si>
  <si>
    <t>Job-years per $1 of EE Program Spending (natural gas)</t>
  </si>
  <si>
    <t>JobFactor.NG</t>
  </si>
  <si>
    <t>Energy Efficiency Engine of Economic Growth in Canada (Acadia) - pg 50, average of NG and Elect BAU+ numbers</t>
  </si>
  <si>
    <t>Job-years per $1 of EE Program Spending (electricity)</t>
  </si>
  <si>
    <t>JobFactor.E</t>
  </si>
  <si>
    <t>GDP ($) per $1 of Program Spending (natural gas)</t>
  </si>
  <si>
    <t>GDPFactor.NG</t>
  </si>
  <si>
    <t>Energy Efficiency Engine of Economic Growth in Canada (Acadia): pg 50, average of NG and Elect BAU+ numbers</t>
  </si>
  <si>
    <t>GDP ($) per $1 of Program Spending (electricity)</t>
  </si>
  <si>
    <t>GDPFactor.E</t>
  </si>
  <si>
    <t xml:space="preserve">GDP ($) per MW of Residential+Commercial Solar Installed </t>
  </si>
  <si>
    <t>GDPFactor.Solar</t>
  </si>
  <si>
    <t>Market Analysis of Ontario's Renewable Energy Sector (Compass RE Consulting, 2017): page 25. 1,031 $ million (2012) for 1,140 MW installed</t>
  </si>
  <si>
    <t>Additional Sources for Economic Impact</t>
  </si>
  <si>
    <t>Garrett-Peltier, H., 2017. Green versus brown: Comparing the employment impacts of energy efficiency, renewable energy, and fossil fuels using an input-outputmodel. Economic Modelling 61, 439–447. https://doi.org/10.1016/j.econmod.2016.11.012; Burr, A., Majersik, C., Stellberg, S., &amp; Garrett-Peltier, H. (2012). Analysis of job creation and energy cost savings from building energy rating and disclosure policy. Institute for Market Transformation and Political Economy Research Institute; Dunsky Energy Consulting, 2018. The economic impact of improved energy efficiency in Canada: Employment and other economic outcomes from the Pan-Canadian Framework’s energy efficiency measures. Clean Energy Canada and Efficiency Canada, Vancouver, BC.</t>
  </si>
  <si>
    <t>GHG Emissions Factors for Fuels</t>
  </si>
  <si>
    <t>T&amp;D Losses</t>
  </si>
  <si>
    <t>T&amp;D losses: Electricity</t>
  </si>
  <si>
    <t>LineLoss.E</t>
  </si>
  <si>
    <t xml:space="preserve">Carbon Offset Emissions Handbook, March 2015, Table 3, Page 6. </t>
  </si>
  <si>
    <t>T&amp;D losses: Natural gas</t>
  </si>
  <si>
    <t>LineLoss.NG</t>
  </si>
  <si>
    <t>Professional judgement</t>
  </si>
  <si>
    <t xml:space="preserve">     </t>
  </si>
  <si>
    <t>Natural Gas: GHG emissions (tCO2e / GJ "at meter")</t>
  </si>
  <si>
    <t>GHG.NG</t>
  </si>
  <si>
    <t>Carbon Offset Emissions Handbook, March 2015, Table 1 and 6. Calculation: 1,918 gCO2/m3 * 1 + 0.04 gCH4/m3 * 25 + 0.04 gN20/m3 * 298</t>
  </si>
  <si>
    <t>Electricity GHG Factors</t>
  </si>
  <si>
    <t>Electricity: FY 2017-19 GHG emissions (tCO2e/kWh "at meter")</t>
  </si>
  <si>
    <t>GHG.E.FY17</t>
  </si>
  <si>
    <t>Carbon Offset Emissions Handbook, March 2015, Table 2, Page 6. (tCO2e/ kWh at meter)</t>
  </si>
  <si>
    <t>Electricity: FY 2019-Present GHG emissions (tCO2e/kWh "at meter")</t>
  </si>
  <si>
    <t>GHG.E</t>
  </si>
  <si>
    <t>Carbon Offset Emissions Handbook, 2019.  (tCO2e/ kWh at meter)</t>
  </si>
  <si>
    <t>Conversion Factors</t>
  </si>
  <si>
    <t>Energy content (kWh / GJ)</t>
  </si>
  <si>
    <t>kWh_per_GJ</t>
  </si>
  <si>
    <t>Known constant/conversion factor</t>
  </si>
  <si>
    <t>Energy content (GJ / kWh)</t>
  </si>
  <si>
    <t>Energy content (GJ / BTU)</t>
  </si>
  <si>
    <t>GJ_per_BTU</t>
  </si>
  <si>
    <t>Energy content (kWh / BTU)</t>
  </si>
  <si>
    <t>kWh_per_BTU</t>
  </si>
  <si>
    <t>Energy content (BTU / kWh)</t>
  </si>
  <si>
    <t>Energy content (GJ / MCF of natural gas)</t>
  </si>
  <si>
    <t>GJ_per_MCF</t>
  </si>
  <si>
    <t>Energy content (GJ / m^3 of natural gas)</t>
  </si>
  <si>
    <t>GJ_per_m3</t>
  </si>
  <si>
    <t>Government of Alberta (carbon price calculation)</t>
  </si>
  <si>
    <t>Energy content (GJ / Therm)</t>
  </si>
  <si>
    <t>GJ_per_Therm</t>
  </si>
  <si>
    <t>Energy content (GJ / MWh)</t>
  </si>
  <si>
    <t>GJ_per_MWh</t>
  </si>
  <si>
    <t>Energy content (kW / Horsepower)</t>
  </si>
  <si>
    <t>Temperature change (delta C / delta F)</t>
  </si>
  <si>
    <t>DeltaC_per_DeltaF</t>
  </si>
  <si>
    <t>Exchange rate in 2019 (CAD / USD)</t>
  </si>
  <si>
    <t>CAD_per_USD</t>
  </si>
  <si>
    <t>US to CAD Exchange Rate from Bank of Canada for 2019.</t>
  </si>
  <si>
    <t>Time (day / year)</t>
  </si>
  <si>
    <t>Days_per_Year</t>
  </si>
  <si>
    <t>Time (hour / day)</t>
  </si>
  <si>
    <t>Time (hour / year)</t>
  </si>
  <si>
    <t>Hours_per_Year</t>
  </si>
  <si>
    <t>Time (minute / hour)</t>
  </si>
  <si>
    <t>Minutes_per_Hour</t>
  </si>
  <si>
    <t>Time (seconds / minute)</t>
  </si>
  <si>
    <t>Seconds_per_Minute</t>
  </si>
  <si>
    <t>Volume of Water (Litre / U.S. Gallon)</t>
  </si>
  <si>
    <t>Litre_per_Gallon</t>
  </si>
  <si>
    <t>Volume of Water (m^3 / U.S. Gallon)</t>
  </si>
  <si>
    <t>m3_per_Gallon</t>
  </si>
  <si>
    <t>Volume of Water (Litre / m^3)</t>
  </si>
  <si>
    <t>Litre_per_m3</t>
  </si>
  <si>
    <t>Rate (ft/minute / miles/hour)</t>
  </si>
  <si>
    <t>FPM_per_MPH</t>
  </si>
  <si>
    <t>Equivalency Factors</t>
  </si>
  <si>
    <r>
      <rPr>
        <b/>
        <sz val="11"/>
        <rFont val="Calibri"/>
        <family val="2"/>
        <scheme val="minor"/>
      </rPr>
      <t>Residential</t>
    </r>
    <r>
      <rPr>
        <sz val="11"/>
        <rFont val="Calibri"/>
        <family val="2"/>
        <scheme val="minor"/>
      </rPr>
      <t>: natural gas consumption (GJ / home)</t>
    </r>
  </si>
  <si>
    <t>Consumption.R.NG</t>
  </si>
  <si>
    <t>National Energy Use Database (Natural Resources Canada). Alberta, Residential Sector, Table 6 &amp; 15.</t>
  </si>
  <si>
    <r>
      <rPr>
        <b/>
        <sz val="11"/>
        <rFont val="Calibri"/>
        <family val="2"/>
        <scheme val="minor"/>
      </rPr>
      <t>Residential:</t>
    </r>
    <r>
      <rPr>
        <sz val="11"/>
        <rFont val="Calibri"/>
        <family val="2"/>
        <scheme val="minor"/>
      </rPr>
      <t xml:space="preserve"> electricity consumption (kWh / home)</t>
    </r>
  </si>
  <si>
    <t>Consumption.R.E</t>
  </si>
  <si>
    <t>Calculation from 600 kWh/month * 12 months/year. Alberta Energy. Electricity FAQs.</t>
  </si>
  <si>
    <r>
      <rPr>
        <b/>
        <sz val="11"/>
        <rFont val="Calibri"/>
        <family val="2"/>
        <scheme val="minor"/>
      </rPr>
      <t>Residential</t>
    </r>
    <r>
      <rPr>
        <sz val="11"/>
        <rFont val="Calibri"/>
        <family val="2"/>
        <scheme val="minor"/>
      </rPr>
      <t>: total energy consumption (GJ_elec+gas / home)</t>
    </r>
  </si>
  <si>
    <t>Consumption.R</t>
  </si>
  <si>
    <t>Calculated from other constants</t>
  </si>
  <si>
    <r>
      <rPr>
        <b/>
        <sz val="11"/>
        <rFont val="Calibri"/>
        <family val="2"/>
        <scheme val="minor"/>
      </rPr>
      <t>GHG Emissions:</t>
    </r>
    <r>
      <rPr>
        <sz val="11"/>
        <rFont val="Calibri"/>
        <family val="2"/>
        <scheme val="minor"/>
      </rPr>
      <t xml:space="preserve"> Passenger vehicles driven for one year (vehicles / tCO2e)</t>
    </r>
  </si>
  <si>
    <t>Equivalent.Cars</t>
  </si>
  <si>
    <t>EPA Greenhouse Gas Equivalencies Calculator</t>
  </si>
  <si>
    <r>
      <rPr>
        <b/>
        <sz val="11"/>
        <rFont val="Calibri"/>
        <family val="2"/>
        <scheme val="minor"/>
      </rPr>
      <t>Water:</t>
    </r>
    <r>
      <rPr>
        <sz val="11"/>
        <rFont val="Calibri"/>
        <family val="2"/>
        <scheme val="minor"/>
      </rPr>
      <t xml:space="preserve"> Olympic swimming pool volume (olympic pool / m3)</t>
    </r>
  </si>
  <si>
    <t>Equivalent.Pools</t>
  </si>
  <si>
    <t>Federation Internationale de Natation. FINA Facilities Rules (2017).</t>
  </si>
  <si>
    <t>Constants</t>
  </si>
  <si>
    <r>
      <rPr>
        <b/>
        <sz val="11"/>
        <rFont val="Calibri"/>
        <family val="2"/>
        <scheme val="minor"/>
      </rPr>
      <t>Air:</t>
    </r>
    <r>
      <rPr>
        <sz val="11"/>
        <rFont val="Calibri"/>
        <family val="2"/>
        <scheme val="minor"/>
      </rPr>
      <t xml:space="preserve"> Ambient air temperature (Kelvin, K)</t>
    </r>
  </si>
  <si>
    <t>Air.T.Ambient.K</t>
  </si>
  <si>
    <r>
      <rPr>
        <b/>
        <sz val="11"/>
        <rFont val="Calibri"/>
        <family val="2"/>
        <scheme val="minor"/>
      </rPr>
      <t>Air</t>
    </r>
    <r>
      <rPr>
        <sz val="11"/>
        <rFont val="Calibri"/>
        <family val="2"/>
        <scheme val="minor"/>
      </rPr>
      <t>: Indoor temperature (°F)</t>
    </r>
  </si>
  <si>
    <t>Air.T.Indoor.IMP</t>
  </si>
  <si>
    <t>Equal to 20 °C, a typical indoor setpoint temperature</t>
  </si>
  <si>
    <r>
      <rPr>
        <b/>
        <sz val="11"/>
        <rFont val="Calibri"/>
        <family val="2"/>
        <scheme val="minor"/>
      </rPr>
      <t>Air</t>
    </r>
    <r>
      <rPr>
        <sz val="11"/>
        <rFont val="Calibri"/>
        <family val="2"/>
        <scheme val="minor"/>
      </rPr>
      <t>: Indoor temperature (°C)</t>
    </r>
  </si>
  <si>
    <t>Air.T.Indoor.SI</t>
  </si>
  <si>
    <r>
      <rPr>
        <b/>
        <sz val="11"/>
        <rFont val="Calibri"/>
        <family val="2"/>
        <scheme val="minor"/>
      </rPr>
      <t>Air</t>
    </r>
    <r>
      <rPr>
        <sz val="11"/>
        <rFont val="Calibri"/>
        <family val="2"/>
        <scheme val="minor"/>
      </rPr>
      <t>: Sensible heat of air (BTU/hour / °F-CFM)</t>
    </r>
  </si>
  <si>
    <t>Air.HeatCapacity.IMP</t>
  </si>
  <si>
    <r>
      <rPr>
        <b/>
        <sz val="11"/>
        <rFont val="Calibri"/>
        <family val="2"/>
        <scheme val="minor"/>
      </rPr>
      <t>Water:</t>
    </r>
    <r>
      <rPr>
        <sz val="11"/>
        <rFont val="Calibri"/>
        <family val="2"/>
        <scheme val="minor"/>
      </rPr>
      <t xml:space="preserve"> Specific weight of water (lbs/gal)</t>
    </r>
  </si>
  <si>
    <t>Water.Density.IMP</t>
  </si>
  <si>
    <r>
      <rPr>
        <b/>
        <sz val="11"/>
        <color theme="1"/>
        <rFont val="Calibri"/>
        <family val="2"/>
        <scheme val="minor"/>
      </rPr>
      <t>Water:</t>
    </r>
    <r>
      <rPr>
        <sz val="11"/>
        <color theme="1"/>
        <rFont val="Calibri"/>
        <family val="2"/>
        <scheme val="minor"/>
      </rPr>
      <t xml:space="preserve"> Specific weight of water (kg/m^3)</t>
    </r>
  </si>
  <si>
    <t>Water.Density.SI</t>
  </si>
  <si>
    <r>
      <rPr>
        <b/>
        <sz val="11"/>
        <rFont val="Calibri"/>
        <family val="2"/>
        <scheme val="minor"/>
      </rPr>
      <t>Water</t>
    </r>
    <r>
      <rPr>
        <sz val="11"/>
        <rFont val="Calibri"/>
        <family val="2"/>
        <scheme val="minor"/>
      </rPr>
      <t>: Heat capacity of water (BTU/lb-°F)</t>
    </r>
  </si>
  <si>
    <t>Water.HeatCapacity.IMP</t>
  </si>
  <si>
    <r>
      <rPr>
        <b/>
        <sz val="11"/>
        <rFont val="Calibri"/>
        <family val="2"/>
        <scheme val="minor"/>
      </rPr>
      <t>Water</t>
    </r>
    <r>
      <rPr>
        <sz val="11"/>
        <rFont val="Calibri"/>
        <family val="2"/>
        <scheme val="minor"/>
      </rPr>
      <t>: Heat capacity of water (GJ / °C / kg)</t>
    </r>
  </si>
  <si>
    <t>Water.HeatCapacity.SI</t>
  </si>
  <si>
    <r>
      <rPr>
        <b/>
        <sz val="11"/>
        <rFont val="Calibri"/>
        <family val="2"/>
        <scheme val="minor"/>
      </rPr>
      <t>Water:</t>
    </r>
    <r>
      <rPr>
        <sz val="11"/>
        <rFont val="Calibri"/>
        <family val="2"/>
        <scheme val="minor"/>
      </rPr>
      <t xml:space="preserve"> Domestic hot water temperature (°F)</t>
    </r>
  </si>
  <si>
    <t>Water.T.DHW.IMP</t>
  </si>
  <si>
    <t>IL TRM v7 page 831 of 1092; IL TRM page 117 of 1184.</t>
  </si>
  <si>
    <r>
      <rPr>
        <b/>
        <sz val="11"/>
        <color theme="1"/>
        <rFont val="Calibri"/>
        <family val="2"/>
        <scheme val="minor"/>
      </rPr>
      <t>Water:</t>
    </r>
    <r>
      <rPr>
        <sz val="11"/>
        <color theme="1"/>
        <rFont val="Calibri"/>
        <family val="2"/>
        <scheme val="minor"/>
      </rPr>
      <t xml:space="preserve"> Domestic hot water temperature (°C)</t>
    </r>
  </si>
  <si>
    <t>Water.T.DHW.SI</t>
  </si>
  <si>
    <t>IL TRM v7 page 831 of 1092. Converted to C</t>
  </si>
  <si>
    <r>
      <rPr>
        <b/>
        <sz val="11"/>
        <color theme="1"/>
        <rFont val="Calibri"/>
        <family val="2"/>
        <scheme val="minor"/>
      </rPr>
      <t>Global:</t>
    </r>
    <r>
      <rPr>
        <sz val="11"/>
        <color theme="1"/>
        <rFont val="Calibri"/>
        <family val="2"/>
        <scheme val="minor"/>
      </rPr>
      <t xml:space="preserve"> gravity (ft/s^2)</t>
    </r>
  </si>
  <si>
    <t>Gravity.IMP</t>
  </si>
  <si>
    <t>Residential Defaults</t>
  </si>
  <si>
    <r>
      <rPr>
        <b/>
        <sz val="11"/>
        <rFont val="Calibri"/>
        <family val="2"/>
        <scheme val="minor"/>
      </rPr>
      <t>Water Heating:</t>
    </r>
    <r>
      <rPr>
        <sz val="11"/>
        <rFont val="Calibri"/>
        <family val="2"/>
        <scheme val="minor"/>
      </rPr>
      <t xml:space="preserve"> Share of electric water heating (of total)</t>
    </r>
  </si>
  <si>
    <t>WaterHeatingShare.R.E</t>
  </si>
  <si>
    <t>RNC Past Program Data Analysis, 2019</t>
  </si>
  <si>
    <r>
      <rPr>
        <b/>
        <sz val="11"/>
        <rFont val="Calibri"/>
        <family val="2"/>
        <scheme val="minor"/>
      </rPr>
      <t>Water Heating:</t>
    </r>
    <r>
      <rPr>
        <sz val="11"/>
        <rFont val="Calibri"/>
        <family val="2"/>
        <scheme val="minor"/>
      </rPr>
      <t xml:space="preserve"> Share of natural gas water heating (of total)</t>
    </r>
  </si>
  <si>
    <t>WaterHeatingShare.R.NG</t>
  </si>
  <si>
    <r>
      <rPr>
        <b/>
        <sz val="11"/>
        <rFont val="Calibri"/>
        <family val="2"/>
        <scheme val="minor"/>
      </rPr>
      <t>Water Heating:</t>
    </r>
    <r>
      <rPr>
        <sz val="11"/>
        <rFont val="Calibri"/>
        <family val="2"/>
        <scheme val="minor"/>
      </rPr>
      <t xml:space="preserve"> Water use per person per day (Litres / person / day)</t>
    </r>
  </si>
  <si>
    <t>WaterUsePersonDay.R</t>
  </si>
  <si>
    <t>IL TRM v8 volume 3 Res 5.4.3 Heat Pump Water Heater</t>
  </si>
  <si>
    <r>
      <rPr>
        <b/>
        <sz val="11"/>
        <rFont val="Calibri"/>
        <family val="2"/>
        <scheme val="minor"/>
      </rPr>
      <t>Space Heating:</t>
    </r>
    <r>
      <rPr>
        <sz val="11"/>
        <rFont val="Calibri"/>
        <family val="2"/>
        <scheme val="minor"/>
      </rPr>
      <t xml:space="preserve"> Share of electric space heating (of total)</t>
    </r>
  </si>
  <si>
    <t>SpaceHeatingShare.R.E</t>
  </si>
  <si>
    <r>
      <rPr>
        <b/>
        <sz val="11"/>
        <rFont val="Calibri"/>
        <family val="2"/>
        <scheme val="minor"/>
      </rPr>
      <t>Space Heating:</t>
    </r>
    <r>
      <rPr>
        <sz val="11"/>
        <rFont val="Calibri"/>
        <family val="2"/>
        <scheme val="minor"/>
      </rPr>
      <t xml:space="preserve"> Share of natural gas space heating (of total)</t>
    </r>
  </si>
  <si>
    <t>SpaceHeatingShare.R.NG</t>
  </si>
  <si>
    <r>
      <rPr>
        <b/>
        <sz val="11"/>
        <rFont val="Calibri"/>
        <family val="2"/>
        <scheme val="minor"/>
      </rPr>
      <t>Space Cooling:</t>
    </r>
    <r>
      <rPr>
        <sz val="11"/>
        <rFont val="Calibri"/>
        <family val="2"/>
        <scheme val="minor"/>
      </rPr>
      <t xml:space="preserve"> Share of electric cooling installed (of total)</t>
    </r>
  </si>
  <si>
    <t>SpaceCoolingShare.R.E</t>
  </si>
  <si>
    <t>Table 153-0147 Households and the environment survey, air conditioners, Canada, provinces and census metropolitan areas (CMA), every 2 years (percent)(1). Source: Statistics Canada, Environment, Energy and Transportation Statistics Division</t>
  </si>
  <si>
    <r>
      <rPr>
        <b/>
        <sz val="11"/>
        <rFont val="Calibri"/>
        <family val="2"/>
        <scheme val="minor"/>
      </rPr>
      <t>Lighting:</t>
    </r>
    <r>
      <rPr>
        <sz val="11"/>
        <rFont val="Calibri"/>
        <family val="2"/>
        <scheme val="minor"/>
      </rPr>
      <t xml:space="preserve"> Lighting average hours of use per day (hours)</t>
    </r>
  </si>
  <si>
    <t>LightingUseDay.R</t>
  </si>
  <si>
    <t>Instant Savings NS assumption; daily</t>
  </si>
  <si>
    <t>Residential Baseline Conditions</t>
  </si>
  <si>
    <r>
      <rPr>
        <b/>
        <sz val="11"/>
        <rFont val="Calibri"/>
        <family val="2"/>
        <scheme val="minor"/>
      </rPr>
      <t>Space Heating:</t>
    </r>
    <r>
      <rPr>
        <sz val="11"/>
        <rFont val="Calibri"/>
        <family val="2"/>
        <scheme val="minor"/>
      </rPr>
      <t xml:space="preserve"> natural gas furnace/boiler baseline efficiency (AFUE)</t>
    </r>
  </si>
  <si>
    <t>SpaceHeatingEfficiency.R.NG</t>
  </si>
  <si>
    <t>2014 ATCO Potential Study</t>
  </si>
  <si>
    <r>
      <rPr>
        <b/>
        <sz val="11"/>
        <color theme="1"/>
        <rFont val="Calibri"/>
        <family val="2"/>
        <scheme val="minor"/>
      </rPr>
      <t>Space Heating:</t>
    </r>
    <r>
      <rPr>
        <sz val="11"/>
        <color theme="1"/>
        <rFont val="Calibri"/>
        <family val="2"/>
        <scheme val="minor"/>
      </rPr>
      <t xml:space="preserve"> air source heat pump baseline efficiency (COP)</t>
    </r>
  </si>
  <si>
    <t>SpaceHeatingEfficiency.R.COP</t>
  </si>
  <si>
    <r>
      <rPr>
        <b/>
        <sz val="11"/>
        <rFont val="Calibri"/>
        <family val="2"/>
        <scheme val="minor"/>
      </rPr>
      <t>Space Heating:</t>
    </r>
    <r>
      <rPr>
        <sz val="11"/>
        <rFont val="Calibri"/>
        <family val="2"/>
        <scheme val="minor"/>
      </rPr>
      <t xml:space="preserve"> electric unkown type baseline efficiency</t>
    </r>
  </si>
  <si>
    <t>SpaceHeatingEfficiency.R.E</t>
  </si>
  <si>
    <t>IL TRM v8 volume 3 Res 5.6.4 Wall Insulation (unknown mix of heat pump and electric resistance)</t>
  </si>
  <si>
    <r>
      <rPr>
        <b/>
        <sz val="11"/>
        <rFont val="Calibri"/>
        <family val="2"/>
        <scheme val="minor"/>
      </rPr>
      <t>Space Cooling:</t>
    </r>
    <r>
      <rPr>
        <sz val="11"/>
        <rFont val="Calibri"/>
        <family val="2"/>
        <scheme val="minor"/>
      </rPr>
      <t xml:space="preserve">  electric air conditioner baseline efficiency (SEER)</t>
    </r>
  </si>
  <si>
    <t>SpaceCoolingEfficiency.R.SEER</t>
  </si>
  <si>
    <t>IL TRM v7 volume 3: Res. Central Air Conditioner. Page 722 of 1092. Defaults.</t>
  </si>
  <si>
    <r>
      <rPr>
        <b/>
        <sz val="11"/>
        <rFont val="Calibri"/>
        <family val="2"/>
        <scheme val="minor"/>
      </rPr>
      <t>Water Heating:</t>
    </r>
    <r>
      <rPr>
        <sz val="11"/>
        <rFont val="Calibri"/>
        <family val="2"/>
        <scheme val="minor"/>
      </rPr>
      <t xml:space="preserve"> natural gas storage water heater baseline efficiency (TE)</t>
    </r>
  </si>
  <si>
    <t>WaterHeatingEfficiency.R.NG</t>
  </si>
  <si>
    <t>RRP Past Program Data Analysis, 2019</t>
  </si>
  <si>
    <r>
      <rPr>
        <b/>
        <sz val="11"/>
        <rFont val="Calibri"/>
        <family val="2"/>
        <scheme val="minor"/>
      </rPr>
      <t>Water Heating:</t>
    </r>
    <r>
      <rPr>
        <sz val="11"/>
        <rFont val="Calibri"/>
        <family val="2"/>
        <scheme val="minor"/>
      </rPr>
      <t xml:space="preserve"> electric storage water heater baseline recovery efficiency (RE)</t>
    </r>
  </si>
  <si>
    <t>WaterHeatingRE.R.E</t>
  </si>
  <si>
    <t>IL TRM v7 page 831 of 1092</t>
  </si>
  <si>
    <r>
      <rPr>
        <b/>
        <sz val="11"/>
        <rFont val="Calibri"/>
        <family val="2"/>
        <scheme val="minor"/>
      </rPr>
      <t>Water Heating:</t>
    </r>
    <r>
      <rPr>
        <sz val="11"/>
        <rFont val="Calibri"/>
        <family val="2"/>
        <scheme val="minor"/>
      </rPr>
      <t xml:space="preserve"> electric storage water heater baseline efficiency (TE)</t>
    </r>
  </si>
  <si>
    <t>WaterHeatingEfficiency.R.E</t>
  </si>
  <si>
    <r>
      <rPr>
        <b/>
        <sz val="11"/>
        <color theme="1"/>
        <rFont val="Calibri"/>
        <family val="2"/>
        <scheme val="minor"/>
      </rPr>
      <t>Water Heating:</t>
    </r>
    <r>
      <rPr>
        <sz val="11"/>
        <color theme="1"/>
        <rFont val="Calibri"/>
        <family val="2"/>
        <scheme val="minor"/>
      </rPr>
      <t xml:space="preserve"> baseline flow rate of shower (Litres / minute)</t>
    </r>
  </si>
  <si>
    <t>WaterHeating.R.Shower.SI</t>
  </si>
  <si>
    <t>Missing source information. Possibly NRCan</t>
  </si>
  <si>
    <r>
      <rPr>
        <b/>
        <sz val="11"/>
        <color theme="1"/>
        <rFont val="Calibri"/>
        <family val="2"/>
        <scheme val="minor"/>
      </rPr>
      <t>Water Heating:</t>
    </r>
    <r>
      <rPr>
        <sz val="11"/>
        <color theme="1"/>
        <rFont val="Calibri"/>
        <family val="2"/>
        <scheme val="minor"/>
      </rPr>
      <t xml:space="preserve"> baseline flow rate of faucet (Litres / minute)</t>
    </r>
  </si>
  <si>
    <t>WaterHeating.R.Faucet.SI</t>
  </si>
  <si>
    <r>
      <rPr>
        <b/>
        <sz val="11"/>
        <color theme="1"/>
        <rFont val="Calibri"/>
        <family val="2"/>
        <scheme val="minor"/>
      </rPr>
      <t>Space Heating:</t>
    </r>
    <r>
      <rPr>
        <sz val="11"/>
        <color theme="1"/>
        <rFont val="Calibri"/>
        <family val="2"/>
        <scheme val="minor"/>
      </rPr>
      <t xml:space="preserve"> natural gas furnace/boiler baseline derating</t>
    </r>
  </si>
  <si>
    <t>SpaceHeatingDerating.R.NG</t>
  </si>
  <si>
    <t>IL TRM v8 volume 3 Res 5.3.7 Gas High Efficiency Furnace. Baseline furnace AFUE derating</t>
  </si>
  <si>
    <r>
      <rPr>
        <b/>
        <sz val="11"/>
        <color theme="1"/>
        <rFont val="Calibri"/>
        <family val="2"/>
        <scheme val="minor"/>
      </rPr>
      <t>Space Heating:</t>
    </r>
    <r>
      <rPr>
        <sz val="11"/>
        <color theme="1"/>
        <rFont val="Calibri"/>
        <family val="2"/>
        <scheme val="minor"/>
      </rPr>
      <t xml:space="preserve"> electric heat pump derating</t>
    </r>
  </si>
  <si>
    <t>SpaceHeatingDerating.R.HP</t>
  </si>
  <si>
    <t>IL TRM v8 volume 3 Res 5.3.1 Air Source Heat Pump. Baseline derating.</t>
  </si>
  <si>
    <r>
      <rPr>
        <b/>
        <sz val="11"/>
        <color theme="1"/>
        <rFont val="Calibri"/>
        <family val="2"/>
        <scheme val="minor"/>
      </rPr>
      <t>Space Cooling:</t>
    </r>
    <r>
      <rPr>
        <sz val="11"/>
        <color theme="1"/>
        <rFont val="Calibri"/>
        <family val="2"/>
        <scheme val="minor"/>
      </rPr>
      <t xml:space="preserve">  electric air conditioner baseline efficiency (COP)</t>
    </r>
  </si>
  <si>
    <t>SpaceCoolingEfficiency.R.COP</t>
  </si>
  <si>
    <t>Commercial Defaults</t>
  </si>
  <si>
    <r>
      <rPr>
        <b/>
        <sz val="11"/>
        <rFont val="Calibri"/>
        <family val="2"/>
        <scheme val="minor"/>
      </rPr>
      <t>Space Heating</t>
    </r>
    <r>
      <rPr>
        <sz val="11"/>
        <rFont val="Calibri"/>
        <family val="2"/>
        <scheme val="minor"/>
      </rPr>
      <t>: share of natural gas water heating (of total)</t>
    </r>
  </si>
  <si>
    <t>WaterHeatingShare.CI.NG</t>
  </si>
  <si>
    <r>
      <rPr>
        <b/>
        <sz val="11"/>
        <rFont val="Calibri"/>
        <family val="2"/>
        <scheme val="minor"/>
      </rPr>
      <t>Space Heating:</t>
    </r>
    <r>
      <rPr>
        <sz val="11"/>
        <rFont val="Calibri"/>
        <family val="2"/>
        <scheme val="minor"/>
      </rPr>
      <t xml:space="preserve"> share of electric water heating (of total)</t>
    </r>
  </si>
  <si>
    <t>WaterHeatingShare.CI.E</t>
  </si>
  <si>
    <t>Commercial Baseline Conditions</t>
  </si>
  <si>
    <t>WaterHeatingEfficiency.CI.NG</t>
  </si>
  <si>
    <t>BES Past Program Data Analysis, 2019</t>
  </si>
  <si>
    <t>WaterHeatingEfficiency.CI.E</t>
  </si>
  <si>
    <t>WaterHeating.CI.Shower.SI</t>
  </si>
  <si>
    <t>Equal to residential information.</t>
  </si>
  <si>
    <t>WaterHeating.CI.Faucet.SI</t>
  </si>
  <si>
    <r>
      <rPr>
        <b/>
        <sz val="11"/>
        <rFont val="Calibri"/>
        <family val="2"/>
        <scheme val="minor"/>
      </rPr>
      <t>Space Heating:</t>
    </r>
    <r>
      <rPr>
        <sz val="11"/>
        <rFont val="Calibri"/>
        <family val="2"/>
        <scheme val="minor"/>
      </rPr>
      <t xml:space="preserve"> natural gas furnace baseline efficiency (AFUE)</t>
    </r>
  </si>
  <si>
    <t>SpaceHeatingEfficiency.CI.NG</t>
  </si>
  <si>
    <t>SpaceHeatingEfficiency.CI.E</t>
  </si>
  <si>
    <t>IL TRM v8 volume 2 C&amp;I 4.4.34 Destratification Fan (unknown mix of heat pump and electric resistance)</t>
  </si>
  <si>
    <r>
      <rPr>
        <b/>
        <sz val="11"/>
        <rFont val="Calibri"/>
        <family val="2"/>
        <scheme val="minor"/>
      </rPr>
      <t>Space Cooling:</t>
    </r>
    <r>
      <rPr>
        <sz val="11"/>
        <rFont val="Calibri"/>
        <family val="2"/>
        <scheme val="minor"/>
      </rPr>
      <t xml:space="preserve">  electric air conditioner baseline efficiency (SEER and EER)</t>
    </r>
  </si>
  <si>
    <t>SpaceCoolingEfficiency.CI.SEER</t>
  </si>
  <si>
    <t>Canada’s Energy Efficiency Act (Act) and Energy Efficiency Regulations (the Regulations). Represenative of all types of cooling equipment</t>
  </si>
  <si>
    <r>
      <rPr>
        <b/>
        <sz val="11"/>
        <rFont val="Calibri"/>
        <family val="2"/>
        <scheme val="minor"/>
      </rPr>
      <t>Space Heating:</t>
    </r>
    <r>
      <rPr>
        <sz val="11"/>
        <rFont val="Calibri"/>
        <family val="2"/>
        <scheme val="minor"/>
      </rPr>
      <t xml:space="preserve"> electric heat pump heater baseline efficiency (COP)</t>
    </r>
  </si>
  <si>
    <t>SpaceHeatingEfficiency.CI.COP</t>
  </si>
  <si>
    <r>
      <rPr>
        <b/>
        <sz val="11"/>
        <color theme="1"/>
        <rFont val="Calibri"/>
        <family val="2"/>
        <scheme val="minor"/>
      </rPr>
      <t>Space Heating:</t>
    </r>
    <r>
      <rPr>
        <sz val="11"/>
        <color theme="1"/>
        <rFont val="Calibri"/>
        <family val="2"/>
        <scheme val="minor"/>
      </rPr>
      <t xml:space="preserve"> electric heat pump heater baseline efficiency (HSPF)</t>
    </r>
  </si>
  <si>
    <t>SpaceHeatingEfficiency.CI.HSPF</t>
  </si>
  <si>
    <t>Value of Energy Savings</t>
  </si>
  <si>
    <t>Value of Energy Savings Settings</t>
  </si>
  <si>
    <t>Base Year</t>
  </si>
  <si>
    <t>Year</t>
  </si>
  <si>
    <t>From 'Dashboard'</t>
  </si>
  <si>
    <t>SavingsType</t>
  </si>
  <si>
    <t>Avoided Costs from EEA Calculator</t>
  </si>
  <si>
    <t>Used for lookup</t>
  </si>
  <si>
    <t>Lifetime of Project in Years</t>
  </si>
  <si>
    <t>Electricity ($/kWh)</t>
  </si>
  <si>
    <t>Natural Gas ($/GJ)</t>
  </si>
  <si>
    <t>GHG ($/tCO2e)</t>
  </si>
  <si>
    <t>INDEX</t>
  </si>
  <si>
    <t>SECTOR</t>
  </si>
  <si>
    <t>LIFETIME</t>
  </si>
  <si>
    <t>ELECTRICITY</t>
  </si>
  <si>
    <t>NG</t>
  </si>
  <si>
    <t>GHG</t>
  </si>
  <si>
    <t>Industrial</t>
  </si>
  <si>
    <t>Climate Zone Data by Region</t>
  </si>
  <si>
    <r>
      <rPr>
        <b/>
        <sz val="11"/>
        <color rgb="FF000000"/>
        <rFont val="Calibri"/>
        <family val="2"/>
        <scheme val="minor"/>
      </rPr>
      <t>Source</t>
    </r>
    <r>
      <rPr>
        <sz val="11"/>
        <color rgb="FF000000"/>
        <rFont val="Calibri"/>
        <family val="2"/>
        <scheme val="minor"/>
      </rPr>
      <t>: unless specified all tabled data is derived from the IL TRM v7 and 8 scaled up/down using HDD and CDD specific to Alberta regions</t>
    </r>
  </si>
  <si>
    <t>Climate Data by EEA Region</t>
  </si>
  <si>
    <t>NRCan</t>
  </si>
  <si>
    <t>Summerhill, NRCan and ICF sourced representative values (degree C-days)</t>
  </si>
  <si>
    <t>Summerhill Calculators' water supply temperature (°C)</t>
  </si>
  <si>
    <t>Design conditions for Calgary (ASHRAE 2005 Fundamentals handbook).  (°C)</t>
  </si>
  <si>
    <t>CLIMATE_ZONE</t>
  </si>
  <si>
    <t>7A</t>
  </si>
  <si>
    <t>7B</t>
  </si>
  <si>
    <t>Equivalent Full Load Cooling (EFLC) hours by Building Type and Region</t>
  </si>
  <si>
    <t>Source:</t>
  </si>
  <si>
    <t>Accommodation - common area</t>
  </si>
  <si>
    <t>Apartment - common area</t>
  </si>
  <si>
    <t>Assembly</t>
  </si>
  <si>
    <t>Assisted living</t>
  </si>
  <si>
    <t>Garage</t>
  </si>
  <si>
    <t>Manufacturing facility</t>
  </si>
  <si>
    <t>Movie theater</t>
  </si>
  <si>
    <t>Pipeline transportation</t>
  </si>
  <si>
    <t>Religious building</t>
  </si>
  <si>
    <t>Resource extraction</t>
  </si>
  <si>
    <t>Utility service</t>
  </si>
  <si>
    <t>Waste management</t>
  </si>
  <si>
    <t>Wholesale trade</t>
  </si>
  <si>
    <t>Equivalent Full Load Heating (EFLH) hours by Building Type and Region</t>
  </si>
  <si>
    <t>Demand Control Ventilation - Cooling Savings Factors (kWh  / 1,000 ft^2 ) by EEA Region and Building Type</t>
  </si>
  <si>
    <t>DCV_Cooling_SF</t>
  </si>
  <si>
    <t/>
  </si>
  <si>
    <t>Demand Control Ventilation - Heating (Heat Pump) Savings Factor (kWh  / 1,000 ft^2) by EEA Region and Building Type</t>
  </si>
  <si>
    <t>DCV_Heating_HP_SF</t>
  </si>
  <si>
    <t>Demand Control Ventilation - Heating (Electric Resistance) Savings Factor (kWh  / 1,000 ft^2) by EEA Region and Building Type</t>
  </si>
  <si>
    <t>DCV_Heating_ER_SF</t>
  </si>
  <si>
    <t>Demand Control Ventilation - Heating (Natural Gas) Savings Factor ( GJ / 1,000 ft^2) by EEA Region and Building Type</t>
  </si>
  <si>
    <t>DCV_Heating_NG_SF</t>
  </si>
  <si>
    <t>Heat Load per CFM of Outdoor Air per Supply Air Temperature Requirement (°C) at 100% Fan Runtime (% of year)</t>
  </si>
  <si>
    <t>Source: IL TRM v8 volume 2 C&amp;I 4.4.37 Unitary HVAC Condensing Furnace. Using HDD55 tables, and adjusted to correspond with the operating hours fraction, and scaled to AB heating degree days (HDD)</t>
  </si>
  <si>
    <t>HDD @ 18C</t>
  </si>
  <si>
    <t>Degrees C</t>
  </si>
  <si>
    <t>Zone 1 (Rockford)</t>
  </si>
  <si>
    <t>24 °C</t>
  </si>
  <si>
    <t>35 °C</t>
  </si>
  <si>
    <t>41 °C</t>
  </si>
  <si>
    <t>Residential ECM Furnace Fan Savings (kWh / Ton of Cooling) * Note: 'Ton of Cooling' is used in ECM Motor for Residential Furnace algorithm regardless of whether cooling system is installed</t>
  </si>
  <si>
    <t>kWhSavingsPerTon</t>
  </si>
  <si>
    <t>Annual Heating Energy Required to Heat Fan Exhaust Make-Up Air for Kitchen Ventilation Only (BTU/CFM)</t>
  </si>
  <si>
    <t>Annual Heating Load</t>
  </si>
  <si>
    <t>Annual Refrigerator Economizer Operating Hours (when outside air is used in place of running compressor) (Hours)</t>
  </si>
  <si>
    <t>Annual Runtime Hours</t>
  </si>
  <si>
    <t>Heating Days per Year (Days)</t>
  </si>
  <si>
    <t>Indoor Setpoint</t>
  </si>
  <si>
    <t>Average outdoor temp during heating season by indoor setpoint (F)</t>
  </si>
  <si>
    <t>Average wind speed during the heating season (mph)</t>
  </si>
  <si>
    <t>Entryway Orientation</t>
  </si>
  <si>
    <t>North</t>
  </si>
  <si>
    <t>Wind speed correction factor due to wind direction in heating season (%)</t>
  </si>
  <si>
    <t>Specific Default Data per Building Type</t>
  </si>
  <si>
    <t>Values to be used as defaults for all measure protocols</t>
  </si>
  <si>
    <t>Source information corresponding to values</t>
  </si>
  <si>
    <t>Total Lighting Runtime Hours per year (hours)</t>
  </si>
  <si>
    <t>Total Operating Hours when Building is Occupied per year (hours)</t>
  </si>
  <si>
    <t>Average Floor Area (sq. feet)</t>
  </si>
  <si>
    <t>Annual Operating Hours of Hot Water Pump (hours)</t>
  </si>
  <si>
    <t>Annual Operating Hours of Water Pump and Cooling Tower Fan (hours)</t>
  </si>
  <si>
    <t>Annual Operating Hours of HVAC Supply and/or Return Fans (hours)</t>
  </si>
  <si>
    <t>Equivalent Full Load Heating and Cooling Hours by Climate Zone (hours)</t>
  </si>
  <si>
    <t>Lighting Interactive Effect for Heating and Cooling (%)</t>
  </si>
  <si>
    <t>Lighting Waste Heat Factor for Natural Gas heated buildings (GJ per kWh)</t>
  </si>
  <si>
    <t>% of Commercial Building Stock</t>
  </si>
  <si>
    <t>% of Residential Building Stock</t>
  </si>
  <si>
    <t>Minimum Heating Capacity (BTU / hour per ft^2)</t>
  </si>
  <si>
    <t>Water Load 
(Litre / ft^2)</t>
  </si>
  <si>
    <t>Average number of people per household (Only for Residential)</t>
  </si>
  <si>
    <t>Annual Operating Hours of Fans and Pumps (hours)</t>
  </si>
  <si>
    <t>Water Load, Days per Year</t>
  </si>
  <si>
    <t>Minimum Heating Capacity (kBtu/hr per 1,000 ft^2)</t>
  </si>
  <si>
    <t>Building</t>
  </si>
  <si>
    <t>Building Category</t>
  </si>
  <si>
    <t>EOrbit Building Type</t>
  </si>
  <si>
    <t>C_STOCK</t>
  </si>
  <si>
    <t>R_STOCK</t>
  </si>
  <si>
    <t>OPERATING_HOURS_SOURCE</t>
  </si>
  <si>
    <t>FLOOR_AREA_SOURCE</t>
  </si>
  <si>
    <t>COOLING_DRIVE_SOURCE</t>
  </si>
  <si>
    <t>FAN_DRIVE_SOURCE</t>
  </si>
  <si>
    <t>HOU_SOURCE</t>
  </si>
  <si>
    <t>EFLH_SOURCE</t>
  </si>
  <si>
    <t>EFLC_SOURCE</t>
  </si>
  <si>
    <t>IE_HEAT_SOURCE</t>
  </si>
  <si>
    <t>IE_COOL_SOURCE</t>
  </si>
  <si>
    <t>DRIVE_SOURCE</t>
  </si>
  <si>
    <t>WATER_SOURCE</t>
  </si>
  <si>
    <t>PEOPLE_SOURCE</t>
  </si>
  <si>
    <t>R_STOCK_SOURCE</t>
  </si>
  <si>
    <t>WATER_HEAT_CAP_SOURCE</t>
  </si>
  <si>
    <t>Accomodation</t>
  </si>
  <si>
    <t>Hotel/Motel</t>
  </si>
  <si>
    <t>Assumption</t>
  </si>
  <si>
    <t>A Process for Defining Prototype Building Models (Malhotra, 2019)</t>
  </si>
  <si>
    <t>ICF</t>
  </si>
  <si>
    <t>IL TRM v8 volume 2 C&amp;I</t>
  </si>
  <si>
    <t>MN TRM v 3 page 424 (January 2019)</t>
  </si>
  <si>
    <t>Average of Hotel and Motel values. US DOE Building America Program. Building America Analysis Spreadsheet. Standard Benchmark DHW Schedules http://www1.eere.energy.gov/building/building_america/analysis_spreadsheets.html. Average of Hotel and Motel building type.</t>
  </si>
  <si>
    <t>Multi-residential</t>
  </si>
  <si>
    <t>Multifamily Building - High-Rise</t>
  </si>
  <si>
    <t>StatCan (Living area and assessment value by property type)</t>
  </si>
  <si>
    <t>Multifamily Building - Mid-Rise</t>
  </si>
  <si>
    <t>Office of Energy Efficiency, NRCan</t>
  </si>
  <si>
    <t>Source: National Energy Use Database (Natural Resources Canada). Alberta, Residential Sector, Table 6 &amp; 15.</t>
  </si>
  <si>
    <t>IL TRM v8 Page 298 of 645</t>
  </si>
  <si>
    <t>A Look at the U.S. Commercial Building Stock (EIA, 2012)</t>
  </si>
  <si>
    <t>Assisted daily/residential care facility</t>
  </si>
  <si>
    <t>Assisted Living</t>
  </si>
  <si>
    <t>Food and beverage store</t>
  </si>
  <si>
    <t>Retail. US DOE Building America Program. Building America Analysis Spreadsheet. Standard Benchmark DHW Schedules http://www1.eere.energy.gov/building/building_america/analysis_spreadsheets.html. Average of Hotel and Motel building type.</t>
  </si>
  <si>
    <t>Office (medical)</t>
  </si>
  <si>
    <t>Healthcare Clinic</t>
  </si>
  <si>
    <t>PUC TRM Volume 3 Commercial and Industrial Measures (August 2019)</t>
  </si>
  <si>
    <t>Health. US DOE Building America Program. Building America Analysis Spreadsheet. Standard Benchmark DHW Schedules http://www1.eere.energy.gov/building/building_america/analysis_spreadsheets.html. Average of Hotel and Motel building type.</t>
  </si>
  <si>
    <t>Single-residential</t>
  </si>
  <si>
    <t>Dunsky</t>
  </si>
  <si>
    <t>Dunsky RNC program design (2017)</t>
  </si>
  <si>
    <t>IL TRM v 7 page 830 of 1092</t>
  </si>
  <si>
    <t>IL TRM v 7 page 830 of 1093</t>
  </si>
  <si>
    <t>Manufacturing</t>
  </si>
  <si>
    <t>Manufacturing Facility</t>
  </si>
  <si>
    <t>Movie theatre</t>
  </si>
  <si>
    <t>Movie Theater</t>
  </si>
  <si>
    <t>Other Commercial. US DOE Building America Program. Building America Analysis Spreadsheet. Standard Benchmark DHW Schedules http://www1.eere.energy.gov/building/building_america/analysis_spreadsheets.html. Average of Hotel and Motel building type.</t>
  </si>
  <si>
    <t>Office (non-medical)</t>
  </si>
  <si>
    <t>Office - High Rise</t>
  </si>
  <si>
    <t>Large Office. US DOE Building America Program. Building America Analysis Spreadsheet. Standard Benchmark DHW Schedules http://www1.eere.energy.gov/building/building_america/analysis_spreadsheets.html. Average of Hotel and Motel building type.</t>
  </si>
  <si>
    <t>Office - Low Rise</t>
  </si>
  <si>
    <t>Small Office. US DOE Building America Program. Building America Analysis Spreadsheet. Standard Benchmark DHW Schedules http://www1.eere.energy.gov/building/building_america/analysis_spreadsheets.html. Average of Hotel and Motel building type.</t>
  </si>
  <si>
    <t>Office - Mid Rise</t>
  </si>
  <si>
    <t>Institutional</t>
  </si>
  <si>
    <t>Religious Building</t>
  </si>
  <si>
    <t>Resource Extraction</t>
  </si>
  <si>
    <t>Average of Fast Food Restaurant and Sit-Down Restaurant. US DOE Building America Program. Building America Analysis Spreadsheet. Standard Benchmark DHW Schedules http://www1.eere.energy.gov/building/building_america/analysis_spreadsheets.html. Average of Hotel and Motel building type.</t>
  </si>
  <si>
    <t>Non-food retail store</t>
  </si>
  <si>
    <t>Retail - Department Store</t>
  </si>
  <si>
    <t>Grocery</t>
  </si>
  <si>
    <t>Grocery. US DOE Building America Program. Building America Analysis Spreadsheet. Standard Benchmark DHW Schedules http://www1.eere.energy.gov/building/building_america/analysis_spreadsheets.html. Average of Hotel and Motel building type.</t>
  </si>
  <si>
    <t>Retail - Strip Mall</t>
  </si>
  <si>
    <t>School (non post-secondary)</t>
  </si>
  <si>
    <t>Elementary School</t>
  </si>
  <si>
    <t>Elementary School. US DOE Building America Program. Building America Analysis Spreadsheet. Standard Benchmark DHW Schedules http://www1.eere.energy.gov/building/building_america/analysis_spreadsheets.html. Average of Hotel and Motel building type.</t>
  </si>
  <si>
    <t>High School</t>
  </si>
  <si>
    <t>Jr. High/High School/College. US DOE Building America Program. Building America Analysis Spreadsheet. Standard Benchmark DHW Schedules http://www1.eere.energy.gov/building/building_america/analysis_spreadsheets.html. Average of Hotel and Motel building type.</t>
  </si>
  <si>
    <t>University or College</t>
  </si>
  <si>
    <t>Utility Service</t>
  </si>
  <si>
    <t>Warehouse. US DOE Building America Program. Building America Analysis Spreadsheet. Standard Benchmark DHW Schedules http://www1.eere.energy.gov/building/building_america/analysis_spreadsheets.html. Average of Hotel and Motel building type.</t>
  </si>
  <si>
    <t>Waste Management</t>
  </si>
  <si>
    <t>Wholesale Trade</t>
  </si>
  <si>
    <t>Common Data Validation Tables</t>
  </si>
  <si>
    <t>ROB/NEW</t>
  </si>
  <si>
    <t>Fuel Type</t>
  </si>
  <si>
    <t>Response</t>
  </si>
  <si>
    <t>Yes</t>
  </si>
  <si>
    <t>No</t>
  </si>
  <si>
    <t>Temperature for Fans</t>
  </si>
  <si>
    <t>Fan Temperature</t>
  </si>
  <si>
    <t>HVAC System Type</t>
  </si>
  <si>
    <t>System Type</t>
  </si>
  <si>
    <t>Heating only</t>
  </si>
  <si>
    <t>Heating and cooling</t>
  </si>
  <si>
    <t>Cooling unknown</t>
  </si>
  <si>
    <t>Space Heating Fuel Type</t>
  </si>
  <si>
    <t>Heat pumps</t>
  </si>
  <si>
    <t>Fan Runtime (% of year)</t>
  </si>
  <si>
    <t>Runtime</t>
  </si>
  <si>
    <t>Strip Curtain for Walk-In Refrigerator/Freezer</t>
  </si>
  <si>
    <t>Curtain Type</t>
  </si>
  <si>
    <t>Program Year</t>
  </si>
  <si>
    <t>Carbon ($/tCO2e)</t>
  </si>
  <si>
    <t>2017</t>
  </si>
  <si>
    <t>2017-04-01</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</si>
  <si>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</si>
  <si>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</si>
  <si>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</si>
  <si>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</si>
  <si>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</si>
  <si>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</si>
  <si>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</si>
  <si>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</si>
  <si>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</si>
  <si>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</si>
  <si>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</si>
  <si>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</si>
  <si>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</si>
  <si>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</si>
  <si>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</si>
  <si>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</si>
  <si>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</si>
  <si>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</si>
  <si>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</si>
  <si>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</si>
  <si>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</si>
  <si>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</si>
  <si>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</si>
  <si>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</si>
  <si>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</si>
  <si>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</si>
  <si>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</si>
  <si>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</si>
  <si>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</si>
  <si>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</si>
  <si>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2018</t>
  </si>
  <si>
    <t>2018-04-01</t>
  </si>
  <si>
    <t>2019</t>
  </si>
  <si>
    <t>2019-04-01</t>
  </si>
  <si>
    <t>2020</t>
  </si>
  <si>
    <t>2020-04-01</t>
  </si>
  <si>
    <t>IL TRM v8 pg 487</t>
  </si>
  <si>
    <t>BES Past Program Analysis</t>
  </si>
  <si>
    <t>Building/Space Type</t>
  </si>
  <si>
    <r>
      <t>Waste Heat Gas Heating
IFTher ms</t>
    </r>
    <r>
      <rPr>
        <sz val="7"/>
        <color indexed="9"/>
        <rFont val="Arial"/>
        <family val="1"/>
        <charset val="204"/>
      </rPr>
      <t>768</t>
    </r>
  </si>
  <si>
    <r>
      <t>Waste Heat Electric Resistance Heating
IFkWh</t>
    </r>
    <r>
      <rPr>
        <sz val="7"/>
        <color indexed="9"/>
        <rFont val="Arial"/>
        <family val="1"/>
        <charset val="204"/>
      </rPr>
      <t>769</t>
    </r>
  </si>
  <si>
    <t>Waste Heat Electric Heat Pump Heating
IFkWh</t>
  </si>
  <si>
    <t>Project Count</t>
  </si>
  <si>
    <t>WEIGHTED AVERAGE</t>
  </si>
  <si>
    <t>Agricultural</t>
  </si>
  <si>
    <t>Auto Dealership</t>
  </si>
  <si>
    <t>Childcare/Pre-School</t>
  </si>
  <si>
    <t>Drug Store</t>
  </si>
  <si>
    <t>Garage, 24/7 lighting</t>
  </si>
  <si>
    <t>Hospital - CAV no econ</t>
  </si>
  <si>
    <t>Manufacturing Facility1-More than 25 ft</t>
  </si>
  <si>
    <t>Hospital - CAV econ</t>
  </si>
  <si>
    <t>Manufacturing Operation</t>
  </si>
  <si>
    <t>Hospital - VAV econ</t>
  </si>
  <si>
    <t>Hospital - FCU</t>
  </si>
  <si>
    <t>MF - High Rise -
Common</t>
  </si>
  <si>
    <t>MF - Mid Rise -
Common</t>
  </si>
  <si>
    <t>Hotel/Motel - Guest</t>
  </si>
  <si>
    <t>Hotel/Motel -
Common</t>
  </si>
  <si>
    <t>Office - High Rise -
CAV no econ</t>
  </si>
  <si>
    <t>Office - High Rise -
CAV econ</t>
  </si>
  <si>
    <t>Office - High Rise -
VAV econ</t>
  </si>
  <si>
    <t>Office - High Rise -
FCU</t>
  </si>
  <si>
    <t>Public Sector</t>
  </si>
  <si>
    <r>
      <t>Exterior – dusk to
dawn</t>
    </r>
    <r>
      <rPr>
        <sz val="7"/>
        <color indexed="8"/>
        <rFont val="Arial"/>
        <family val="1"/>
        <charset val="204"/>
      </rPr>
      <t>770</t>
    </r>
  </si>
  <si>
    <t>Exterior – dusk to
business close</t>
  </si>
  <si>
    <t>Low-Use Small
Business</t>
  </si>
  <si>
    <t>Uncooled Building</t>
  </si>
  <si>
    <t>Refrigerated Cases</t>
  </si>
  <si>
    <t>Freezer Cases</t>
  </si>
  <si>
    <t>COP (=AFUE)</t>
  </si>
  <si>
    <t>Heat Pump</t>
  </si>
  <si>
    <t>&lt; 2006</t>
  </si>
  <si>
    <t>2006 - 2014</t>
  </si>
  <si>
    <t>&gt; 2014</t>
  </si>
  <si>
    <t>Electric Resistance</t>
  </si>
  <si>
    <t>`</t>
  </si>
  <si>
    <t>Residential source</t>
  </si>
  <si>
    <t>Commercial source</t>
  </si>
  <si>
    <t>IL TRM v8 volume 2 C&amp;I 4.4.34 Destratification Fan. Unknown calculated by scaling average of Commercial and Residential</t>
  </si>
  <si>
    <t>NEMA Premium Efficiency Motors Default Efficiencies</t>
  </si>
  <si>
    <t>Size HP</t>
  </si>
  <si>
    <t>Open Drip Proof (ODP)</t>
  </si>
  <si>
    <t>Totally Enclosed Fan-Cooled (TEFC)</t>
  </si>
  <si>
    <t># of Poles</t>
  </si>
  <si>
    <t>Speed (RPM)</t>
  </si>
  <si>
    <t>1800 Default</t>
  </si>
  <si>
    <t>Douglass, J. (2005). Induction Motor Efficiency Standards. Washington State University and the Northwest Energy Efficiency
Alliance, Extension Energy Program, Olympia, WA, October 2005.</t>
  </si>
  <si>
    <t>LED New and Baseline Assumptions from IL TRM v6</t>
  </si>
  <si>
    <t>LED Category</t>
  </si>
  <si>
    <t>LED Measure Description</t>
  </si>
  <si>
    <t>Baseline Description</t>
  </si>
  <si>
    <t>WattsBASE</t>
  </si>
  <si>
    <t>Reference for Watts_EE &amp; WattsBASE</t>
  </si>
  <si>
    <t>Delta Watts</t>
  </si>
  <si>
    <t>EE Cost</t>
  </si>
  <si>
    <t>Baseline Cost</t>
  </si>
  <si>
    <t>LED Lamp Life (hour)</t>
  </si>
  <si>
    <t>LED Lamp Replacement Cost</t>
  </si>
  <si>
    <t>LED Driver Life (hour)</t>
  </si>
  <si>
    <t>LED Driver Replacement Cost</t>
  </si>
  <si>
    <t>Baseline Lamp Life (hour)</t>
  </si>
  <si>
    <t>Baseline Lamp Replacement Cost Combined</t>
  </si>
  <si>
    <t>Baseline Ballast Life (hour)</t>
  </si>
  <si>
    <t>Baseline Ballast Replacement Cost Combined</t>
  </si>
  <si>
    <t>Future LED Lamp Cost</t>
  </si>
  <si>
    <t>LED Lamp Replacement Time (min)</t>
  </si>
  <si>
    <t>LED Lamp Replacement Rate ($/hr)</t>
  </si>
  <si>
    <t xml:space="preserve">LED Lamp Rep. Labor Cost </t>
  </si>
  <si>
    <t>Future LED Driver Cost</t>
  </si>
  <si>
    <t>LED Driver Replacement Time (min)</t>
  </si>
  <si>
    <t>LED Driver Replacement Rate ($/hr)</t>
  </si>
  <si>
    <t>LED Driver Rep. Labor Cost</t>
  </si>
  <si>
    <t>Baseline Technology [1]</t>
  </si>
  <si>
    <t>Baseline [1] Percent</t>
  </si>
  <si>
    <t>Number of Lamps</t>
  </si>
  <si>
    <t>Lamp [1] Life (hour)</t>
  </si>
  <si>
    <t>Lamp [1] Cost</t>
  </si>
  <si>
    <t>Lamp [1] Replacement Time (min)</t>
  </si>
  <si>
    <t>Lamp [1] Replacement Rate ($/hr)</t>
  </si>
  <si>
    <t>Lamp [1] Rep. Labor Cost</t>
  </si>
  <si>
    <t>Lamp [1] Rep. Recycle Cost</t>
  </si>
  <si>
    <t>Baseline [1] Lamp Cost Total</t>
  </si>
  <si>
    <t>Baseline [1] Lamp Cost Normalized to Lamp Life</t>
  </si>
  <si>
    <t>Ballast [1] Cost</t>
  </si>
  <si>
    <t>Ballast [1] Replacement Time (min)</t>
  </si>
  <si>
    <t>Ballast [1] Replacement Rate ($/hr)</t>
  </si>
  <si>
    <t>Ballast [1] Rep. Labor Cost</t>
  </si>
  <si>
    <t>Ballast [1] Rep. Disposal Cost</t>
  </si>
  <si>
    <t>Baseline Technology [2]</t>
  </si>
  <si>
    <t>Baseline [2] Percent</t>
  </si>
  <si>
    <t>Lamp [2] Life (hour)</t>
  </si>
  <si>
    <t>Lamp [2] Cost</t>
  </si>
  <si>
    <t>Lamp [2] Replacement Time (min)</t>
  </si>
  <si>
    <t>Lamp [2] Replacement Rate ($/hr)</t>
  </si>
  <si>
    <t>Lamp [2] Rep. Labor Cost</t>
  </si>
  <si>
    <t>Baseline [2] Lamp Cost Total</t>
  </si>
  <si>
    <t>LED Downlight fixture</t>
  </si>
  <si>
    <t>40% CFL 26W Pin Base &amp; 60% Halogen PAR30/38</t>
  </si>
  <si>
    <t>EVT Results 2008-2010</t>
  </si>
  <si>
    <t>40% CFL 26W Pin Base</t>
  </si>
  <si>
    <t>60% Halogen PAR30/38</t>
  </si>
  <si>
    <t>LED Interior Directional</t>
  </si>
  <si>
    <t>LED Track Lighting</t>
  </si>
  <si>
    <t>10% CMH PAR38 &amp; 90% Halogen PAR38</t>
  </si>
  <si>
    <t>10% CMH PAR38</t>
  </si>
  <si>
    <t>90% Halogen PAR38</t>
  </si>
  <si>
    <t>LED Wall-Wash Fixtures</t>
  </si>
  <si>
    <t>40% CFL 42W Pin Base &amp; 60% Halogen PAR38</t>
  </si>
  <si>
    <t>40% CFL 42W Pin Base</t>
  </si>
  <si>
    <t>60% Halogen PAR38</t>
  </si>
  <si>
    <t>LED Display Case</t>
  </si>
  <si>
    <t>LED Display Case Light Fixture</t>
  </si>
  <si>
    <t>50% 2' T5 Linear &amp; 50% 50W Halogen</t>
  </si>
  <si>
    <t>50% 2' T5 Linear</t>
  </si>
  <si>
    <t>50% 50W Halogen</t>
  </si>
  <si>
    <t>LED Undercabinet Shelf-Mounted Task Light Fixtures</t>
  </si>
  <si>
    <t>LED Refrigerated Case Light, Horizontal or Vertical (per foot)</t>
  </si>
  <si>
    <t>5' T8</t>
  </si>
  <si>
    <t>PG&amp;E Refrigerated Case Study</t>
  </si>
  <si>
    <t>-</t>
  </si>
  <si>
    <t>LED Freezer Case Light, Horizontal or Vertical (per foot)</t>
  </si>
  <si>
    <t>6' T12HO</t>
  </si>
  <si>
    <t>LED Linear Replacement Lamps</t>
  </si>
  <si>
    <t>LED 4' Linear Replacement Lamp</t>
  </si>
  <si>
    <t>80:20 T12:T8; Lamp Only 32w T8:34w T12</t>
  </si>
  <si>
    <t>HPT8 RWT8 Reference Tables</t>
  </si>
  <si>
    <t>LED 2' Linear Replacement Lamp</t>
  </si>
  <si>
    <t>80:20 T12:T8; Lamp Only 17w T8:20w T12</t>
  </si>
  <si>
    <t>LED Troffers</t>
  </si>
  <si>
    <t>LED 2x2 Recessed Light Fixture, 2000-3500 lumens</t>
  </si>
  <si>
    <t xml:space="preserve">80:20; 2-Lamp 34w T12 (BF &lt; 0.85) :2-Lamp 32w T8 (BF &lt; 0.89) </t>
  </si>
  <si>
    <t>HPT8 RWT8 &amp; HPT8 RWT8 Reference Tables Tabs</t>
  </si>
  <si>
    <t>LED 2x2 Recessed Light Fixture, 3501-5000 lumens</t>
  </si>
  <si>
    <t xml:space="preserve">80:20; 3-Lamp 34w T12 (BF &lt;0.88) :3-Lamp 32w T8 (BF &lt; 0.88) </t>
  </si>
  <si>
    <t>LED 2x4 Recessed Light Fixture, 3000-4500 lumens</t>
  </si>
  <si>
    <t>LED 2x4 Recessed Light Fixture, 4501-6000 lumens</t>
  </si>
  <si>
    <t>LED 2x4 Recessed Light Fixture, 6001-7500 lumens</t>
  </si>
  <si>
    <t xml:space="preserve">80:20; 4-Lamp 32w T8 (BF &lt; 0.88) :4-Lamp 34w T12 (BF &lt; 0.88) </t>
  </si>
  <si>
    <t>LED 1x4 Recessed Light Fixture, 1500-3000 lumen</t>
  </si>
  <si>
    <t xml:space="preserve">80:20; 1-Lamp 32w T8 (BF &lt;0.91) :1-Lamp 34w T12 (BF &lt;0.88) </t>
  </si>
  <si>
    <t>LED 1x4 Recessed Light Fixture, 3001-4500 lumen</t>
  </si>
  <si>
    <t>LED 1x4 Recessed Light Fixture, 4501-6000 lumen</t>
  </si>
  <si>
    <t>LED Linear Ambient Fixtures</t>
  </si>
  <si>
    <t>LED Surface &amp; Suspended Linear Fixture, &lt;= 3000 lumens</t>
  </si>
  <si>
    <t>LED Surface &amp; Suspended Linear Fixture, 3001-4500 lumens</t>
  </si>
  <si>
    <t>LED Surface &amp; Suspended Linear Fixture, 4501-6000 lumens</t>
  </si>
  <si>
    <t>LED Surface &amp; Suspended Linear Fixture, 6001-7500 lumens</t>
  </si>
  <si>
    <t>T5HO 2L-F54T5HO - 4'</t>
  </si>
  <si>
    <t>Watt &amp; Lumen Calculations</t>
  </si>
  <si>
    <t>LED Surface &amp; Suspended Linear Fixture, &gt; 7500 lumens</t>
  </si>
  <si>
    <t>T5HO 3L-F54T5HO - 4'</t>
  </si>
  <si>
    <t>LED High &amp; Low Bay Fixtures</t>
  </si>
  <si>
    <t>LED Low-Bay Fixtures, &lt;= 10,000 lumens</t>
  </si>
  <si>
    <t>3-Lamp T8HO Low-Bay</t>
  </si>
  <si>
    <t>LED High-Bay Fixtures, 10,001-15,000 lumens</t>
  </si>
  <si>
    <t>4-Lamp T8HO High-Bay</t>
  </si>
  <si>
    <t>LED High-Bay Fixtures, 15,001-20,000 lumens</t>
  </si>
  <si>
    <t>6-Lamp T8HO High-Bay</t>
  </si>
  <si>
    <t>LED High-Bay Fixtures, &gt; 20,000 lumens</t>
  </si>
  <si>
    <t>8-Lamp T8HO High-Bay</t>
  </si>
  <si>
    <t>LED Agricultural Interior Fixtures</t>
  </si>
  <si>
    <t>LED Ag Interior Fixtures, &lt;= 2,000 lumens</t>
  </si>
  <si>
    <t>25% 73 Watt EISA Inc, 75% 1L T8</t>
  </si>
  <si>
    <t>T8 1L-F32 w/ Elec - 4'</t>
  </si>
  <si>
    <t>73 Watt EISA Inc</t>
  </si>
  <si>
    <t>LED Ag Interior Fixtures, 2,001-4,000 lumens</t>
  </si>
  <si>
    <t>25% 146 Watt EISA Inc, 75% 2L T8</t>
  </si>
  <si>
    <t>T8 2L-F32 w/ Elec - 4'</t>
  </si>
  <si>
    <t>146 Watt EISA Inc</t>
  </si>
  <si>
    <t>LED Ag Interior Fixtures, 4,001-6,000 lumens</t>
  </si>
  <si>
    <t>25% 217 Watt EISA Inc, 75% 3L T8</t>
  </si>
  <si>
    <t>T8 3L-F32 w/ Elec - 4'</t>
  </si>
  <si>
    <t>217 Watt EISA Inc</t>
  </si>
  <si>
    <t>LED Ag Interior Fixtures, 6,001-8,000 lumens</t>
  </si>
  <si>
    <t>25% 292 Watt EISA Inc, 75% 4L T8</t>
  </si>
  <si>
    <t>T8 4L-F32 w/ Elec - 4'</t>
  </si>
  <si>
    <t>292 Watt EISA Inc</t>
  </si>
  <si>
    <t>LED Ag Interior Fixtures, 8,001-12,000 lumens</t>
  </si>
  <si>
    <t>200W Pulse Start Metal Halide</t>
  </si>
  <si>
    <t>LED Ag Interior Fixtures, 12,001-16,000 lumens</t>
  </si>
  <si>
    <t>320W Pulse Start Metal Halide</t>
  </si>
  <si>
    <t>LED Ag Interior Fixtures, 16,001-20,000 lumens</t>
  </si>
  <si>
    <t>350W Pulse Start Metal Halide</t>
  </si>
  <si>
    <t>LED Ag Interior Fixtures, &gt; 20,000 lumens</t>
  </si>
  <si>
    <t>(2) 320W Pulse Start Metal Halide</t>
  </si>
  <si>
    <t>LED Exterior Fixtures</t>
  </si>
  <si>
    <t>Additional Assumptions</t>
  </si>
  <si>
    <t>LED Component Costs and Lifetimes</t>
  </si>
  <si>
    <t>Basis for Watt Assumptions</t>
  </si>
  <si>
    <t>Calculated WattsBASE</t>
  </si>
  <si>
    <t>Watts 1</t>
  </si>
  <si>
    <t>Watts 2</t>
  </si>
  <si>
    <t>Percent 1</t>
  </si>
  <si>
    <t>Percent 2</t>
  </si>
  <si>
    <t>LED Lamp Cost</t>
  </si>
  <si>
    <t>Baseline Cost (EISA 2012-2014, EISA 2020)</t>
  </si>
  <si>
    <t>Incremental Cost
(EISA 2012-2014, EISA 2020)</t>
  </si>
  <si>
    <t>LED Minimum Lamp Life (hour)</t>
  </si>
  <si>
    <t>LED Lamp Cost Total</t>
  </si>
  <si>
    <t>LED Driver Cost</t>
  </si>
  <si>
    <t>LED Driver Cost Total</t>
  </si>
  <si>
    <t>Baseline Technology (1)</t>
  </si>
  <si>
    <t>Lamp (1) Life (hour)</t>
  </si>
  <si>
    <t>Lamp (1) Cost</t>
  </si>
  <si>
    <t>Lamp (1) Replacement Time (min)</t>
  </si>
  <si>
    <t>Lamp (1) Replacement Rate ($/hr)</t>
  </si>
  <si>
    <t>Lamp (1) Rep. Labor Cost</t>
  </si>
  <si>
    <t>Lamp (1) Rep. Recycle Cost</t>
  </si>
  <si>
    <t>Ballast (1) Life (hour)</t>
  </si>
  <si>
    <t>Ballast (1) Cost</t>
  </si>
  <si>
    <t>Ballast (1) Replacement Time (min)</t>
  </si>
  <si>
    <t>Ballast (1) Replacement Rate ($/hr)</t>
  </si>
  <si>
    <t>Ballast (1) Rep. Labor Cost</t>
  </si>
  <si>
    <t>Ballast (1) Rep. Disposal Cost</t>
  </si>
  <si>
    <t>Baeline Technology (2)</t>
  </si>
  <si>
    <t>Lamp (2) Life (hour)</t>
  </si>
  <si>
    <t>Lamp (2) Cost</t>
  </si>
  <si>
    <t>Lamp (2) Replacement Time (min)</t>
  </si>
  <si>
    <t>Lamp (2) Replacement Rate ($/hr)</t>
  </si>
  <si>
    <t>Lamp (2) Rep. Labor Cost</t>
  </si>
  <si>
    <t>LED Screw and Pin-based Bulbs, Omnidirectional, &lt; 10W</t>
  </si>
  <si>
    <t>See tables above</t>
  </si>
  <si>
    <t>$0.50 ($1.50, $2.50)</t>
  </si>
  <si>
    <t>29.5 ($28.50, $27.50)</t>
  </si>
  <si>
    <t>28.8W Inc</t>
  </si>
  <si>
    <t>LED Screw and Pin-based Bulbs, Omnidirectional, &gt;= 10W</t>
  </si>
  <si>
    <t>78.3W Inc</t>
  </si>
  <si>
    <t>LED Screw and Pin-based Bulbs, Decorative</t>
  </si>
  <si>
    <t>53W EISA Halogen</t>
  </si>
  <si>
    <t>LED Screw-based Bulbs, Directional, &lt; 15W</t>
  </si>
  <si>
    <t>15% CFL 18W Pin Base</t>
  </si>
  <si>
    <t>85% Halogen PAR20</t>
  </si>
  <si>
    <t>LED Screw-based Bulbs, Directional, &gt;=  15W</t>
  </si>
  <si>
    <t>15% CFL 26W Pin Base</t>
  </si>
  <si>
    <t>85% Halogen PAR30/38</t>
  </si>
  <si>
    <t>Baseline LED Recessed, Surface, Pendant Downlights</t>
  </si>
  <si>
    <t>2008-2010 EVT Historical Data of 947 Measures</t>
  </si>
  <si>
    <t>Baseline LED Track Lighting</t>
  </si>
  <si>
    <t>2008-2010 EVT Historical Data of 242 Measures</t>
  </si>
  <si>
    <t>Baseline LED Wall-Wash Fixtures</t>
  </si>
  <si>
    <t>2008-2010 EVT Historical Data of 220 Measures</t>
  </si>
  <si>
    <t>LED Portable Desk/Task Light Fixtures</t>
  </si>
  <si>
    <t>Baseline LED Portable Desk/Task Light Fixtures</t>
  </si>
  <si>
    <t>2008-2010 EVT Historical Data of 21 Measures</t>
  </si>
  <si>
    <t>50% 13W CFL Pin Base</t>
  </si>
  <si>
    <t>LED Undercabinet Shelf-Mounted Task Light Fixtures (per foot)</t>
  </si>
  <si>
    <t>Baseline LED Undercabinet Shelf-Mounted Task Light Fixtures</t>
  </si>
  <si>
    <t>Baseline LED Refrigerated Case Light, Horizontal or Vertical (per foot)</t>
  </si>
  <si>
    <t>PG&amp;E Refrigerated Case Study normalized to per foot.</t>
  </si>
  <si>
    <t>Baseline LED Freezer Case Light, Horizontal or Vertical (per foot)</t>
  </si>
  <si>
    <t>LED Display Case Light Fixture (per foot)</t>
  </si>
  <si>
    <t>Baseline LED Display Case Light Fixture</t>
  </si>
  <si>
    <t>Modeled after LED Undercabinet Shelf-Mounted Task Light Fixtures (per foot)</t>
  </si>
  <si>
    <t>T8 U-Tube 2L-FB32 w/ Elec - 2'</t>
  </si>
  <si>
    <t>Based on average watts of DLC qualified products as of 11/21/11</t>
  </si>
  <si>
    <t>LED High- and Low-Bay Fixtures</t>
  </si>
  <si>
    <t>MH 250 W CWA Pulse Start</t>
  </si>
  <si>
    <t>250W MH</t>
  </si>
  <si>
    <t>LED Outdoor Pole/Arm Mounted Parking/Roadway, &lt; 30W</t>
  </si>
  <si>
    <t>Baseline LED Outdoor Pole/Arm Mounted Parking/Roadway, &lt; 30W</t>
  </si>
  <si>
    <t>2008-2010 EVT Historical Data of 2,813 Measures</t>
  </si>
  <si>
    <t>100W MH</t>
  </si>
  <si>
    <t>LED Outdoor Pole/Arm Mounted Parking/Roadway, 30W - 75W</t>
  </si>
  <si>
    <t>Baseline LED Outdoor Pole/Arm Mounted Parking/Roadway, 30W - 75W</t>
  </si>
  <si>
    <t>2008-2010 EVT Historical Data of 1,081 Measures</t>
  </si>
  <si>
    <t>175W MH</t>
  </si>
  <si>
    <t>LED Outdoor Pole/Arm Mounted Parking/Roadway, &gt;= 75W</t>
  </si>
  <si>
    <t>Baseline LED Outdoor Pole/Arm Mounted Parking/Roadway, &gt;= 75W</t>
  </si>
  <si>
    <t>2008-2010 EVT Historical Data of 806 Measures</t>
  </si>
  <si>
    <t>LED Outdoor Pole/Arm Mounted Decorative Parking/Roadway, &lt; 30W</t>
  </si>
  <si>
    <t>Baseline LED Outdoor Pole/Arm Mounted Decorative Parking/Roadway, &lt; 30W</t>
  </si>
  <si>
    <t>LED Outdoor Pole/Arm Mounted Decorative Parking/Roadway, 30W - 75W</t>
  </si>
  <si>
    <t>Baseline LED Outdoor Pole/Arm Mounted Decorative Parking/Roadway, 30W - 75W</t>
  </si>
  <si>
    <t>LED Outdoor Pole/Arm Mounted Decorative Parking/Roadway, &gt;= 75W</t>
  </si>
  <si>
    <t>Baseline LED Outdoor Pole/Arm Mounted Decorative Parking/Roadway, &gt;= 75W</t>
  </si>
  <si>
    <t>LED Parking Garage/Canopy, &lt; 30W</t>
  </si>
  <si>
    <t>Baseline LED Parking Garage/Canopy, &lt; 30W</t>
  </si>
  <si>
    <t>LED Parking Garage/Canopy, 30W - 75W</t>
  </si>
  <si>
    <t>Baseline LED Parking Garage/Canopy, 30W - 75W</t>
  </si>
  <si>
    <t>LED Parking Garage/Canopy, &gt;= 75W</t>
  </si>
  <si>
    <t>Baseline LED Parking Garage/Canopy, &gt;= 75W</t>
  </si>
  <si>
    <t>LED Wall-Mounted Area Lights, &lt; 30W</t>
  </si>
  <si>
    <t>Baseline LED Wall-Mounted Area Lights, &lt; 30W</t>
  </si>
  <si>
    <t>LED Wall-Mounted Area Lights, 30W - 75W</t>
  </si>
  <si>
    <t>Baseline LED Wall-Mounted Area Lights, 30W - 75W</t>
  </si>
  <si>
    <t>LED Wall-Mounted Area Lights, &gt;= 75W</t>
  </si>
  <si>
    <t>Baseline LED Wall-Mounted Area Lights, &gt;= 75W</t>
  </si>
  <si>
    <t>LED Bollard, &lt; 30W</t>
  </si>
  <si>
    <t>Baseline LED Bollard, &lt; 30W</t>
  </si>
  <si>
    <t>2008-2010 EVT Historical Data of 33 Measures</t>
  </si>
  <si>
    <t>50W MH</t>
  </si>
  <si>
    <t>LED Bollard, &gt;= 30W</t>
  </si>
  <si>
    <t>Baseline LED Bollard, &gt;= 30W</t>
  </si>
  <si>
    <t>2008-2010 EVT Historical Data of 15 Measures</t>
  </si>
  <si>
    <t>70W MH</t>
  </si>
  <si>
    <t>LED Flood Light, &lt; 15W</t>
  </si>
  <si>
    <t>Baseline LED Flood Light, &lt; 15W</t>
  </si>
  <si>
    <t>Consistent with LED Screw-base Directional</t>
  </si>
  <si>
    <t>25% 50W MH</t>
  </si>
  <si>
    <t>75% Halogen PAR20</t>
  </si>
  <si>
    <t>LED Flood Light, &gt;= 15W</t>
  </si>
  <si>
    <t>Baseline LED Flood Light, &gt;= 15W</t>
  </si>
  <si>
    <t>50% 50W MH</t>
  </si>
  <si>
    <t>50% Halogen PAR30/38</t>
  </si>
  <si>
    <t>MN TRM v3</t>
  </si>
  <si>
    <t>Days Per Year</t>
  </si>
  <si>
    <t>Annual Hot Water
Load (Gal per 1,000 sq. ft. Per Day)</t>
  </si>
  <si>
    <t>Minimum Storage
Capacity (Gal per 1,000 sq. ft.)</t>
  </si>
  <si>
    <t>Minimum Heating
Capacity (kBTU/hour. per 1,000 sq. ft.)</t>
  </si>
  <si>
    <t>MN -- Annual Hot Water
Load (Litres / ft^2)</t>
  </si>
  <si>
    <t>Small Office</t>
  </si>
  <si>
    <t>Large Office</t>
  </si>
  <si>
    <t>Fast Food Restaurant</t>
  </si>
  <si>
    <t>Sit-Down Restaurant</t>
  </si>
  <si>
    <t>Retail</t>
  </si>
  <si>
    <t>Jr. High/High School/College</t>
  </si>
  <si>
    <t>Health</t>
  </si>
  <si>
    <t>Motel</t>
  </si>
  <si>
    <t>Hotel</t>
  </si>
  <si>
    <t>Other Commercial</t>
  </si>
  <si>
    <t>PUC TRM (August 2019)</t>
  </si>
  <si>
    <t>Commercial Prototype Building</t>
  </si>
  <si>
    <t>Annual Gallons per Square Foot</t>
  </si>
  <si>
    <t>Annual Litres / ft^2</t>
  </si>
  <si>
    <t>Education - Other</t>
  </si>
  <si>
    <t>Health - Hospital</t>
  </si>
  <si>
    <t>Health - Other</t>
  </si>
  <si>
    <t>Institutional/Public Service</t>
  </si>
  <si>
    <t>Lodging</t>
  </si>
  <si>
    <t>Miscellaneous/Other</t>
  </si>
  <si>
    <t>Office</t>
  </si>
  <si>
    <t>Warehouse - Refrigerated</t>
  </si>
  <si>
    <t>Source HDD and CDD Data from IL TRM v8 and DegreeDays.Net</t>
  </si>
  <si>
    <t>C&amp;I</t>
  </si>
  <si>
    <t>Degree (F) days</t>
  </si>
  <si>
    <t>Base temperature (F)</t>
  </si>
  <si>
    <t>Degree (C) days</t>
  </si>
  <si>
    <t>Base temperature (C)</t>
  </si>
  <si>
    <t>Degree (C) days @ 12.5 C</t>
  </si>
  <si>
    <t>DegreeDays.Net</t>
  </si>
  <si>
    <t>Degree (C) days @ 18 C</t>
  </si>
  <si>
    <t>Derived Equivalent Full Load Heating (EFLH) hours by EEA Region and Building Type</t>
  </si>
  <si>
    <t>Equivalent Full Load Heating Hours</t>
  </si>
  <si>
    <t>Auto dealership</t>
  </si>
  <si>
    <t>Pharmacy</t>
  </si>
  <si>
    <t>Accommodation</t>
  </si>
  <si>
    <t>Apartment - high-rise - common area</t>
  </si>
  <si>
    <t>Apartment - high-rise - units</t>
  </si>
  <si>
    <t>Office - High-Rise</t>
  </si>
  <si>
    <t>Office - High Rise - CAV econ</t>
  </si>
  <si>
    <t>Office - High Rise - VAV econ</t>
  </si>
  <si>
    <t>Office - High Rise - FCU</t>
  </si>
  <si>
    <t>Derived Equivalent Full Load Cooling (EFLC) hours by EEA Region and Building Type</t>
  </si>
  <si>
    <t>CDD @ 18C</t>
  </si>
  <si>
    <t>Equivalent Full Load Cooling Hours</t>
  </si>
  <si>
    <t>Indoor Setpoint Temperature by Outdoor Air Temp and Illinois Climate Zone (°F)  - Heating Season</t>
  </si>
  <si>
    <t>Climate Zone (City based upon)</t>
  </si>
  <si>
    <t>HDD 60</t>
  </si>
  <si>
    <t>45 oF</t>
  </si>
  <si>
    <t>50 oF</t>
  </si>
  <si>
    <t>55 oF</t>
  </si>
  <si>
    <t>60  oF</t>
  </si>
  <si>
    <t>65  oF</t>
  </si>
  <si>
    <t>1 (Rockford)</t>
  </si>
  <si>
    <t>2 (Chicago)</t>
  </si>
  <si>
    <t>3 (Springfield)</t>
  </si>
  <si>
    <t>4 (Belleville)</t>
  </si>
  <si>
    <t>5 (Marion)</t>
  </si>
  <si>
    <t>Balance Temperature vs HDD slope</t>
  </si>
  <si>
    <t>eO External Measure ID</t>
  </si>
  <si>
    <t>Electricity Savings (kWh/unit)</t>
  </si>
  <si>
    <t>Natural Gas Savings (GJ/unit)</t>
  </si>
  <si>
    <t>EUL</t>
  </si>
  <si>
    <t>High-efficiency natural gas boiler, kBTU/hour of Heating</t>
  </si>
  <si>
    <t>High-efficiency natural gas furnace, kBTU/hour of Heating</t>
  </si>
  <si>
    <t>Pipe and duct insulation, Custom</t>
  </si>
  <si>
    <r>
      <rPr>
        <b/>
        <sz val="11"/>
        <rFont val="Calibri"/>
        <family val="2"/>
        <scheme val="minor"/>
      </rPr>
      <t>FRONT MATTER</t>
    </r>
    <r>
      <rPr>
        <sz val="11"/>
        <rFont val="Calibri"/>
        <family val="2"/>
        <scheme val="minor"/>
      </rPr>
      <t>: This Front Matter explains the basics of the EEA Technical Reference Manual (TRM), including key features of the TRM, why it was created, how it may be used and best practices for its maintenance. It also includes a high-level explanation of its development.</t>
    </r>
  </si>
  <si>
    <t>Table of Contents</t>
  </si>
  <si>
    <t>1. INTRODUCTION</t>
  </si>
  <si>
    <t>Engineering Factors and Constants</t>
  </si>
  <si>
    <t>2. CONTENTS</t>
  </si>
  <si>
    <t>3. GLOBAL VARIABLES &amp; REFERENCES</t>
  </si>
  <si>
    <t>4. MEASURE PROTOCOLS</t>
  </si>
  <si>
    <t>The TRM contains energy efficiency measure information used in program planning, implementation, tracking, and reporting and evaluation. Energy savings and greenhouse gas (GHG) emissions reduction benefits are catalogued for each measure. The TRM also includes documentation to support these values, including the algorithms and assumptions used, as well as applicability conditions for how the information is to be used. The TRM:
• Serves as a common repository of measure data for all stakeholders 
• Provides transparency and consistency regarding saving assumptions and calculations and underlying sources of those assumptions
• Serves the marketplace by providing savings documentation to enable trade allies and program representatives to include similar language when claiming energy savings and GHG reductions to facilitate coordination of, and confidence in, the valuation of energy savings
• Provides guiding principles for implementation of evaluation, locking in the ex ante (pre-evaluation) savings
• Provides a process for periodic record keeping, record maintenance, and a record of deemed parameters</t>
  </si>
  <si>
    <r>
      <rPr>
        <b/>
        <sz val="11"/>
        <color theme="1"/>
        <rFont val="Calibri"/>
        <family val="2"/>
        <scheme val="minor"/>
      </rPr>
      <t>Global Variables</t>
    </r>
    <r>
      <rPr>
        <sz val="11"/>
        <color theme="1"/>
        <rFont val="Calibri"/>
        <family val="2"/>
        <scheme val="minor"/>
      </rPr>
      <t xml:space="preserve">
Global variables include high-level inputs used to calculate measure impacts and cost-effectiveness, including discount rates, job creation and GDP multipliers, greenhouse gas (GHG) emissions intensity factors for electricity and natural gas, and general engineering constants. The sources and references for these factors are documented in-line within the Variables sheet of the TRM. The Global Variables sheet also summarizes important building and equipment baseline information for both residential and commercial sectors. The type of baseline information includes existing furnace and boiler efficiency, flow rates and fuel shares of space and water heating equipment. The baselines are sourced from past EEA program data, and complimented by TRM and potential study analyses.
</t>
    </r>
    <r>
      <rPr>
        <b/>
        <sz val="11"/>
        <color theme="1"/>
        <rFont val="Calibri"/>
        <family val="2"/>
        <scheme val="minor"/>
      </rPr>
      <t xml:space="preserve">
Value of Energy Savings
</t>
    </r>
    <r>
      <rPr>
        <sz val="11"/>
        <color theme="1"/>
        <rFont val="Calibri"/>
        <family val="2"/>
        <scheme val="minor"/>
      </rPr>
      <t xml:space="preserve">Value of energy savings is a total of electricity and natural gas savings, and carbon levy savings on GHG emissions reductions associated with natural gas. The present value of each year’s future cost of energy is first brought back to present terms. Since the future values are expressed in nominal (year of) terms, the nominal discount rate of 2.1 per cent is used to convert individual values back to present terms. The discount rate is documented within the Global Variables sheet. The cost of electricity and natural gas to be used depends on the type of savings selected in the TRM Dashboard. Options are:
1) Avoided Cost – represents the value of energy from the societal perspective (does not include value of transmission or distribution as these are difficult to allocate in the short to medium term); and
2) Bill Savings– the value of energy from the perspective of the project owner (where energy savings are realized) on utility bills. Along with value of energy, this includes variable component of distribution and transmission charges.
</t>
    </r>
    <r>
      <rPr>
        <b/>
        <sz val="11"/>
        <color theme="1"/>
        <rFont val="Calibri"/>
        <family val="2"/>
        <scheme val="minor"/>
      </rPr>
      <t>Building Data</t>
    </r>
    <r>
      <rPr>
        <sz val="11"/>
        <color theme="1"/>
        <rFont val="Calibri"/>
        <family val="2"/>
        <scheme val="minor"/>
      </rPr>
      <t xml:space="preserve">
Data in the Building Data sheet summarizes key inputs for measure energy savings calculations by type of building. For each building type inputs such as typical floor area, annual lighting and occupancies are documented.
</t>
    </r>
    <r>
      <rPr>
        <b/>
        <sz val="11"/>
        <color theme="1"/>
        <rFont val="Calibri"/>
        <family val="2"/>
        <scheme val="minor"/>
      </rPr>
      <t xml:space="preserve">
Climate Data
</t>
    </r>
    <r>
      <rPr>
        <sz val="11"/>
        <color theme="1"/>
        <rFont val="Calibri"/>
        <family val="2"/>
        <scheme val="minor"/>
      </rPr>
      <t>Climate data includes inputs for measure energy savings calculations that vary by climate zone and building type. In addition to heating and cooling degree days (HDD and CDD) other inputs include annual fan operating hours, average outdoor temperature during heating season, etc. These inputs were predominantly derived by taking values from the Illinois TRM and scaling them up or down using Alberta and Illinois’ Heating and Cooling Degree Days. Since Alberta climate is generally colder, values pertaining to heat load are scaled up proportionate to the increase in Heating Degree Days.</t>
    </r>
  </si>
  <si>
    <r>
      <rPr>
        <b/>
        <sz val="11"/>
        <color theme="1"/>
        <rFont val="Calibri"/>
        <family val="2"/>
        <scheme val="minor"/>
      </rPr>
      <t>TRM summary</t>
    </r>
    <r>
      <rPr>
        <sz val="11"/>
        <color theme="1"/>
        <rFont val="Calibri"/>
        <family val="2"/>
        <scheme val="minor"/>
      </rPr>
      <t xml:space="preserve">
• Measure ID and Version: Unique identifier of the measure and version number
• Sector: Commercial or Residential sectors
• Name: Name of the measure (singular)
</t>
    </r>
    <r>
      <rPr>
        <b/>
        <sz val="11"/>
        <color theme="1"/>
        <rFont val="Calibri"/>
        <family val="2"/>
        <scheme val="minor"/>
      </rPr>
      <t xml:space="preserve">Measure summary
</t>
    </r>
    <r>
      <rPr>
        <sz val="11"/>
        <color theme="1"/>
        <rFont val="Calibri"/>
        <family val="2"/>
        <scheme val="minor"/>
      </rPr>
      <t xml:space="preserve">• External Measure ID: Unique identifier of the measure (version number is not included)
• Measure Type: Abbreviated measure category (e.g. HVAC) followed by sub-category (Heating)
• Version: Version number of the measure
• Valid From (date): Year, month, and day when the measure version is first to be used
• Valid To (date):  Year, month, and day when the measure version is in its last day of use before it is to no longer be used
• Gross electricity savings (kWh/yr): Gross electricity savings (at meter) in kWh per year
• Gross electric demand savings (kW/yr): Gross electric demand savings (at meter) in kW per year
• Gross natural gas savings (GJ/yr): Gross natural gas savings (at meter) in GJ per year
• Incremental cost (CAD): Cost of the installation of one unit of the measure in Canadian dollars
• Unit Basis: Unit by which the measure’s savings and costs are calculated
• Measure Lifetime (yrs): Useful life of the measure expressed in years
</t>
    </r>
    <r>
      <rPr>
        <b/>
        <sz val="11"/>
        <color theme="1"/>
        <rFont val="Calibri"/>
        <family val="2"/>
        <scheme val="minor"/>
      </rPr>
      <t>Description</t>
    </r>
    <r>
      <rPr>
        <sz val="11"/>
        <color theme="1"/>
        <rFont val="Calibri"/>
        <family val="2"/>
        <scheme val="minor"/>
      </rPr>
      <t xml:space="preserve">
• Definition of Measure: Short description of the measure including any limitations on use, fuels, etc.
• Description of Efficient Condition: Details, including minimum specifications of the efficient equipment
• Description of Baseline Condition: Details, including assumptions and standards assumed by the calculations for the existing equipment being replaced (where applicable) 
</t>
    </r>
    <r>
      <rPr>
        <b/>
        <sz val="11"/>
        <color theme="1"/>
        <rFont val="Calibri"/>
        <family val="2"/>
        <scheme val="minor"/>
      </rPr>
      <t>Application</t>
    </r>
    <r>
      <rPr>
        <sz val="11"/>
        <color theme="1"/>
        <rFont val="Calibri"/>
        <family val="2"/>
        <scheme val="minor"/>
      </rPr>
      <t xml:space="preserve">
• Region: Region where the measure is installed (Average represents entire province)
• Replacement Type: Measures replacement type. Either RET (retrofit) or ROB/NEW (new installation). Do NOT change. Currently specified default replacement type. 
Algorithm for other type is not yet built.
• Building Type: Category of building where measure is installed.
• Space Heating Fuel: Heating fuel used to heat space. Either natural gas or electricity.
• Water Heating Fuel: Heating fuel used to heat water. Either natural gas or electricity.
</t>
    </r>
    <r>
      <rPr>
        <b/>
        <sz val="11"/>
        <color theme="1"/>
        <rFont val="Calibri"/>
        <family val="2"/>
        <scheme val="minor"/>
      </rPr>
      <t>Cost characterization (not completed in version 1 of the TRM)</t>
    </r>
    <r>
      <rPr>
        <sz val="11"/>
        <color theme="1"/>
        <rFont val="Calibri"/>
        <family val="2"/>
        <scheme val="minor"/>
      </rPr>
      <t xml:space="preserve">
• Labour Cost:  Labour cost associated with installing the measure including GST
• Efficient Equipment Cost: Total new cost of the new equipment including GST
• Baseline Equipment Cost: Total new cost of the existing equipment being replaced (or equivalent equipment meeting current minimum codes and standards)
• Total Installed Cost: Total cost of the new equipment including GST
• Incremental Cost: Cost differential between efficiency measure and existing equipment (if existing equipment is not being replaced (e.g. new lighting control) then the incremental cost is equal to the total installed cost of the new equipment. 
</t>
    </r>
    <r>
      <rPr>
        <b/>
        <sz val="11"/>
        <color theme="1"/>
        <rFont val="Calibri"/>
        <family val="2"/>
        <scheme val="minor"/>
      </rPr>
      <t>Savings (Gross at meter)</t>
    </r>
    <r>
      <rPr>
        <sz val="11"/>
        <color theme="1"/>
        <rFont val="Calibri"/>
        <family val="2"/>
        <scheme val="minor"/>
      </rPr>
      <t xml:space="preserve">
Each savings category includes the savings algorithm (written out using the Variable Name from the Variables and Calculations table), a savings value (contains Excel formula with cell references), the unit in which savings value is expressed and the source of the savings calculation (e.g. website, TRM, etc.).
• Adjusted Gross Savings: Measure level savings (i.e. electric demand, electricity, natural gas and water savings), corrected for interactive effects and any other impacts EEA want to consider (such as ISR). The sum of interactive effects and technical savings for any energy savings category (e.g. electric demand, electricity, natural gas and water savings) equals the adjusted gross savings for that energy savings category.
• Technical Savings: Direct gross electric demand, electricity, natural gas and water savings from the measure (for lighting: direct impact of the “delta”, or difference, in watts (between the baseline equipment and the efficient equipment), before interactive effects or other impacts)
• Interactive Effects: Any energy (or other resource) impact on other end-uses (positive or negative). 
</t>
    </r>
    <r>
      <rPr>
        <b/>
        <sz val="11"/>
        <color theme="1"/>
        <rFont val="Calibri"/>
        <family val="2"/>
        <scheme val="minor"/>
      </rPr>
      <t>Variables and Calculations</t>
    </r>
    <r>
      <rPr>
        <sz val="11"/>
        <color theme="1"/>
        <rFont val="Calibri"/>
        <family val="2"/>
        <scheme val="minor"/>
      </rPr>
      <t xml:space="preserve">
Each variable, which is used in the savings algorithms in the Savings (Gross at meter), has a Variable number, Variable Name, Definition, Value, Unit in which the value is expressed and a cell dedicated to variable Sources and Notes. Certain variables have a Lookup Name and Lookup Label for variables whose values change depending on factors such as Building Type and Region.
</t>
    </r>
    <r>
      <rPr>
        <b/>
        <sz val="11"/>
        <color theme="1"/>
        <rFont val="Calibri"/>
        <family val="2"/>
        <scheme val="minor"/>
      </rPr>
      <t>Constants and Conversion Factors</t>
    </r>
    <r>
      <rPr>
        <sz val="11"/>
        <color theme="1"/>
        <rFont val="Calibri"/>
        <family val="2"/>
        <scheme val="minor"/>
      </rPr>
      <t xml:space="preserve">
The Constants and Conversion Factors table contains constants and conversion factors that are used in measure savings algorithms. The table contains a column for the Constant ID or name, the Value of the constant, the Unit in which the value is expressed and the Source / Notes for the constant.
</t>
    </r>
    <r>
      <rPr>
        <b/>
        <sz val="11"/>
        <color theme="1"/>
        <rFont val="Calibri"/>
        <family val="2"/>
        <scheme val="minor"/>
      </rPr>
      <t xml:space="preserve">Lookup Tables </t>
    </r>
    <r>
      <rPr>
        <sz val="11"/>
        <color theme="1"/>
        <rFont val="Calibri"/>
        <family val="2"/>
        <scheme val="minor"/>
      </rPr>
      <t xml:space="preserve">
Lookup tables are for variables whose values change depending on multiple factors. Each table has a column for Lookup and Description, Labels and Values to Look up, and the Source / Notes for each Lookup.</t>
    </r>
  </si>
  <si>
    <r>
      <t xml:space="preserve">The TRM can be used by implementers, program administrators and evaluators as a guide to assign and evaluate measure savings. Program administers will use the tools in the TRM for program planning. Implementers will use the TRM to assign appropriate savings at the measure level. Evaluators will use the TRM for evaluating the program retrospectively, and to provide input values for prospective updates. 
</t>
    </r>
    <r>
      <rPr>
        <b/>
        <sz val="11"/>
        <color theme="1"/>
        <rFont val="Calibri"/>
        <family val="2"/>
        <scheme val="minor"/>
      </rPr>
      <t xml:space="preserve">Portfolio Planning
</t>
    </r>
    <r>
      <rPr>
        <sz val="11"/>
        <color theme="1"/>
        <rFont val="Calibri"/>
        <family val="2"/>
        <scheme val="minor"/>
      </rPr>
      <t xml:space="preserve">A balanced mix of measures, or targeting groups of measures to a specific market segment can help hit portfolio targets for overall energy savings, GHG emissions reductions and/or cost-effectiveness. The TRM provides a convenient way to assess overall impact of a portfolio of programs, and underlying measures by providing a consistent definition and value of energy savings across the portfolio. The resulting portfolio is also easier to benchmark against its goals.
</t>
    </r>
    <r>
      <rPr>
        <b/>
        <sz val="11"/>
        <color theme="1"/>
        <rFont val="Calibri"/>
        <family val="2"/>
        <scheme val="minor"/>
      </rPr>
      <t xml:space="preserve">
Program Design</t>
    </r>
    <r>
      <rPr>
        <sz val="11"/>
        <color theme="1"/>
        <rFont val="Calibri"/>
        <family val="2"/>
        <scheme val="minor"/>
      </rPr>
      <t xml:space="preserve">
Each program design consists of a mix of measures. The TRM provides a library of consistently defined measures to choose from. If past programs use the same definition, their past uptake and performance information can be used to predict appetite of measures by market segment, and thereby estimate impact of the program design.
</t>
    </r>
    <r>
      <rPr>
        <b/>
        <sz val="11"/>
        <color theme="1"/>
        <rFont val="Calibri"/>
        <family val="2"/>
        <scheme val="minor"/>
      </rPr>
      <t>Monitoring and Evaluation</t>
    </r>
    <r>
      <rPr>
        <sz val="11"/>
        <color theme="1"/>
        <rFont val="Calibri"/>
        <family val="2"/>
        <scheme val="minor"/>
      </rPr>
      <t xml:space="preserve">
A standardized TRM used throughout the lifecycle of a program (from design to implementation) makes monitoring and evaluation of the same program easy. The evaluability of a program increases when the same TRM is used for all stages of a program’s lifecycle. 
</t>
    </r>
    <r>
      <rPr>
        <b/>
        <sz val="11"/>
        <color theme="1"/>
        <rFont val="Calibri"/>
        <family val="2"/>
        <scheme val="minor"/>
      </rPr>
      <t>Reporting</t>
    </r>
    <r>
      <rPr>
        <sz val="11"/>
        <color theme="1"/>
        <rFont val="Calibri"/>
        <family val="2"/>
        <scheme val="minor"/>
      </rPr>
      <t xml:space="preserve">
Standardized use of the TRM makes it easy to report performance of the entire portfolio of programs, specific programs and by specific measure. Using standardized measure protocols also allows reporting on measure performance across programs. For example, the performance of tankless water heaters across a custom home retrofit program, mass market direct install, and affordable housing program. </t>
    </r>
  </si>
  <si>
    <t>5. USING THE TRM</t>
  </si>
  <si>
    <t>MEMD 2020</t>
  </si>
  <si>
    <r>
      <rPr>
        <b/>
        <sz val="11"/>
        <color theme="1"/>
        <rFont val="Calibri"/>
        <family val="2"/>
        <scheme val="minor"/>
      </rPr>
      <t>Dashboard</t>
    </r>
    <r>
      <rPr>
        <sz val="11"/>
        <color theme="1"/>
        <rFont val="Calibri"/>
        <family val="2"/>
        <scheme val="minor"/>
      </rPr>
      <t xml:space="preserve">
The dashboard lets you easily find measures using filters (Step 1 and 2 of the dashboard), optionally specify the program year, region and type of savings to calculate (Step 3), and then view measure details (Step 4). 
• Step 1: Sector – choose from commercial (includes institutional and non-profit measures) or residential
• Step 2: Measure Type – choose from a list of one or more types (use the Control key to select more than one type of measure in the list)
• Step 3: Year, Type of Savings and Region – use these inputs to specify the fiscal year of the program for which the measure will be implemented and/or evaluated; the type of energy savings to calculate; and the region in which the measures will be installed. 
</t>
    </r>
    <r>
      <rPr>
        <b/>
        <sz val="11"/>
        <color theme="1"/>
        <rFont val="Calibri"/>
        <family val="2"/>
        <scheme val="minor"/>
      </rPr>
      <t>Measure Summary</t>
    </r>
    <r>
      <rPr>
        <sz val="11"/>
        <color theme="1"/>
        <rFont val="Calibri"/>
        <family val="2"/>
        <scheme val="minor"/>
      </rPr>
      <t xml:space="preserve">
Detailed description of each measure in the TRM in table format. Each row references information from each of the measure protocols (corresponding to the name of each Excel Sheet). A list of important fields includes the following:
• Measure ID – this is a unique ID used to identify each measure corresponding to the name of the Excel Sheet in which the measure is defined (called the ‘Measure protocol’).
• Measure Name – the name of the measure
• Unit Basis – energy savings is calculated per unit quantity of the measure. The quantity of a measure is defined in terms of its unit basis. Some measures are counted in terms of number of widgets installed (e.g. lamp), and others by rated output capacity (e.g. kBTU/hour of a boiler) or square feet of applied area (e.g. square feet of insulation).
• Common inputs – several fields that describe the type of building, region, fuel type and replacement type of the measure. 
• Energy savings and cost information – the estimated energy savings, GHG emissions reductions and incremental cost per unit basis. Cost information is currently not populated in the TRM, although future versions may include this.
• Performance information – additional information about lifetime value of energy savings and GHG emissions reductions.
</t>
    </r>
    <r>
      <rPr>
        <b/>
        <sz val="11"/>
        <color theme="1"/>
        <rFont val="Calibri"/>
        <family val="2"/>
        <scheme val="minor"/>
      </rPr>
      <t>Measure protocols</t>
    </r>
    <r>
      <rPr>
        <sz val="11"/>
        <color theme="1"/>
        <rFont val="Calibri"/>
        <family val="2"/>
        <scheme val="minor"/>
      </rPr>
      <t xml:space="preserve">
Each measure protocol Excel Sheet is named according to its unique ID.</t>
    </r>
  </si>
  <si>
    <t>Introduction</t>
  </si>
  <si>
    <t>"( (1 / H62)-1/(1 + H63*H70) ) * H66 * H64 * D86 * PI() * H65 * H69 * H68 / H67 / 100000 * GJ_per_Therm"</t>
  </si>
  <si>
    <t>Air source heat pump replacing natural gas furnace, kBTU/hour of Heating</t>
  </si>
  <si>
    <t>ECM motor for residential furnace, Furnace Motor</t>
  </si>
  <si>
    <t>Heat and energy recovery ventilation, Custom</t>
  </si>
  <si>
    <t>High-efficiency air source heat pump, kBTU/hour of Heating</t>
  </si>
  <si>
    <t>Destratification fan, ft^2 of Conditioned Space</t>
  </si>
  <si>
    <t>High-efficiency heat pump, kBTU/hour of Heating and Cooling</t>
  </si>
  <si>
    <t>High-efficiency natural gas make-up air furnace, CFM of Ventilation</t>
  </si>
  <si>
    <t>High-efficiency natural gas unit heater, kBTU/hour of Heating</t>
  </si>
  <si>
    <t>Ventilation heat/energy recovery, CFM of Ventilation</t>
  </si>
  <si>
    <t>(All)</t>
  </si>
  <si>
    <t>Air curtain for overhead doors, ft^2 of Doorway Area</t>
  </si>
  <si>
    <t>Air infiltration / sealing and pressurization, Custom</t>
  </si>
  <si>
    <t>Air sealing (infiltration reduction), Custom</t>
  </si>
  <si>
    <t>Attic insulation, ft^2 of Insulation</t>
  </si>
  <si>
    <t>Automatic door for walk-in freezer, Door</t>
  </si>
  <si>
    <t>Automatic door for walk-in refrigerator, Door</t>
  </si>
  <si>
    <t>Bay fixture and retrofit kit, Fixture</t>
  </si>
  <si>
    <t>Building automation system upgrade, Custom</t>
  </si>
  <si>
    <t>Commercial insulation, Custom</t>
  </si>
  <si>
    <t>Crawlspace insulation, ft^2 of Insulation</t>
  </si>
  <si>
    <t>Demand control building ventilation, ft^2 of Conditioned Space</t>
  </si>
  <si>
    <t>Demand control kitchen ventilation, Horsepower of Exhaust Fan</t>
  </si>
  <si>
    <t>Downlight fixture and retrofit kit, Fixture</t>
  </si>
  <si>
    <t>Drain water heat recovery, Drain</t>
  </si>
  <si>
    <t>Evaporator fan control for motors, Horsepower of Motor</t>
  </si>
  <si>
    <t>General service and specialty lamp, Lamp</t>
  </si>
  <si>
    <t>Heat pump water heater, Water Heater</t>
  </si>
  <si>
    <t>High-efficiency central air conditioner, Ton of Cooling</t>
  </si>
  <si>
    <t>High-efficiency door for reach-in freezer, Door</t>
  </si>
  <si>
    <t>High-efficiency door for reach-in refrigerator, Door</t>
  </si>
  <si>
    <t>High-efficiency electric air cooled chiller, Ton of Chiller</t>
  </si>
  <si>
    <t>High-efficiency motor for walk/reach-in freezers, Motor</t>
  </si>
  <si>
    <t>High-efficiency motor for walk/reach-in refrigerators, Motor</t>
  </si>
  <si>
    <t>High-efficiency natural gas storage water heater, Water Heater</t>
  </si>
  <si>
    <t>High-efficiency pre-rinse spray valve, Valve</t>
  </si>
  <si>
    <t>High-efficiency unitary air conditioner, Ton of Cooling</t>
  </si>
  <si>
    <t>High-efficiency window, Custom</t>
  </si>
  <si>
    <t>Indoor lighting control, Sensor</t>
  </si>
  <si>
    <t>LED exit sign, Sign</t>
  </si>
  <si>
    <t>Lighting fixture, Fixture</t>
  </si>
  <si>
    <t>Linear LED tube replacing fluorescent tube, Lamp</t>
  </si>
  <si>
    <t>Multi-residential hot water demand control, Dwelling Unit</t>
  </si>
  <si>
    <t>Outdoor LED fixture and retrofit kit, Fixture</t>
  </si>
  <si>
    <t>Outdoor lighting control, Sensor</t>
  </si>
  <si>
    <t>Refrigeration economizer, Horsepower of Compressor</t>
  </si>
  <si>
    <t>Refrigerator and freezer LED case lighting, Fixture</t>
  </si>
  <si>
    <t>Residential smart thermostat, kBTU/hour of Heating</t>
  </si>
  <si>
    <t>Rim joist insulation, ft^2 of Insulation</t>
  </si>
  <si>
    <t>Small commercial smart thermostat, kBTU/hour of Capacity</t>
  </si>
  <si>
    <t>Strip curtain for walk-in freezer, ft^2 of Doorway Area</t>
  </si>
  <si>
    <t>Strip curtain for walk-in refrigerator, ft^2 of Doorway Area</t>
  </si>
  <si>
    <t>Tankless natural gas water heater, Water Heater</t>
  </si>
  <si>
    <t>Triple pane low-e window, ft^2 of Window</t>
  </si>
  <si>
    <t>Troffer fixture and retrofit kit, Fixture</t>
  </si>
  <si>
    <t>Variable speed drive for motors in chilled water pumps, Horsepower of Motor</t>
  </si>
  <si>
    <t>Variable speed drive for motors in cooling tower fans, Horsepower of Motor</t>
  </si>
  <si>
    <t>Variable speed drive for motors in hot water pumps, Horsepower of Motor</t>
  </si>
  <si>
    <t>Variable speed drive for motors in supply and return fan applications, Horsepower of Motor</t>
  </si>
  <si>
    <t>Wall insulation, ft^2 of Insulation</t>
  </si>
  <si>
    <t>Window shading device, Custom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</si>
</sst>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6">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0_);\(&quot;$&quot;#,##0.00\)"/>
    <numFmt numFmtId="165" formatCode="&quot;$&quot;#,##0.00_);[Red]\(&quot;$&quot;#,##0.00\)"/>
    <numFmt numFmtId="166" formatCode="_(&quot;$&quot;* #,##0.00_);_(&quot;$&quot;* \(#,##0.00\);_(&quot;$&quot;* &quot;-&quot;??_);_(@_)"/>
    <numFmt numFmtId="167" formatCode="_(* #,##0.00_);_(* \(#,##0.00\);_(* &quot;-&quot;??_);_(@_)"/>
    <numFmt numFmtId="168" formatCode="0.000"/>
    <numFmt numFmtId="169" formatCode="0.0"/>
    <numFmt numFmtId="170" formatCode="0.00000"/>
    <numFmt numFmtId="171" formatCode="_(* #,##0_);_(* \(#,##0\);_(* &quot;-&quot;??_);_(@_)"/>
    <numFmt numFmtId="172" formatCode="0.0%"/>
    <numFmt numFmtId="173" formatCode="&quot;$&quot;#,##0"/>
    <numFmt numFmtId="174" formatCode="&quot;$&quot;#,##0.00"/>
    <numFmt numFmtId="175" formatCode="#,##0.000_ ;[Red]\-#,##0.000\ "/>
    <numFmt numFmtId="176" formatCode="#,##0_ ;[Red]\-#,##0\ "/>
    <numFmt numFmtId="177" formatCode="_(* #,##0.0000_);_(* \(#,##0.0000\);_(* &quot;-&quot;??_);_(@_)"/>
    <numFmt numFmtId="178" formatCode="0.0\ &quot;per ft&quot;"/>
    <numFmt numFmtId="179" formatCode="&quot;$&quot;#,##0&quot;/ft&quot;"/>
    <numFmt numFmtId="180" formatCode="&quot;$&quot;#,##0.00&quot;/ft&quot;"/>
    <numFmt numFmtId="181" formatCode="&quot;$&quot;#,##0.00\ &quot;per lamp&quot;"/>
    <numFmt numFmtId="182" formatCode="0.0\ &quot;per lamp&quot;"/>
    <numFmt numFmtId="183" formatCode="#,##0.000"/>
    <numFmt numFmtId="184" formatCode="#,##0.0_ ;[Red]\-#,##0.0\ "/>
    <numFmt numFmtId="185" formatCode="0.000000"/>
    <numFmt numFmtId="186" formatCode="#,##0.00000"/>
    <numFmt numFmtId="187" formatCode="#,##0.0"/>
    <numFmt numFmtId="188" formatCode="0.0000000"/>
    <numFmt numFmtId="189" formatCode="#,##0_ ;\-#,##0\ "/>
    <numFmt numFmtId="190" formatCode="#,##0.0_ ;\-#,##0.0\ "/>
    <numFmt numFmtId="191" formatCode="#,##0.00_ ;\-#,##0.00\ "/>
    <numFmt numFmtId="192" formatCode="[$-409]d/mmm/yy;@"/>
    <numFmt numFmtId="193" formatCode="#,##0.00_ ;[Red]\-#,##0.00\ "/>
    <numFmt numFmtId="194" formatCode="#,##0.0000000"/>
    <numFmt numFmtId="195" formatCode="0.0000"/>
    <numFmt numFmtId="196" formatCode="0.0_ ;[Red]\-0.0\ "/>
    <numFmt numFmtId="197" formatCode="0.000E+00"/>
    <numFmt numFmtId="198" formatCode="_(&quot;$&quot;* #,##0_);_(&quot;$&quot;* \(#,##0\);_(&quot;$&quot;* &quot;-&quot;??_);_(@_)"/>
    <numFmt numFmtId="199" formatCode="#,##0.000_ ;\-#,##0.000\ "/>
    <numFmt numFmtId="200" formatCode="#,##0.000000_ ;[Red]\-#,##0.000000\ "/>
    <numFmt numFmtId="201" formatCode="#,##0.0000000_ ;\-#,##0.0000000\ "/>
    <numFmt numFmtId="202" formatCode="&quot;$&quot;#,##0.0000_);[Red]\(&quot;$&quot;#,##0.0000\)"/>
    <numFmt numFmtId="203" formatCode="&quot;$&quot;#,##0.00;[Red]&quot;$&quot;#,##0.00"/>
  </numFmts>
  <fonts count="94" x14ac:knownFonts="1">
    <font>
      <sz val="11"/>
      <color theme="1"/>
      <name val="Calibri"/>
      <family val="2"/>
      <scheme val="minor"/>
    </font>
    <font>
      <b/>
      <sz val="11"/>
      <color theme="1"/>
      <name val="Calibri"/>
      <family val="2"/>
      <scheme val="minor"/>
    </font>
    <font>
      <sz val="11"/>
      <color theme="1"/>
      <name val="Calibri"/>
      <family val="2"/>
      <scheme val="minor"/>
    </font>
    <font>
      <sz val="11"/>
      <color rgb="FFFF0000"/>
      <name val="Calibri"/>
      <family val="2"/>
      <scheme val="minor"/>
    </font>
    <font>
      <sz val="11"/>
      <color theme="1"/>
      <name val="Calibri"/>
      <family val="2"/>
    </font>
    <font>
      <sz val="11"/>
      <name val="Calibri"/>
      <family val="2"/>
      <scheme val="minor"/>
    </font>
    <font>
      <b/>
      <sz val="11"/>
      <color theme="0"/>
      <name val="Calibri"/>
      <family val="2"/>
      <scheme val="minor"/>
    </font>
    <font>
      <sz val="9"/>
      <color theme="1"/>
      <name val="Calibri"/>
      <family val="2"/>
      <scheme val="minor"/>
    </font>
    <font>
      <sz val="9"/>
      <color indexed="81"/>
      <name val="Tahoma"/>
      <family val="2"/>
    </font>
    <font>
      <b/>
      <sz val="9"/>
      <color indexed="81"/>
      <name val="Tahoma"/>
      <family val="2"/>
    </font>
    <font>
      <sz val="10"/>
      <name val="Arial"/>
      <family val="2"/>
    </font>
    <font>
      <b/>
      <sz val="10"/>
      <name val="Arial"/>
      <family val="2"/>
    </font>
    <font>
      <sz val="10"/>
      <color theme="1"/>
      <name val="Calibri"/>
      <family val="2"/>
      <scheme val="minor"/>
    </font>
    <font>
      <sz val="10"/>
      <name val="Calibri"/>
      <family val="2"/>
      <scheme val="minor"/>
    </font>
    <font>
      <b/>
      <sz val="11"/>
      <name val="Calibri"/>
      <family val="2"/>
      <scheme val="minor"/>
    </font>
    <font>
      <sz val="11"/>
      <color rgb="FF000000"/>
      <name val="Calibri"/>
      <family val="2"/>
      <scheme val="minor"/>
    </font>
    <font>
      <b/>
      <sz val="11"/>
      <color rgb="FF000000"/>
      <name val="Calibri"/>
      <family val="2"/>
      <scheme val="minor"/>
    </font>
    <font>
      <b/>
      <sz val="11"/>
      <name val="Calibri"/>
      <family val="2"/>
    </font>
    <font>
      <b/>
      <sz val="10"/>
      <name val="Calibri"/>
      <family val="2"/>
      <scheme val="minor"/>
    </font>
    <font>
      <sz val="11"/>
      <name val="Calibri"/>
      <family val="2"/>
    </font>
    <font>
      <u/>
      <sz val="10"/>
      <name val="Calibri"/>
      <family val="2"/>
      <scheme val="minor"/>
    </font>
    <font>
      <vertAlign val="superscript"/>
      <sz val="10"/>
      <name val="Calibri"/>
      <family val="2"/>
      <scheme val="minor"/>
    </font>
    <font>
      <sz val="8"/>
      <name val="Calibri"/>
      <family val="2"/>
      <scheme val="minor"/>
    </font>
    <font>
      <sz val="9"/>
      <color rgb="FFFF0000"/>
      <name val="Calibri"/>
      <family val="2"/>
      <scheme val="minor"/>
    </font>
    <font>
      <sz val="9"/>
      <name val="Calibri"/>
      <family val="2"/>
      <scheme val="minor"/>
    </font>
    <font>
      <u/>
      <sz val="9"/>
      <color rgb="FF0070C0"/>
      <name val="Calibri"/>
      <family val="2"/>
    </font>
    <font>
      <sz val="11"/>
      <color rgb="FFFF0000"/>
      <name val="Calibri"/>
      <family val="2"/>
    </font>
    <font>
      <sz val="11"/>
      <color rgb="FFFA7D00"/>
      <name val="Calibri"/>
      <family val="2"/>
      <scheme val="minor"/>
    </font>
    <font>
      <b/>
      <sz val="16"/>
      <color theme="1"/>
      <name val="Calibri"/>
      <family val="2"/>
    </font>
    <font>
      <b/>
      <sz val="16"/>
      <color rgb="FF000000"/>
      <name val="Calibri"/>
      <family val="2"/>
      <scheme val="minor"/>
    </font>
    <font>
      <sz val="11"/>
      <color rgb="FF0070C0"/>
      <name val="Calibri"/>
      <family val="2"/>
      <scheme val="minor"/>
    </font>
    <font>
      <b/>
      <sz val="10"/>
      <color indexed="9"/>
      <name val="Calibri"/>
      <family val="2"/>
    </font>
    <font>
      <sz val="10"/>
      <color indexed="8"/>
      <name val="Arial"/>
      <family val="2"/>
    </font>
    <font>
      <sz val="10"/>
      <color indexed="8"/>
      <name val="Calibri"/>
      <family val="2"/>
    </font>
    <font>
      <b/>
      <sz val="16"/>
      <name val="Arial"/>
      <family val="2"/>
    </font>
    <font>
      <u/>
      <sz val="10"/>
      <name val="Arial"/>
      <family val="2"/>
    </font>
    <font>
      <b/>
      <sz val="13"/>
      <color theme="3"/>
      <name val="Calibri"/>
      <family val="2"/>
      <scheme val="minor"/>
    </font>
    <font>
      <sz val="9"/>
      <color theme="0"/>
      <name val="Calibri"/>
      <family val="2"/>
      <scheme val="minor"/>
    </font>
    <font>
      <b/>
      <sz val="9"/>
      <color theme="0"/>
      <name val="Calibri"/>
      <family val="2"/>
      <scheme val="minor"/>
    </font>
    <font>
      <sz val="11"/>
      <color indexed="8"/>
      <name val="Calibri"/>
      <family val="2"/>
      <scheme val="minor"/>
    </font>
    <font>
      <b/>
      <sz val="11"/>
      <color indexed="9"/>
      <name val="Calibri"/>
      <family val="2"/>
      <scheme val="minor"/>
    </font>
    <font>
      <b/>
      <sz val="11"/>
      <color indexed="8"/>
      <name val="Calibri"/>
      <family val="2"/>
      <scheme val="minor"/>
    </font>
    <font>
      <b/>
      <sz val="10"/>
      <color indexed="9"/>
      <name val="Calibri"/>
      <family val="1"/>
      <charset val="204"/>
    </font>
    <font>
      <sz val="10"/>
      <color indexed="8"/>
      <name val="Calibri"/>
      <family val="1"/>
      <charset val="204"/>
    </font>
    <font>
      <sz val="9"/>
      <color theme="1"/>
      <name val="Arial"/>
      <family val="2"/>
    </font>
    <font>
      <b/>
      <sz val="11"/>
      <color theme="1"/>
      <name val="Calibri"/>
      <family val="2"/>
    </font>
    <font>
      <b/>
      <sz val="10"/>
      <color indexed="8"/>
      <name val="Calibri"/>
      <family val="2"/>
    </font>
    <font>
      <b/>
      <sz val="10"/>
      <color indexed="9"/>
      <name val="Arial"/>
      <family val="2"/>
    </font>
    <font>
      <u/>
      <sz val="11"/>
      <color theme="10"/>
      <name val="Calibri"/>
      <family val="2"/>
      <scheme val="minor"/>
    </font>
    <font>
      <sz val="7"/>
      <color indexed="9"/>
      <name val="Arial"/>
      <family val="1"/>
      <charset val="204"/>
    </font>
    <font>
      <sz val="7"/>
      <color indexed="8"/>
      <name val="Arial"/>
      <family val="1"/>
      <charset val="204"/>
    </font>
    <font>
      <b/>
      <sz val="12"/>
      <name val="Calibri"/>
      <family val="2"/>
      <scheme val="minor"/>
    </font>
    <font>
      <sz val="10"/>
      <color rgb="FFFF0000"/>
      <name val="Calibri"/>
      <family val="2"/>
      <scheme val="minor"/>
    </font>
    <font>
      <sz val="9"/>
      <color rgb="FF7030A0"/>
      <name val="Calibri"/>
      <family val="2"/>
      <scheme val="minor"/>
    </font>
    <font>
      <sz val="9"/>
      <color rgb="FF00B050"/>
      <name val="Calibri"/>
      <family val="2"/>
      <scheme val="minor"/>
    </font>
    <font>
      <sz val="9"/>
      <color theme="9" tint="-0.499984740745262"/>
      <name val="Calibri"/>
      <family val="2"/>
      <scheme val="minor"/>
    </font>
    <font>
      <u/>
      <sz val="9"/>
      <color theme="10"/>
      <name val="Calibri"/>
      <family val="2"/>
    </font>
    <font>
      <b/>
      <sz val="11"/>
      <color theme="3"/>
      <name val="Calibri"/>
      <family val="2"/>
      <scheme val="minor"/>
    </font>
    <font>
      <b/>
      <sz val="10"/>
      <color rgb="FFFFFFFF"/>
      <name val="Calibri"/>
      <family val="2"/>
      <scheme val="minor"/>
    </font>
    <font>
      <u/>
      <sz val="10"/>
      <color theme="10"/>
      <name val="Calibri"/>
      <family val="2"/>
      <scheme val="minor"/>
    </font>
    <font>
      <b/>
      <sz val="10"/>
      <color theme="0"/>
      <name val="Calibri"/>
      <family val="2"/>
      <scheme val="minor"/>
    </font>
    <font>
      <u/>
      <sz val="11"/>
      <color rgb="FF0070C0"/>
      <name val="Calibri"/>
      <family val="2"/>
      <scheme val="minor"/>
    </font>
    <font>
      <u/>
      <sz val="10"/>
      <color theme="10"/>
      <name val="Calibri"/>
      <family val="2"/>
    </font>
    <font>
      <b/>
      <sz val="10"/>
      <color theme="3"/>
      <name val="Calibri"/>
      <family val="2"/>
      <scheme val="minor"/>
    </font>
    <font>
      <b/>
      <sz val="11"/>
      <color indexed="8"/>
      <name val="Calibri"/>
      <family val="2"/>
    </font>
    <font>
      <sz val="11"/>
      <color indexed="8"/>
      <name val="Calibri"/>
      <family val="2"/>
    </font>
    <font>
      <b/>
      <sz val="14"/>
      <color theme="1"/>
      <name val="Calibri"/>
      <family val="2"/>
      <scheme val="minor"/>
    </font>
    <font>
      <b/>
      <sz val="9"/>
      <color rgb="FFFFFFFF"/>
      <name val="Calibri"/>
      <family val="2"/>
      <scheme val="minor"/>
    </font>
    <font>
      <sz val="8"/>
      <color rgb="FFFFFFFF"/>
      <name val="Calibri"/>
      <family val="2"/>
      <scheme val="minor"/>
    </font>
    <font>
      <b/>
      <sz val="10"/>
      <color theme="1"/>
      <name val="Calibri"/>
      <family val="2"/>
      <scheme val="minor"/>
    </font>
    <font>
      <b/>
      <sz val="10"/>
      <color rgb="FFFF0000"/>
      <name val="Calibri"/>
      <family val="2"/>
      <scheme val="minor"/>
    </font>
    <font>
      <sz val="10"/>
      <color rgb="FF000000"/>
      <name val="Calibri"/>
      <family val="2"/>
      <scheme val="minor"/>
    </font>
    <font>
      <b/>
      <sz val="10"/>
      <color rgb="FFFFFFFF"/>
      <name val="Calibri"/>
      <family val="2"/>
    </font>
    <font>
      <sz val="10"/>
      <color rgb="FFFF0000"/>
      <name val="Calibri"/>
      <family val="2"/>
    </font>
    <font>
      <b/>
      <sz val="10"/>
      <name val="Calibri"/>
      <family val="2"/>
    </font>
    <font>
      <sz val="10"/>
      <name val="Calibri"/>
      <family val="2"/>
    </font>
    <font>
      <sz val="10"/>
      <color theme="1"/>
      <name val="Calibri"/>
      <family val="2"/>
    </font>
    <font>
      <b/>
      <sz val="10"/>
      <color theme="0"/>
      <name val="Calibri"/>
      <family val="2"/>
    </font>
    <font>
      <b/>
      <sz val="10"/>
      <color theme="1"/>
      <name val="Calibri"/>
      <family val="2"/>
    </font>
    <font>
      <b/>
      <sz val="10"/>
      <color rgb="FFFF0000"/>
      <name val="Calibri"/>
      <family val="2"/>
    </font>
    <font>
      <sz val="10"/>
      <color rgb="FF000000"/>
      <name val="Calibri"/>
      <family val="2"/>
    </font>
    <font>
      <b/>
      <sz val="10"/>
      <color indexed="9"/>
      <name val="Calibri"/>
      <family val="2"/>
      <scheme val="minor"/>
    </font>
    <font>
      <sz val="10"/>
      <color indexed="8"/>
      <name val="Calibri"/>
      <family val="2"/>
      <scheme val="minor"/>
    </font>
    <font>
      <i/>
      <sz val="10"/>
      <color theme="1"/>
      <name val="Calibri"/>
      <family val="2"/>
      <scheme val="minor"/>
    </font>
    <font>
      <b/>
      <i/>
      <sz val="10"/>
      <color theme="1"/>
      <name val="Calibri"/>
      <family val="2"/>
      <scheme val="minor"/>
    </font>
    <font>
      <b/>
      <i/>
      <sz val="10"/>
      <color rgb="FFFF0000"/>
      <name val="Calibri"/>
      <family val="2"/>
      <scheme val="minor"/>
    </font>
    <font>
      <sz val="11"/>
      <color theme="0"/>
      <name val="Calibri"/>
      <family val="2"/>
      <scheme val="minor"/>
    </font>
    <font>
      <b/>
      <sz val="36"/>
      <color theme="0"/>
      <name val="Calibri"/>
      <family val="2"/>
      <scheme val="minor"/>
    </font>
    <font>
      <b/>
      <sz val="22"/>
      <color theme="0"/>
      <name val="Calibri"/>
      <family val="2"/>
      <scheme val="minor"/>
    </font>
    <font>
      <b/>
      <sz val="14"/>
      <color theme="0"/>
      <name val="Calibri"/>
      <family val="2"/>
      <scheme val="minor"/>
    </font>
    <font>
      <sz val="12"/>
      <color theme="0"/>
      <name val="Calibri"/>
      <family val="2"/>
      <scheme val="minor"/>
    </font>
    <font>
      <b/>
      <sz val="11"/>
      <color rgb="FFFF0000"/>
      <name val="Calibri"/>
      <family val="2"/>
      <scheme val="minor"/>
    </font>
    <font>
      <u/>
      <sz val="9"/>
      <name val="Calibri"/>
      <family val="2"/>
      <scheme val="minor"/>
    </font>
    <font>
      <u/>
      <sz val="12"/>
      <color theme="10"/>
      <name val="Calibri"/>
      <family val="2"/>
    </font>
  </fonts>
  <fills count="3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indexed="44"/>
        <bgColor indexed="64"/>
      </patternFill>
    </fill>
    <fill>
      <patternFill patternType="solid">
        <fgColor indexed="47"/>
        <bgColor indexed="64"/>
      </patternFill>
    </fill>
    <fill>
      <patternFill patternType="solid">
        <fgColor theme="5" tint="0.79998168889431442"/>
        <bgColor indexed="64"/>
      </patternFill>
    </fill>
    <fill>
      <patternFill patternType="solid">
        <fgColor theme="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4"/>
        <bgColor indexed="64"/>
      </patternFill>
    </fill>
    <fill>
      <patternFill patternType="solid">
        <fgColor rgb="FFFFFFFF"/>
        <bgColor indexed="64"/>
      </patternFill>
    </fill>
    <fill>
      <patternFill patternType="solid">
        <fgColor rgb="FF92D050"/>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rgb="FF7F7F7F"/>
        <bgColor indexed="64"/>
      </patternFill>
    </fill>
    <fill>
      <patternFill patternType="solid">
        <fgColor rgb="FF808080"/>
      </patternFill>
    </fill>
    <fill>
      <patternFill patternType="solid">
        <fgColor rgb="FF0070C0"/>
        <bgColor indexed="64"/>
      </patternFill>
    </fill>
    <fill>
      <patternFill patternType="solid">
        <fgColor rgb="FF808080"/>
        <bgColor indexed="64"/>
      </patternFill>
    </fill>
    <fill>
      <patternFill patternType="solid">
        <fgColor rgb="FF7E7E7E"/>
        <bgColor indexed="64"/>
      </patternFill>
    </fill>
    <fill>
      <patternFill patternType="solid">
        <fgColor theme="0" tint="-0.14999847407452621"/>
        <bgColor theme="0" tint="-0.14999847407452621"/>
      </patternFill>
    </fill>
    <fill>
      <patternFill patternType="solid">
        <fgColor theme="0" tint="-4.9989318521683403E-2"/>
        <bgColor indexed="64"/>
      </patternFill>
    </fill>
    <fill>
      <patternFill patternType="solid">
        <fgColor rgb="FF003D6C"/>
        <bgColor indexed="64"/>
      </patternFill>
    </fill>
    <fill>
      <patternFill patternType="solid">
        <fgColor rgb="FFFFFF00"/>
        <bgColor theme="0" tint="-0.14999847407452621"/>
      </patternFill>
    </fill>
    <fill>
      <patternFill patternType="solid">
        <fgColor rgb="FFFF0000"/>
        <bgColor indexed="64"/>
      </patternFill>
    </fill>
    <fill>
      <patternFill patternType="solid">
        <fgColor theme="4" tint="0.79998168889431442"/>
        <bgColor theme="4" tint="0.79998168889431442"/>
      </patternFill>
    </fill>
    <fill>
      <patternFill patternType="solid">
        <fgColor theme="0" tint="-0.14999847407452621"/>
        <bgColor indexed="64"/>
      </patternFill>
    </fill>
    <fill>
      <patternFill patternType="solid">
        <fgColor theme="1" tint="0.499984740745262"/>
        <bgColor indexed="64"/>
      </patternFill>
    </fill>
    <fill>
      <patternFill patternType="solid">
        <fgColor theme="4" tint="-0.499984740745262"/>
        <bgColor indexed="64"/>
      </patternFill>
    </fill>
    <fill>
      <patternFill patternType="solid">
        <fgColor theme="3" tint="0.79995117038483843"/>
        <bgColor indexed="64"/>
      </patternFill>
    </fill>
    <fill>
      <patternFill patternType="solid">
        <fgColor theme="4" tint="0.79995117038483843"/>
        <bgColor indexed="64"/>
      </patternFill>
    </fill>
    <fill>
      <patternFill patternType="solid">
        <fgColor rgb="FF002060"/>
        <bgColor indexed="64"/>
      </patternFill>
    </fill>
    <fill>
      <patternFill patternType="solid">
        <fgColor rgb="FFD6DCE4"/>
        <bgColor indexed="64"/>
      </patternFill>
    </fill>
    <fill>
      <patternFill patternType="solid">
        <fgColor rgb="FFDDEBF7"/>
        <bgColor indexed="64"/>
      </patternFill>
    </fill>
    <fill>
      <patternFill patternType="solid">
        <fgColor rgb="FF123660"/>
        <bgColor indexed="64"/>
      </patternFill>
    </fill>
    <fill>
      <patternFill patternType="solid">
        <fgColor rgb="FF1F4E78"/>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double">
        <color rgb="FFFF800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bottom style="thin">
        <color rgb="FF000000"/>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theme="4"/>
      </top>
      <bottom style="double">
        <color theme="4"/>
      </bottom>
      <diagonal/>
    </border>
    <border>
      <left/>
      <right/>
      <top style="thin">
        <color rgb="FF000000"/>
      </top>
      <bottom style="thin">
        <color rgb="FF000000"/>
      </bottom>
      <diagonal/>
    </border>
    <border>
      <left/>
      <right/>
      <top/>
      <bottom style="thick">
        <color theme="4" tint="0.499984740745262"/>
      </bottom>
      <diagonal/>
    </border>
    <border>
      <left style="thin">
        <color rgb="FF000000"/>
      </left>
      <right style="thin">
        <color rgb="FF000000"/>
      </right>
      <top/>
      <bottom/>
      <diagonal/>
    </border>
    <border>
      <left style="thin">
        <color rgb="FF000000"/>
      </left>
      <right/>
      <top style="thin">
        <color rgb="FF000000"/>
      </top>
      <bottom/>
      <diagonal/>
    </border>
    <border>
      <left style="thin">
        <color indexed="64"/>
      </left>
      <right style="thin">
        <color rgb="FF000000"/>
      </right>
      <top style="thin">
        <color indexed="64"/>
      </top>
      <bottom style="thin">
        <color rgb="FF000000"/>
      </bottom>
      <diagonal/>
    </border>
    <border>
      <left style="thin">
        <color indexed="64"/>
      </left>
      <right/>
      <top style="thin">
        <color rgb="FF000000"/>
      </top>
      <bottom/>
      <diagonal/>
    </border>
    <border>
      <left style="thin">
        <color indexed="64"/>
      </left>
      <right style="thin">
        <color rgb="FF000000"/>
      </right>
      <top style="thin">
        <color rgb="FF000000"/>
      </top>
      <bottom/>
      <diagonal/>
    </border>
    <border>
      <left style="thin">
        <color rgb="FF000000"/>
      </left>
      <right/>
      <top style="thin">
        <color indexed="64"/>
      </top>
      <bottom/>
      <diagonal/>
    </border>
    <border>
      <left style="thin">
        <color indexed="64"/>
      </left>
      <right style="thin">
        <color rgb="FF000000"/>
      </right>
      <top style="thin">
        <color indexed="64"/>
      </top>
      <bottom/>
      <diagonal/>
    </border>
    <border>
      <left style="thin">
        <color rgb="FF000000"/>
      </left>
      <right/>
      <top style="thin">
        <color indexed="64"/>
      </top>
      <bottom style="thin">
        <color rgb="FF000000"/>
      </bottom>
      <diagonal/>
    </border>
    <border>
      <left style="thin">
        <color indexed="64"/>
      </left>
      <right/>
      <top style="thin">
        <color indexed="64"/>
      </top>
      <bottom style="thin">
        <color rgb="FF000000"/>
      </bottom>
      <diagonal/>
    </border>
    <border>
      <left/>
      <right/>
      <top style="thin">
        <color rgb="FF000000"/>
      </top>
      <bottom style="thin">
        <color indexed="64"/>
      </bottom>
      <diagonal/>
    </border>
    <border>
      <left style="thin">
        <color theme="0"/>
      </left>
      <right style="thin">
        <color theme="0"/>
      </right>
      <top style="thin">
        <color theme="0"/>
      </top>
      <bottom style="thin">
        <color theme="0"/>
      </bottom>
      <diagonal/>
    </border>
    <border>
      <left/>
      <right/>
      <top/>
      <bottom style="thin">
        <color theme="4" tint="0.3999755851924192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theme="4" tint="0.39997558519241921"/>
      </top>
      <bottom/>
      <diagonal/>
    </border>
    <border>
      <left style="thin">
        <color rgb="FF000000"/>
      </left>
      <right/>
      <top/>
      <bottom style="thin">
        <color rgb="FF000000"/>
      </bottom>
      <diagonal/>
    </border>
    <border>
      <left/>
      <right/>
      <top/>
      <bottom style="thin">
        <color rgb="FF000000"/>
      </bottom>
      <diagonal/>
    </border>
    <border>
      <left style="thin">
        <color indexed="64"/>
      </left>
      <right style="thin">
        <color rgb="FF000000"/>
      </right>
      <top/>
      <bottom/>
      <diagonal/>
    </border>
    <border>
      <left/>
      <right style="thin">
        <color theme="8"/>
      </right>
      <top/>
      <bottom/>
      <diagonal/>
    </border>
    <border>
      <left/>
      <right style="thin">
        <color theme="8"/>
      </right>
      <top/>
      <bottom style="thin">
        <color theme="8"/>
      </bottom>
      <diagonal/>
    </border>
    <border>
      <left/>
      <right/>
      <top/>
      <bottom style="thin">
        <color theme="8"/>
      </bottom>
      <diagonal/>
    </border>
    <border>
      <left style="thin">
        <color theme="8"/>
      </left>
      <right/>
      <top style="thin">
        <color theme="8"/>
      </top>
      <bottom/>
      <diagonal/>
    </border>
    <border>
      <left/>
      <right/>
      <top style="thin">
        <color theme="8"/>
      </top>
      <bottom/>
      <diagonal/>
    </border>
    <border>
      <left/>
      <right style="thin">
        <color theme="8"/>
      </right>
      <top style="thin">
        <color theme="8"/>
      </top>
      <bottom/>
      <diagonal/>
    </border>
    <border>
      <left style="thin">
        <color theme="8"/>
      </left>
      <right/>
      <top/>
      <bottom/>
      <diagonal/>
    </border>
    <border>
      <left style="thin">
        <color theme="8"/>
      </left>
      <right/>
      <top/>
      <bottom style="thin">
        <color theme="8"/>
      </bottom>
      <diagonal/>
    </border>
  </borders>
  <cellStyleXfs count="17">
    <xf numFmtId="0" fontId="0" fillId="0" borderId="0"/>
    <xf numFmtId="167"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10" fillId="4" borderId="0" applyNumberFormat="0" applyAlignment="0">
      <alignment horizontal="right"/>
    </xf>
    <xf numFmtId="0" fontId="10" fillId="5" borderId="0" applyNumberFormat="0" applyAlignment="0"/>
    <xf numFmtId="0" fontId="56" fillId="0" borderId="0" applyNumberFormat="0" applyFill="0" applyBorder="0" applyAlignment="0" applyProtection="0"/>
    <xf numFmtId="0" fontId="27" fillId="0" borderId="3" applyNumberFormat="0" applyFill="0" applyAlignment="0" applyProtection="0"/>
    <xf numFmtId="0" fontId="1" fillId="0" borderId="44" applyNumberFormat="0" applyFill="0" applyAlignment="0" applyProtection="0"/>
    <xf numFmtId="0" fontId="10" fillId="0" borderId="0"/>
    <xf numFmtId="9" fontId="10" fillId="0" borderId="0" applyFont="0" applyFill="0" applyBorder="0" applyAlignment="0" applyProtection="0"/>
    <xf numFmtId="167" fontId="10" fillId="0" borderId="0" applyFont="0" applyFill="0" applyBorder="0" applyAlignment="0" applyProtection="0"/>
    <xf numFmtId="44" fontId="2" fillId="0" borderId="0" applyFont="0" applyFill="0" applyBorder="0" applyAlignment="0" applyProtection="0"/>
    <xf numFmtId="192" fontId="10" fillId="0" borderId="0"/>
    <xf numFmtId="0" fontId="36" fillId="0" borderId="46" applyNumberFormat="0" applyFill="0" applyAlignment="0" applyProtection="0"/>
    <xf numFmtId="43" fontId="2" fillId="0" borderId="0" applyFont="0" applyFill="0" applyBorder="0" applyAlignment="0" applyProtection="0"/>
    <xf numFmtId="0" fontId="48" fillId="0" borderId="0" applyNumberFormat="0" applyFill="0" applyBorder="0" applyAlignment="0" applyProtection="0"/>
  </cellStyleXfs>
  <cellXfs count="2103">
    <xf numFmtId="0" fontId="0" fillId="0" borderId="0" xfId="0"/>
    <xf numFmtId="0" fontId="0" fillId="0" borderId="0" xfId="0" applyAlignment="1">
      <alignment vertical="center"/>
    </xf>
    <xf numFmtId="0" fontId="13" fillId="0" borderId="8" xfId="0" applyFont="1" applyBorder="1" applyAlignment="1">
      <alignment horizontal="left" vertical="center" wrapText="1"/>
    </xf>
    <xf numFmtId="0" fontId="0" fillId="0" borderId="0" xfId="0" applyAlignment="1">
      <alignment horizontal="center" vertical="center"/>
    </xf>
    <xf numFmtId="0" fontId="13" fillId="0" borderId="0" xfId="0" applyFont="1" applyAlignment="1">
      <alignment vertical="center"/>
    </xf>
    <xf numFmtId="169" fontId="13" fillId="0" borderId="0" xfId="0" applyNumberFormat="1" applyFont="1" applyAlignment="1">
      <alignment vertical="center"/>
    </xf>
    <xf numFmtId="0" fontId="13" fillId="0" borderId="0" xfId="0" applyFont="1" applyAlignment="1">
      <alignment horizontal="left" vertical="center"/>
    </xf>
    <xf numFmtId="169" fontId="13" fillId="0" borderId="0" xfId="0" applyNumberFormat="1" applyFont="1" applyAlignment="1">
      <alignment vertical="center"/>
    </xf>
    <xf numFmtId="0" fontId="13" fillId="0" borderId="0" xfId="0" applyFont="1" applyAlignment="1">
      <alignment horizontal="center" vertical="center"/>
    </xf>
    <xf numFmtId="0" fontId="0" fillId="0" borderId="0" xfId="0"/>
    <xf numFmtId="174" fontId="13" fillId="0" borderId="0" xfId="0" applyNumberFormat="1" applyFont="1" applyAlignment="1">
      <alignment vertical="center"/>
    </xf>
    <xf numFmtId="3" fontId="13" fillId="0" borderId="0" xfId="0" applyNumberFormat="1" applyFont="1" applyAlignment="1">
      <alignment vertical="center"/>
    </xf>
    <xf numFmtId="0" fontId="13" fillId="0" borderId="0" xfId="0" applyFont="1" applyAlignment="1">
      <alignment horizontal="center" vertical="center"/>
    </xf>
    <xf numFmtId="174" fontId="13" fillId="0" borderId="0" xfId="0" applyNumberFormat="1" applyFont="1" applyAlignment="1">
      <alignment horizontal="center" vertical="center"/>
    </xf>
    <xf numFmtId="0" fontId="13" fillId="0" borderId="0" xfId="0" applyFont="1" applyAlignment="1">
      <alignment vertical="center"/>
    </xf>
    <xf numFmtId="3" fontId="13" fillId="0" borderId="0" xfId="0" applyNumberFormat="1" applyFont="1" applyAlignment="1">
      <alignment horizontal="center" vertical="center"/>
    </xf>
    <xf numFmtId="0" fontId="18" fillId="14" borderId="16" xfId="0" applyFont="1" applyFill="1" applyBorder="1" applyAlignment="1">
      <alignment horizontal="left" vertical="center" wrapText="1"/>
    </xf>
    <xf numFmtId="0" fontId="18" fillId="14" borderId="28" xfId="0" applyFont="1" applyFill="1" applyBorder="1" applyAlignment="1">
      <alignment horizontal="left" vertical="center" wrapText="1"/>
    </xf>
    <xf numFmtId="169" fontId="18" fillId="14" borderId="29" xfId="0" applyNumberFormat="1" applyFont="1" applyFill="1" applyBorder="1" applyAlignment="1">
      <alignment horizontal="center" vertical="center" wrapText="1"/>
    </xf>
    <xf numFmtId="0" fontId="18" fillId="14" borderId="18" xfId="0" applyFont="1" applyFill="1" applyBorder="1" applyAlignment="1">
      <alignment horizontal="left" vertical="center" wrapText="1"/>
    </xf>
    <xf numFmtId="0" fontId="18" fillId="14" borderId="29" xfId="0" applyFont="1" applyFill="1" applyBorder="1" applyAlignment="1">
      <alignment horizontal="left" vertical="center" wrapText="1"/>
    </xf>
    <xf numFmtId="169" fontId="18" fillId="15" borderId="29" xfId="0" applyNumberFormat="1" applyFont="1" applyFill="1" applyBorder="1" applyAlignment="1">
      <alignment horizontal="center" vertical="center" wrapText="1"/>
    </xf>
    <xf numFmtId="0" fontId="18" fillId="16" borderId="29" xfId="0" applyFont="1" applyFill="1" applyBorder="1" applyAlignment="1">
      <alignment horizontal="center" vertical="center" wrapText="1"/>
    </xf>
    <xf numFmtId="3" fontId="18" fillId="14" borderId="16" xfId="0" applyNumberFormat="1" applyFont="1" applyFill="1" applyBorder="1" applyAlignment="1">
      <alignment horizontal="center" vertical="center" wrapText="1"/>
    </xf>
    <xf numFmtId="3" fontId="18" fillId="14" borderId="29" xfId="0" applyNumberFormat="1" applyFont="1" applyFill="1" applyBorder="1" applyAlignment="1">
      <alignment horizontal="center" vertical="center" wrapText="1"/>
    </xf>
    <xf numFmtId="0" fontId="18" fillId="14" borderId="30" xfId="0" applyFont="1" applyFill="1" applyBorder="1" applyAlignment="1">
      <alignment horizontal="center" vertical="center" wrapText="1"/>
    </xf>
    <xf numFmtId="174" fontId="18" fillId="14" borderId="29" xfId="0" applyNumberFormat="1" applyFont="1" applyFill="1" applyBorder="1" applyAlignment="1">
      <alignment horizontal="center" vertical="center" wrapText="1"/>
    </xf>
    <xf numFmtId="0" fontId="18" fillId="14" borderId="16" xfId="0" applyFont="1" applyFill="1" applyBorder="1" applyAlignment="1">
      <alignment horizontal="center" vertical="center" wrapText="1"/>
    </xf>
    <xf numFmtId="0" fontId="18" fillId="14" borderId="29" xfId="0" applyFont="1" applyFill="1" applyBorder="1" applyAlignment="1">
      <alignment horizontal="center" vertical="center" wrapText="1"/>
    </xf>
    <xf numFmtId="0" fontId="13" fillId="0" borderId="10" xfId="0" applyFont="1" applyBorder="1" applyAlignment="1">
      <alignment vertical="center" wrapText="1"/>
    </xf>
    <xf numFmtId="169" fontId="13" fillId="0" borderId="6" xfId="0" applyNumberFormat="1" applyFont="1" applyBorder="1" applyAlignment="1">
      <alignment horizontal="center" vertical="center"/>
    </xf>
    <xf numFmtId="0" fontId="13" fillId="0" borderId="1" xfId="0" applyFont="1" applyBorder="1" applyAlignment="1">
      <alignment horizontal="center" vertical="center" wrapText="1"/>
    </xf>
    <xf numFmtId="169" fontId="18" fillId="15" borderId="6" xfId="0" applyNumberFormat="1" applyFont="1" applyFill="1" applyBorder="1" applyAlignment="1">
      <alignment horizontal="center" vertical="center" wrapText="1"/>
    </xf>
    <xf numFmtId="173" fontId="13" fillId="0" borderId="6" xfId="0" applyNumberFormat="1" applyFont="1" applyBorder="1" applyAlignment="1">
      <alignment horizontal="center" vertical="center"/>
    </xf>
    <xf numFmtId="3" fontId="13" fillId="0" borderId="31" xfId="0" applyNumberFormat="1" applyFont="1" applyBorder="1" applyAlignment="1">
      <alignment horizontal="center" vertical="center"/>
    </xf>
    <xf numFmtId="174" fontId="13" fillId="0" borderId="6" xfId="0" applyNumberFormat="1" applyFont="1" applyBorder="1" applyAlignment="1">
      <alignment horizontal="center" vertical="center"/>
    </xf>
    <xf numFmtId="3" fontId="13" fillId="0" borderId="6" xfId="0" applyNumberFormat="1" applyFont="1" applyBorder="1" applyAlignment="1">
      <alignment horizontal="center" vertical="center"/>
    </xf>
    <xf numFmtId="3" fontId="13" fillId="0" borderId="8" xfId="0" applyNumberFormat="1" applyFont="1" applyBorder="1" applyAlignment="1">
      <alignment horizontal="center" vertical="center"/>
    </xf>
    <xf numFmtId="164" fontId="13" fillId="0" borderId="8" xfId="0" applyNumberFormat="1" applyFont="1" applyBorder="1" applyAlignment="1">
      <alignment horizontal="center" vertical="center"/>
    </xf>
    <xf numFmtId="164" fontId="13" fillId="0" borderId="32" xfId="0" applyNumberFormat="1" applyFont="1" applyBorder="1" applyAlignment="1">
      <alignment horizontal="center" vertical="center"/>
    </xf>
    <xf numFmtId="0" fontId="13" fillId="0" borderId="31" xfId="0" applyFont="1" applyBorder="1" applyAlignment="1">
      <alignment vertical="center" wrapText="1"/>
    </xf>
    <xf numFmtId="0" fontId="13" fillId="0" borderId="6" xfId="0" applyFont="1" applyBorder="1" applyAlignment="1">
      <alignment horizontal="center" vertical="center"/>
    </xf>
    <xf numFmtId="174" fontId="13" fillId="0" borderId="33" xfId="0" applyNumberFormat="1" applyFont="1" applyBorder="1" applyAlignment="1">
      <alignment horizontal="center" vertical="center"/>
    </xf>
    <xf numFmtId="0" fontId="13" fillId="0" borderId="34" xfId="0" applyFont="1" applyBorder="1" applyAlignment="1">
      <alignment vertical="center" wrapText="1"/>
    </xf>
    <xf numFmtId="0" fontId="13" fillId="0" borderId="8" xfId="0" applyFont="1" applyBorder="1" applyAlignment="1">
      <alignment horizontal="center" vertical="center" wrapText="1"/>
    </xf>
    <xf numFmtId="174" fontId="13" fillId="0" borderId="8" xfId="0" applyNumberFormat="1" applyFont="1" applyBorder="1" applyAlignment="1">
      <alignment horizontal="center" vertical="center"/>
    </xf>
    <xf numFmtId="169" fontId="13" fillId="0" borderId="8" xfId="0" applyNumberFormat="1" applyFont="1" applyBorder="1" applyAlignment="1">
      <alignment horizontal="center" vertical="center"/>
    </xf>
    <xf numFmtId="0" fontId="13" fillId="0" borderId="35" xfId="0" applyFont="1" applyBorder="1" applyAlignment="1">
      <alignment vertical="center" wrapText="1"/>
    </xf>
    <xf numFmtId="169" fontId="13" fillId="0" borderId="21" xfId="0" applyNumberFormat="1" applyFont="1" applyBorder="1" applyAlignment="1">
      <alignment horizontal="center" vertical="center"/>
    </xf>
    <xf numFmtId="169" fontId="18" fillId="15" borderId="21" xfId="0" applyNumberFormat="1" applyFont="1" applyFill="1" applyBorder="1" applyAlignment="1">
      <alignment horizontal="center" vertical="center" wrapText="1"/>
    </xf>
    <xf numFmtId="173" fontId="13" fillId="0" borderId="21" xfId="0" applyNumberFormat="1" applyFont="1" applyBorder="1" applyAlignment="1">
      <alignment horizontal="center" vertical="center"/>
    </xf>
    <xf numFmtId="3" fontId="13" fillId="0" borderId="20" xfId="0" applyNumberFormat="1" applyFont="1" applyBorder="1" applyAlignment="1">
      <alignment horizontal="center" vertical="center"/>
    </xf>
    <xf numFmtId="174" fontId="13" fillId="0" borderId="21" xfId="0" applyNumberFormat="1" applyFont="1" applyBorder="1" applyAlignment="1">
      <alignment horizontal="center" vertical="center"/>
    </xf>
    <xf numFmtId="3" fontId="13" fillId="0" borderId="21" xfId="0" applyNumberFormat="1" applyFont="1" applyBorder="1" applyAlignment="1">
      <alignment horizontal="center" vertical="center"/>
    </xf>
    <xf numFmtId="164" fontId="13" fillId="0" borderId="21" xfId="0" applyNumberFormat="1" applyFont="1" applyBorder="1" applyAlignment="1">
      <alignment horizontal="center" vertical="center"/>
    </xf>
    <xf numFmtId="164" fontId="13" fillId="0" borderId="36" xfId="0" applyNumberFormat="1" applyFont="1" applyBorder="1" applyAlignment="1">
      <alignment horizontal="center" vertical="center"/>
    </xf>
    <xf numFmtId="0" fontId="13" fillId="0" borderId="20" xfId="0" applyFont="1" applyBorder="1" applyAlignment="1">
      <alignment vertical="center" wrapText="1"/>
    </xf>
    <xf numFmtId="174" fontId="13" fillId="0" borderId="36" xfId="0" applyNumberFormat="1" applyFont="1" applyBorder="1" applyAlignment="1">
      <alignment horizontal="center" vertical="center"/>
    </xf>
    <xf numFmtId="0" fontId="13" fillId="0" borderId="21" xfId="0" applyFont="1" applyBorder="1" applyAlignment="1">
      <alignment horizontal="center" vertical="center"/>
    </xf>
    <xf numFmtId="0" fontId="13" fillId="0" borderId="21" xfId="0" applyFont="1" applyBorder="1" applyAlignment="1">
      <alignment horizontal="center" vertical="center" wrapText="1"/>
    </xf>
    <xf numFmtId="0" fontId="13" fillId="0" borderId="21" xfId="0" applyFont="1" applyBorder="1" applyAlignment="1">
      <alignment horizontal="left" vertical="center" wrapText="1"/>
    </xf>
    <xf numFmtId="0" fontId="13" fillId="0" borderId="38" xfId="0" applyFont="1" applyBorder="1" applyAlignment="1">
      <alignment vertical="center" wrapText="1"/>
    </xf>
    <xf numFmtId="169" fontId="13" fillId="0" borderId="25" xfId="0" applyNumberFormat="1" applyFont="1" applyBorder="1" applyAlignment="1">
      <alignment horizontal="center" vertical="center"/>
    </xf>
    <xf numFmtId="169" fontId="18" fillId="15" borderId="25" xfId="0" applyNumberFormat="1" applyFont="1" applyFill="1" applyBorder="1" applyAlignment="1">
      <alignment horizontal="center" vertical="center" wrapText="1"/>
    </xf>
    <xf numFmtId="173" fontId="13" fillId="0" borderId="25" xfId="0" applyNumberFormat="1" applyFont="1" applyBorder="1" applyAlignment="1">
      <alignment horizontal="center" vertical="center"/>
    </xf>
    <xf numFmtId="3" fontId="13" fillId="0" borderId="24" xfId="0" applyNumberFormat="1" applyFont="1" applyBorder="1" applyAlignment="1">
      <alignment horizontal="center" vertical="center"/>
    </xf>
    <xf numFmtId="174" fontId="13" fillId="0" borderId="25" xfId="0" applyNumberFormat="1" applyFont="1" applyBorder="1" applyAlignment="1">
      <alignment horizontal="center" vertical="center"/>
    </xf>
    <xf numFmtId="3" fontId="13" fillId="0" borderId="25" xfId="0" applyNumberFormat="1" applyFont="1" applyBorder="1" applyAlignment="1">
      <alignment horizontal="center" vertical="center"/>
    </xf>
    <xf numFmtId="164" fontId="13" fillId="0" borderId="25" xfId="0" applyNumberFormat="1" applyFont="1" applyBorder="1" applyAlignment="1">
      <alignment horizontal="center" vertical="center"/>
    </xf>
    <xf numFmtId="164" fontId="13" fillId="0" borderId="26" xfId="0" applyNumberFormat="1" applyFont="1" applyBorder="1" applyAlignment="1">
      <alignment horizontal="center" vertical="center"/>
    </xf>
    <xf numFmtId="0" fontId="13" fillId="0" borderId="24" xfId="0" applyFont="1" applyBorder="1" applyAlignment="1">
      <alignment vertical="center" wrapText="1"/>
    </xf>
    <xf numFmtId="174" fontId="13" fillId="0" borderId="26" xfId="0" applyNumberFormat="1" applyFont="1" applyBorder="1" applyAlignment="1">
      <alignment horizontal="center" vertical="center"/>
    </xf>
    <xf numFmtId="0" fontId="13" fillId="0" borderId="25" xfId="0" applyFont="1" applyBorder="1" applyAlignment="1">
      <alignment horizontal="center" vertical="center"/>
    </xf>
    <xf numFmtId="0" fontId="13" fillId="0" borderId="25" xfId="0" applyFont="1" applyBorder="1" applyAlignment="1">
      <alignment horizontal="center" vertical="center" wrapText="1"/>
    </xf>
    <xf numFmtId="0" fontId="13" fillId="0" borderId="25" xfId="0" applyFont="1" applyBorder="1" applyAlignment="1">
      <alignment horizontal="left" vertical="center" wrapText="1"/>
    </xf>
    <xf numFmtId="178" fontId="13" fillId="0" borderId="21" xfId="0" applyNumberFormat="1" applyFont="1" applyBorder="1" applyAlignment="1">
      <alignment horizontal="center" vertical="center"/>
    </xf>
    <xf numFmtId="178" fontId="18" fillId="15" borderId="21" xfId="0" applyNumberFormat="1" applyFont="1" applyFill="1" applyBorder="1" applyAlignment="1">
      <alignment horizontal="center" vertical="center"/>
    </xf>
    <xf numFmtId="179" fontId="13" fillId="0" borderId="21" xfId="0" applyNumberFormat="1" applyFont="1" applyBorder="1" applyAlignment="1">
      <alignment horizontal="center" vertical="center"/>
    </xf>
    <xf numFmtId="180" fontId="13" fillId="0" borderId="21" xfId="0" applyNumberFormat="1" applyFont="1" applyBorder="1" applyAlignment="1">
      <alignment horizontal="center" vertical="center"/>
    </xf>
    <xf numFmtId="178" fontId="13" fillId="0" borderId="1" xfId="0" applyNumberFormat="1" applyFont="1" applyBorder="1" applyAlignment="1">
      <alignment horizontal="center" vertical="center"/>
    </xf>
    <xf numFmtId="180" fontId="13" fillId="0" borderId="1" xfId="0" applyNumberFormat="1" applyFont="1" applyBorder="1" applyAlignment="1">
      <alignment horizontal="center" vertical="center"/>
    </xf>
    <xf numFmtId="180" fontId="13" fillId="0" borderId="36" xfId="0" applyNumberFormat="1" applyFont="1" applyBorder="1" applyAlignment="1">
      <alignment horizontal="center" vertical="center"/>
    </xf>
    <xf numFmtId="0" fontId="13" fillId="0" borderId="4" xfId="0" applyFont="1" applyBorder="1" applyAlignment="1">
      <alignment vertical="center" wrapText="1"/>
    </xf>
    <xf numFmtId="178" fontId="18" fillId="15" borderId="1" xfId="0" applyNumberFormat="1" applyFont="1" applyFill="1" applyBorder="1" applyAlignment="1">
      <alignment horizontal="center" vertical="center"/>
    </xf>
    <xf numFmtId="179" fontId="13" fillId="0" borderId="1" xfId="0" applyNumberFormat="1" applyFont="1" applyBorder="1" applyAlignment="1">
      <alignment horizontal="center" vertical="center"/>
    </xf>
    <xf numFmtId="3" fontId="13" fillId="0" borderId="22" xfId="0" applyNumberFormat="1" applyFont="1" applyBorder="1" applyAlignment="1">
      <alignment horizontal="center" vertical="center"/>
    </xf>
    <xf numFmtId="3" fontId="13" fillId="0" borderId="1" xfId="0" applyNumberFormat="1" applyFont="1" applyBorder="1" applyAlignment="1">
      <alignment horizontal="center" vertical="center"/>
    </xf>
    <xf numFmtId="164" fontId="13" fillId="0" borderId="1" xfId="0" applyNumberFormat="1" applyFont="1" applyBorder="1" applyAlignment="1">
      <alignment horizontal="center" vertical="center"/>
    </xf>
    <xf numFmtId="164" fontId="13" fillId="0" borderId="23" xfId="0" applyNumberFormat="1" applyFont="1" applyBorder="1" applyAlignment="1">
      <alignment horizontal="center" vertical="center"/>
    </xf>
    <xf numFmtId="0" fontId="13" fillId="0" borderId="22" xfId="0" applyFont="1" applyBorder="1" applyAlignment="1">
      <alignment vertical="center" wrapText="1"/>
    </xf>
    <xf numFmtId="174" fontId="13" fillId="0" borderId="1" xfId="0" applyNumberFormat="1" applyFont="1" applyBorder="1" applyAlignment="1">
      <alignment horizontal="center" vertical="center"/>
    </xf>
    <xf numFmtId="180" fontId="13" fillId="0" borderId="23" xfId="0" applyNumberFormat="1" applyFont="1" applyBorder="1" applyAlignment="1">
      <alignment horizontal="center" vertical="center"/>
    </xf>
    <xf numFmtId="0" fontId="13" fillId="0" borderId="1" xfId="0" applyFont="1" applyBorder="1" applyAlignment="1">
      <alignment horizontal="left" vertical="center" wrapText="1"/>
    </xf>
    <xf numFmtId="169" fontId="13" fillId="0" borderId="1" xfId="0" applyNumberFormat="1" applyFont="1" applyBorder="1" applyAlignment="1">
      <alignment horizontal="center" vertical="center"/>
    </xf>
    <xf numFmtId="178" fontId="13" fillId="0" borderId="25" xfId="0" applyNumberFormat="1" applyFont="1" applyBorder="1" applyAlignment="1">
      <alignment horizontal="center" vertical="center"/>
    </xf>
    <xf numFmtId="178" fontId="18" fillId="15" borderId="25" xfId="0" applyNumberFormat="1" applyFont="1" applyFill="1" applyBorder="1" applyAlignment="1">
      <alignment horizontal="center" vertical="center"/>
    </xf>
    <xf numFmtId="179" fontId="13" fillId="0" borderId="25" xfId="0" applyNumberFormat="1" applyFont="1" applyBorder="1" applyAlignment="1">
      <alignment horizontal="center" vertical="center"/>
    </xf>
    <xf numFmtId="180" fontId="13" fillId="0" borderId="25" xfId="0" applyNumberFormat="1" applyFont="1" applyBorder="1" applyAlignment="1">
      <alignment horizontal="center" vertical="center"/>
    </xf>
    <xf numFmtId="180" fontId="13" fillId="0" borderId="26" xfId="0" applyNumberFormat="1" applyFont="1" applyBorder="1" applyAlignment="1">
      <alignment horizontal="center" vertical="center"/>
    </xf>
    <xf numFmtId="0" fontId="13" fillId="0" borderId="9" xfId="0" applyFont="1" applyBorder="1" applyAlignment="1">
      <alignment horizontal="center" vertical="center" wrapText="1"/>
    </xf>
    <xf numFmtId="169" fontId="13" fillId="0" borderId="9" xfId="0" applyNumberFormat="1" applyFont="1" applyBorder="1" applyAlignment="1">
      <alignment horizontal="center" vertical="center"/>
    </xf>
    <xf numFmtId="181" fontId="13" fillId="0" borderId="21" xfId="0" applyNumberFormat="1" applyFont="1" applyBorder="1" applyAlignment="1">
      <alignment horizontal="center" vertical="center"/>
    </xf>
    <xf numFmtId="182" fontId="13" fillId="0" borderId="21" xfId="0" applyNumberFormat="1" applyFont="1" applyBorder="1" applyAlignment="1">
      <alignment horizontal="center" vertical="center"/>
    </xf>
    <xf numFmtId="181" fontId="13" fillId="0" borderId="25" xfId="0" applyNumberFormat="1" applyFont="1" applyBorder="1" applyAlignment="1">
      <alignment horizontal="center" vertical="center"/>
    </xf>
    <xf numFmtId="182" fontId="13" fillId="0" borderId="25" xfId="0" applyNumberFormat="1" applyFont="1" applyBorder="1" applyAlignment="1">
      <alignment horizontal="center" vertical="center"/>
    </xf>
    <xf numFmtId="169" fontId="18" fillId="15" borderId="1" xfId="0" applyNumberFormat="1" applyFont="1" applyFill="1" applyBorder="1" applyAlignment="1">
      <alignment horizontal="center" vertical="center" wrapText="1"/>
    </xf>
    <xf numFmtId="173" fontId="13" fillId="0" borderId="1" xfId="0" applyNumberFormat="1" applyFont="1" applyBorder="1" applyAlignment="1">
      <alignment horizontal="center" vertical="center"/>
    </xf>
    <xf numFmtId="0" fontId="13" fillId="0" borderId="1" xfId="0" applyFont="1" applyBorder="1" applyAlignment="1">
      <alignment horizontal="center" vertical="center"/>
    </xf>
    <xf numFmtId="174" fontId="13" fillId="0" borderId="23" xfId="0" applyNumberFormat="1" applyFont="1" applyBorder="1" applyAlignment="1">
      <alignment horizontal="center" vertical="center"/>
    </xf>
    <xf numFmtId="0" fontId="13" fillId="0" borderId="15" xfId="0" applyFont="1" applyBorder="1" applyAlignment="1">
      <alignment vertical="center" wrapText="1"/>
    </xf>
    <xf numFmtId="169" fontId="18" fillId="15" borderId="8" xfId="0" applyNumberFormat="1" applyFont="1" applyFill="1" applyBorder="1" applyAlignment="1">
      <alignment horizontal="center" vertical="center" wrapText="1"/>
    </xf>
    <xf numFmtId="173" fontId="13" fillId="0" borderId="8" xfId="0" applyNumberFormat="1" applyFont="1" applyBorder="1" applyAlignment="1">
      <alignment horizontal="center" vertical="center"/>
    </xf>
    <xf numFmtId="3" fontId="13" fillId="0" borderId="34" xfId="0" applyNumberFormat="1" applyFont="1" applyBorder="1" applyAlignment="1">
      <alignment horizontal="center" vertical="center"/>
    </xf>
    <xf numFmtId="0" fontId="13" fillId="0" borderId="8" xfId="0" applyFont="1" applyBorder="1" applyAlignment="1">
      <alignment horizontal="center" vertical="center"/>
    </xf>
    <xf numFmtId="174" fontId="13" fillId="0" borderId="32" xfId="0" applyNumberFormat="1" applyFont="1" applyBorder="1" applyAlignment="1">
      <alignment horizontal="center" vertical="center"/>
    </xf>
    <xf numFmtId="0" fontId="21" fillId="0" borderId="0" xfId="0" applyFont="1" applyAlignment="1">
      <alignment vertical="center"/>
    </xf>
    <xf numFmtId="169" fontId="13" fillId="0" borderId="0" xfId="0" applyNumberFormat="1" applyFont="1" applyAlignment="1">
      <alignment horizontal="center" vertical="center"/>
    </xf>
    <xf numFmtId="169" fontId="13" fillId="0" borderId="0" xfId="0" applyNumberFormat="1" applyFont="1" applyAlignment="1">
      <alignment horizontal="center" vertical="center" wrapText="1"/>
    </xf>
    <xf numFmtId="0" fontId="0" fillId="3" borderId="0" xfId="0" applyFill="1"/>
    <xf numFmtId="0" fontId="4" fillId="0" borderId="0" xfId="0" applyFont="1"/>
    <xf numFmtId="9" fontId="19" fillId="0" borderId="0" xfId="0" applyNumberFormat="1" applyFont="1" applyAlignment="1">
      <alignment horizontal="center"/>
    </xf>
    <xf numFmtId="0" fontId="4" fillId="0" borderId="0" xfId="0" applyFont="1" applyAlignment="1">
      <alignment horizontal="center"/>
    </xf>
    <xf numFmtId="171" fontId="4" fillId="0" borderId="1" xfId="1" applyNumberFormat="1" applyFont="1" applyFill="1" applyBorder="1" applyAlignment="1">
      <alignment horizontal="center" vertical="center"/>
    </xf>
    <xf numFmtId="0" fontId="0" fillId="0" borderId="0" xfId="0"/>
    <xf numFmtId="0" fontId="3" fillId="0" borderId="1" xfId="0" applyFont="1" applyBorder="1" applyAlignment="1">
      <alignment horizontal="center" vertical="center" wrapText="1"/>
    </xf>
    <xf numFmtId="0" fontId="19" fillId="0" borderId="0" xfId="0" applyFont="1"/>
    <xf numFmtId="0" fontId="28" fillId="0" borderId="0" xfId="0" applyFont="1"/>
    <xf numFmtId="0" fontId="29" fillId="0" borderId="0" xfId="0" applyFont="1" applyAlignment="1">
      <alignment horizontal="left" vertical="center"/>
    </xf>
    <xf numFmtId="0" fontId="6" fillId="20" borderId="0" xfId="0" applyFont="1" applyFill="1" applyAlignment="1" applyProtection="1">
      <alignment horizontal="center" vertical="center" wrapText="1"/>
    </xf>
    <xf numFmtId="0" fontId="6" fillId="20" borderId="0" xfId="0" applyFont="1" applyFill="1" applyAlignment="1" applyProtection="1">
      <alignment horizontal="left" vertical="center" wrapText="1"/>
    </xf>
    <xf numFmtId="0" fontId="6" fillId="17" borderId="0" xfId="0" applyFont="1" applyFill="1" applyAlignment="1" applyProtection="1">
      <alignment horizontal="left" vertical="center" wrapText="1"/>
    </xf>
    <xf numFmtId="2" fontId="6" fillId="2" borderId="0" xfId="0" applyNumberFormat="1" applyFont="1" applyFill="1" applyAlignment="1" applyProtection="1">
      <alignment horizontal="center" vertical="center" wrapText="1"/>
    </xf>
    <xf numFmtId="168" fontId="6" fillId="2" borderId="0" xfId="0" applyNumberFormat="1" applyFont="1" applyFill="1" applyAlignment="1" applyProtection="1">
      <alignment horizontal="center" vertical="center" wrapText="1"/>
    </xf>
    <xf numFmtId="2" fontId="6" fillId="7" borderId="0" xfId="0" applyNumberFormat="1" applyFont="1" applyFill="1" applyAlignment="1" applyProtection="1">
      <alignment horizontal="center" vertical="center" wrapText="1"/>
    </xf>
    <xf numFmtId="0" fontId="0" fillId="0" borderId="0" xfId="0" applyAlignment="1" applyProtection="1">
      <alignment horizontal="center" vertical="center" wrapText="1"/>
    </xf>
    <xf numFmtId="174" fontId="5" fillId="0" borderId="0" xfId="0" applyNumberFormat="1" applyFont="1" applyAlignment="1">
      <alignment horizontal="center" vertical="center"/>
    </xf>
    <xf numFmtId="0" fontId="30" fillId="0" borderId="1" xfId="0" applyFont="1" applyBorder="1" applyAlignment="1">
      <alignment horizontal="center" vertical="center"/>
    </xf>
    <xf numFmtId="165" fontId="19" fillId="0" borderId="1" xfId="13" applyNumberFormat="1" applyFont="1" applyBorder="1" applyAlignment="1">
      <alignment horizontal="center" vertical="center"/>
    </xf>
    <xf numFmtId="2" fontId="6" fillId="17" borderId="0" xfId="0" applyNumberFormat="1" applyFont="1" applyFill="1" applyAlignment="1" applyProtection="1">
      <alignment horizontal="left" vertical="center" wrapText="1"/>
    </xf>
    <xf numFmtId="2" fontId="6" fillId="11" borderId="0" xfId="0" applyNumberFormat="1" applyFont="1" applyFill="1" applyAlignment="1" applyProtection="1">
      <alignment vertical="center" wrapText="1"/>
    </xf>
    <xf numFmtId="1" fontId="32" fillId="0" borderId="40" xfId="0" applyNumberFormat="1" applyFont="1" applyBorder="1" applyAlignment="1">
      <alignment horizontal="center" vertical="top" shrinkToFit="1"/>
    </xf>
    <xf numFmtId="0" fontId="34" fillId="0" borderId="0" xfId="0" applyFont="1" applyAlignment="1">
      <alignment vertical="center"/>
    </xf>
    <xf numFmtId="0" fontId="0" fillId="0" borderId="0" xfId="0" applyFont="1"/>
    <xf numFmtId="0" fontId="0" fillId="0" borderId="15" xfId="0" applyBorder="1"/>
    <xf numFmtId="0" fontId="0" fillId="0" borderId="0" xfId="0" applyAlignment="1">
      <alignment horizontal="center"/>
    </xf>
    <xf numFmtId="0" fontId="0" fillId="0" borderId="1" xfId="0" applyFill="1" applyBorder="1" applyAlignment="1">
      <alignment vertical="center"/>
    </xf>
    <xf numFmtId="0" fontId="19" fillId="0" borderId="1" xfId="0" applyFont="1" applyFill="1" applyBorder="1" applyAlignment="1">
      <alignment horizontal="center" vertical="center" wrapText="1"/>
    </xf>
    <xf numFmtId="0" fontId="0" fillId="0" borderId="4" xfId="0" applyBorder="1" applyAlignment="1">
      <alignment horizontal="center" vertical="center"/>
    </xf>
    <xf numFmtId="165" fontId="19" fillId="0" borderId="5" xfId="13" applyNumberFormat="1" applyFont="1" applyBorder="1" applyAlignment="1">
      <alignment horizontal="center" vertical="center"/>
    </xf>
    <xf numFmtId="0" fontId="0" fillId="0" borderId="15" xfId="0" applyBorder="1" applyAlignment="1">
      <alignment horizontal="center" vertical="center"/>
    </xf>
    <xf numFmtId="0" fontId="30" fillId="0" borderId="8" xfId="0" applyFont="1" applyBorder="1" applyAlignment="1">
      <alignment horizontal="center" vertical="center"/>
    </xf>
    <xf numFmtId="0" fontId="17" fillId="11" borderId="12" xfId="0" applyFont="1" applyFill="1" applyBorder="1" applyAlignment="1">
      <alignment vertical="center"/>
    </xf>
    <xf numFmtId="0" fontId="17" fillId="11" borderId="9" xfId="0" applyFont="1" applyFill="1" applyBorder="1" applyAlignment="1">
      <alignment horizontal="center" vertical="center"/>
    </xf>
    <xf numFmtId="0" fontId="17" fillId="11" borderId="11" xfId="0" applyFont="1" applyFill="1" applyBorder="1" applyAlignment="1">
      <alignment vertical="center"/>
    </xf>
    <xf numFmtId="0" fontId="0" fillId="11" borderId="0" xfId="0" applyFill="1"/>
    <xf numFmtId="0" fontId="36" fillId="0" borderId="46" xfId="14" applyFill="1" applyAlignment="1"/>
    <xf numFmtId="9" fontId="0" fillId="0" borderId="1" xfId="2" applyFont="1" applyFill="1" applyBorder="1" applyAlignment="1">
      <alignment horizontal="center" vertical="center"/>
    </xf>
    <xf numFmtId="176" fontId="0" fillId="0" borderId="1" xfId="0" applyNumberFormat="1" applyFont="1" applyFill="1" applyBorder="1" applyAlignment="1">
      <alignment horizontal="center" vertical="center"/>
    </xf>
    <xf numFmtId="10" fontId="0" fillId="0" borderId="1" xfId="2" applyNumberFormat="1" applyFont="1" applyFill="1" applyBorder="1" applyAlignment="1">
      <alignment horizontal="center" vertical="center"/>
    </xf>
    <xf numFmtId="184" fontId="0" fillId="0" borderId="1" xfId="2" applyNumberFormat="1" applyFont="1" applyFill="1" applyBorder="1" applyAlignment="1">
      <alignment horizontal="center" vertical="center"/>
    </xf>
    <xf numFmtId="0" fontId="3" fillId="0" borderId="1" xfId="2" applyNumberFormat="1" applyFont="1" applyFill="1" applyBorder="1" applyAlignment="1">
      <alignment horizontal="center" vertical="center"/>
    </xf>
    <xf numFmtId="176" fontId="0" fillId="0" borderId="1" xfId="0" applyNumberFormat="1" applyFont="1" applyBorder="1" applyAlignment="1">
      <alignment horizontal="center" vertical="center"/>
    </xf>
    <xf numFmtId="171" fontId="26" fillId="0" borderId="1" xfId="1" applyNumberFormat="1" applyFont="1" applyFill="1" applyBorder="1" applyAlignment="1">
      <alignment horizontal="center" vertical="center"/>
    </xf>
    <xf numFmtId="184" fontId="0" fillId="0" borderId="1" xfId="1" applyNumberFormat="1" applyFont="1" applyFill="1" applyBorder="1" applyAlignment="1">
      <alignment horizontal="center" vertical="center"/>
    </xf>
    <xf numFmtId="9" fontId="0" fillId="0" borderId="1" xfId="0" applyNumberFormat="1" applyFill="1" applyBorder="1" applyAlignment="1">
      <alignment horizontal="center" vertical="center"/>
    </xf>
    <xf numFmtId="9" fontId="15" fillId="0" borderId="1" xfId="2" applyFont="1" applyFill="1" applyBorder="1" applyAlignment="1">
      <alignment horizontal="center" vertical="center"/>
    </xf>
    <xf numFmtId="0" fontId="3" fillId="0" borderId="4" xfId="0" applyFont="1" applyFill="1" applyBorder="1" applyAlignment="1">
      <alignment vertical="center"/>
    </xf>
    <xf numFmtId="0" fontId="17" fillId="11" borderId="12" xfId="0" applyFont="1" applyFill="1" applyBorder="1" applyAlignment="1">
      <alignment horizontal="center" vertical="center"/>
    </xf>
    <xf numFmtId="0" fontId="3" fillId="0" borderId="0" xfId="0" applyFont="1" applyAlignment="1">
      <alignment horizontal="center" vertical="center"/>
    </xf>
    <xf numFmtId="0" fontId="40" fillId="21" borderId="40" xfId="0" applyFont="1" applyFill="1" applyBorder="1" applyAlignment="1">
      <alignment horizontal="center" vertical="top" wrapText="1"/>
    </xf>
    <xf numFmtId="0" fontId="40" fillId="21" borderId="40" xfId="0" applyFont="1" applyFill="1" applyBorder="1" applyAlignment="1">
      <alignment horizontal="left" vertical="top" wrapText="1" indent="2"/>
    </xf>
    <xf numFmtId="1" fontId="39" fillId="0" borderId="40" xfId="0" applyNumberFormat="1" applyFont="1" applyBorder="1" applyAlignment="1">
      <alignment horizontal="center" vertical="top" shrinkToFit="1"/>
    </xf>
    <xf numFmtId="3" fontId="39" fillId="0" borderId="40" xfId="0" applyNumberFormat="1" applyFont="1" applyBorder="1" applyAlignment="1">
      <alignment horizontal="center" vertical="top" shrinkToFit="1"/>
    </xf>
    <xf numFmtId="1" fontId="39" fillId="0" borderId="0" xfId="0" applyNumberFormat="1" applyFont="1" applyAlignment="1">
      <alignment horizontal="center" vertical="top" shrinkToFit="1"/>
    </xf>
    <xf numFmtId="3" fontId="39" fillId="0" borderId="0" xfId="0" applyNumberFormat="1" applyFont="1" applyAlignment="1">
      <alignment horizontal="center" vertical="top" shrinkToFit="1"/>
    </xf>
    <xf numFmtId="3" fontId="39" fillId="0" borderId="1" xfId="0" applyNumberFormat="1" applyFont="1" applyBorder="1" applyAlignment="1">
      <alignment horizontal="center" vertical="top" shrinkToFit="1"/>
    </xf>
    <xf numFmtId="0" fontId="36" fillId="0" borderId="46" xfId="14"/>
    <xf numFmtId="0" fontId="39" fillId="0" borderId="4" xfId="0" applyFont="1" applyBorder="1" applyAlignment="1">
      <alignment horizontal="left" vertical="top" wrapText="1"/>
    </xf>
    <xf numFmtId="3" fontId="39" fillId="0" borderId="14" xfId="0" applyNumberFormat="1" applyFont="1" applyBorder="1" applyAlignment="1">
      <alignment horizontal="center" vertical="center" wrapText="1"/>
    </xf>
    <xf numFmtId="0" fontId="41" fillId="0" borderId="1" xfId="0" applyFont="1" applyFill="1" applyBorder="1" applyAlignment="1">
      <alignment horizontal="left" vertical="center" wrapText="1"/>
    </xf>
    <xf numFmtId="3" fontId="39" fillId="0" borderId="1" xfId="0" applyNumberFormat="1" applyFont="1" applyFill="1" applyBorder="1" applyAlignment="1">
      <alignment horizontal="center" vertical="center" wrapText="1"/>
    </xf>
    <xf numFmtId="0" fontId="0" fillId="0" borderId="8" xfId="0" applyFill="1" applyBorder="1" applyAlignment="1">
      <alignment vertical="center"/>
    </xf>
    <xf numFmtId="0" fontId="0" fillId="0" borderId="8" xfId="0" applyBorder="1" applyAlignment="1">
      <alignment vertical="center"/>
    </xf>
    <xf numFmtId="0" fontId="0" fillId="0" borderId="8" xfId="0" applyBorder="1" applyAlignment="1">
      <alignment vertical="center" wrapText="1"/>
    </xf>
    <xf numFmtId="0" fontId="17" fillId="11" borderId="11" xfId="0" applyFont="1" applyFill="1" applyBorder="1" applyAlignment="1">
      <alignment horizontal="center" vertical="center"/>
    </xf>
    <xf numFmtId="169" fontId="0" fillId="0" borderId="5" xfId="0" applyNumberFormat="1" applyBorder="1" applyAlignment="1">
      <alignment horizontal="center"/>
    </xf>
    <xf numFmtId="0" fontId="0" fillId="0" borderId="8" xfId="0" applyBorder="1" applyAlignment="1">
      <alignment horizontal="center"/>
    </xf>
    <xf numFmtId="169" fontId="0" fillId="0" borderId="14" xfId="0" applyNumberFormat="1" applyBorder="1" applyAlignment="1">
      <alignment horizontal="center"/>
    </xf>
    <xf numFmtId="176" fontId="0" fillId="0" borderId="1" xfId="0" applyNumberFormat="1" applyBorder="1" applyAlignment="1">
      <alignment horizontal="center"/>
    </xf>
    <xf numFmtId="176" fontId="0" fillId="0" borderId="8" xfId="0" applyNumberFormat="1" applyBorder="1" applyAlignment="1">
      <alignment horizontal="center"/>
    </xf>
    <xf numFmtId="0" fontId="36" fillId="0" borderId="0" xfId="14" applyBorder="1"/>
    <xf numFmtId="0" fontId="14" fillId="11" borderId="0" xfId="0" applyFont="1" applyFill="1"/>
    <xf numFmtId="0" fontId="4" fillId="23" borderId="19" xfId="0" applyFont="1" applyFill="1" applyBorder="1" applyAlignment="1">
      <alignment horizontal="left" vertical="center" wrapText="1"/>
    </xf>
    <xf numFmtId="0" fontId="4" fillId="0" borderId="19" xfId="0" applyFont="1" applyBorder="1" applyAlignment="1">
      <alignment horizontal="left" vertical="center" wrapText="1"/>
    </xf>
    <xf numFmtId="0" fontId="17" fillId="11" borderId="13" xfId="0" applyFont="1" applyFill="1" applyBorder="1" applyAlignment="1">
      <alignment vertical="center"/>
    </xf>
    <xf numFmtId="0" fontId="4" fillId="0" borderId="2" xfId="0" applyFont="1" applyBorder="1" applyAlignment="1">
      <alignment horizontal="left" vertical="center" wrapText="1"/>
    </xf>
    <xf numFmtId="10" fontId="0" fillId="0" borderId="5" xfId="0" applyNumberFormat="1" applyBorder="1" applyAlignment="1">
      <alignment horizontal="center" vertical="center" wrapText="1"/>
    </xf>
    <xf numFmtId="0" fontId="5" fillId="0" borderId="1" xfId="2" applyNumberFormat="1" applyFont="1" applyFill="1" applyBorder="1" applyAlignment="1">
      <alignment horizontal="center" vertical="center"/>
    </xf>
    <xf numFmtId="0" fontId="5" fillId="0" borderId="0" xfId="0" applyFont="1" applyBorder="1" applyAlignment="1">
      <alignment horizontal="center" vertical="center" wrapText="1"/>
    </xf>
    <xf numFmtId="9" fontId="3" fillId="0" borderId="1" xfId="2" applyFont="1" applyFill="1" applyBorder="1" applyAlignment="1">
      <alignment horizontal="center" vertical="center"/>
    </xf>
    <xf numFmtId="176" fontId="3" fillId="0" borderId="1" xfId="0" applyNumberFormat="1" applyFont="1" applyFill="1" applyBorder="1" applyAlignment="1">
      <alignment horizontal="center" vertical="center"/>
    </xf>
    <xf numFmtId="10" fontId="3" fillId="0" borderId="1" xfId="2" applyNumberFormat="1" applyFont="1" applyFill="1" applyBorder="1" applyAlignment="1">
      <alignment horizontal="center" vertical="center"/>
    </xf>
    <xf numFmtId="171" fontId="19" fillId="0" borderId="1" xfId="1" applyNumberFormat="1" applyFont="1" applyFill="1" applyBorder="1" applyAlignment="1">
      <alignment horizontal="center" vertical="center"/>
    </xf>
    <xf numFmtId="184" fontId="5" fillId="0" borderId="1" xfId="2" applyNumberFormat="1" applyFont="1" applyFill="1" applyBorder="1" applyAlignment="1">
      <alignment horizontal="center" vertical="center"/>
    </xf>
    <xf numFmtId="0" fontId="1" fillId="0" borderId="0" xfId="0" applyFont="1"/>
    <xf numFmtId="0" fontId="44" fillId="0" borderId="1" xfId="0" applyFont="1" applyBorder="1" applyAlignment="1">
      <alignment horizontal="left" vertical="center" wrapText="1"/>
    </xf>
    <xf numFmtId="0" fontId="44" fillId="0" borderId="1" xfId="0" applyFont="1" applyBorder="1" applyAlignment="1">
      <alignment horizontal="center" vertical="center" wrapText="1"/>
    </xf>
    <xf numFmtId="196" fontId="33" fillId="0" borderId="1" xfId="0" applyNumberFormat="1" applyFont="1" applyBorder="1" applyAlignment="1">
      <alignment horizontal="center" vertical="center" wrapText="1"/>
    </xf>
    <xf numFmtId="196" fontId="32" fillId="0" borderId="1" xfId="0" applyNumberFormat="1" applyFont="1" applyBorder="1" applyAlignment="1">
      <alignment horizontal="center" vertical="center" shrinkToFit="1"/>
    </xf>
    <xf numFmtId="196" fontId="0" fillId="0" borderId="1" xfId="1" applyNumberFormat="1" applyFont="1" applyBorder="1" applyAlignment="1">
      <alignment horizontal="center" vertical="center"/>
    </xf>
    <xf numFmtId="0" fontId="31" fillId="25" borderId="1" xfId="0" applyFont="1" applyFill="1" applyBorder="1" applyAlignment="1">
      <alignment horizontal="left" vertical="top" wrapText="1"/>
    </xf>
    <xf numFmtId="0" fontId="17" fillId="11" borderId="48" xfId="0" applyFont="1" applyFill="1" applyBorder="1" applyAlignment="1">
      <alignment vertical="center"/>
    </xf>
    <xf numFmtId="0" fontId="17" fillId="11" borderId="50" xfId="0" applyFont="1" applyFill="1" applyBorder="1" applyAlignment="1">
      <alignment vertical="center"/>
    </xf>
    <xf numFmtId="0" fontId="17" fillId="11" borderId="51" xfId="0" applyFont="1" applyFill="1" applyBorder="1" applyAlignment="1">
      <alignment vertical="center"/>
    </xf>
    <xf numFmtId="0" fontId="39" fillId="23" borderId="52" xfId="0" applyFont="1" applyFill="1" applyBorder="1" applyAlignment="1">
      <alignment horizontal="left" vertical="top" wrapText="1"/>
    </xf>
    <xf numFmtId="3" fontId="39" fillId="23" borderId="14" xfId="0" applyNumberFormat="1" applyFont="1" applyFill="1" applyBorder="1" applyAlignment="1">
      <alignment horizontal="center" vertical="top" shrinkToFit="1"/>
    </xf>
    <xf numFmtId="3" fontId="39" fillId="23" borderId="14" xfId="0" applyNumberFormat="1" applyFont="1" applyFill="1" applyBorder="1" applyAlignment="1">
      <alignment horizontal="center" vertical="center" wrapText="1"/>
    </xf>
    <xf numFmtId="3" fontId="39" fillId="23" borderId="53" xfId="0" applyNumberFormat="1" applyFont="1" applyFill="1" applyBorder="1" applyAlignment="1">
      <alignment horizontal="center" vertical="center" wrapText="1"/>
    </xf>
    <xf numFmtId="0" fontId="39" fillId="0" borderId="52" xfId="0" applyFont="1" applyBorder="1" applyAlignment="1">
      <alignment horizontal="left" vertical="top" wrapText="1"/>
    </xf>
    <xf numFmtId="3" fontId="39" fillId="0" borderId="14" xfId="0" applyNumberFormat="1" applyFont="1" applyBorder="1" applyAlignment="1">
      <alignment horizontal="center" vertical="top" shrinkToFit="1"/>
    </xf>
    <xf numFmtId="3" fontId="39" fillId="0" borderId="53" xfId="0" applyNumberFormat="1" applyFont="1" applyBorder="1" applyAlignment="1">
      <alignment horizontal="center" vertical="center" wrapText="1"/>
    </xf>
    <xf numFmtId="1" fontId="39" fillId="0" borderId="14" xfId="0" applyNumberFormat="1" applyFont="1" applyBorder="1" applyAlignment="1">
      <alignment horizontal="center" vertical="top" shrinkToFit="1"/>
    </xf>
    <xf numFmtId="1" fontId="39" fillId="23" borderId="14" xfId="0" applyNumberFormat="1" applyFont="1" applyFill="1" applyBorder="1" applyAlignment="1">
      <alignment horizontal="center" vertical="top" shrinkToFit="1"/>
    </xf>
    <xf numFmtId="0" fontId="39" fillId="23" borderId="54" xfId="0" applyFont="1" applyFill="1" applyBorder="1" applyAlignment="1">
      <alignment horizontal="left" vertical="top" wrapText="1"/>
    </xf>
    <xf numFmtId="3" fontId="39" fillId="23" borderId="55" xfId="0" applyNumberFormat="1" applyFont="1" applyFill="1" applyBorder="1" applyAlignment="1">
      <alignment horizontal="center" vertical="top" shrinkToFit="1"/>
    </xf>
    <xf numFmtId="3" fontId="39" fillId="23" borderId="55" xfId="0" applyNumberFormat="1" applyFont="1" applyFill="1" applyBorder="1" applyAlignment="1">
      <alignment horizontal="center" vertical="center" wrapText="1"/>
    </xf>
    <xf numFmtId="3" fontId="39" fillId="23" borderId="49" xfId="0" applyNumberFormat="1" applyFont="1" applyFill="1" applyBorder="1" applyAlignment="1">
      <alignment horizontal="center" vertical="center" wrapText="1"/>
    </xf>
    <xf numFmtId="0" fontId="17" fillId="11" borderId="56" xfId="0" applyFont="1" applyFill="1" applyBorder="1" applyAlignment="1">
      <alignment vertical="center"/>
    </xf>
    <xf numFmtId="0" fontId="3" fillId="23" borderId="52" xfId="0" applyFont="1" applyFill="1" applyBorder="1" applyAlignment="1">
      <alignment horizontal="left" vertical="top" wrapText="1"/>
    </xf>
    <xf numFmtId="0" fontId="3" fillId="0" borderId="52" xfId="0" applyFont="1" applyBorder="1" applyAlignment="1">
      <alignment horizontal="left" vertical="top" wrapText="1"/>
    </xf>
    <xf numFmtId="0" fontId="39" fillId="26" borderId="52" xfId="0" applyFont="1" applyFill="1" applyBorder="1" applyAlignment="1">
      <alignment horizontal="left" vertical="top" wrapText="1"/>
    </xf>
    <xf numFmtId="0" fontId="39" fillId="8" borderId="52" xfId="0" applyFont="1" applyFill="1" applyBorder="1" applyAlignment="1">
      <alignment horizontal="left" vertical="top" wrapText="1"/>
    </xf>
    <xf numFmtId="2" fontId="14" fillId="10" borderId="0" xfId="0" applyNumberFormat="1" applyFont="1" applyFill="1" applyAlignment="1" applyProtection="1">
      <alignment horizontal="left" vertical="center" wrapText="1"/>
    </xf>
    <xf numFmtId="171" fontId="0" fillId="27" borderId="1" xfId="1" applyNumberFormat="1" applyFont="1" applyFill="1" applyBorder="1" applyAlignment="1">
      <alignment horizontal="center" vertical="center"/>
    </xf>
    <xf numFmtId="10" fontId="0" fillId="27" borderId="5" xfId="0" applyNumberFormat="1" applyFont="1" applyFill="1" applyBorder="1" applyAlignment="1">
      <alignment vertical="center" wrapText="1"/>
    </xf>
    <xf numFmtId="171" fontId="4" fillId="27" borderId="1" xfId="1" applyNumberFormat="1" applyFont="1" applyFill="1" applyBorder="1" applyAlignment="1">
      <alignment horizontal="center" vertical="center"/>
    </xf>
    <xf numFmtId="0" fontId="0" fillId="0" borderId="0" xfId="0" applyAlignment="1">
      <alignment wrapText="1"/>
    </xf>
    <xf numFmtId="1" fontId="47" fillId="22" borderId="40" xfId="0" applyNumberFormat="1" applyFont="1" applyFill="1" applyBorder="1" applyAlignment="1">
      <alignment horizontal="center" vertical="top" shrinkToFit="1"/>
    </xf>
    <xf numFmtId="0" fontId="31" fillId="22" borderId="40" xfId="0" applyFont="1" applyFill="1" applyBorder="1" applyAlignment="1">
      <alignment horizontal="center" vertical="top" wrapText="1"/>
    </xf>
    <xf numFmtId="168" fontId="32" fillId="0" borderId="40" xfId="0" applyNumberFormat="1" applyFont="1" applyBorder="1" applyAlignment="1">
      <alignment horizontal="center" vertical="top" shrinkToFit="1"/>
    </xf>
    <xf numFmtId="168" fontId="32" fillId="0" borderId="41" xfId="0" applyNumberFormat="1" applyFont="1" applyBorder="1" applyAlignment="1">
      <alignment horizontal="center" vertical="top" shrinkToFit="1"/>
    </xf>
    <xf numFmtId="169" fontId="32" fillId="0" borderId="40" xfId="0" applyNumberFormat="1" applyFont="1" applyBorder="1" applyAlignment="1">
      <alignment horizontal="center" vertical="top" shrinkToFit="1"/>
    </xf>
    <xf numFmtId="0" fontId="1" fillId="0" borderId="0" xfId="0" applyFont="1" applyAlignment="1">
      <alignment vertical="center"/>
    </xf>
    <xf numFmtId="1" fontId="47" fillId="22" borderId="41" xfId="0" applyNumberFormat="1" applyFont="1" applyFill="1" applyBorder="1" applyAlignment="1">
      <alignment horizontal="center" vertical="top" shrinkToFit="1"/>
    </xf>
    <xf numFmtId="168" fontId="10" fillId="8" borderId="1" xfId="0" applyNumberFormat="1" applyFont="1" applyFill="1" applyBorder="1" applyAlignment="1">
      <alignment vertical="top" wrapText="1"/>
    </xf>
    <xf numFmtId="168" fontId="10" fillId="8" borderId="1" xfId="0" applyNumberFormat="1" applyFont="1" applyFill="1" applyBorder="1" applyAlignment="1">
      <alignment horizontal="center" vertical="top" shrinkToFit="1"/>
    </xf>
    <xf numFmtId="0" fontId="4" fillId="0" borderId="4" xfId="0" applyFont="1" applyFill="1" applyBorder="1" applyAlignment="1">
      <alignment horizontal="left" vertical="center"/>
    </xf>
    <xf numFmtId="0" fontId="17" fillId="11" borderId="12" xfId="0" applyFont="1" applyFill="1" applyBorder="1" applyAlignment="1">
      <alignment horizontal="center" vertical="center" wrapText="1"/>
    </xf>
    <xf numFmtId="0" fontId="31" fillId="22" borderId="40" xfId="0" applyFont="1" applyFill="1" applyBorder="1" applyAlignment="1">
      <alignment horizontal="left" vertical="center" wrapText="1"/>
    </xf>
    <xf numFmtId="0" fontId="42" fillId="22" borderId="40" xfId="0" applyFont="1" applyFill="1" applyBorder="1" applyAlignment="1">
      <alignment horizontal="center" vertical="top" wrapText="1"/>
    </xf>
    <xf numFmtId="168" fontId="32" fillId="0" borderId="40" xfId="0" applyNumberFormat="1" applyFont="1" applyBorder="1" applyAlignment="1">
      <alignment horizontal="left" vertical="top" indent="1" shrinkToFit="1"/>
    </xf>
    <xf numFmtId="168" fontId="32" fillId="0" borderId="40" xfId="0" applyNumberFormat="1" applyFont="1" applyBorder="1" applyAlignment="1">
      <alignment horizontal="left" vertical="top" indent="2" shrinkToFit="1"/>
    </xf>
    <xf numFmtId="0" fontId="33" fillId="0" borderId="40" xfId="0" applyFont="1" applyBorder="1" applyAlignment="1">
      <alignment horizontal="left" vertical="top"/>
    </xf>
    <xf numFmtId="0" fontId="43" fillId="0" borderId="40" xfId="0" applyFont="1" applyBorder="1" applyAlignment="1">
      <alignment horizontal="left" vertical="top"/>
    </xf>
    <xf numFmtId="0" fontId="0" fillId="0" borderId="57" xfId="0" applyBorder="1" applyAlignment="1">
      <alignment horizontal="left"/>
    </xf>
    <xf numFmtId="0" fontId="1" fillId="28" borderId="57" xfId="0" applyFont="1" applyFill="1" applyBorder="1" applyAlignment="1">
      <alignment horizontal="left"/>
    </xf>
    <xf numFmtId="0" fontId="1" fillId="28" borderId="57" xfId="0" applyFont="1" applyFill="1" applyBorder="1" applyAlignment="1">
      <alignment horizontal="right"/>
    </xf>
    <xf numFmtId="0" fontId="1" fillId="28" borderId="57" xfId="0" applyFont="1" applyFill="1" applyBorder="1" applyAlignment="1">
      <alignment horizontal="left" wrapText="1"/>
    </xf>
    <xf numFmtId="0" fontId="1" fillId="3" borderId="0" xfId="0" applyFont="1" applyFill="1"/>
    <xf numFmtId="168" fontId="0" fillId="3" borderId="0" xfId="0" applyNumberFormat="1" applyFill="1"/>
    <xf numFmtId="168" fontId="3" fillId="3" borderId="0" xfId="0" applyNumberFormat="1" applyFont="1" applyFill="1"/>
    <xf numFmtId="168" fontId="42" fillId="22" borderId="0" xfId="0" applyNumberFormat="1" applyFont="1" applyFill="1" applyBorder="1" applyAlignment="1">
      <alignment horizontal="center" vertical="top" wrapText="1"/>
    </xf>
    <xf numFmtId="0" fontId="17" fillId="11" borderId="12" xfId="0" applyFont="1" applyFill="1" applyBorder="1" applyAlignment="1">
      <alignment vertical="center" wrapText="1"/>
    </xf>
    <xf numFmtId="0" fontId="45" fillId="27" borderId="12" xfId="0" applyFont="1" applyFill="1" applyBorder="1" applyAlignment="1">
      <alignment horizontal="center" vertical="center" wrapText="1"/>
    </xf>
    <xf numFmtId="0" fontId="1" fillId="0" borderId="0" xfId="0" applyFont="1" applyAlignment="1">
      <alignment wrapText="1"/>
    </xf>
    <xf numFmtId="168" fontId="5" fillId="0" borderId="1" xfId="0" applyNumberFormat="1" applyFont="1" applyFill="1" applyBorder="1" applyAlignment="1">
      <alignment horizontal="center" vertical="center"/>
    </xf>
    <xf numFmtId="0" fontId="51" fillId="0" borderId="20" xfId="0" applyFont="1" applyBorder="1" applyAlignment="1">
      <alignment vertical="center"/>
    </xf>
    <xf numFmtId="169" fontId="13" fillId="0" borderId="21" xfId="0" applyNumberFormat="1" applyFont="1" applyBorder="1" applyAlignment="1">
      <alignment vertical="center"/>
    </xf>
    <xf numFmtId="0" fontId="13" fillId="0" borderId="21" xfId="0" applyFont="1" applyBorder="1" applyAlignment="1">
      <alignment vertical="center"/>
    </xf>
    <xf numFmtId="9" fontId="13" fillId="0" borderId="21" xfId="2" applyFont="1" applyBorder="1" applyAlignment="1">
      <alignment vertical="center"/>
    </xf>
    <xf numFmtId="174" fontId="13" fillId="0" borderId="21" xfId="0" applyNumberFormat="1" applyFont="1" applyBorder="1" applyAlignment="1">
      <alignment vertical="center"/>
    </xf>
    <xf numFmtId="0" fontId="13" fillId="0" borderId="59" xfId="0" applyFont="1" applyBorder="1" applyAlignment="1">
      <alignment vertical="center"/>
    </xf>
    <xf numFmtId="3" fontId="51" fillId="0" borderId="16" xfId="0" applyNumberFormat="1" applyFont="1" applyBorder="1" applyAlignment="1">
      <alignment vertical="center"/>
    </xf>
    <xf numFmtId="174" fontId="13" fillId="0" borderId="29" xfId="0" applyNumberFormat="1" applyFont="1" applyBorder="1" applyAlignment="1">
      <alignment vertical="center"/>
    </xf>
    <xf numFmtId="0" fontId="13" fillId="0" borderId="29" xfId="0" applyFont="1" applyBorder="1" applyAlignment="1">
      <alignment vertical="center"/>
    </xf>
    <xf numFmtId="3" fontId="13" fillId="0" borderId="29" xfId="0" applyNumberFormat="1" applyFont="1" applyBorder="1" applyAlignment="1">
      <alignment vertical="center"/>
    </xf>
    <xf numFmtId="169" fontId="13" fillId="0" borderId="29" xfId="0" applyNumberFormat="1" applyFont="1" applyBorder="1" applyAlignment="1">
      <alignment vertical="center"/>
    </xf>
    <xf numFmtId="0" fontId="13" fillId="0" borderId="30" xfId="0" applyFont="1" applyBorder="1" applyAlignment="1">
      <alignment vertical="center"/>
    </xf>
    <xf numFmtId="0" fontId="13" fillId="0" borderId="24" xfId="0" applyFont="1" applyBorder="1" applyAlignment="1">
      <alignment horizontal="left" vertical="center" wrapText="1"/>
    </xf>
    <xf numFmtId="169" fontId="13" fillId="0" borderId="25" xfId="0" applyNumberFormat="1" applyFont="1" applyBorder="1" applyAlignment="1">
      <alignment horizontal="center" vertical="center" wrapText="1"/>
    </xf>
    <xf numFmtId="9" fontId="13" fillId="0" borderId="25" xfId="2" applyFont="1" applyBorder="1" applyAlignment="1">
      <alignment horizontal="center" vertical="center" wrapText="1"/>
    </xf>
    <xf numFmtId="174" fontId="13" fillId="0" borderId="25" xfId="0" applyNumberFormat="1" applyFont="1" applyBorder="1" applyAlignment="1">
      <alignment horizontal="center" vertical="center" wrapText="1"/>
    </xf>
    <xf numFmtId="0" fontId="13" fillId="0" borderId="60" xfId="0" applyFont="1" applyBorder="1" applyAlignment="1">
      <alignment horizontal="center" vertical="center" wrapText="1"/>
    </xf>
    <xf numFmtId="3" fontId="13" fillId="0" borderId="37" xfId="0" applyNumberFormat="1" applyFont="1" applyBorder="1" applyAlignment="1">
      <alignment horizontal="center" vertical="center" wrapText="1"/>
    </xf>
    <xf numFmtId="174" fontId="13" fillId="0" borderId="39" xfId="0" applyNumberFormat="1" applyFont="1" applyBorder="1" applyAlignment="1">
      <alignment horizontal="center" vertical="center" wrapText="1"/>
    </xf>
    <xf numFmtId="0" fontId="13" fillId="0" borderId="39" xfId="0" applyFont="1" applyBorder="1" applyAlignment="1">
      <alignment horizontal="center" vertical="center" wrapText="1"/>
    </xf>
    <xf numFmtId="3" fontId="13" fillId="0" borderId="39" xfId="0" applyNumberFormat="1" applyFont="1" applyBorder="1" applyAlignment="1">
      <alignment horizontal="center" vertical="center" wrapText="1"/>
    </xf>
    <xf numFmtId="169" fontId="13" fillId="0" borderId="39" xfId="0" applyNumberFormat="1" applyFont="1" applyBorder="1" applyAlignment="1">
      <alignment horizontal="center" vertical="center" wrapText="1"/>
    </xf>
    <xf numFmtId="0" fontId="13" fillId="0" borderId="61" xfId="0" applyFont="1" applyBorder="1" applyAlignment="1">
      <alignment horizontal="center" vertical="center" wrapText="1"/>
    </xf>
    <xf numFmtId="0" fontId="13" fillId="0" borderId="62" xfId="0" applyFont="1" applyBorder="1" applyAlignment="1">
      <alignment vertical="center" wrapText="1"/>
    </xf>
    <xf numFmtId="9" fontId="13" fillId="0" borderId="9" xfId="2" applyFont="1" applyBorder="1" applyAlignment="1">
      <alignment horizontal="center" vertical="center" wrapText="1"/>
    </xf>
    <xf numFmtId="174" fontId="13" fillId="0" borderId="9" xfId="0" applyNumberFormat="1" applyFont="1" applyBorder="1" applyAlignment="1">
      <alignment horizontal="center" vertical="center"/>
    </xf>
    <xf numFmtId="3" fontId="13" fillId="0" borderId="62" xfId="0" applyNumberFormat="1" applyFont="1" applyBorder="1" applyAlignment="1">
      <alignment horizontal="center" vertical="center"/>
    </xf>
    <xf numFmtId="0" fontId="13" fillId="0" borderId="9" xfId="0" applyFont="1" applyBorder="1" applyAlignment="1">
      <alignment horizontal="center" vertical="center"/>
    </xf>
    <xf numFmtId="3" fontId="13" fillId="0" borderId="9" xfId="0" applyNumberFormat="1" applyFont="1" applyBorder="1" applyAlignment="1">
      <alignment horizontal="center" vertical="center"/>
    </xf>
    <xf numFmtId="0" fontId="13" fillId="0" borderId="9" xfId="0" applyFont="1" applyBorder="1" applyAlignment="1">
      <alignment vertical="center" wrapText="1"/>
    </xf>
    <xf numFmtId="0" fontId="13" fillId="0" borderId="63" xfId="0" applyFont="1" applyBorder="1" applyAlignment="1">
      <alignment horizontal="center" vertical="center"/>
    </xf>
    <xf numFmtId="9" fontId="13" fillId="0" borderId="1" xfId="2" applyFont="1" applyBorder="1" applyAlignment="1">
      <alignment horizontal="center" vertical="center" wrapText="1"/>
    </xf>
    <xf numFmtId="0" fontId="13" fillId="0" borderId="1" xfId="0" applyFont="1" applyBorder="1" applyAlignment="1">
      <alignment vertical="center" wrapText="1"/>
    </xf>
    <xf numFmtId="0" fontId="13" fillId="0" borderId="23" xfId="0" applyFont="1" applyBorder="1" applyAlignment="1">
      <alignment horizontal="center" vertical="center"/>
    </xf>
    <xf numFmtId="165" fontId="13" fillId="0" borderId="1" xfId="2" applyNumberFormat="1" applyFont="1" applyBorder="1" applyAlignment="1">
      <alignment horizontal="center" vertical="center" wrapText="1"/>
    </xf>
    <xf numFmtId="174" fontId="13" fillId="0" borderId="5" xfId="0" applyNumberFormat="1" applyFont="1" applyBorder="1" applyAlignment="1">
      <alignment horizontal="center" vertical="center"/>
    </xf>
    <xf numFmtId="9" fontId="13" fillId="0" borderId="21" xfId="2" applyFont="1" applyBorder="1" applyAlignment="1">
      <alignment horizontal="center" vertical="center" wrapText="1"/>
    </xf>
    <xf numFmtId="165" fontId="13" fillId="0" borderId="9" xfId="2" applyNumberFormat="1" applyFont="1" applyBorder="1" applyAlignment="1">
      <alignment horizontal="center" vertical="center" wrapText="1"/>
    </xf>
    <xf numFmtId="174" fontId="13" fillId="0" borderId="11" xfId="0" applyNumberFormat="1" applyFont="1" applyBorder="1" applyAlignment="1">
      <alignment horizontal="center" vertical="center"/>
    </xf>
    <xf numFmtId="174" fontId="13" fillId="29" borderId="1" xfId="0" applyNumberFormat="1" applyFont="1" applyFill="1" applyBorder="1" applyAlignment="1">
      <alignment horizontal="center" vertical="center"/>
    </xf>
    <xf numFmtId="9" fontId="13" fillId="29" borderId="1" xfId="2" applyFont="1" applyFill="1" applyBorder="1" applyAlignment="1">
      <alignment horizontal="center" vertical="center" wrapText="1"/>
    </xf>
    <xf numFmtId="0" fontId="13" fillId="0" borderId="25" xfId="0" applyFont="1" applyBorder="1" applyAlignment="1">
      <alignment vertical="center" wrapText="1"/>
    </xf>
    <xf numFmtId="174" fontId="13" fillId="29" borderId="25" xfId="0" applyNumberFormat="1" applyFont="1" applyFill="1" applyBorder="1" applyAlignment="1">
      <alignment horizontal="center" vertical="center"/>
    </xf>
    <xf numFmtId="9" fontId="13" fillId="29" borderId="25" xfId="2" applyFont="1" applyFill="1" applyBorder="1" applyAlignment="1">
      <alignment horizontal="center" vertical="center" wrapText="1"/>
    </xf>
    <xf numFmtId="174" fontId="13" fillId="0" borderId="60" xfId="0" applyNumberFormat="1" applyFont="1" applyBorder="1" applyAlignment="1">
      <alignment horizontal="center" vertical="center"/>
    </xf>
    <xf numFmtId="0" fontId="18" fillId="0" borderId="39" xfId="0" applyFont="1" applyBorder="1" applyAlignment="1">
      <alignment horizontal="center" vertical="center" wrapText="1"/>
    </xf>
    <xf numFmtId="0" fontId="13" fillId="6" borderId="39" xfId="0" applyFont="1" applyFill="1" applyBorder="1" applyAlignment="1">
      <alignment horizontal="center" vertical="center" wrapText="1"/>
    </xf>
    <xf numFmtId="0" fontId="0" fillId="0" borderId="1" xfId="0" applyBorder="1"/>
    <xf numFmtId="176" fontId="0" fillId="0" borderId="4" xfId="0" applyNumberFormat="1" applyBorder="1"/>
    <xf numFmtId="176" fontId="0" fillId="0" borderId="1" xfId="1" applyNumberFormat="1" applyFont="1" applyBorder="1" applyAlignment="1">
      <alignment horizontal="center"/>
    </xf>
    <xf numFmtId="3" fontId="39" fillId="0" borderId="9" xfId="0" applyNumberFormat="1" applyFont="1" applyBorder="1" applyAlignment="1">
      <alignment horizontal="center" vertical="center" wrapText="1"/>
    </xf>
    <xf numFmtId="0" fontId="33" fillId="0" borderId="40" xfId="0" applyFont="1" applyBorder="1" applyAlignment="1">
      <alignment horizontal="left" vertical="top" wrapText="1"/>
    </xf>
    <xf numFmtId="168" fontId="5" fillId="8" borderId="1" xfId="0" applyNumberFormat="1" applyFont="1" applyFill="1" applyBorder="1" applyAlignment="1">
      <alignment horizontal="center" vertical="center"/>
    </xf>
    <xf numFmtId="0" fontId="0" fillId="0" borderId="1" xfId="0" applyBorder="1" applyAlignment="1">
      <alignment horizontal="center"/>
    </xf>
    <xf numFmtId="0" fontId="0" fillId="0" borderId="4" xfId="0" applyBorder="1"/>
    <xf numFmtId="0" fontId="0" fillId="0" borderId="0" xfId="0" applyFill="1"/>
    <xf numFmtId="0" fontId="0" fillId="0" borderId="4" xfId="0" applyFill="1" applyBorder="1" applyAlignment="1">
      <alignment vertical="center"/>
    </xf>
    <xf numFmtId="0" fontId="0" fillId="0" borderId="0" xfId="0" applyAlignment="1">
      <alignment horizontal="center" vertical="center" wrapText="1"/>
    </xf>
    <xf numFmtId="0" fontId="0" fillId="0" borderId="1" xfId="0" applyBorder="1" applyAlignment="1">
      <alignment vertical="center"/>
    </xf>
    <xf numFmtId="184" fontId="5" fillId="0" borderId="1" xfId="1" applyNumberFormat="1" applyFont="1" applyFill="1" applyBorder="1" applyAlignment="1">
      <alignment horizontal="center" vertical="center"/>
    </xf>
    <xf numFmtId="0" fontId="17" fillId="11" borderId="0" xfId="0" applyFont="1" applyFill="1" applyBorder="1" applyAlignment="1">
      <alignment vertical="center"/>
    </xf>
    <xf numFmtId="0" fontId="17" fillId="11" borderId="7" xfId="0" applyFont="1" applyFill="1" applyBorder="1" applyAlignment="1">
      <alignment vertical="center"/>
    </xf>
    <xf numFmtId="0" fontId="17" fillId="11" borderId="67" xfId="0" applyFont="1" applyFill="1" applyBorder="1" applyAlignment="1">
      <alignment vertical="center"/>
    </xf>
    <xf numFmtId="0" fontId="39" fillId="0" borderId="1" xfId="0" applyFont="1" applyFill="1" applyBorder="1" applyAlignment="1">
      <alignment horizontal="left" vertical="top" wrapText="1"/>
    </xf>
    <xf numFmtId="9" fontId="4" fillId="0" borderId="19" xfId="2" applyFont="1" applyFill="1" applyBorder="1" applyAlignment="1">
      <alignment horizontal="left" vertical="center" wrapText="1"/>
    </xf>
    <xf numFmtId="0" fontId="41" fillId="0" borderId="1" xfId="0" applyFont="1" applyBorder="1" applyAlignment="1">
      <alignment horizontal="left" vertical="center" wrapText="1"/>
    </xf>
    <xf numFmtId="3" fontId="39" fillId="0" borderId="1" xfId="0" applyNumberFormat="1" applyFont="1" applyBorder="1" applyAlignment="1">
      <alignment horizontal="center" vertical="center" wrapText="1"/>
    </xf>
    <xf numFmtId="0" fontId="4" fillId="8" borderId="4" xfId="0" applyFont="1" applyFill="1" applyBorder="1" applyAlignment="1">
      <alignment horizontal="left" vertical="center"/>
    </xf>
    <xf numFmtId="171" fontId="4" fillId="8" borderId="1" xfId="1" applyNumberFormat="1" applyFont="1" applyFill="1" applyBorder="1" applyAlignment="1">
      <alignment horizontal="center" vertical="center"/>
    </xf>
    <xf numFmtId="171" fontId="19" fillId="8" borderId="1" xfId="1" applyNumberFormat="1" applyFont="1" applyFill="1" applyBorder="1" applyAlignment="1">
      <alignment horizontal="center" vertical="center"/>
    </xf>
    <xf numFmtId="171" fontId="0" fillId="8" borderId="1" xfId="1" applyNumberFormat="1" applyFont="1" applyFill="1" applyBorder="1" applyAlignment="1">
      <alignment horizontal="center" vertical="center"/>
    </xf>
    <xf numFmtId="9" fontId="0" fillId="8" borderId="1" xfId="2" applyFont="1" applyFill="1" applyBorder="1" applyAlignment="1">
      <alignment horizontal="center" vertical="center"/>
    </xf>
    <xf numFmtId="176" fontId="0" fillId="8" borderId="1" xfId="0" applyNumberFormat="1" applyFont="1" applyFill="1" applyBorder="1" applyAlignment="1">
      <alignment horizontal="center" vertical="center"/>
    </xf>
    <xf numFmtId="10" fontId="0" fillId="8" borderId="1" xfId="2" applyNumberFormat="1" applyFont="1" applyFill="1" applyBorder="1" applyAlignment="1">
      <alignment horizontal="center" vertical="center"/>
    </xf>
    <xf numFmtId="184" fontId="5" fillId="8" borderId="1" xfId="1" applyNumberFormat="1" applyFont="1" applyFill="1" applyBorder="1" applyAlignment="1">
      <alignment horizontal="center" vertical="center"/>
    </xf>
    <xf numFmtId="184" fontId="0" fillId="8" borderId="1" xfId="1" applyNumberFormat="1" applyFont="1" applyFill="1" applyBorder="1" applyAlignment="1">
      <alignment horizontal="center" vertical="center"/>
    </xf>
    <xf numFmtId="0" fontId="3" fillId="8" borderId="1" xfId="2" applyNumberFormat="1" applyFont="1" applyFill="1" applyBorder="1" applyAlignment="1">
      <alignment horizontal="center" vertical="center"/>
    </xf>
    <xf numFmtId="0" fontId="5" fillId="8" borderId="1" xfId="2" applyNumberFormat="1" applyFont="1" applyFill="1" applyBorder="1" applyAlignment="1">
      <alignment horizontal="center" vertical="center"/>
    </xf>
    <xf numFmtId="0" fontId="0" fillId="8" borderId="1" xfId="0" applyFill="1" applyBorder="1" applyAlignment="1">
      <alignment vertical="center"/>
    </xf>
    <xf numFmtId="0" fontId="0" fillId="8" borderId="0" xfId="0" applyFill="1" applyAlignment="1">
      <alignment vertical="center"/>
    </xf>
    <xf numFmtId="0" fontId="0" fillId="0" borderId="0" xfId="0" applyFont="1" applyAlignment="1">
      <alignment horizontal="center"/>
    </xf>
    <xf numFmtId="0" fontId="0" fillId="3" borderId="0" xfId="0" applyFont="1" applyFill="1"/>
    <xf numFmtId="0" fontId="0" fillId="0" borderId="57" xfId="0" applyFont="1" applyBorder="1"/>
    <xf numFmtId="172" fontId="0" fillId="0" borderId="57" xfId="0" applyNumberFormat="1" applyFont="1" applyBorder="1"/>
    <xf numFmtId="0" fontId="15" fillId="0" borderId="0" xfId="0" applyFont="1" applyAlignment="1">
      <alignment horizontal="left" vertical="center"/>
    </xf>
    <xf numFmtId="3" fontId="39" fillId="0" borderId="14" xfId="0" applyNumberFormat="1" applyFont="1" applyFill="1" applyBorder="1" applyAlignment="1">
      <alignment horizontal="left" vertical="center" wrapText="1"/>
    </xf>
    <xf numFmtId="3" fontId="39" fillId="0" borderId="14" xfId="0" applyNumberFormat="1" applyFont="1" applyFill="1" applyBorder="1" applyAlignment="1">
      <alignment horizontal="center" vertical="center" wrapText="1"/>
    </xf>
    <xf numFmtId="0" fontId="19" fillId="0" borderId="0" xfId="0" applyFont="1" applyFill="1"/>
    <xf numFmtId="0" fontId="36" fillId="0" borderId="46" xfId="14" applyFill="1"/>
    <xf numFmtId="3" fontId="39" fillId="0" borderId="1" xfId="0" applyNumberFormat="1" applyFont="1" applyFill="1" applyBorder="1" applyAlignment="1">
      <alignment horizontal="left" vertical="center" wrapText="1"/>
    </xf>
    <xf numFmtId="187" fontId="39" fillId="0" borderId="1" xfId="0" applyNumberFormat="1" applyFont="1" applyFill="1" applyBorder="1" applyAlignment="1">
      <alignment horizontal="center" vertical="center" wrapText="1"/>
    </xf>
    <xf numFmtId="9" fontId="39" fillId="0" borderId="1" xfId="2" applyFont="1" applyFill="1" applyBorder="1" applyAlignment="1">
      <alignment horizontal="center" vertical="center" wrapText="1"/>
    </xf>
    <xf numFmtId="2" fontId="0" fillId="0" borderId="0" xfId="0" applyNumberFormat="1"/>
    <xf numFmtId="9" fontId="19" fillId="0" borderId="1" xfId="2" applyFont="1" applyFill="1" applyBorder="1" applyAlignment="1">
      <alignment horizontal="center" vertical="center"/>
    </xf>
    <xf numFmtId="0" fontId="31" fillId="22" borderId="40" xfId="0" applyFont="1" applyFill="1" applyBorder="1" applyAlignment="1">
      <alignment horizontal="left" vertical="top" wrapText="1" indent="1"/>
    </xf>
    <xf numFmtId="0" fontId="31" fillId="21" borderId="40" xfId="0" applyFont="1" applyFill="1" applyBorder="1" applyAlignment="1">
      <alignment horizontal="right" vertical="top" wrapText="1" indent="2"/>
    </xf>
    <xf numFmtId="0" fontId="31" fillId="21" borderId="40" xfId="0" applyFont="1" applyFill="1" applyBorder="1" applyAlignment="1">
      <alignment horizontal="right" vertical="top" wrapText="1" indent="1"/>
    </xf>
    <xf numFmtId="3" fontId="32" fillId="0" borderId="40" xfId="0" applyNumberFormat="1" applyFont="1" applyBorder="1" applyAlignment="1">
      <alignment horizontal="center" vertical="top" shrinkToFit="1"/>
    </xf>
    <xf numFmtId="169" fontId="32" fillId="0" borderId="40" xfId="0" applyNumberFormat="1" applyFont="1" applyBorder="1" applyAlignment="1">
      <alignment horizontal="right" vertical="top" indent="2" shrinkToFit="1"/>
    </xf>
    <xf numFmtId="169" fontId="32" fillId="0" borderId="40" xfId="0" applyNumberFormat="1" applyFont="1" applyBorder="1" applyAlignment="1">
      <alignment horizontal="right" vertical="top" indent="1" shrinkToFit="1"/>
    </xf>
    <xf numFmtId="0" fontId="57" fillId="0" borderId="46" xfId="14" applyFont="1" applyFill="1" applyAlignment="1"/>
    <xf numFmtId="9" fontId="5" fillId="0" borderId="0" xfId="0" applyNumberFormat="1" applyFont="1" applyAlignment="1">
      <alignment horizontal="center"/>
    </xf>
    <xf numFmtId="0" fontId="14" fillId="11" borderId="12" xfId="0" applyFont="1" applyFill="1" applyBorder="1" applyAlignment="1">
      <alignment vertical="center"/>
    </xf>
    <xf numFmtId="0" fontId="14" fillId="11" borderId="9" xfId="0" applyFont="1" applyFill="1" applyBorder="1" applyAlignment="1">
      <alignment horizontal="center" vertical="center"/>
    </xf>
    <xf numFmtId="10" fontId="5" fillId="0" borderId="1" xfId="0" applyNumberFormat="1" applyFont="1" applyBorder="1" applyAlignment="1">
      <alignment horizontal="center"/>
    </xf>
    <xf numFmtId="0" fontId="5" fillId="0" borderId="15" xfId="0" applyFont="1" applyBorder="1"/>
    <xf numFmtId="10" fontId="5" fillId="0" borderId="8" xfId="0" applyNumberFormat="1" applyFont="1" applyBorder="1" applyAlignment="1">
      <alignment horizontal="center"/>
    </xf>
    <xf numFmtId="0" fontId="15" fillId="0" borderId="1" xfId="0" applyFont="1" applyBorder="1" applyAlignment="1">
      <alignment horizontal="center" vertical="center"/>
    </xf>
    <xf numFmtId="3" fontId="15" fillId="0" borderId="8" xfId="0" applyNumberFormat="1" applyFont="1" applyBorder="1" applyAlignment="1">
      <alignment horizontal="center" vertical="center"/>
    </xf>
    <xf numFmtId="0" fontId="5" fillId="0" borderId="0" xfId="0" applyFont="1" applyBorder="1"/>
    <xf numFmtId="10" fontId="5" fillId="0" borderId="0" xfId="0" applyNumberFormat="1" applyFont="1" applyBorder="1" applyAlignment="1">
      <alignment horizontal="center"/>
    </xf>
    <xf numFmtId="0" fontId="0" fillId="0" borderId="0" xfId="0" applyFont="1" applyBorder="1"/>
    <xf numFmtId="0" fontId="5" fillId="0" borderId="19" xfId="0" applyFont="1" applyBorder="1"/>
    <xf numFmtId="9" fontId="5" fillId="0" borderId="1" xfId="2" applyFont="1" applyBorder="1" applyAlignment="1">
      <alignment horizontal="center"/>
    </xf>
    <xf numFmtId="0" fontId="5" fillId="0" borderId="2" xfId="0" applyFont="1" applyBorder="1"/>
    <xf numFmtId="9" fontId="5" fillId="0" borderId="8" xfId="2" applyFont="1" applyBorder="1" applyAlignment="1">
      <alignment horizontal="center"/>
    </xf>
    <xf numFmtId="169" fontId="5" fillId="0" borderId="1" xfId="0" applyNumberFormat="1" applyFont="1" applyBorder="1" applyAlignment="1">
      <alignment horizontal="center"/>
    </xf>
    <xf numFmtId="0" fontId="5" fillId="0" borderId="1" xfId="0" applyFont="1" applyBorder="1" applyAlignment="1">
      <alignment horizontal="center"/>
    </xf>
    <xf numFmtId="0" fontId="5" fillId="0" borderId="8" xfId="0" applyFont="1" applyBorder="1" applyAlignment="1">
      <alignment horizontal="center"/>
    </xf>
    <xf numFmtId="197" fontId="5" fillId="0" borderId="1" xfId="0" applyNumberFormat="1" applyFont="1" applyBorder="1" applyAlignment="1">
      <alignment horizontal="center"/>
    </xf>
    <xf numFmtId="186" fontId="5" fillId="0" borderId="8" xfId="0" applyNumberFormat="1" applyFont="1" applyBorder="1" applyAlignment="1">
      <alignment horizontal="center"/>
    </xf>
    <xf numFmtId="0" fontId="5" fillId="0" borderId="10" xfId="0" applyFont="1" applyBorder="1"/>
    <xf numFmtId="0" fontId="5" fillId="0" borderId="6" xfId="0" applyFont="1" applyBorder="1" applyAlignment="1">
      <alignment horizontal="center"/>
    </xf>
    <xf numFmtId="0" fontId="5" fillId="0" borderId="7" xfId="0" applyFont="1" applyBorder="1"/>
    <xf numFmtId="0" fontId="5" fillId="0" borderId="4" xfId="0" applyFont="1" applyBorder="1" applyAlignment="1">
      <alignment horizontal="left"/>
    </xf>
    <xf numFmtId="189" fontId="5" fillId="0" borderId="1" xfId="0" applyNumberFormat="1" applyFont="1" applyBorder="1" applyAlignment="1">
      <alignment horizontal="center"/>
    </xf>
    <xf numFmtId="0" fontId="5" fillId="0" borderId="15" xfId="0" applyFont="1" applyBorder="1" applyAlignment="1">
      <alignment horizontal="left"/>
    </xf>
    <xf numFmtId="189" fontId="5" fillId="0" borderId="8" xfId="0" applyNumberFormat="1" applyFont="1" applyBorder="1" applyAlignment="1">
      <alignment horizontal="center"/>
    </xf>
    <xf numFmtId="191" fontId="5" fillId="0" borderId="1" xfId="0" applyNumberFormat="1" applyFont="1" applyBorder="1" applyAlignment="1">
      <alignment horizontal="center"/>
    </xf>
    <xf numFmtId="172" fontId="5" fillId="0" borderId="1" xfId="2" applyNumberFormat="1" applyFont="1" applyBorder="1" applyAlignment="1">
      <alignment horizontal="center" vertical="center" wrapText="1"/>
    </xf>
    <xf numFmtId="193" fontId="5" fillId="0" borderId="8" xfId="1" applyNumberFormat="1" applyFont="1" applyBorder="1" applyAlignment="1">
      <alignment horizontal="center" vertical="center" wrapText="1"/>
    </xf>
    <xf numFmtId="9" fontId="5" fillId="0" borderId="1" xfId="0" applyNumberFormat="1" applyFont="1" applyBorder="1" applyAlignment="1">
      <alignment horizontal="center" vertical="center" wrapText="1"/>
    </xf>
    <xf numFmtId="190" fontId="5" fillId="0" borderId="1" xfId="0" applyNumberFormat="1" applyFont="1" applyBorder="1" applyAlignment="1">
      <alignment horizontal="center" vertical="center" wrapText="1"/>
    </xf>
    <xf numFmtId="0" fontId="14" fillId="11" borderId="9" xfId="0" applyFont="1" applyFill="1" applyBorder="1" applyAlignment="1">
      <alignment vertical="center"/>
    </xf>
    <xf numFmtId="172" fontId="5" fillId="0" borderId="8" xfId="2" applyNumberFormat="1" applyFont="1" applyBorder="1" applyAlignment="1">
      <alignment horizontal="center" vertical="center" wrapText="1"/>
    </xf>
    <xf numFmtId="200" fontId="5" fillId="0" borderId="8" xfId="1" applyNumberFormat="1" applyFont="1" applyBorder="1" applyAlignment="1">
      <alignment horizontal="center" vertical="center" wrapText="1"/>
    </xf>
    <xf numFmtId="0" fontId="5" fillId="0" borderId="1" xfId="0" applyFont="1" applyBorder="1"/>
    <xf numFmtId="0" fontId="5" fillId="0" borderId="8" xfId="0" applyFont="1" applyBorder="1"/>
    <xf numFmtId="9" fontId="5" fillId="28" borderId="1" xfId="0" applyNumberFormat="1" applyFont="1" applyFill="1" applyBorder="1" applyAlignment="1">
      <alignment horizontal="center" vertical="center" wrapText="1"/>
    </xf>
    <xf numFmtId="0" fontId="5" fillId="0" borderId="15" xfId="0" applyFont="1" applyFill="1" applyBorder="1" applyAlignment="1">
      <alignment horizontal="left"/>
    </xf>
    <xf numFmtId="0" fontId="5" fillId="0" borderId="4" xfId="0" applyFont="1" applyFill="1" applyBorder="1" applyAlignment="1">
      <alignment horizontal="left"/>
    </xf>
    <xf numFmtId="191" fontId="5" fillId="0" borderId="1" xfId="0" applyNumberFormat="1" applyFont="1" applyFill="1" applyBorder="1" applyAlignment="1">
      <alignment horizontal="center"/>
    </xf>
    <xf numFmtId="191" fontId="5" fillId="0" borderId="8" xfId="0" applyNumberFormat="1" applyFont="1" applyFill="1" applyBorder="1" applyAlignment="1">
      <alignment horizontal="center"/>
    </xf>
    <xf numFmtId="0" fontId="5" fillId="0" borderId="14" xfId="0" applyFont="1" applyFill="1" applyBorder="1" applyAlignment="1">
      <alignment vertical="center" wrapText="1"/>
    </xf>
    <xf numFmtId="0" fontId="5" fillId="0" borderId="0" xfId="0" applyFont="1" applyFill="1" applyBorder="1" applyAlignment="1">
      <alignment horizontal="left"/>
    </xf>
    <xf numFmtId="191" fontId="5" fillId="0" borderId="0" xfId="0" applyNumberFormat="1" applyFont="1" applyFill="1" applyBorder="1" applyAlignment="1">
      <alignment horizontal="center"/>
    </xf>
    <xf numFmtId="0" fontId="5" fillId="0" borderId="0" xfId="0" applyFont="1" applyFill="1" applyBorder="1" applyAlignment="1">
      <alignment vertical="center" wrapText="1"/>
    </xf>
    <xf numFmtId="201" fontId="5" fillId="0" borderId="8" xfId="0" applyNumberFormat="1" applyFont="1" applyFill="1" applyBorder="1" applyAlignment="1">
      <alignment horizontal="center"/>
    </xf>
    <xf numFmtId="1" fontId="5" fillId="0" borderId="1" xfId="0" applyNumberFormat="1" applyFont="1" applyBorder="1" applyAlignment="1">
      <alignment horizontal="center"/>
    </xf>
    <xf numFmtId="186" fontId="5" fillId="3" borderId="5" xfId="0" applyNumberFormat="1" applyFont="1" applyFill="1" applyBorder="1" applyAlignment="1">
      <alignment horizontal="center"/>
    </xf>
    <xf numFmtId="0" fontId="0" fillId="0" borderId="15" xfId="0" applyFont="1" applyBorder="1" applyAlignment="1">
      <alignment horizontal="left"/>
    </xf>
    <xf numFmtId="0" fontId="5" fillId="0" borderId="4" xfId="0" applyFont="1" applyBorder="1" applyAlignment="1">
      <alignment horizontal="left" vertical="center"/>
    </xf>
    <xf numFmtId="0" fontId="5" fillId="0" borderId="1" xfId="0" applyFont="1" applyBorder="1" applyAlignment="1">
      <alignment horizontal="center" vertical="center" wrapText="1"/>
    </xf>
    <xf numFmtId="0" fontId="17" fillId="11" borderId="50" xfId="0" applyFont="1" applyFill="1" applyBorder="1" applyAlignment="1">
      <alignment horizontal="center" vertical="center"/>
    </xf>
    <xf numFmtId="0" fontId="17" fillId="11" borderId="51" xfId="0" applyFont="1" applyFill="1" applyBorder="1" applyAlignment="1">
      <alignment horizontal="center" vertical="center"/>
    </xf>
    <xf numFmtId="0" fontId="0" fillId="23" borderId="52" xfId="0" applyFont="1" applyFill="1" applyBorder="1"/>
    <xf numFmtId="0" fontId="0" fillId="23" borderId="14" xfId="0" applyFont="1" applyFill="1" applyBorder="1" applyAlignment="1">
      <alignment horizontal="center"/>
    </xf>
    <xf numFmtId="176" fontId="0" fillId="23" borderId="14" xfId="0" applyNumberFormat="1" applyFont="1" applyFill="1" applyBorder="1" applyAlignment="1">
      <alignment horizontal="center"/>
    </xf>
    <xf numFmtId="169" fontId="0" fillId="23" borderId="53" xfId="0" applyNumberFormat="1" applyFont="1" applyFill="1" applyBorder="1" applyAlignment="1">
      <alignment horizontal="center"/>
    </xf>
    <xf numFmtId="0" fontId="0" fillId="0" borderId="52" xfId="0" applyFont="1" applyBorder="1"/>
    <xf numFmtId="0" fontId="0" fillId="0" borderId="14" xfId="0" applyFont="1" applyBorder="1" applyAlignment="1">
      <alignment horizontal="center"/>
    </xf>
    <xf numFmtId="176" fontId="0" fillId="0" borderId="14" xfId="0" applyNumberFormat="1" applyFont="1" applyBorder="1" applyAlignment="1">
      <alignment horizontal="center"/>
    </xf>
    <xf numFmtId="169" fontId="0" fillId="0" borderId="53" xfId="0" applyNumberFormat="1" applyFont="1" applyBorder="1" applyAlignment="1">
      <alignment horizontal="center"/>
    </xf>
    <xf numFmtId="0" fontId="0" fillId="23" borderId="54" xfId="0" applyFont="1" applyFill="1" applyBorder="1"/>
    <xf numFmtId="0" fontId="0" fillId="23" borderId="55" xfId="0" applyFont="1" applyFill="1" applyBorder="1" applyAlignment="1">
      <alignment horizontal="center"/>
    </xf>
    <xf numFmtId="176" fontId="0" fillId="23" borderId="55" xfId="0" applyNumberFormat="1" applyFont="1" applyFill="1" applyBorder="1" applyAlignment="1">
      <alignment horizontal="center"/>
    </xf>
    <xf numFmtId="169" fontId="0" fillId="23" borderId="49" xfId="0" applyNumberFormat="1" applyFont="1" applyFill="1" applyBorder="1" applyAlignment="1">
      <alignment horizontal="center"/>
    </xf>
    <xf numFmtId="169" fontId="5" fillId="0" borderId="1" xfId="1" applyNumberFormat="1" applyFont="1" applyBorder="1" applyAlignment="1">
      <alignment horizontal="center" vertical="center" wrapText="1"/>
    </xf>
    <xf numFmtId="169" fontId="5" fillId="0" borderId="8" xfId="2" applyNumberFormat="1" applyFont="1" applyFill="1" applyBorder="1" applyAlignment="1">
      <alignment horizontal="center" vertical="center" wrapText="1"/>
    </xf>
    <xf numFmtId="0" fontId="36" fillId="0" borderId="1" xfId="14" applyFont="1" applyBorder="1"/>
    <xf numFmtId="0" fontId="56" fillId="0" borderId="8" xfId="6" applyBorder="1" applyAlignment="1">
      <alignment vertical="center" wrapText="1"/>
    </xf>
    <xf numFmtId="0" fontId="3" fillId="0" borderId="5" xfId="0" applyFont="1" applyBorder="1" applyAlignment="1">
      <alignment vertical="center" wrapText="1"/>
    </xf>
    <xf numFmtId="0" fontId="5" fillId="0" borderId="15" xfId="0" applyFont="1" applyBorder="1" applyAlignment="1">
      <alignment horizontal="left" vertical="center"/>
    </xf>
    <xf numFmtId="0" fontId="5" fillId="0" borderId="8" xfId="0" applyFont="1" applyBorder="1" applyAlignment="1">
      <alignment horizontal="left" vertical="center"/>
    </xf>
    <xf numFmtId="0" fontId="0" fillId="0" borderId="0" xfId="0" applyFont="1" applyBorder="1" applyAlignment="1">
      <alignment vertical="center"/>
    </xf>
    <xf numFmtId="0" fontId="0" fillId="0" borderId="0" xfId="0" applyFont="1" applyAlignment="1">
      <alignment horizontal="center" vertical="center"/>
    </xf>
    <xf numFmtId="0" fontId="0" fillId="0" borderId="0" xfId="0" applyFont="1" applyAlignment="1">
      <alignment vertical="center"/>
    </xf>
    <xf numFmtId="0" fontId="5" fillId="0" borderId="5" xfId="0" applyFont="1" applyBorder="1" applyAlignment="1">
      <alignment wrapText="1"/>
    </xf>
    <xf numFmtId="0" fontId="0" fillId="0" borderId="0" xfId="0" applyFont="1" applyAlignment="1">
      <alignment horizontal="center" wrapText="1"/>
    </xf>
    <xf numFmtId="0" fontId="0" fillId="0" borderId="0" xfId="0" applyFont="1" applyAlignment="1">
      <alignment wrapText="1"/>
    </xf>
    <xf numFmtId="0" fontId="14" fillId="11" borderId="11" xfId="0" applyFont="1" applyFill="1" applyBorder="1" applyAlignment="1">
      <alignment vertical="center" wrapText="1"/>
    </xf>
    <xf numFmtId="0" fontId="5" fillId="0" borderId="14" xfId="0" applyFont="1" applyBorder="1" applyAlignment="1">
      <alignment wrapText="1"/>
    </xf>
    <xf numFmtId="0" fontId="61" fillId="0" borderId="5" xfId="0" applyFont="1" applyBorder="1" applyAlignment="1">
      <alignment wrapText="1"/>
    </xf>
    <xf numFmtId="0" fontId="61" fillId="0" borderId="14" xfId="0" applyFont="1" applyBorder="1" applyAlignment="1">
      <alignment wrapText="1"/>
    </xf>
    <xf numFmtId="0" fontId="0" fillId="0" borderId="0" xfId="0" applyFont="1" applyBorder="1" applyAlignment="1">
      <alignment wrapText="1"/>
    </xf>
    <xf numFmtId="0" fontId="0" fillId="0" borderId="5" xfId="0" applyBorder="1" applyAlignment="1">
      <alignment horizontal="center" vertical="center" wrapText="1"/>
    </xf>
    <xf numFmtId="0" fontId="0" fillId="0" borderId="0" xfId="0" applyFont="1" applyAlignment="1">
      <alignment horizontal="center" vertical="center" wrapText="1"/>
    </xf>
    <xf numFmtId="0" fontId="0" fillId="0" borderId="0" xfId="0" applyBorder="1" applyAlignment="1">
      <alignment horizontal="center" vertical="center" wrapText="1"/>
    </xf>
    <xf numFmtId="0" fontId="28" fillId="0" borderId="0" xfId="0" applyFont="1" applyAlignment="1"/>
    <xf numFmtId="0" fontId="0" fillId="0" borderId="0" xfId="0" applyAlignment="1"/>
    <xf numFmtId="0" fontId="1" fillId="0" borderId="0" xfId="0" applyFont="1" applyAlignment="1"/>
    <xf numFmtId="0" fontId="1" fillId="8" borderId="0" xfId="0" applyFont="1" applyFill="1" applyAlignment="1"/>
    <xf numFmtId="0" fontId="0" fillId="8" borderId="0" xfId="0" applyFill="1" applyAlignment="1"/>
    <xf numFmtId="0" fontId="0" fillId="0" borderId="4" xfId="0" applyFont="1" applyBorder="1" applyAlignment="1">
      <alignment horizontal="left"/>
    </xf>
    <xf numFmtId="0" fontId="0" fillId="0" borderId="1" xfId="0" applyBorder="1" applyAlignment="1">
      <alignment horizontal="center" vertical="center" wrapText="1"/>
    </xf>
    <xf numFmtId="0" fontId="0" fillId="0" borderId="1" xfId="0" applyBorder="1" applyAlignment="1">
      <alignment vertical="center" wrapText="1"/>
    </xf>
    <xf numFmtId="0" fontId="5" fillId="0" borderId="1" xfId="0" applyFont="1" applyBorder="1" applyAlignment="1">
      <alignment horizontal="left"/>
    </xf>
    <xf numFmtId="0" fontId="5" fillId="0" borderId="5" xfId="0" applyFont="1" applyBorder="1" applyAlignment="1">
      <alignment vertical="center" wrapText="1"/>
    </xf>
    <xf numFmtId="0" fontId="5" fillId="0" borderId="5" xfId="0" applyFont="1" applyFill="1" applyBorder="1" applyAlignment="1">
      <alignment vertical="center" wrapText="1"/>
    </xf>
    <xf numFmtId="0" fontId="5" fillId="0" borderId="14" xfId="0" applyFont="1" applyBorder="1" applyAlignment="1">
      <alignment vertical="center" wrapText="1"/>
    </xf>
    <xf numFmtId="0" fontId="5" fillId="0" borderId="4" xfId="0" applyFont="1" applyBorder="1"/>
    <xf numFmtId="0" fontId="5" fillId="0" borderId="8" xfId="0" applyFont="1" applyBorder="1" applyAlignment="1">
      <alignment horizontal="left"/>
    </xf>
    <xf numFmtId="0" fontId="3" fillId="0" borderId="14" xfId="0" applyFont="1" applyBorder="1" applyAlignment="1">
      <alignment vertical="center" wrapText="1"/>
    </xf>
    <xf numFmtId="0" fontId="0" fillId="3" borderId="0" xfId="0" applyFont="1" applyFill="1" applyAlignment="1">
      <alignment horizontal="center"/>
    </xf>
    <xf numFmtId="0" fontId="64" fillId="0" borderId="0" xfId="0" applyFont="1" applyAlignment="1">
      <alignment vertical="top" wrapText="1"/>
    </xf>
    <xf numFmtId="0" fontId="0" fillId="0" borderId="0" xfId="0" applyAlignment="1">
      <alignment vertical="top" wrapText="1"/>
    </xf>
    <xf numFmtId="0" fontId="65" fillId="0" borderId="0" xfId="0" applyFont="1"/>
    <xf numFmtId="202" fontId="19" fillId="0" borderId="7" xfId="13" applyNumberFormat="1" applyFont="1" applyBorder="1" applyAlignment="1">
      <alignment horizontal="center" vertical="center"/>
    </xf>
    <xf numFmtId="165" fontId="19" fillId="0" borderId="0" xfId="13" applyNumberFormat="1" applyFont="1" applyAlignment="1">
      <alignment horizontal="center" vertical="center"/>
    </xf>
    <xf numFmtId="203" fontId="0" fillId="0" borderId="0" xfId="0" applyNumberFormat="1"/>
    <xf numFmtId="0" fontId="66" fillId="0" borderId="0" xfId="0" applyFont="1"/>
    <xf numFmtId="0" fontId="14" fillId="0" borderId="4" xfId="0" applyFont="1" applyBorder="1"/>
    <xf numFmtId="10" fontId="0" fillId="0" borderId="1" xfId="2" applyNumberFormat="1" applyFont="1" applyFill="1" applyBorder="1" applyAlignment="1">
      <alignment horizontal="center" vertical="center" wrapText="1"/>
    </xf>
    <xf numFmtId="184" fontId="3" fillId="0" borderId="1" xfId="2" applyNumberFormat="1" applyFont="1" applyFill="1" applyBorder="1" applyAlignment="1">
      <alignment horizontal="center" vertical="center" wrapText="1"/>
    </xf>
    <xf numFmtId="0" fontId="25" fillId="0" borderId="1" xfId="0" applyFont="1" applyBorder="1" applyAlignment="1">
      <alignment vertical="center" wrapText="1"/>
    </xf>
    <xf numFmtId="0" fontId="0" fillId="8" borderId="1" xfId="0" applyFill="1" applyBorder="1" applyAlignment="1">
      <alignment vertical="center" wrapText="1"/>
    </xf>
    <xf numFmtId="10" fontId="0" fillId="8" borderId="1" xfId="2" applyNumberFormat="1" applyFont="1" applyFill="1" applyBorder="1" applyAlignment="1">
      <alignment horizontal="center" vertical="center" wrapText="1"/>
    </xf>
    <xf numFmtId="184" fontId="3" fillId="8" borderId="1" xfId="2" applyNumberFormat="1" applyFont="1" applyFill="1" applyBorder="1" applyAlignment="1">
      <alignment horizontal="center" vertical="center" wrapText="1"/>
    </xf>
    <xf numFmtId="0" fontId="7" fillId="0" borderId="0" xfId="0" applyFont="1"/>
    <xf numFmtId="0" fontId="67" fillId="34" borderId="1" xfId="0" applyFont="1" applyFill="1" applyBorder="1" applyAlignment="1">
      <alignment horizontal="left" vertical="top" wrapText="1"/>
    </xf>
    <xf numFmtId="0" fontId="58" fillId="34" borderId="1" xfId="0" applyFont="1" applyFill="1" applyBorder="1" applyAlignment="1">
      <alignment horizontal="left" vertical="top" wrapText="1"/>
    </xf>
    <xf numFmtId="0" fontId="0" fillId="0" borderId="0" xfId="0" applyAlignment="1">
      <alignment horizontal="left" vertical="top"/>
    </xf>
    <xf numFmtId="0" fontId="12" fillId="3" borderId="0" xfId="0" applyFont="1" applyFill="1" applyProtection="1"/>
    <xf numFmtId="0" fontId="52" fillId="3" borderId="0" xfId="0" applyFont="1" applyFill="1" applyProtection="1"/>
    <xf numFmtId="0" fontId="18" fillId="0" borderId="1" xfId="0" applyFont="1" applyBorder="1" applyAlignment="1" applyProtection="1">
      <alignment horizontal="left" vertical="center" wrapText="1" indent="1"/>
    </xf>
    <xf numFmtId="0" fontId="13" fillId="3" borderId="0" xfId="0" applyFont="1" applyFill="1" applyProtection="1"/>
    <xf numFmtId="0" fontId="13" fillId="3" borderId="0" xfId="0" applyFont="1" applyFill="1" applyAlignment="1" applyProtection="1">
      <alignment horizontal="left" indent="1"/>
    </xf>
    <xf numFmtId="0" fontId="58" fillId="18" borderId="5" xfId="0" applyFont="1" applyFill="1" applyBorder="1" applyAlignment="1" applyProtection="1">
      <alignment horizontal="center" vertical="center" wrapText="1"/>
    </xf>
    <xf numFmtId="0" fontId="18" fillId="12" borderId="1" xfId="0" applyFont="1" applyFill="1" applyBorder="1" applyAlignment="1" applyProtection="1">
      <alignment horizontal="left" vertical="center" wrapText="1" indent="1"/>
    </xf>
    <xf numFmtId="2" fontId="12" fillId="32" borderId="5" xfId="0" applyNumberFormat="1" applyFont="1" applyFill="1" applyBorder="1" applyAlignment="1" applyProtection="1">
      <alignment horizontal="center" vertical="center" wrapText="1"/>
    </xf>
    <xf numFmtId="7" fontId="12" fillId="32" borderId="5" xfId="0" applyNumberFormat="1" applyFont="1" applyFill="1" applyBorder="1" applyAlignment="1" applyProtection="1">
      <alignment horizontal="center" vertical="center" wrapText="1"/>
    </xf>
    <xf numFmtId="0" fontId="18" fillId="12" borderId="0" xfId="0" applyFont="1" applyFill="1" applyAlignment="1" applyProtection="1">
      <alignment horizontal="left" vertical="center" wrapText="1" indent="1"/>
    </xf>
    <xf numFmtId="174" fontId="13" fillId="0" borderId="0" xfId="0" applyNumberFormat="1" applyFont="1" applyAlignment="1" applyProtection="1">
      <alignment horizontal="left" vertical="center" wrapText="1" indent="1"/>
    </xf>
    <xf numFmtId="0" fontId="18" fillId="0" borderId="11" xfId="0" applyFont="1" applyBorder="1" applyAlignment="1" applyProtection="1">
      <alignment horizontal="left" vertical="center" wrapText="1" indent="1"/>
    </xf>
    <xf numFmtId="0" fontId="18" fillId="0" borderId="5" xfId="0" applyFont="1" applyBorder="1" applyAlignment="1" applyProtection="1">
      <alignment horizontal="left" vertical="center" wrapText="1" indent="1"/>
    </xf>
    <xf numFmtId="0" fontId="12" fillId="0" borderId="5" xfId="0" applyFont="1" applyBorder="1" applyAlignment="1" applyProtection="1">
      <alignment horizontal="center" vertical="center" wrapText="1"/>
    </xf>
    <xf numFmtId="0" fontId="13" fillId="3" borderId="0" xfId="0" applyFont="1" applyFill="1" applyAlignment="1" applyProtection="1">
      <alignment vertical="center" wrapText="1"/>
    </xf>
    <xf numFmtId="0" fontId="13" fillId="3" borderId="0" xfId="0" applyFont="1" applyFill="1" applyAlignment="1" applyProtection="1">
      <alignment horizontal="left" vertical="center" wrapText="1"/>
    </xf>
    <xf numFmtId="5" fontId="13" fillId="32" borderId="1" xfId="3" applyNumberFormat="1" applyFont="1" applyFill="1" applyBorder="1" applyAlignment="1" applyProtection="1">
      <alignment horizontal="center" vertical="center" wrapText="1"/>
    </xf>
    <xf numFmtId="0" fontId="13" fillId="3" borderId="0" xfId="0" applyFont="1" applyFill="1" applyAlignment="1" applyProtection="1">
      <alignment horizontal="left" vertical="center" wrapText="1" indent="1"/>
    </xf>
    <xf numFmtId="0" fontId="58" fillId="31" borderId="1" xfId="0" applyFont="1" applyFill="1" applyBorder="1" applyAlignment="1" applyProtection="1">
      <alignment vertical="center" wrapText="1"/>
    </xf>
    <xf numFmtId="0" fontId="13" fillId="0" borderId="1" xfId="0" applyFont="1" applyBorder="1" applyAlignment="1" applyProtection="1">
      <alignment horizontal="left" vertical="center" wrapText="1" indent="2"/>
    </xf>
    <xf numFmtId="169" fontId="13" fillId="35" borderId="1" xfId="0" applyNumberFormat="1" applyFont="1" applyFill="1" applyBorder="1" applyAlignment="1" applyProtection="1">
      <alignment horizontal="center"/>
    </xf>
    <xf numFmtId="0" fontId="13" fillId="0" borderId="1" xfId="0" applyFont="1" applyBorder="1" applyAlignment="1" applyProtection="1">
      <alignment horizontal="center"/>
    </xf>
    <xf numFmtId="0" fontId="13" fillId="3" borderId="0" xfId="0" applyFont="1" applyFill="1" applyAlignment="1" applyProtection="1">
      <alignment horizontal="center" vertical="center" wrapText="1"/>
    </xf>
    <xf numFmtId="0" fontId="58" fillId="30" borderId="5" xfId="0" applyFont="1" applyFill="1" applyBorder="1" applyAlignment="1" applyProtection="1">
      <alignment horizontal="left" vertical="center"/>
    </xf>
    <xf numFmtId="0" fontId="58" fillId="30" borderId="19" xfId="0" applyFont="1" applyFill="1" applyBorder="1" applyAlignment="1" applyProtection="1">
      <alignment vertical="center" wrapText="1"/>
    </xf>
    <xf numFmtId="0" fontId="12" fillId="30" borderId="19" xfId="0" applyFont="1" applyFill="1" applyBorder="1" applyProtection="1"/>
    <xf numFmtId="0" fontId="12" fillId="30" borderId="4" xfId="0" applyFont="1" applyFill="1" applyBorder="1" applyProtection="1"/>
    <xf numFmtId="0" fontId="12" fillId="0" borderId="1" xfId="0" applyFont="1" applyBorder="1" applyAlignment="1" applyProtection="1">
      <alignment horizontal="left" vertical="center" wrapText="1" indent="2"/>
    </xf>
    <xf numFmtId="9" fontId="12" fillId="0" borderId="1" xfId="2" applyFont="1" applyBorder="1" applyAlignment="1" applyProtection="1">
      <alignment horizontal="center" vertical="center" wrapText="1"/>
    </xf>
    <xf numFmtId="2" fontId="13" fillId="0" borderId="1" xfId="0" applyNumberFormat="1" applyFont="1" applyBorder="1" applyAlignment="1" applyProtection="1">
      <alignment horizontal="center" vertical="center" wrapText="1"/>
    </xf>
    <xf numFmtId="0" fontId="13" fillId="0" borderId="1" xfId="0" applyFont="1" applyBorder="1" applyAlignment="1" applyProtection="1">
      <alignment horizontal="center" vertical="center" wrapText="1"/>
    </xf>
    <xf numFmtId="0" fontId="13" fillId="3" borderId="1" xfId="0" applyFont="1" applyFill="1" applyBorder="1" applyProtection="1"/>
    <xf numFmtId="3" fontId="13" fillId="3" borderId="5" xfId="0" applyNumberFormat="1" applyFont="1" applyFill="1" applyBorder="1" applyAlignment="1" applyProtection="1">
      <alignment horizontal="center"/>
    </xf>
    <xf numFmtId="3" fontId="12" fillId="3" borderId="5" xfId="0" applyNumberFormat="1" applyFont="1" applyFill="1" applyBorder="1" applyProtection="1"/>
    <xf numFmtId="0" fontId="12" fillId="3" borderId="1" xfId="0" applyFont="1" applyFill="1" applyBorder="1" applyProtection="1"/>
    <xf numFmtId="0" fontId="58" fillId="31" borderId="8" xfId="0" applyFont="1" applyFill="1" applyBorder="1" applyAlignment="1" applyProtection="1">
      <alignment horizontal="center" vertical="center" wrapText="1"/>
    </xf>
    <xf numFmtId="0" fontId="60" fillId="31" borderId="1" xfId="0"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xf>
    <xf numFmtId="176" fontId="12" fillId="0" borderId="1" xfId="0" applyNumberFormat="1" applyFont="1" applyBorder="1" applyAlignment="1" applyProtection="1">
      <alignment horizontal="center" vertical="center" wrapText="1"/>
    </xf>
    <xf numFmtId="2" fontId="12" fillId="0" borderId="1" xfId="0" applyNumberFormat="1" applyFont="1" applyBorder="1" applyAlignment="1" applyProtection="1">
      <alignment vertical="center" wrapText="1"/>
    </xf>
    <xf numFmtId="2" fontId="12" fillId="0" borderId="1" xfId="0" applyNumberFormat="1" applyFont="1" applyBorder="1" applyAlignment="1" applyProtection="1">
      <alignment horizontal="center" vertical="center" wrapText="1"/>
    </xf>
    <xf numFmtId="185" fontId="12" fillId="0" borderId="1" xfId="0" applyNumberFormat="1" applyFont="1" applyBorder="1" applyAlignment="1" applyProtection="1">
      <alignment horizontal="center" vertical="center" wrapText="1"/>
    </xf>
    <xf numFmtId="169" fontId="12" fillId="0" borderId="1" xfId="0" applyNumberFormat="1" applyFont="1" applyBorder="1" applyAlignment="1" applyProtection="1">
      <alignment horizontal="center" vertical="center" wrapText="1"/>
    </xf>
    <xf numFmtId="0" fontId="18" fillId="0" borderId="1" xfId="0" applyFont="1" applyBorder="1" applyAlignment="1" applyProtection="1">
      <alignment horizontal="left" vertical="center" wrapText="1" indent="2"/>
    </xf>
    <xf numFmtId="0" fontId="18" fillId="3" borderId="0" xfId="0" applyFont="1" applyFill="1" applyAlignment="1" applyProtection="1">
      <alignment vertical="center" wrapText="1"/>
    </xf>
    <xf numFmtId="0" fontId="69" fillId="0" borderId="1" xfId="0" applyFont="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70" fillId="8" borderId="1" xfId="0" applyFont="1" applyFill="1" applyBorder="1" applyAlignment="1" applyProtection="1">
      <alignment horizontal="center" vertical="center" wrapText="1"/>
    </xf>
    <xf numFmtId="0" fontId="18" fillId="0" borderId="1" xfId="0" applyFont="1" applyBorder="1" applyAlignment="1" applyProtection="1">
      <alignment horizontal="center" vertical="center" wrapText="1"/>
    </xf>
    <xf numFmtId="0" fontId="13" fillId="35" borderId="5" xfId="0" applyFont="1" applyFill="1" applyBorder="1" applyAlignment="1" applyProtection="1">
      <alignment horizontal="center" vertical="center" wrapText="1"/>
    </xf>
    <xf numFmtId="0" fontId="13" fillId="36" borderId="5" xfId="0" applyFont="1" applyFill="1" applyBorder="1" applyAlignment="1" applyProtection="1">
      <alignment horizontal="center" vertical="center" wrapText="1"/>
    </xf>
    <xf numFmtId="0" fontId="12" fillId="36" borderId="5" xfId="0" applyFont="1" applyFill="1" applyBorder="1" applyAlignment="1" applyProtection="1">
      <alignment horizontal="center" vertical="center" wrapText="1"/>
    </xf>
    <xf numFmtId="14" fontId="13" fillId="33" borderId="5" xfId="0" applyNumberFormat="1" applyFont="1" applyFill="1" applyBorder="1" applyAlignment="1" applyProtection="1">
      <alignment horizontal="center" vertical="center" wrapText="1"/>
      <protection locked="0"/>
    </xf>
    <xf numFmtId="169" fontId="12" fillId="33" borderId="5" xfId="0" applyNumberFormat="1" applyFont="1" applyFill="1" applyBorder="1" applyAlignment="1" applyProtection="1">
      <alignment horizontal="center" vertical="center" wrapText="1"/>
      <protection locked="0"/>
    </xf>
    <xf numFmtId="7" fontId="13" fillId="33" borderId="1" xfId="3" applyNumberFormat="1" applyFont="1" applyFill="1" applyBorder="1" applyAlignment="1" applyProtection="1">
      <alignment horizontal="center" vertical="center" wrapText="1"/>
      <protection locked="0"/>
    </xf>
    <xf numFmtId="168" fontId="13" fillId="36" borderId="1" xfId="0" applyNumberFormat="1" applyFont="1" applyFill="1" applyBorder="1" applyAlignment="1" applyProtection="1">
      <alignment horizontal="center"/>
      <protection locked="0"/>
    </xf>
    <xf numFmtId="184" fontId="13" fillId="36" borderId="1" xfId="0" applyNumberFormat="1" applyFont="1" applyFill="1" applyBorder="1" applyAlignment="1" applyProtection="1">
      <alignment horizontal="center" vertical="center" wrapText="1"/>
      <protection locked="0"/>
    </xf>
    <xf numFmtId="169" fontId="13" fillId="36" borderId="1" xfId="0" applyNumberFormat="1" applyFont="1" applyFill="1" applyBorder="1" applyAlignment="1" applyProtection="1">
      <alignment horizontal="center"/>
      <protection locked="0"/>
    </xf>
    <xf numFmtId="0" fontId="12" fillId="0" borderId="1" xfId="0" applyFont="1" applyBorder="1" applyAlignment="1" applyProtection="1">
      <alignment horizontal="left" vertical="center" wrapText="1" indent="2"/>
      <protection locked="0"/>
    </xf>
    <xf numFmtId="185" fontId="13" fillId="0" borderId="1" xfId="0" applyNumberFormat="1" applyFont="1" applyFill="1" applyBorder="1" applyAlignment="1" applyProtection="1">
      <alignment horizontal="center" vertical="center" wrapText="1"/>
      <protection locked="0"/>
    </xf>
    <xf numFmtId="9" fontId="13" fillId="0" borderId="1" xfId="2" applyFont="1" applyFill="1" applyBorder="1" applyAlignment="1" applyProtection="1">
      <alignment horizontal="center" vertical="center" wrapText="1"/>
      <protection locked="0"/>
    </xf>
    <xf numFmtId="0" fontId="13" fillId="0" borderId="1" xfId="0" applyFont="1" applyFill="1" applyBorder="1" applyAlignment="1" applyProtection="1">
      <alignment horizontal="left" vertical="center" wrapText="1" indent="2"/>
      <protection locked="0"/>
    </xf>
    <xf numFmtId="176" fontId="12" fillId="0" borderId="1" xfId="2" applyNumberFormat="1" applyFont="1" applyBorder="1" applyAlignment="1" applyProtection="1">
      <alignment horizontal="center" vertical="center" wrapText="1"/>
      <protection locked="0"/>
    </xf>
    <xf numFmtId="0" fontId="52" fillId="8" borderId="1" xfId="0" applyFont="1" applyFill="1" applyBorder="1" applyAlignment="1" applyProtection="1">
      <alignment horizontal="left" vertical="center" wrapText="1" indent="2"/>
      <protection locked="0"/>
    </xf>
    <xf numFmtId="0" fontId="52" fillId="8" borderId="1" xfId="0" applyFont="1" applyFill="1" applyBorder="1" applyAlignment="1" applyProtection="1">
      <alignment horizontal="center" vertical="center" wrapText="1"/>
      <protection locked="0"/>
    </xf>
    <xf numFmtId="176" fontId="52" fillId="8" borderId="1" xfId="2" applyNumberFormat="1" applyFont="1" applyFill="1" applyBorder="1" applyAlignment="1" applyProtection="1">
      <alignment horizontal="center" vertical="center" wrapText="1"/>
      <protection locked="0"/>
    </xf>
    <xf numFmtId="9" fontId="12" fillId="0" borderId="1" xfId="2" applyFont="1" applyBorder="1" applyAlignment="1" applyProtection="1">
      <alignment horizontal="center" vertical="center" wrapText="1"/>
      <protection locked="0"/>
    </xf>
    <xf numFmtId="0" fontId="13" fillId="0" borderId="1" xfId="0" applyFont="1" applyBorder="1" applyAlignment="1" applyProtection="1">
      <alignment horizontal="left" vertical="center" wrapText="1" indent="2"/>
      <protection locked="0"/>
    </xf>
    <xf numFmtId="2" fontId="13"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2" applyNumberFormat="1" applyFont="1" applyBorder="1" applyAlignment="1" applyProtection="1">
      <alignment horizontal="center" vertical="center" wrapText="1"/>
      <protection locked="0"/>
    </xf>
    <xf numFmtId="9" fontId="13" fillId="0" borderId="1" xfId="2" applyFont="1" applyBorder="1" applyAlignment="1" applyProtection="1">
      <alignment horizontal="center" vertical="center" wrapText="1"/>
      <protection locked="0"/>
    </xf>
    <xf numFmtId="0" fontId="13" fillId="3" borderId="1" xfId="0" applyFont="1" applyFill="1" applyBorder="1" applyProtection="1">
      <protection locked="0"/>
    </xf>
    <xf numFmtId="3" fontId="13" fillId="3" borderId="5" xfId="0" applyNumberFormat="1" applyFont="1" applyFill="1" applyBorder="1" applyAlignment="1" applyProtection="1">
      <alignment horizontal="center"/>
      <protection locked="0"/>
    </xf>
    <xf numFmtId="186" fontId="13" fillId="3" borderId="5" xfId="0" applyNumberFormat="1" applyFont="1" applyFill="1" applyBorder="1" applyAlignment="1" applyProtection="1">
      <alignment horizontal="center"/>
      <protection locked="0"/>
    </xf>
    <xf numFmtId="0" fontId="12" fillId="3" borderId="1" xfId="0" applyFont="1" applyFill="1" applyBorder="1" applyProtection="1">
      <protection locked="0"/>
    </xf>
    <xf numFmtId="186" fontId="12" fillId="3" borderId="5" xfId="0" applyNumberFormat="1" applyFont="1" applyFill="1" applyBorder="1" applyAlignment="1" applyProtection="1">
      <alignment horizontal="right"/>
      <protection locked="0"/>
    </xf>
    <xf numFmtId="0" fontId="18" fillId="3" borderId="1" xfId="0" applyFont="1" applyFill="1" applyBorder="1" applyAlignment="1" applyProtection="1">
      <alignment horizontal="center" vertical="center" wrapText="1"/>
      <protection locked="0"/>
    </xf>
    <xf numFmtId="0" fontId="18" fillId="3" borderId="5" xfId="0" applyFont="1" applyFill="1" applyBorder="1" applyAlignment="1" applyProtection="1">
      <alignment horizontal="center" vertical="center" wrapText="1"/>
      <protection locked="0"/>
    </xf>
    <xf numFmtId="176" fontId="12"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vertical="center" wrapText="1"/>
      <protection locked="0"/>
    </xf>
    <xf numFmtId="2"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vertical="center" wrapText="1"/>
      <protection locked="0"/>
    </xf>
    <xf numFmtId="185" fontId="12" fillId="0" borderId="1" xfId="0" applyNumberFormat="1" applyFont="1" applyBorder="1" applyAlignment="1" applyProtection="1">
      <alignment horizontal="center" vertical="center" wrapText="1"/>
      <protection locked="0"/>
    </xf>
    <xf numFmtId="169" fontId="12" fillId="0" borderId="1" xfId="0" applyNumberFormat="1" applyFont="1" applyBorder="1" applyAlignment="1" applyProtection="1">
      <alignment horizontal="center" vertical="center" wrapText="1"/>
      <protection locked="0"/>
    </xf>
    <xf numFmtId="0" fontId="12" fillId="3" borderId="0" xfId="0" applyFont="1" applyFill="1" applyAlignment="1" applyProtection="1">
      <alignment horizontal="left" indent="1"/>
    </xf>
    <xf numFmtId="2" fontId="12" fillId="10" borderId="1" xfId="0" applyNumberFormat="1" applyFont="1" applyFill="1" applyBorder="1" applyAlignment="1" applyProtection="1">
      <alignment horizontal="center" vertical="center" wrapText="1"/>
    </xf>
    <xf numFmtId="7" fontId="12" fillId="10" borderId="1" xfId="0" applyNumberFormat="1" applyFont="1" applyFill="1" applyBorder="1" applyAlignment="1" applyProtection="1">
      <alignment horizontal="center" vertical="center" wrapText="1"/>
    </xf>
    <xf numFmtId="174" fontId="12" fillId="0" borderId="0" xfId="0" applyNumberFormat="1" applyFont="1" applyAlignment="1" applyProtection="1">
      <alignment horizontal="left" vertical="center" wrapText="1" indent="1"/>
    </xf>
    <xf numFmtId="0" fontId="12" fillId="3" borderId="0" xfId="0" applyFont="1" applyFill="1" applyAlignment="1" applyProtection="1">
      <alignment vertical="center" wrapText="1"/>
    </xf>
    <xf numFmtId="0" fontId="12" fillId="3" borderId="0" xfId="0" applyFont="1" applyFill="1" applyAlignment="1" applyProtection="1">
      <alignment horizontal="left" vertical="center" wrapText="1"/>
    </xf>
    <xf numFmtId="5" fontId="13" fillId="10" borderId="1" xfId="3" applyNumberFormat="1" applyFont="1" applyFill="1" applyBorder="1" applyAlignment="1" applyProtection="1">
      <alignment horizontal="center" vertical="center" wrapText="1"/>
    </xf>
    <xf numFmtId="0" fontId="12" fillId="3" borderId="0" xfId="0" applyFont="1" applyFill="1" applyAlignment="1" applyProtection="1">
      <alignment horizontal="left" vertical="center" wrapText="1" indent="1"/>
    </xf>
    <xf numFmtId="184" fontId="12" fillId="0" borderId="1" xfId="0" applyNumberFormat="1" applyFont="1" applyBorder="1" applyAlignment="1" applyProtection="1">
      <alignment horizontal="center" vertical="center" wrapText="1"/>
    </xf>
    <xf numFmtId="0" fontId="69" fillId="0" borderId="1" xfId="0" applyFont="1" applyBorder="1" applyAlignment="1" applyProtection="1">
      <alignment horizontal="left" vertical="center" wrapText="1" indent="2"/>
    </xf>
    <xf numFmtId="0" fontId="69" fillId="3" borderId="0" xfId="0" applyFont="1" applyFill="1" applyAlignment="1" applyProtection="1">
      <alignment vertical="center" wrapText="1"/>
    </xf>
    <xf numFmtId="168" fontId="12" fillId="35" borderId="1" xfId="0" applyNumberFormat="1" applyFont="1" applyFill="1" applyBorder="1" applyAlignment="1" applyProtection="1">
      <alignment horizontal="center"/>
    </xf>
    <xf numFmtId="169" fontId="12" fillId="35" borderId="1" xfId="0" applyNumberFormat="1" applyFont="1" applyFill="1" applyBorder="1" applyAlignment="1" applyProtection="1">
      <alignment horizontal="center"/>
    </xf>
    <xf numFmtId="0" fontId="12" fillId="35" borderId="5" xfId="0" applyFont="1" applyFill="1" applyBorder="1" applyAlignment="1" applyProtection="1">
      <alignment horizontal="center" vertical="center" wrapText="1"/>
    </xf>
    <xf numFmtId="0" fontId="12" fillId="9" borderId="1" xfId="0" applyFont="1" applyFill="1" applyBorder="1" applyAlignment="1" applyProtection="1">
      <alignment horizontal="center" vertical="center" wrapText="1"/>
      <protection locked="0"/>
    </xf>
    <xf numFmtId="14" fontId="12" fillId="9" borderId="1" xfId="0" applyNumberFormat="1" applyFont="1" applyFill="1" applyBorder="1" applyAlignment="1" applyProtection="1">
      <alignment horizontal="center" vertical="center" wrapText="1"/>
      <protection locked="0"/>
    </xf>
    <xf numFmtId="169" fontId="12" fillId="9" borderId="1" xfId="0" applyNumberFormat="1" applyFont="1" applyFill="1" applyBorder="1" applyAlignment="1" applyProtection="1">
      <alignment horizontal="center" vertical="center" wrapText="1"/>
      <protection locked="0"/>
    </xf>
    <xf numFmtId="7" fontId="13" fillId="9" borderId="1" xfId="3" applyNumberFormat="1" applyFont="1" applyFill="1" applyBorder="1" applyAlignment="1" applyProtection="1">
      <alignment horizontal="center" vertical="center" wrapText="1"/>
      <protection locked="0"/>
    </xf>
    <xf numFmtId="168" fontId="12" fillId="36" borderId="1" xfId="0" applyNumberFormat="1" applyFont="1" applyFill="1" applyBorder="1" applyAlignment="1" applyProtection="1">
      <alignment horizontal="center"/>
      <protection locked="0"/>
    </xf>
    <xf numFmtId="169" fontId="12" fillId="36" borderId="1" xfId="0" applyNumberFormat="1" applyFont="1" applyFill="1" applyBorder="1" applyAlignment="1" applyProtection="1">
      <alignment horizontal="center"/>
      <protection locked="0"/>
    </xf>
    <xf numFmtId="1" fontId="13" fillId="36" borderId="1" xfId="0" applyNumberFormat="1" applyFont="1" applyFill="1" applyBorder="1" applyAlignment="1" applyProtection="1">
      <alignment horizontal="center"/>
      <protection locked="0"/>
    </xf>
    <xf numFmtId="2" fontId="12" fillId="36" borderId="1" xfId="0" applyNumberFormat="1" applyFont="1" applyFill="1" applyBorder="1" applyAlignment="1" applyProtection="1">
      <alignment horizontal="center"/>
      <protection locked="0"/>
    </xf>
    <xf numFmtId="0" fontId="13" fillId="36" borderId="1" xfId="0" applyFont="1" applyFill="1" applyBorder="1" applyAlignment="1" applyProtection="1">
      <alignment horizontal="center"/>
      <protection locked="0"/>
    </xf>
    <xf numFmtId="1" fontId="13" fillId="0" borderId="1" xfId="0" applyNumberFormat="1" applyFont="1" applyFill="1" applyBorder="1" applyAlignment="1" applyProtection="1">
      <alignment horizontal="center" vertical="center" wrapText="1"/>
      <protection locked="0"/>
    </xf>
    <xf numFmtId="176" fontId="52" fillId="8" borderId="1" xfId="0" applyNumberFormat="1" applyFont="1" applyFill="1" applyBorder="1" applyAlignment="1" applyProtection="1">
      <alignment horizontal="center" vertical="center" wrapText="1"/>
      <protection locked="0"/>
    </xf>
    <xf numFmtId="2" fontId="13" fillId="0" borderId="1" xfId="0" applyNumberFormat="1" applyFont="1" applyFill="1" applyBorder="1" applyAlignment="1" applyProtection="1">
      <alignment horizontal="center" vertical="center" wrapText="1"/>
      <protection locked="0"/>
    </xf>
    <xf numFmtId="0" fontId="12" fillId="3" borderId="0" xfId="0" applyFont="1" applyFill="1" applyAlignment="1" applyProtection="1">
      <alignment horizontal="center" vertical="center" wrapText="1"/>
    </xf>
    <xf numFmtId="0" fontId="12" fillId="0" borderId="5" xfId="0" applyFont="1" applyBorder="1" applyAlignment="1" applyProtection="1">
      <alignment vertical="center" wrapText="1"/>
    </xf>
    <xf numFmtId="0" fontId="12" fillId="31" borderId="0" xfId="0" applyFont="1" applyFill="1" applyProtection="1"/>
    <xf numFmtId="14" fontId="12" fillId="33" borderId="5" xfId="0" applyNumberFormat="1" applyFont="1" applyFill="1" applyBorder="1" applyAlignment="1" applyProtection="1">
      <alignment horizontal="center" vertical="center" wrapText="1"/>
      <protection locked="0"/>
    </xf>
    <xf numFmtId="5" fontId="13" fillId="33" borderId="1" xfId="3" applyNumberFormat="1" applyFont="1" applyFill="1" applyBorder="1" applyAlignment="1" applyProtection="1">
      <alignment horizontal="center" vertical="center" wrapText="1"/>
      <protection locked="0"/>
    </xf>
    <xf numFmtId="183" fontId="12" fillId="0" borderId="1" xfId="0" applyNumberFormat="1" applyFont="1" applyBorder="1" applyAlignment="1" applyProtection="1">
      <alignment horizontal="left" vertical="center" wrapText="1" indent="2"/>
      <protection locked="0"/>
    </xf>
    <xf numFmtId="183" fontId="12" fillId="0" borderId="1" xfId="0" applyNumberFormat="1" applyFont="1" applyBorder="1" applyAlignment="1" applyProtection="1">
      <alignment horizontal="center" vertical="center" wrapText="1"/>
      <protection locked="0"/>
    </xf>
    <xf numFmtId="184" fontId="13" fillId="0" borderId="1" xfId="0" applyNumberFormat="1" applyFont="1" applyFill="1" applyBorder="1" applyAlignment="1" applyProtection="1">
      <alignment horizontal="center" vertical="center" wrapText="1"/>
      <protection locked="0"/>
    </xf>
    <xf numFmtId="172" fontId="13" fillId="0" borderId="1" xfId="0" applyNumberFormat="1" applyFont="1" applyFill="1" applyBorder="1" applyAlignment="1" applyProtection="1">
      <alignment horizontal="center" vertical="center" wrapText="1"/>
      <protection locked="0"/>
    </xf>
    <xf numFmtId="172" fontId="12" fillId="0" borderId="1" xfId="0" applyNumberFormat="1" applyFont="1" applyBorder="1" applyAlignment="1" applyProtection="1">
      <alignment horizontal="center" vertical="center" wrapText="1"/>
      <protection locked="0"/>
    </xf>
    <xf numFmtId="9" fontId="12" fillId="0" borderId="1" xfId="0" applyNumberFormat="1" applyFont="1" applyBorder="1" applyAlignment="1" applyProtection="1">
      <alignment horizontal="center" vertical="center" wrapText="1"/>
      <protection locked="0"/>
    </xf>
    <xf numFmtId="3" fontId="52" fillId="8" borderId="1" xfId="1" applyNumberFormat="1" applyFont="1" applyFill="1" applyBorder="1" applyAlignment="1" applyProtection="1">
      <alignment horizontal="center" vertical="center" wrapText="1"/>
      <protection locked="0"/>
    </xf>
    <xf numFmtId="188" fontId="13" fillId="0" borderId="1" xfId="2" applyNumberFormat="1" applyFont="1" applyBorder="1" applyAlignment="1" applyProtection="1">
      <alignment horizontal="center" vertical="center" wrapText="1"/>
      <protection locked="0"/>
    </xf>
    <xf numFmtId="6" fontId="12" fillId="0" borderId="1" xfId="0" applyNumberFormat="1" applyFont="1" applyBorder="1" applyAlignment="1" applyProtection="1">
      <alignment horizontal="center" vertical="center" wrapText="1"/>
      <protection locked="0"/>
    </xf>
    <xf numFmtId="0" fontId="18" fillId="12" borderId="0" xfId="0" applyFont="1" applyFill="1" applyBorder="1" applyAlignment="1" applyProtection="1">
      <alignment horizontal="left" vertical="center" wrapText="1" indent="1"/>
    </xf>
    <xf numFmtId="174" fontId="12" fillId="0" borderId="0" xfId="0" applyNumberFormat="1" applyFont="1" applyBorder="1" applyAlignment="1" applyProtection="1">
      <alignment horizontal="left" vertical="center" wrapText="1" indent="1"/>
    </xf>
    <xf numFmtId="1" fontId="12" fillId="33" borderId="5" xfId="0" applyNumberFormat="1" applyFont="1" applyFill="1" applyBorder="1" applyAlignment="1" applyProtection="1">
      <alignment horizontal="center" vertical="center" wrapText="1"/>
      <protection locked="0"/>
    </xf>
    <xf numFmtId="0" fontId="13" fillId="0" borderId="1" xfId="1" applyNumberFormat="1" applyFont="1" applyFill="1" applyBorder="1" applyAlignment="1" applyProtection="1">
      <alignment horizontal="center" vertical="center" wrapText="1"/>
      <protection locked="0"/>
    </xf>
    <xf numFmtId="1" fontId="12" fillId="0" borderId="1" xfId="1" applyNumberFormat="1" applyFont="1" applyBorder="1" applyAlignment="1" applyProtection="1">
      <alignment horizontal="center" vertical="center" wrapText="1"/>
      <protection locked="0"/>
    </xf>
    <xf numFmtId="0" fontId="12" fillId="3" borderId="0" xfId="0" applyFont="1" applyFill="1" applyProtection="1">
      <protection locked="0"/>
    </xf>
    <xf numFmtId="3" fontId="12" fillId="0" borderId="1" xfId="0" applyNumberFormat="1" applyFont="1" applyBorder="1" applyAlignment="1" applyProtection="1">
      <alignment horizontal="center" vertical="center" wrapText="1"/>
    </xf>
    <xf numFmtId="1" fontId="12" fillId="36" borderId="1" xfId="0" applyNumberFormat="1" applyFont="1" applyFill="1" applyBorder="1" applyAlignment="1" applyProtection="1">
      <alignment horizontal="center"/>
      <protection locked="0"/>
    </xf>
    <xf numFmtId="1" fontId="13" fillId="0" borderId="1" xfId="2" applyNumberFormat="1" applyFont="1" applyBorder="1" applyAlignment="1" applyProtection="1">
      <alignment vertical="center" wrapText="1"/>
      <protection locked="0"/>
    </xf>
    <xf numFmtId="3" fontId="12" fillId="0" borderId="1" xfId="0" applyNumberFormat="1" applyFont="1" applyBorder="1" applyAlignment="1" applyProtection="1">
      <alignment horizontal="center" vertical="center" wrapText="1"/>
      <protection locked="0"/>
    </xf>
    <xf numFmtId="0" fontId="73" fillId="3" borderId="0" xfId="0" applyFont="1" applyFill="1" applyProtection="1"/>
    <xf numFmtId="0" fontId="74" fillId="0" borderId="1" xfId="0" applyFont="1" applyBorder="1" applyAlignment="1" applyProtection="1">
      <alignment horizontal="left" vertical="center" wrapText="1" indent="1"/>
    </xf>
    <xf numFmtId="0" fontId="72" fillId="18" borderId="5" xfId="0" applyFont="1" applyFill="1" applyBorder="1" applyAlignment="1" applyProtection="1">
      <alignment horizontal="center" vertical="center" wrapText="1"/>
    </xf>
    <xf numFmtId="0" fontId="74" fillId="12" borderId="1" xfId="0" applyFont="1" applyFill="1" applyBorder="1" applyAlignment="1" applyProtection="1">
      <alignment horizontal="left" vertical="center" wrapText="1" indent="1"/>
    </xf>
    <xf numFmtId="0" fontId="74" fillId="12" borderId="0" xfId="0" applyFont="1" applyFill="1" applyAlignment="1" applyProtection="1">
      <alignment horizontal="left" vertical="center" wrapText="1" indent="1"/>
    </xf>
    <xf numFmtId="0" fontId="74" fillId="0" borderId="5" xfId="0" applyFont="1" applyBorder="1" applyAlignment="1" applyProtection="1">
      <alignment horizontal="left" vertical="center" wrapText="1" indent="1"/>
    </xf>
    <xf numFmtId="5" fontId="75" fillId="32" borderId="1" xfId="3" applyNumberFormat="1" applyFont="1" applyFill="1" applyBorder="1" applyAlignment="1" applyProtection="1">
      <alignment horizontal="center" vertical="center" wrapText="1"/>
    </xf>
    <xf numFmtId="0" fontId="72" fillId="30" borderId="5" xfId="0" applyFont="1" applyFill="1" applyBorder="1" applyAlignment="1" applyProtection="1">
      <alignment horizontal="left" vertical="center"/>
    </xf>
    <xf numFmtId="0" fontId="72" fillId="30" borderId="19" xfId="0" applyFont="1" applyFill="1" applyBorder="1" applyAlignment="1" applyProtection="1">
      <alignment vertical="center" wrapText="1"/>
    </xf>
    <xf numFmtId="0" fontId="72" fillId="31" borderId="1" xfId="0" applyFont="1" applyFill="1" applyBorder="1" applyAlignment="1" applyProtection="1">
      <alignment vertical="center" wrapText="1"/>
    </xf>
    <xf numFmtId="0" fontId="12" fillId="0" borderId="1" xfId="0" applyNumberFormat="1" applyFont="1" applyBorder="1" applyAlignment="1" applyProtection="1">
      <alignment horizontal="center" vertical="center" wrapText="1"/>
    </xf>
    <xf numFmtId="0" fontId="75" fillId="3" borderId="0" xfId="0" applyFont="1" applyFill="1" applyProtection="1"/>
    <xf numFmtId="0" fontId="72" fillId="31" borderId="8" xfId="0" applyFont="1" applyFill="1" applyBorder="1" applyAlignment="1" applyProtection="1">
      <alignment horizontal="center" vertical="center" wrapText="1"/>
    </xf>
    <xf numFmtId="0" fontId="77" fillId="31" borderId="1" xfId="0" applyFont="1" applyFill="1" applyBorder="1" applyAlignment="1" applyProtection="1">
      <alignment horizontal="center" vertical="center" wrapText="1"/>
    </xf>
    <xf numFmtId="0" fontId="74" fillId="3" borderId="1" xfId="0" applyFont="1" applyFill="1" applyBorder="1" applyAlignment="1" applyProtection="1">
      <alignment horizontal="center" vertical="center" wrapText="1"/>
    </xf>
    <xf numFmtId="0" fontId="74" fillId="0" borderId="1" xfId="0" applyFont="1" applyBorder="1" applyAlignment="1" applyProtection="1">
      <alignment horizontal="center" vertical="center" wrapText="1"/>
    </xf>
    <xf numFmtId="0" fontId="78" fillId="0" borderId="1" xfId="0" applyFont="1" applyBorder="1" applyAlignment="1" applyProtection="1">
      <alignment horizontal="center" vertical="center" wrapText="1"/>
    </xf>
    <xf numFmtId="7" fontId="75" fillId="33" borderId="1" xfId="3" applyNumberFormat="1" applyFont="1" applyFill="1" applyBorder="1" applyAlignment="1" applyProtection="1">
      <alignment horizontal="center" vertical="center" wrapText="1"/>
      <protection locked="0"/>
    </xf>
    <xf numFmtId="183" fontId="13" fillId="0" borderId="1" xfId="0" applyNumberFormat="1" applyFont="1" applyFill="1" applyBorder="1" applyAlignment="1" applyProtection="1">
      <alignment horizontal="left" vertical="center" wrapText="1" indent="2"/>
      <protection locked="0"/>
    </xf>
    <xf numFmtId="183" fontId="13" fillId="0" borderId="1" xfId="0" applyNumberFormat="1" applyFont="1" applyFill="1" applyBorder="1" applyAlignment="1" applyProtection="1">
      <alignment horizontal="center" vertical="center" wrapText="1"/>
      <protection locked="0"/>
    </xf>
    <xf numFmtId="3" fontId="13" fillId="0" borderId="1" xfId="0" applyNumberFormat="1" applyFont="1" applyFill="1" applyBorder="1" applyAlignment="1" applyProtection="1">
      <alignment horizontal="center" vertical="center" wrapText="1"/>
      <protection locked="0"/>
    </xf>
    <xf numFmtId="3" fontId="52" fillId="8" borderId="1" xfId="0" applyNumberFormat="1" applyFont="1" applyFill="1" applyBorder="1" applyAlignment="1" applyProtection="1">
      <alignment horizontal="center" vertical="center" wrapText="1"/>
      <protection locked="0"/>
    </xf>
    <xf numFmtId="0" fontId="12" fillId="0" borderId="1" xfId="0" applyNumberFormat="1" applyFont="1" applyBorder="1" applyAlignment="1" applyProtection="1">
      <alignment horizontal="center" vertical="center" wrapText="1"/>
      <protection locked="0"/>
    </xf>
    <xf numFmtId="0" fontId="13" fillId="0" borderId="1" xfId="0" applyNumberFormat="1" applyFont="1" applyBorder="1" applyAlignment="1" applyProtection="1">
      <alignment horizontal="center" vertical="center" wrapText="1"/>
      <protection locked="0"/>
    </xf>
    <xf numFmtId="0" fontId="75" fillId="0" borderId="1" xfId="0" applyFont="1" applyBorder="1" applyAlignment="1" applyProtection="1">
      <alignment horizontal="left" vertical="center" wrapText="1" indent="2"/>
      <protection locked="0"/>
    </xf>
    <xf numFmtId="0" fontId="75" fillId="3" borderId="1" xfId="0" applyFont="1" applyFill="1" applyBorder="1" applyProtection="1">
      <protection locked="0"/>
    </xf>
    <xf numFmtId="3" fontId="75" fillId="3" borderId="5" xfId="0" applyNumberFormat="1" applyFont="1" applyFill="1" applyBorder="1" applyAlignment="1" applyProtection="1">
      <alignment horizontal="center"/>
      <protection locked="0"/>
    </xf>
    <xf numFmtId="186" fontId="75" fillId="3" borderId="5" xfId="0" applyNumberFormat="1" applyFont="1" applyFill="1" applyBorder="1" applyAlignment="1" applyProtection="1">
      <alignment horizontal="center"/>
      <protection locked="0"/>
    </xf>
    <xf numFmtId="0" fontId="74" fillId="3" borderId="1" xfId="0"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protection locked="0"/>
    </xf>
    <xf numFmtId="1" fontId="75" fillId="0" borderId="1" xfId="2" applyNumberFormat="1" applyFont="1" applyBorder="1" applyAlignment="1" applyProtection="1">
      <alignment vertical="center" wrapText="1"/>
      <protection locked="0"/>
    </xf>
    <xf numFmtId="0" fontId="79" fillId="8" borderId="1" xfId="0" applyFont="1" applyFill="1" applyBorder="1" applyAlignment="1" applyProtection="1">
      <alignment horizontal="center" vertical="center" wrapText="1"/>
    </xf>
    <xf numFmtId="9" fontId="52" fillId="8" borderId="1" xfId="2" applyFont="1" applyFill="1" applyBorder="1" applyAlignment="1" applyProtection="1">
      <alignment horizontal="center" vertical="center" wrapText="1"/>
      <protection locked="0"/>
    </xf>
    <xf numFmtId="0" fontId="74" fillId="0" borderId="11" xfId="0" applyFont="1" applyBorder="1" applyAlignment="1" applyProtection="1">
      <alignment horizontal="left" vertical="center" wrapText="1" indent="1"/>
    </xf>
    <xf numFmtId="7" fontId="75" fillId="32" borderId="1" xfId="3" applyNumberFormat="1" applyFont="1" applyFill="1" applyBorder="1" applyAlignment="1" applyProtection="1">
      <alignment horizontal="center" vertical="center" wrapText="1"/>
    </xf>
    <xf numFmtId="2" fontId="12" fillId="32" borderId="1" xfId="0" applyNumberFormat="1" applyFont="1" applyFill="1" applyBorder="1" applyAlignment="1" applyProtection="1">
      <alignment horizontal="center" vertical="center" wrapText="1"/>
    </xf>
    <xf numFmtId="7" fontId="12" fillId="32" borderId="1" xfId="0" applyNumberFormat="1" applyFont="1" applyFill="1" applyBorder="1" applyAlignment="1" applyProtection="1">
      <alignment horizontal="center" vertical="center" wrapText="1"/>
    </xf>
    <xf numFmtId="0" fontId="75" fillId="3" borderId="0" xfId="0" applyFont="1" applyFill="1" applyAlignment="1" applyProtection="1">
      <alignment horizontal="center" vertical="center" wrapText="1"/>
    </xf>
    <xf numFmtId="0" fontId="75" fillId="3" borderId="0" xfId="0" applyFont="1" applyFill="1" applyAlignment="1" applyProtection="1">
      <alignment vertical="center" wrapText="1"/>
    </xf>
    <xf numFmtId="0" fontId="75" fillId="3" borderId="0" xfId="0" applyFont="1" applyFill="1" applyAlignment="1" applyProtection="1">
      <alignment horizontal="left" vertical="center" wrapText="1"/>
    </xf>
    <xf numFmtId="168" fontId="12" fillId="0" borderId="1" xfId="0" applyNumberFormat="1" applyFont="1" applyBorder="1" applyAlignment="1" applyProtection="1">
      <alignment vertical="center" wrapText="1"/>
    </xf>
    <xf numFmtId="0" fontId="74" fillId="0" borderId="1" xfId="0" applyFont="1" applyBorder="1" applyAlignment="1" applyProtection="1">
      <alignment horizontal="left" vertical="center" wrapText="1" indent="2"/>
    </xf>
    <xf numFmtId="14" fontId="12" fillId="33" borderId="1" xfId="0" applyNumberFormat="1" applyFont="1" applyFill="1" applyBorder="1" applyAlignment="1" applyProtection="1">
      <alignment horizontal="center" vertical="center" wrapText="1"/>
      <protection locked="0"/>
    </xf>
    <xf numFmtId="169" fontId="12" fillId="33" borderId="1" xfId="0" applyNumberFormat="1" applyFont="1" applyFill="1" applyBorder="1" applyAlignment="1" applyProtection="1">
      <alignment horizontal="center" vertical="center" wrapText="1"/>
      <protection locked="0"/>
    </xf>
    <xf numFmtId="168" fontId="75" fillId="36" borderId="1" xfId="0" applyNumberFormat="1" applyFont="1" applyFill="1" applyBorder="1" applyAlignment="1" applyProtection="1">
      <alignment horizontal="center"/>
      <protection locked="0"/>
    </xf>
    <xf numFmtId="1" fontId="75" fillId="36" borderId="1" xfId="0" applyNumberFormat="1" applyFont="1" applyFill="1" applyBorder="1" applyAlignment="1" applyProtection="1">
      <alignment horizontal="center"/>
      <protection locked="0"/>
    </xf>
    <xf numFmtId="0" fontId="75" fillId="36" borderId="1" xfId="0" applyFont="1" applyFill="1" applyBorder="1" applyAlignment="1" applyProtection="1">
      <alignment horizontal="center"/>
      <protection locked="0"/>
    </xf>
    <xf numFmtId="176" fontId="13" fillId="0" borderId="1" xfId="1" applyNumberFormat="1" applyFont="1" applyFill="1" applyBorder="1" applyAlignment="1" applyProtection="1">
      <alignment horizontal="center" vertical="center" wrapText="1"/>
      <protection locked="0"/>
    </xf>
    <xf numFmtId="175" fontId="13" fillId="0" borderId="1" xfId="1" applyNumberFormat="1" applyFont="1" applyFill="1" applyBorder="1" applyAlignment="1" applyProtection="1">
      <alignment horizontal="center" vertical="center" wrapText="1"/>
      <protection locked="0"/>
    </xf>
    <xf numFmtId="10" fontId="13" fillId="0" borderId="1" xfId="2" applyNumberFormat="1" applyFont="1" applyFill="1" applyBorder="1" applyAlignment="1" applyProtection="1">
      <alignment horizontal="center" vertical="center" wrapText="1"/>
      <protection locked="0"/>
    </xf>
    <xf numFmtId="2" fontId="75" fillId="0" borderId="1" xfId="0" applyNumberFormat="1" applyFont="1" applyBorder="1" applyAlignment="1" applyProtection="1">
      <alignment horizontal="center" vertical="center" wrapText="1"/>
      <protection locked="0"/>
    </xf>
    <xf numFmtId="0" fontId="75" fillId="0" borderId="1" xfId="0" applyFont="1" applyBorder="1" applyAlignment="1" applyProtection="1">
      <alignment horizontal="center" vertical="center" wrapText="1"/>
      <protection locked="0"/>
    </xf>
    <xf numFmtId="0" fontId="75" fillId="0" borderId="1" xfId="2" applyNumberFormat="1" applyFont="1" applyBorder="1" applyAlignment="1" applyProtection="1">
      <alignment horizontal="center" vertical="center" wrapText="1"/>
      <protection locked="0"/>
    </xf>
    <xf numFmtId="9" fontId="75" fillId="0" borderId="1" xfId="2" applyFont="1" applyBorder="1" applyAlignment="1" applyProtection="1">
      <alignment horizontal="center" vertical="center" wrapText="1"/>
      <protection locked="0"/>
    </xf>
    <xf numFmtId="3" fontId="76" fillId="3" borderId="5" xfId="0" applyNumberFormat="1" applyFont="1" applyFill="1" applyBorder="1" applyProtection="1">
      <protection locked="0"/>
    </xf>
    <xf numFmtId="168" fontId="12" fillId="0" borderId="1" xfId="0" applyNumberFormat="1" applyFont="1" applyBorder="1" applyAlignment="1" applyProtection="1">
      <alignment vertical="center" wrapText="1"/>
      <protection locked="0"/>
    </xf>
    <xf numFmtId="195" fontId="12" fillId="0" borderId="1" xfId="0" applyNumberFormat="1" applyFont="1" applyBorder="1" applyAlignment="1" applyProtection="1">
      <alignment vertical="center" wrapText="1"/>
      <protection locked="0"/>
    </xf>
    <xf numFmtId="1" fontId="12" fillId="0" borderId="1" xfId="0" applyNumberFormat="1" applyFont="1" applyBorder="1" applyAlignment="1" applyProtection="1">
      <alignment vertical="center" wrapText="1"/>
      <protection locked="0"/>
    </xf>
    <xf numFmtId="0" fontId="13" fillId="30" borderId="19" xfId="0" applyFont="1" applyFill="1" applyBorder="1" applyProtection="1"/>
    <xf numFmtId="0" fontId="13" fillId="30" borderId="4" xfId="0" applyFont="1" applyFill="1" applyBorder="1" applyProtection="1"/>
    <xf numFmtId="185" fontId="13" fillId="0" borderId="1" xfId="0" applyNumberFormat="1" applyFont="1" applyBorder="1" applyAlignment="1" applyProtection="1">
      <alignment horizontal="center" vertical="center" wrapText="1"/>
    </xf>
    <xf numFmtId="169" fontId="13" fillId="0" borderId="1" xfId="0" applyNumberFormat="1" applyFont="1" applyBorder="1" applyAlignment="1" applyProtection="1">
      <alignment horizontal="center" vertical="center" wrapText="1"/>
    </xf>
    <xf numFmtId="169" fontId="13" fillId="0" borderId="1" xfId="0" applyNumberFormat="1" applyFont="1" applyBorder="1" applyAlignment="1" applyProtection="1">
      <alignment vertical="center" wrapText="1"/>
    </xf>
    <xf numFmtId="2" fontId="13" fillId="0" borderId="1" xfId="0" applyNumberFormat="1" applyFont="1" applyBorder="1" applyAlignment="1" applyProtection="1">
      <alignment vertical="center" wrapText="1"/>
    </xf>
    <xf numFmtId="190" fontId="52" fillId="8" borderId="1" xfId="1" applyNumberFormat="1" applyFont="1" applyFill="1" applyBorder="1" applyAlignment="1" applyProtection="1">
      <alignment horizontal="center" vertical="center" wrapText="1"/>
      <protection locked="0"/>
    </xf>
    <xf numFmtId="176" fontId="13" fillId="0" borderId="1" xfId="0" applyNumberFormat="1" applyFont="1" applyFill="1" applyBorder="1" applyAlignment="1" applyProtection="1">
      <alignment horizontal="center" vertical="center" wrapText="1"/>
      <protection locked="0"/>
    </xf>
    <xf numFmtId="185" fontId="13" fillId="0" borderId="1" xfId="0" applyNumberFormat="1" applyFont="1" applyBorder="1" applyAlignment="1" applyProtection="1">
      <alignment horizontal="center" vertical="center" wrapText="1"/>
      <protection locked="0"/>
    </xf>
    <xf numFmtId="169" fontId="13" fillId="0" borderId="1" xfId="0" applyNumberFormat="1" applyFont="1" applyBorder="1" applyAlignment="1" applyProtection="1">
      <alignment horizontal="center" vertical="center" wrapText="1"/>
      <protection locked="0"/>
    </xf>
    <xf numFmtId="169" fontId="13" fillId="0" borderId="1" xfId="0" applyNumberFormat="1" applyFont="1" applyBorder="1" applyAlignment="1" applyProtection="1">
      <alignment vertical="center" wrapText="1"/>
      <protection locked="0"/>
    </xf>
    <xf numFmtId="2" fontId="13" fillId="0" borderId="1" xfId="0" applyNumberFormat="1" applyFont="1" applyBorder="1" applyAlignment="1" applyProtection="1">
      <alignment vertical="center" wrapText="1"/>
      <protection locked="0"/>
    </xf>
    <xf numFmtId="3" fontId="13" fillId="0" borderId="1" xfId="0" applyNumberFormat="1" applyFont="1" applyBorder="1" applyAlignment="1" applyProtection="1">
      <alignment horizontal="center" vertical="center" wrapText="1"/>
      <protection locked="0"/>
    </xf>
    <xf numFmtId="9" fontId="13" fillId="0" borderId="1" xfId="2" applyFont="1" applyBorder="1" applyAlignment="1" applyProtection="1">
      <alignment vertical="center" wrapText="1"/>
      <protection locked="0"/>
    </xf>
    <xf numFmtId="0" fontId="13" fillId="0" borderId="1" xfId="0" applyFont="1" applyFill="1" applyBorder="1" applyAlignment="1" applyProtection="1">
      <alignment horizontal="center"/>
    </xf>
    <xf numFmtId="188" fontId="12" fillId="3" borderId="0" xfId="0" applyNumberFormat="1" applyFont="1" applyFill="1" applyProtection="1"/>
    <xf numFmtId="0" fontId="12" fillId="0" borderId="0" xfId="0" applyFont="1" applyBorder="1" applyAlignment="1" applyProtection="1">
      <alignment horizontal="center" vertical="center" wrapText="1"/>
    </xf>
    <xf numFmtId="0" fontId="12" fillId="0" borderId="0" xfId="0" applyFont="1" applyBorder="1" applyAlignment="1" applyProtection="1">
      <alignment horizontal="left" vertical="center" wrapText="1" indent="2"/>
    </xf>
    <xf numFmtId="0" fontId="12" fillId="0" borderId="0" xfId="0" applyFont="1" applyBorder="1" applyAlignment="1" applyProtection="1">
      <alignment vertical="center" wrapText="1"/>
    </xf>
    <xf numFmtId="169" fontId="12" fillId="0" borderId="0" xfId="0" applyNumberFormat="1" applyFont="1" applyBorder="1" applyAlignment="1" applyProtection="1">
      <alignment horizontal="center" vertical="center" wrapText="1"/>
    </xf>
    <xf numFmtId="2" fontId="12" fillId="0" borderId="0" xfId="0" applyNumberFormat="1" applyFont="1" applyBorder="1" applyAlignment="1" applyProtection="1">
      <alignment horizontal="center" vertical="center" wrapText="1"/>
    </xf>
    <xf numFmtId="0" fontId="58" fillId="13" borderId="8" xfId="0" applyFont="1" applyFill="1" applyBorder="1" applyAlignment="1" applyProtection="1">
      <alignment horizontal="center" vertical="center" wrapText="1"/>
    </xf>
    <xf numFmtId="0" fontId="60" fillId="13" borderId="1" xfId="0" applyFont="1" applyFill="1" applyBorder="1" applyAlignment="1" applyProtection="1">
      <alignment horizontal="center" vertical="center" wrapText="1"/>
    </xf>
    <xf numFmtId="0" fontId="58" fillId="13" borderId="1" xfId="0" applyFont="1" applyFill="1" applyBorder="1" applyAlignment="1" applyProtection="1">
      <alignment horizontal="center" vertical="center" wrapText="1"/>
    </xf>
    <xf numFmtId="193" fontId="18" fillId="3" borderId="1" xfId="0" applyNumberFormat="1" applyFont="1" applyFill="1" applyBorder="1" applyAlignment="1" applyProtection="1">
      <alignment horizontal="center" vertical="center" wrapText="1"/>
    </xf>
    <xf numFmtId="193" fontId="12" fillId="0" borderId="1" xfId="1" applyNumberFormat="1" applyFont="1" applyBorder="1" applyAlignment="1" applyProtection="1">
      <alignment horizontal="center" vertical="center" wrapText="1"/>
    </xf>
    <xf numFmtId="193" fontId="12" fillId="0" borderId="1" xfId="0" applyNumberFormat="1" applyFont="1" applyBorder="1" applyAlignment="1" applyProtection="1">
      <alignment horizontal="center" vertical="center" wrapText="1"/>
    </xf>
    <xf numFmtId="0" fontId="18" fillId="0" borderId="1" xfId="0" applyFont="1" applyFill="1" applyBorder="1" applyAlignment="1" applyProtection="1">
      <alignment horizontal="left" vertical="center" wrapText="1" indent="2"/>
    </xf>
    <xf numFmtId="0" fontId="12" fillId="36" borderId="1" xfId="0" applyFont="1" applyFill="1" applyBorder="1" applyAlignment="1" applyProtection="1">
      <alignment horizontal="center"/>
      <protection locked="0"/>
    </xf>
    <xf numFmtId="187" fontId="12" fillId="0" borderId="1" xfId="0" applyNumberFormat="1" applyFont="1" applyBorder="1" applyAlignment="1" applyProtection="1">
      <alignment horizontal="center" vertical="center" wrapText="1"/>
      <protection locked="0"/>
    </xf>
    <xf numFmtId="191" fontId="13" fillId="0" borderId="1" xfId="0" applyNumberFormat="1" applyFont="1" applyBorder="1" applyAlignment="1" applyProtection="1">
      <alignment horizontal="center" vertical="center" wrapText="1"/>
      <protection locked="0"/>
    </xf>
    <xf numFmtId="9" fontId="13" fillId="0" borderId="1" xfId="2" applyNumberFormat="1" applyFont="1" applyBorder="1" applyAlignment="1" applyProtection="1">
      <alignment horizontal="center" vertical="center" wrapText="1"/>
      <protection locked="0"/>
    </xf>
    <xf numFmtId="194" fontId="12" fillId="3" borderId="5" xfId="0" applyNumberFormat="1" applyFont="1" applyFill="1" applyBorder="1" applyAlignment="1" applyProtection="1">
      <alignment horizontal="center"/>
      <protection locked="0"/>
    </xf>
    <xf numFmtId="9" fontId="18" fillId="3" borderId="1" xfId="0" applyNumberFormat="1" applyFont="1" applyFill="1" applyBorder="1" applyAlignment="1" applyProtection="1">
      <alignment horizontal="center" vertical="center" wrapText="1"/>
      <protection locked="0"/>
    </xf>
    <xf numFmtId="9" fontId="12" fillId="0" borderId="1" xfId="2" applyNumberFormat="1" applyFont="1" applyBorder="1" applyAlignment="1" applyProtection="1">
      <alignment horizontal="center" vertical="center" wrapText="1"/>
      <protection locked="0"/>
    </xf>
    <xf numFmtId="0" fontId="18" fillId="19" borderId="41" xfId="0" applyFont="1" applyFill="1" applyBorder="1" applyAlignment="1" applyProtection="1">
      <alignment horizontal="center" vertical="top" wrapText="1"/>
    </xf>
    <xf numFmtId="170" fontId="71" fillId="0" borderId="41" xfId="0" applyNumberFormat="1" applyFont="1" applyBorder="1" applyAlignment="1" applyProtection="1">
      <alignment horizontal="center" vertical="top" shrinkToFit="1"/>
    </xf>
    <xf numFmtId="0" fontId="13" fillId="0" borderId="41" xfId="0" applyFont="1" applyBorder="1" applyAlignment="1" applyProtection="1">
      <alignment vertical="top" wrapText="1"/>
    </xf>
    <xf numFmtId="0" fontId="69" fillId="0" borderId="1" xfId="0" applyFont="1" applyFill="1" applyBorder="1" applyAlignment="1" applyProtection="1">
      <alignment horizontal="center" vertical="center" wrapText="1"/>
    </xf>
    <xf numFmtId="0" fontId="12" fillId="0" borderId="1" xfId="0" applyFont="1" applyFill="1" applyBorder="1" applyAlignment="1" applyProtection="1">
      <alignment horizontal="left" vertical="center" wrapText="1" indent="2"/>
      <protection locked="0"/>
    </xf>
    <xf numFmtId="9" fontId="12" fillId="0" borderId="1" xfId="2" applyFont="1" applyFill="1" applyBorder="1" applyAlignment="1" applyProtection="1">
      <alignment horizontal="center" vertical="center" wrapText="1"/>
      <protection locked="0"/>
    </xf>
    <xf numFmtId="186" fontId="12" fillId="3" borderId="5" xfId="0" applyNumberFormat="1" applyFont="1" applyFill="1" applyBorder="1" applyAlignment="1" applyProtection="1">
      <alignment horizontal="center"/>
      <protection locked="0"/>
    </xf>
    <xf numFmtId="0" fontId="12" fillId="3" borderId="0" xfId="0" applyFont="1" applyFill="1" applyBorder="1" applyAlignment="1" applyProtection="1">
      <alignment horizontal="center" vertical="center" wrapText="1"/>
    </xf>
    <xf numFmtId="0" fontId="12" fillId="3" borderId="0" xfId="0" applyFont="1" applyFill="1" applyBorder="1" applyAlignment="1" applyProtection="1">
      <alignment horizontal="left" vertical="center" wrapText="1" indent="2"/>
    </xf>
    <xf numFmtId="0" fontId="12" fillId="3" borderId="0" xfId="0" applyFont="1" applyFill="1" applyBorder="1" applyAlignment="1" applyProtection="1">
      <alignment vertical="center" wrapText="1"/>
    </xf>
    <xf numFmtId="169" fontId="12" fillId="3" borderId="0" xfId="0" applyNumberFormat="1" applyFont="1" applyFill="1" applyBorder="1" applyAlignment="1" applyProtection="1">
      <alignment horizontal="center" vertical="center" wrapText="1"/>
    </xf>
    <xf numFmtId="2" fontId="12" fillId="3" borderId="0" xfId="0" applyNumberFormat="1" applyFont="1" applyFill="1" applyBorder="1" applyAlignment="1" applyProtection="1">
      <alignment horizontal="center" vertical="center" wrapText="1"/>
    </xf>
    <xf numFmtId="0" fontId="12" fillId="24" borderId="0" xfId="0" applyFont="1" applyFill="1" applyProtection="1"/>
    <xf numFmtId="187" fontId="12" fillId="0" borderId="1" xfId="0" applyNumberFormat="1" applyFont="1" applyFill="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locked="0"/>
    </xf>
    <xf numFmtId="3" fontId="12" fillId="3" borderId="5" xfId="0" applyNumberFormat="1" applyFont="1" applyFill="1" applyBorder="1" applyAlignment="1" applyProtection="1">
      <alignment horizontal="center" vertical="center"/>
      <protection locked="0"/>
    </xf>
    <xf numFmtId="4" fontId="13" fillId="3" borderId="5" xfId="0" applyNumberFormat="1" applyFont="1" applyFill="1" applyBorder="1" applyAlignment="1" applyProtection="1">
      <alignment horizontal="center" vertical="center"/>
      <protection locked="0"/>
    </xf>
    <xf numFmtId="9" fontId="12" fillId="3" borderId="5" xfId="2" applyFont="1" applyFill="1" applyBorder="1" applyAlignment="1" applyProtection="1">
      <alignment horizontal="center"/>
      <protection locked="0"/>
    </xf>
    <xf numFmtId="3" fontId="12" fillId="3" borderId="5" xfId="0" applyNumberFormat="1" applyFont="1" applyFill="1" applyBorder="1" applyAlignment="1" applyProtection="1">
      <alignment horizontal="center"/>
      <protection locked="0"/>
    </xf>
    <xf numFmtId="2" fontId="12" fillId="0" borderId="1" xfId="2"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xf>
    <xf numFmtId="0" fontId="13" fillId="0" borderId="1" xfId="0" applyFont="1" applyFill="1" applyBorder="1" applyAlignment="1" applyProtection="1">
      <alignment horizontal="center" vertical="center"/>
    </xf>
    <xf numFmtId="189" fontId="12" fillId="3" borderId="0" xfId="0" applyNumberFormat="1" applyFont="1" applyFill="1" applyProtection="1"/>
    <xf numFmtId="9" fontId="12" fillId="0" borderId="1" xfId="2" applyFont="1" applyBorder="1" applyAlignment="1" applyProtection="1">
      <alignment vertical="center" wrapText="1"/>
    </xf>
    <xf numFmtId="0" fontId="69" fillId="0" borderId="1" xfId="0" applyFont="1" applyBorder="1" applyAlignment="1" applyProtection="1">
      <alignment horizontal="left" vertical="center" wrapText="1"/>
    </xf>
    <xf numFmtId="168" fontId="12" fillId="36" borderId="1" xfId="0" applyNumberFormat="1" applyFont="1" applyFill="1" applyBorder="1" applyAlignment="1" applyProtection="1">
      <alignment horizontal="center" vertical="center"/>
      <protection locked="0"/>
    </xf>
    <xf numFmtId="176" fontId="13" fillId="36" borderId="1" xfId="1" applyNumberFormat="1" applyFont="1" applyFill="1" applyBorder="1" applyAlignment="1" applyProtection="1">
      <alignment horizontal="center" vertical="center"/>
      <protection locked="0"/>
    </xf>
    <xf numFmtId="2" fontId="12" fillId="36" borderId="1" xfId="0" applyNumberFormat="1" applyFont="1" applyFill="1" applyBorder="1" applyAlignment="1" applyProtection="1">
      <alignment horizontal="center" vertical="center"/>
      <protection locked="0"/>
    </xf>
    <xf numFmtId="169" fontId="12" fillId="36" borderId="1" xfId="0" applyNumberFormat="1" applyFont="1" applyFill="1" applyBorder="1" applyAlignment="1" applyProtection="1">
      <alignment horizontal="center" vertical="center"/>
      <protection locked="0"/>
    </xf>
    <xf numFmtId="1" fontId="52" fillId="8" borderId="1" xfId="0" applyNumberFormat="1" applyFont="1" applyFill="1" applyBorder="1" applyAlignment="1" applyProtection="1">
      <alignment horizontal="center" vertical="center" wrapText="1"/>
      <protection locked="0"/>
    </xf>
    <xf numFmtId="9" fontId="12" fillId="0" borderId="1" xfId="2" applyFont="1" applyBorder="1" applyAlignment="1" applyProtection="1">
      <alignment vertical="center" wrapText="1"/>
      <protection locked="0"/>
    </xf>
    <xf numFmtId="0" fontId="81" fillId="21" borderId="40" xfId="0" applyFont="1" applyFill="1" applyBorder="1" applyAlignment="1" applyProtection="1">
      <alignment horizontal="center" vertical="top" wrapText="1"/>
    </xf>
    <xf numFmtId="1" fontId="81" fillId="21" borderId="40" xfId="0" applyNumberFormat="1" applyFont="1" applyFill="1" applyBorder="1" applyAlignment="1" applyProtection="1">
      <alignment horizontal="center" vertical="top" shrinkToFit="1"/>
    </xf>
    <xf numFmtId="0" fontId="82" fillId="0" borderId="40" xfId="0" applyFont="1" applyBorder="1" applyAlignment="1" applyProtection="1">
      <alignment horizontal="left" vertical="top" wrapText="1"/>
    </xf>
    <xf numFmtId="2" fontId="82" fillId="0" borderId="40" xfId="0" applyNumberFormat="1" applyFont="1" applyBorder="1" applyAlignment="1" applyProtection="1">
      <alignment horizontal="center" vertical="top" shrinkToFit="1"/>
    </xf>
    <xf numFmtId="2" fontId="82" fillId="0" borderId="40" xfId="0" applyNumberFormat="1" applyFont="1" applyBorder="1" applyAlignment="1" applyProtection="1">
      <alignment horizontal="right" vertical="top" indent="1" shrinkToFit="1"/>
    </xf>
    <xf numFmtId="0" fontId="74" fillId="12" borderId="0" xfId="0" applyFont="1" applyFill="1" applyBorder="1" applyAlignment="1" applyProtection="1">
      <alignment horizontal="left" vertical="center" wrapText="1" indent="1"/>
    </xf>
    <xf numFmtId="0" fontId="72" fillId="13" borderId="8" xfId="0" applyFont="1" applyFill="1" applyBorder="1" applyAlignment="1" applyProtection="1">
      <alignment horizontal="center" vertical="center" wrapText="1"/>
    </xf>
    <xf numFmtId="0" fontId="77" fillId="13" borderId="1" xfId="0" applyFont="1" applyFill="1" applyBorder="1" applyAlignment="1" applyProtection="1">
      <alignment horizontal="center" vertical="center" wrapText="1"/>
    </xf>
    <xf numFmtId="0" fontId="72" fillId="13" borderId="1" xfId="0" applyFont="1" applyFill="1" applyBorder="1" applyAlignment="1" applyProtection="1">
      <alignment horizontal="center" vertical="center" wrapText="1"/>
    </xf>
    <xf numFmtId="0" fontId="12" fillId="0" borderId="1" xfId="0" applyFont="1" applyFill="1" applyBorder="1" applyAlignment="1" applyProtection="1">
      <alignment horizontal="center"/>
    </xf>
    <xf numFmtId="0" fontId="69" fillId="3" borderId="1" xfId="0" applyFont="1" applyFill="1" applyBorder="1" applyAlignment="1" applyProtection="1">
      <alignment horizontal="center" vertical="center" wrapText="1"/>
    </xf>
    <xf numFmtId="2" fontId="52" fillId="8" borderId="1" xfId="0" applyNumberFormat="1" applyFont="1" applyFill="1" applyBorder="1" applyAlignment="1" applyProtection="1">
      <alignment horizontal="center" vertical="center" wrapText="1"/>
      <protection locked="0"/>
    </xf>
    <xf numFmtId="168" fontId="52" fillId="8" borderId="1" xfId="0" applyNumberFormat="1" applyFont="1" applyFill="1" applyBorder="1" applyAlignment="1" applyProtection="1">
      <alignment horizontal="center" vertical="center" wrapText="1"/>
      <protection locked="0"/>
    </xf>
    <xf numFmtId="0" fontId="12" fillId="3" borderId="1" xfId="0" applyFont="1" applyFill="1" applyBorder="1" applyAlignment="1" applyProtection="1">
      <alignment horizontal="left" vertical="center" wrapText="1" indent="2"/>
      <protection locked="0"/>
    </xf>
    <xf numFmtId="168" fontId="12" fillId="3" borderId="1" xfId="0" applyNumberFormat="1" applyFont="1" applyFill="1" applyBorder="1" applyAlignment="1" applyProtection="1">
      <alignment horizontal="center" vertical="center" wrapText="1"/>
      <protection locked="0"/>
    </xf>
    <xf numFmtId="9" fontId="13" fillId="0" borderId="1" xfId="0" applyNumberFormat="1" applyFont="1" applyFill="1" applyBorder="1" applyAlignment="1" applyProtection="1">
      <alignment horizontal="center" vertical="center" wrapText="1"/>
      <protection locked="0"/>
    </xf>
    <xf numFmtId="3" fontId="76" fillId="3" borderId="5" xfId="0" applyNumberFormat="1" applyFont="1" applyFill="1" applyBorder="1" applyAlignment="1" applyProtection="1">
      <alignment horizontal="center"/>
      <protection locked="0"/>
    </xf>
    <xf numFmtId="176" fontId="12" fillId="0" borderId="5" xfId="0" applyNumberFormat="1" applyFont="1" applyBorder="1" applyAlignment="1" applyProtection="1">
      <alignment horizontal="center" vertical="center" wrapText="1"/>
      <protection locked="0"/>
    </xf>
    <xf numFmtId="168" fontId="12" fillId="0" borderId="1" xfId="0" applyNumberFormat="1" applyFont="1" applyBorder="1" applyAlignment="1" applyProtection="1">
      <alignment horizontal="center" vertical="center" wrapText="1"/>
      <protection locked="0"/>
    </xf>
    <xf numFmtId="0" fontId="13" fillId="3" borderId="0" xfId="9" applyFont="1" applyFill="1" applyAlignment="1" applyProtection="1">
      <alignment horizontal="left" indent="1"/>
    </xf>
    <xf numFmtId="0" fontId="13" fillId="3" borderId="0" xfId="9" applyFont="1" applyFill="1" applyProtection="1"/>
    <xf numFmtId="0" fontId="52" fillId="3" borderId="0" xfId="9" applyFont="1" applyFill="1" applyProtection="1"/>
    <xf numFmtId="0" fontId="58" fillId="18" borderId="1" xfId="9" applyFont="1" applyFill="1" applyBorder="1" applyAlignment="1" applyProtection="1">
      <alignment horizontal="center" vertical="center" wrapText="1"/>
    </xf>
    <xf numFmtId="0" fontId="18" fillId="0" borderId="1" xfId="9" applyFont="1" applyBorder="1" applyAlignment="1" applyProtection="1">
      <alignment horizontal="left" vertical="center" wrapText="1" indent="1"/>
    </xf>
    <xf numFmtId="0" fontId="18" fillId="12" borderId="1" xfId="9" applyFont="1" applyFill="1" applyBorder="1" applyAlignment="1" applyProtection="1">
      <alignment horizontal="left" vertical="center" wrapText="1" indent="1"/>
    </xf>
    <xf numFmtId="169" fontId="13" fillId="32" borderId="1" xfId="9" applyNumberFormat="1" applyFont="1" applyFill="1" applyBorder="1" applyAlignment="1" applyProtection="1">
      <alignment horizontal="center" vertical="center" wrapText="1"/>
    </xf>
    <xf numFmtId="174" fontId="13" fillId="32" borderId="1" xfId="9" applyNumberFormat="1" applyFont="1" applyFill="1" applyBorder="1" applyAlignment="1" applyProtection="1">
      <alignment horizontal="center" vertical="center" wrapText="1"/>
    </xf>
    <xf numFmtId="0" fontId="18" fillId="12" borderId="0" xfId="9" applyFont="1" applyFill="1" applyAlignment="1" applyProtection="1">
      <alignment horizontal="left" vertical="center" wrapText="1" indent="1"/>
    </xf>
    <xf numFmtId="174" fontId="13" fillId="0" borderId="0" xfId="9" applyNumberFormat="1" applyFont="1" applyAlignment="1" applyProtection="1">
      <alignment horizontal="left" vertical="center" wrapText="1" indent="1"/>
    </xf>
    <xf numFmtId="0" fontId="18" fillId="0" borderId="11" xfId="9" applyFont="1" applyBorder="1" applyAlignment="1" applyProtection="1">
      <alignment horizontal="left" vertical="center" wrapText="1" indent="1"/>
    </xf>
    <xf numFmtId="0" fontId="18" fillId="0" borderId="5" xfId="9" applyFont="1" applyBorder="1" applyAlignment="1" applyProtection="1">
      <alignment horizontal="left" vertical="center" wrapText="1" indent="1"/>
    </xf>
    <xf numFmtId="0" fontId="58" fillId="18" borderId="5" xfId="9" applyFont="1" applyFill="1" applyBorder="1" applyAlignment="1" applyProtection="1">
      <alignment horizontal="center" vertical="center" wrapText="1"/>
    </xf>
    <xf numFmtId="0" fontId="13" fillId="3" borderId="0" xfId="9" applyFont="1" applyFill="1" applyAlignment="1" applyProtection="1">
      <alignment vertical="center" wrapText="1"/>
    </xf>
    <xf numFmtId="0" fontId="13" fillId="3" borderId="0" xfId="9" applyFont="1" applyFill="1" applyAlignment="1" applyProtection="1">
      <alignment horizontal="left" vertical="center" wrapText="1"/>
    </xf>
    <xf numFmtId="0" fontId="13" fillId="3" borderId="0" xfId="9" applyFont="1" applyFill="1" applyAlignment="1" applyProtection="1">
      <alignment horizontal="left" vertical="center" wrapText="1" indent="1"/>
    </xf>
    <xf numFmtId="0" fontId="58" fillId="30" borderId="5" xfId="9" applyFont="1" applyFill="1" applyBorder="1" applyAlignment="1" applyProtection="1">
      <alignment horizontal="left" vertical="center"/>
    </xf>
    <xf numFmtId="0" fontId="58" fillId="30" borderId="19" xfId="9" applyFont="1" applyFill="1" applyBorder="1" applyAlignment="1" applyProtection="1">
      <alignment vertical="center" wrapText="1"/>
    </xf>
    <xf numFmtId="0" fontId="13" fillId="30" borderId="19" xfId="9" applyFont="1" applyFill="1" applyBorder="1" applyProtection="1"/>
    <xf numFmtId="0" fontId="13" fillId="30" borderId="4" xfId="9" applyFont="1" applyFill="1" applyBorder="1" applyProtection="1"/>
    <xf numFmtId="0" fontId="58" fillId="31" borderId="1" xfId="9" applyFont="1" applyFill="1" applyBorder="1" applyAlignment="1" applyProtection="1">
      <alignment vertical="center" wrapText="1"/>
    </xf>
    <xf numFmtId="0" fontId="13" fillId="0" borderId="1" xfId="9" applyFont="1" applyBorder="1" applyAlignment="1" applyProtection="1">
      <alignment horizontal="center"/>
    </xf>
    <xf numFmtId="0" fontId="13" fillId="3" borderId="0" xfId="9" applyFont="1" applyFill="1" applyAlignment="1" applyProtection="1">
      <alignment horizontal="center" vertical="center" wrapText="1"/>
    </xf>
    <xf numFmtId="0" fontId="58" fillId="31" borderId="8" xfId="9" applyFont="1" applyFill="1" applyBorder="1" applyAlignment="1" applyProtection="1">
      <alignment horizontal="center" vertical="center" wrapText="1"/>
    </xf>
    <xf numFmtId="0" fontId="60" fillId="31" borderId="1" xfId="9" applyFont="1" applyFill="1" applyBorder="1" applyAlignment="1" applyProtection="1">
      <alignment horizontal="center" vertical="center" wrapText="1"/>
    </xf>
    <xf numFmtId="0" fontId="18" fillId="3" borderId="1" xfId="9" applyFont="1" applyFill="1" applyBorder="1" applyAlignment="1" applyProtection="1">
      <alignment horizontal="center" vertical="center" wrapText="1"/>
    </xf>
    <xf numFmtId="0" fontId="18" fillId="0" borderId="1" xfId="9" applyFont="1" applyBorder="1" applyAlignment="1" applyProtection="1">
      <alignment horizontal="left" vertical="center" wrapText="1" indent="2"/>
    </xf>
    <xf numFmtId="0" fontId="18" fillId="3" borderId="0" xfId="9" applyFont="1" applyFill="1" applyAlignment="1" applyProtection="1">
      <alignment vertical="center" wrapText="1"/>
    </xf>
    <xf numFmtId="0" fontId="18" fillId="0" borderId="1" xfId="9" applyFont="1" applyBorder="1" applyAlignment="1" applyProtection="1">
      <alignment horizontal="center" vertical="center" wrapText="1"/>
    </xf>
    <xf numFmtId="0" fontId="70" fillId="8" borderId="1" xfId="9" applyFont="1" applyFill="1" applyBorder="1" applyAlignment="1" applyProtection="1">
      <alignment horizontal="center" vertical="center" wrapText="1"/>
    </xf>
    <xf numFmtId="0" fontId="18" fillId="0" borderId="1" xfId="9" applyFont="1" applyFill="1" applyBorder="1" applyAlignment="1" applyProtection="1">
      <alignment horizontal="center" vertical="center" wrapText="1"/>
    </xf>
    <xf numFmtId="168" fontId="13" fillId="35" borderId="1" xfId="9" applyNumberFormat="1" applyFont="1" applyFill="1" applyBorder="1" applyAlignment="1" applyProtection="1">
      <alignment horizontal="center"/>
    </xf>
    <xf numFmtId="169" fontId="13" fillId="35" borderId="1" xfId="9" applyNumberFormat="1" applyFont="1" applyFill="1" applyBorder="1" applyAlignment="1" applyProtection="1">
      <alignment horizontal="center"/>
    </xf>
    <xf numFmtId="0" fontId="13" fillId="35" borderId="5" xfId="9" applyFont="1" applyFill="1" applyBorder="1" applyAlignment="1" applyProtection="1">
      <alignment horizontal="center" vertical="center" wrapText="1"/>
    </xf>
    <xf numFmtId="0" fontId="13" fillId="36" borderId="5" xfId="9" applyFont="1" applyFill="1" applyBorder="1" applyAlignment="1" applyProtection="1">
      <alignment horizontal="center" vertical="center" wrapText="1"/>
    </xf>
    <xf numFmtId="0" fontId="13" fillId="33" borderId="1" xfId="9" applyFont="1" applyFill="1" applyBorder="1" applyAlignment="1" applyProtection="1">
      <alignment horizontal="center" vertical="center" wrapText="1"/>
      <protection locked="0"/>
    </xf>
    <xf numFmtId="14" fontId="13" fillId="33" borderId="1" xfId="9" applyNumberFormat="1" applyFont="1" applyFill="1" applyBorder="1" applyAlignment="1" applyProtection="1">
      <alignment horizontal="center" vertical="center" wrapText="1"/>
      <protection locked="0"/>
    </xf>
    <xf numFmtId="174" fontId="13" fillId="33" borderId="1" xfId="9" applyNumberFormat="1" applyFont="1" applyFill="1" applyBorder="1" applyAlignment="1" applyProtection="1">
      <alignment horizontal="center" vertical="center" wrapText="1"/>
      <protection locked="0"/>
    </xf>
    <xf numFmtId="169" fontId="13" fillId="33" borderId="1" xfId="9" applyNumberFormat="1" applyFont="1" applyFill="1" applyBorder="1" applyAlignment="1" applyProtection="1">
      <alignment horizontal="center" vertical="center" wrapText="1"/>
      <protection locked="0"/>
    </xf>
    <xf numFmtId="168" fontId="13" fillId="36" borderId="1" xfId="9" applyNumberFormat="1" applyFont="1" applyFill="1" applyBorder="1" applyAlignment="1" applyProtection="1">
      <alignment horizontal="center"/>
      <protection locked="0"/>
    </xf>
    <xf numFmtId="169" fontId="13" fillId="36" borderId="1" xfId="9" applyNumberFormat="1" applyFont="1" applyFill="1" applyBorder="1" applyAlignment="1" applyProtection="1">
      <alignment horizontal="center"/>
      <protection locked="0"/>
    </xf>
    <xf numFmtId="1" fontId="13" fillId="36" borderId="1" xfId="9" applyNumberFormat="1" applyFont="1" applyFill="1" applyBorder="1" applyAlignment="1" applyProtection="1">
      <alignment horizontal="center"/>
      <protection locked="0"/>
    </xf>
    <xf numFmtId="2" fontId="13" fillId="36" borderId="1" xfId="9" applyNumberFormat="1" applyFont="1" applyFill="1" applyBorder="1" applyAlignment="1" applyProtection="1">
      <alignment horizontal="center"/>
      <protection locked="0"/>
    </xf>
    <xf numFmtId="0" fontId="13" fillId="36" borderId="1" xfId="9" applyFont="1" applyFill="1" applyBorder="1" applyAlignment="1" applyProtection="1">
      <alignment horizontal="center"/>
      <protection locked="0"/>
    </xf>
    <xf numFmtId="0" fontId="13" fillId="0" borderId="1" xfId="9" applyFont="1" applyBorder="1" applyAlignment="1" applyProtection="1">
      <alignment horizontal="left" vertical="center" wrapText="1" indent="2"/>
      <protection locked="0"/>
    </xf>
    <xf numFmtId="0" fontId="13" fillId="0" borderId="1" xfId="9" applyFont="1" applyBorder="1" applyAlignment="1" applyProtection="1">
      <alignment horizontal="center" vertical="center" wrapText="1"/>
      <protection locked="0"/>
    </xf>
    <xf numFmtId="189" fontId="12" fillId="0" borderId="1" xfId="11" applyNumberFormat="1" applyFont="1" applyBorder="1" applyAlignment="1" applyProtection="1">
      <alignment horizontal="center" vertical="center" wrapText="1"/>
      <protection locked="0"/>
    </xf>
    <xf numFmtId="0" fontId="52" fillId="8" borderId="1" xfId="9" applyFont="1" applyFill="1" applyBorder="1" applyAlignment="1" applyProtection="1">
      <alignment horizontal="left" vertical="center" wrapText="1" indent="2"/>
      <protection locked="0"/>
    </xf>
    <xf numFmtId="0" fontId="52" fillId="8" borderId="1" xfId="9" applyFont="1" applyFill="1" applyBorder="1" applyAlignment="1" applyProtection="1">
      <alignment horizontal="center" vertical="center" wrapText="1"/>
      <protection locked="0"/>
    </xf>
    <xf numFmtId="2" fontId="52" fillId="8" borderId="1" xfId="11" applyNumberFormat="1" applyFont="1" applyFill="1" applyBorder="1" applyAlignment="1" applyProtection="1">
      <alignment horizontal="center" vertical="center" wrapText="1"/>
      <protection locked="0"/>
    </xf>
    <xf numFmtId="0" fontId="13" fillId="0" borderId="1" xfId="9" applyFont="1" applyFill="1" applyBorder="1" applyAlignment="1" applyProtection="1">
      <alignment horizontal="left" vertical="center" wrapText="1" indent="2"/>
      <protection locked="0"/>
    </xf>
    <xf numFmtId="0" fontId="13" fillId="0" borderId="1" xfId="9" applyFont="1" applyFill="1" applyBorder="1" applyAlignment="1" applyProtection="1">
      <alignment horizontal="center" vertical="center" wrapText="1"/>
      <protection locked="0"/>
    </xf>
    <xf numFmtId="2" fontId="13" fillId="0" borderId="1" xfId="9" applyNumberFormat="1" applyFont="1" applyFill="1" applyBorder="1" applyAlignment="1" applyProtection="1">
      <alignment horizontal="center" vertical="center" wrapText="1"/>
      <protection locked="0"/>
    </xf>
    <xf numFmtId="189" fontId="13" fillId="0" borderId="1" xfId="11" applyNumberFormat="1" applyFont="1" applyFill="1" applyBorder="1" applyAlignment="1" applyProtection="1">
      <alignment horizontal="center" vertical="center" wrapText="1"/>
      <protection locked="0"/>
    </xf>
    <xf numFmtId="2" fontId="13" fillId="0" borderId="1" xfId="9" applyNumberFormat="1" applyFont="1" applyBorder="1" applyAlignment="1" applyProtection="1">
      <alignment horizontal="center" vertical="center" wrapText="1"/>
      <protection locked="0"/>
    </xf>
    <xf numFmtId="0" fontId="18" fillId="3" borderId="1" xfId="9" applyFont="1" applyFill="1" applyBorder="1" applyAlignment="1" applyProtection="1">
      <alignment horizontal="center" vertical="center" wrapText="1"/>
      <protection locked="0"/>
    </xf>
    <xf numFmtId="0" fontId="18" fillId="3" borderId="5" xfId="9" applyFont="1" applyFill="1" applyBorder="1" applyAlignment="1" applyProtection="1">
      <alignment horizontal="center" vertical="center" wrapText="1"/>
      <protection locked="0"/>
    </xf>
    <xf numFmtId="169" fontId="13" fillId="0" borderId="1" xfId="9" applyNumberFormat="1" applyFont="1" applyBorder="1" applyAlignment="1" applyProtection="1">
      <alignment vertical="center" wrapText="1"/>
      <protection locked="0"/>
    </xf>
    <xf numFmtId="2" fontId="13" fillId="0" borderId="1" xfId="9" applyNumberFormat="1" applyFont="1" applyBorder="1" applyAlignment="1" applyProtection="1">
      <alignment vertical="center" wrapText="1"/>
      <protection locked="0"/>
    </xf>
    <xf numFmtId="0" fontId="13" fillId="0" borderId="1" xfId="9" applyFont="1" applyBorder="1" applyAlignment="1" applyProtection="1">
      <alignment vertical="center" wrapText="1"/>
      <protection locked="0"/>
    </xf>
    <xf numFmtId="3" fontId="13" fillId="0" borderId="1" xfId="9" applyNumberFormat="1" applyFont="1" applyBorder="1" applyAlignment="1" applyProtection="1">
      <alignment horizontal="center" vertical="center" wrapText="1"/>
      <protection locked="0"/>
    </xf>
    <xf numFmtId="9" fontId="12" fillId="0" borderId="1" xfId="10" applyFont="1" applyBorder="1" applyAlignment="1" applyProtection="1">
      <alignment horizontal="center" vertical="center" wrapText="1"/>
      <protection locked="0"/>
    </xf>
    <xf numFmtId="2" fontId="12" fillId="0" borderId="1" xfId="10" applyNumberFormat="1" applyFont="1" applyBorder="1" applyAlignment="1" applyProtection="1">
      <alignment horizontal="center" vertical="center" wrapText="1"/>
      <protection locked="0"/>
    </xf>
    <xf numFmtId="185" fontId="13" fillId="0" borderId="1" xfId="9" applyNumberFormat="1" applyFont="1" applyBorder="1" applyAlignment="1" applyProtection="1">
      <alignment horizontal="center" vertical="center" wrapText="1"/>
      <protection locked="0"/>
    </xf>
    <xf numFmtId="169" fontId="13" fillId="0" borderId="1" xfId="9" applyNumberFormat="1" applyFont="1" applyBorder="1" applyAlignment="1" applyProtection="1">
      <alignment horizontal="center" vertical="center" wrapText="1"/>
      <protection locked="0"/>
    </xf>
    <xf numFmtId="169" fontId="13" fillId="3" borderId="0" xfId="9" applyNumberFormat="1" applyFont="1" applyFill="1" applyProtection="1"/>
    <xf numFmtId="191" fontId="13" fillId="36" borderId="1" xfId="9" applyNumberFormat="1" applyFont="1" applyFill="1" applyBorder="1" applyAlignment="1" applyProtection="1">
      <alignment horizontal="center"/>
      <protection locked="0"/>
    </xf>
    <xf numFmtId="2" fontId="12" fillId="0" borderId="1" xfId="11" applyNumberFormat="1" applyFont="1" applyBorder="1" applyAlignment="1" applyProtection="1">
      <alignment horizontal="center" vertical="center" wrapText="1"/>
      <protection locked="0"/>
    </xf>
    <xf numFmtId="2" fontId="13" fillId="0" borderId="1" xfId="10" applyNumberFormat="1" applyFont="1" applyFill="1" applyBorder="1" applyAlignment="1" applyProtection="1">
      <alignment horizontal="center" vertical="center" wrapText="1"/>
      <protection locked="0"/>
    </xf>
    <xf numFmtId="169" fontId="12" fillId="0" borderId="1" xfId="10" applyNumberFormat="1" applyFont="1" applyBorder="1" applyAlignment="1" applyProtection="1">
      <alignment horizontal="center" vertical="center" wrapText="1"/>
      <protection locked="0"/>
    </xf>
    <xf numFmtId="190" fontId="12" fillId="0" borderId="1" xfId="2" applyNumberFormat="1" applyFont="1" applyBorder="1" applyAlignment="1" applyProtection="1">
      <alignment horizontal="center" vertical="center" wrapText="1"/>
      <protection locked="0"/>
    </xf>
    <xf numFmtId="0" fontId="13" fillId="3" borderId="1" xfId="9" applyFont="1" applyFill="1" applyBorder="1" applyProtection="1">
      <protection locked="0"/>
    </xf>
    <xf numFmtId="3" fontId="13" fillId="3" borderId="5" xfId="9" applyNumberFormat="1" applyFont="1" applyFill="1" applyBorder="1" applyProtection="1">
      <protection locked="0"/>
    </xf>
    <xf numFmtId="186" fontId="12" fillId="3" borderId="5" xfId="11" applyNumberFormat="1" applyFont="1" applyFill="1" applyBorder="1" applyAlignment="1" applyProtection="1">
      <alignment horizontal="right"/>
      <protection locked="0"/>
    </xf>
    <xf numFmtId="3" fontId="12" fillId="3" borderId="5" xfId="11" applyNumberFormat="1" applyFont="1" applyFill="1" applyBorder="1" applyAlignment="1" applyProtection="1">
      <alignment horizontal="right"/>
      <protection locked="0"/>
    </xf>
    <xf numFmtId="0" fontId="75" fillId="3" borderId="0" xfId="9" applyFont="1" applyFill="1" applyAlignment="1" applyProtection="1">
      <alignment horizontal="left" indent="1"/>
    </xf>
    <xf numFmtId="0" fontId="75" fillId="3" borderId="0" xfId="9" applyFont="1" applyFill="1" applyProtection="1"/>
    <xf numFmtId="0" fontId="73" fillId="3" borderId="0" xfId="9" applyFont="1" applyFill="1" applyProtection="1"/>
    <xf numFmtId="0" fontId="72" fillId="18" borderId="1" xfId="9" applyFont="1" applyFill="1" applyBorder="1" applyAlignment="1" applyProtection="1">
      <alignment horizontal="center" vertical="center" wrapText="1"/>
    </xf>
    <xf numFmtId="0" fontId="74" fillId="0" borderId="1" xfId="9" applyFont="1" applyBorder="1" applyAlignment="1" applyProtection="1">
      <alignment horizontal="left" vertical="center" wrapText="1" indent="1"/>
    </xf>
    <xf numFmtId="0" fontId="74" fillId="12" borderId="1" xfId="9" applyFont="1" applyFill="1" applyBorder="1" applyAlignment="1" applyProtection="1">
      <alignment horizontal="left" vertical="center" wrapText="1" indent="1"/>
    </xf>
    <xf numFmtId="169" fontId="75" fillId="32" borderId="1" xfId="9" applyNumberFormat="1" applyFont="1" applyFill="1" applyBorder="1" applyAlignment="1" applyProtection="1">
      <alignment horizontal="center" vertical="center" wrapText="1"/>
    </xf>
    <xf numFmtId="174" fontId="75" fillId="32" borderId="1" xfId="9" applyNumberFormat="1" applyFont="1" applyFill="1" applyBorder="1" applyAlignment="1" applyProtection="1">
      <alignment horizontal="center" vertical="center" wrapText="1"/>
    </xf>
    <xf numFmtId="0" fontId="74" fillId="12" borderId="0" xfId="9" applyFont="1" applyFill="1" applyAlignment="1" applyProtection="1">
      <alignment horizontal="left" vertical="center" wrapText="1" indent="1"/>
    </xf>
    <xf numFmtId="174" fontId="75" fillId="0" borderId="0" xfId="9" applyNumberFormat="1" applyFont="1" applyAlignment="1" applyProtection="1">
      <alignment horizontal="left" vertical="center" wrapText="1" indent="1"/>
    </xf>
    <xf numFmtId="0" fontId="74" fillId="0" borderId="11" xfId="9" applyFont="1" applyBorder="1" applyAlignment="1" applyProtection="1">
      <alignment horizontal="left" vertical="center" wrapText="1" indent="1"/>
    </xf>
    <xf numFmtId="0" fontId="74" fillId="0" borderId="5" xfId="9" applyFont="1" applyBorder="1" applyAlignment="1" applyProtection="1">
      <alignment horizontal="left" vertical="center" wrapText="1" indent="1"/>
    </xf>
    <xf numFmtId="0" fontId="72" fillId="18" borderId="5" xfId="9" applyFont="1" applyFill="1" applyBorder="1" applyAlignment="1" applyProtection="1">
      <alignment horizontal="center" vertical="center" wrapText="1"/>
    </xf>
    <xf numFmtId="0" fontId="75" fillId="3" borderId="0" xfId="9" applyFont="1" applyFill="1" applyAlignment="1" applyProtection="1">
      <alignment vertical="center" wrapText="1"/>
    </xf>
    <xf numFmtId="0" fontId="75" fillId="3" borderId="0" xfId="9" applyFont="1" applyFill="1" applyAlignment="1" applyProtection="1">
      <alignment horizontal="left" vertical="center" wrapText="1"/>
    </xf>
    <xf numFmtId="0" fontId="75" fillId="3" borderId="0" xfId="9" applyFont="1" applyFill="1" applyAlignment="1" applyProtection="1">
      <alignment horizontal="left" vertical="center" wrapText="1" indent="1"/>
    </xf>
    <xf numFmtId="0" fontId="72" fillId="30" borderId="5" xfId="9" applyFont="1" applyFill="1" applyBorder="1" applyAlignment="1" applyProtection="1">
      <alignment horizontal="left" vertical="center"/>
    </xf>
    <xf numFmtId="0" fontId="72" fillId="30" borderId="19" xfId="9" applyFont="1" applyFill="1" applyBorder="1" applyAlignment="1" applyProtection="1">
      <alignment vertical="center" wrapText="1"/>
    </xf>
    <xf numFmtId="0" fontId="75" fillId="30" borderId="19" xfId="9" applyFont="1" applyFill="1" applyBorder="1" applyProtection="1"/>
    <xf numFmtId="0" fontId="75" fillId="30" borderId="4" xfId="9" applyFont="1" applyFill="1" applyBorder="1" applyProtection="1"/>
    <xf numFmtId="0" fontId="72" fillId="31" borderId="1" xfId="9" applyFont="1" applyFill="1" applyBorder="1" applyAlignment="1" applyProtection="1">
      <alignment vertical="center" wrapText="1"/>
    </xf>
    <xf numFmtId="0" fontId="75" fillId="0" borderId="1" xfId="9" applyFont="1" applyBorder="1" applyAlignment="1" applyProtection="1">
      <alignment horizontal="center"/>
    </xf>
    <xf numFmtId="0" fontId="75" fillId="3" borderId="0" xfId="9" applyFont="1" applyFill="1" applyAlignment="1" applyProtection="1">
      <alignment horizontal="center" vertical="center" wrapText="1"/>
    </xf>
    <xf numFmtId="0" fontId="72" fillId="31" borderId="8" xfId="9" applyFont="1" applyFill="1" applyBorder="1" applyAlignment="1" applyProtection="1">
      <alignment horizontal="center" vertical="center" wrapText="1"/>
    </xf>
    <xf numFmtId="0" fontId="77" fillId="31" borderId="1" xfId="9" applyFont="1" applyFill="1" applyBorder="1" applyAlignment="1" applyProtection="1">
      <alignment horizontal="center" vertical="center" wrapText="1"/>
    </xf>
    <xf numFmtId="0" fontId="74" fillId="0" borderId="1" xfId="9" applyFont="1" applyBorder="1" applyAlignment="1" applyProtection="1">
      <alignment horizontal="left" vertical="center" wrapText="1" indent="2"/>
    </xf>
    <xf numFmtId="0" fontId="74" fillId="3" borderId="0" xfId="9" applyFont="1" applyFill="1" applyAlignment="1" applyProtection="1">
      <alignment vertical="center" wrapText="1"/>
    </xf>
    <xf numFmtId="0" fontId="79" fillId="8" borderId="1" xfId="9" applyFont="1" applyFill="1" applyBorder="1" applyAlignment="1" applyProtection="1">
      <alignment horizontal="center" vertical="center" wrapText="1"/>
    </xf>
    <xf numFmtId="0" fontId="74" fillId="0" borderId="1" xfId="9" applyFont="1" applyBorder="1" applyAlignment="1" applyProtection="1">
      <alignment horizontal="center" vertical="center" wrapText="1"/>
    </xf>
    <xf numFmtId="168" fontId="75" fillId="35" borderId="1" xfId="9" applyNumberFormat="1" applyFont="1" applyFill="1" applyBorder="1" applyAlignment="1" applyProtection="1">
      <alignment horizontal="center"/>
    </xf>
    <xf numFmtId="169" fontId="75" fillId="35" borderId="1" xfId="9" applyNumberFormat="1" applyFont="1" applyFill="1" applyBorder="1" applyAlignment="1" applyProtection="1">
      <alignment horizontal="center"/>
    </xf>
    <xf numFmtId="0" fontId="75" fillId="35" borderId="5" xfId="9" applyFont="1" applyFill="1" applyBorder="1" applyAlignment="1" applyProtection="1">
      <alignment horizontal="center" vertical="center" wrapText="1"/>
    </xf>
    <xf numFmtId="0" fontId="75" fillId="36" borderId="5" xfId="9" applyFont="1" applyFill="1" applyBorder="1" applyAlignment="1" applyProtection="1">
      <alignment horizontal="center" vertical="center" wrapText="1"/>
    </xf>
    <xf numFmtId="0" fontId="75" fillId="33" borderId="1" xfId="9" applyFont="1" applyFill="1" applyBorder="1" applyAlignment="1" applyProtection="1">
      <alignment horizontal="center" vertical="center" wrapText="1"/>
      <protection locked="0"/>
    </xf>
    <xf numFmtId="14" fontId="75" fillId="33" borderId="1" xfId="9" applyNumberFormat="1" applyFont="1" applyFill="1" applyBorder="1" applyAlignment="1" applyProtection="1">
      <alignment horizontal="center" vertical="center" wrapText="1"/>
      <protection locked="0"/>
    </xf>
    <xf numFmtId="174" fontId="75" fillId="33" borderId="1" xfId="9" applyNumberFormat="1" applyFont="1" applyFill="1" applyBorder="1" applyAlignment="1" applyProtection="1">
      <alignment horizontal="center" vertical="center" wrapText="1"/>
      <protection locked="0"/>
    </xf>
    <xf numFmtId="169" fontId="75" fillId="33" borderId="1" xfId="9" applyNumberFormat="1" applyFont="1" applyFill="1" applyBorder="1" applyAlignment="1" applyProtection="1">
      <alignment horizontal="center" vertical="center" wrapText="1"/>
      <protection locked="0"/>
    </xf>
    <xf numFmtId="168" fontId="75" fillId="36" borderId="1" xfId="9" applyNumberFormat="1" applyFont="1" applyFill="1" applyBorder="1" applyAlignment="1" applyProtection="1">
      <alignment horizontal="center"/>
      <protection locked="0"/>
    </xf>
    <xf numFmtId="169" fontId="75" fillId="36" borderId="1" xfId="9" applyNumberFormat="1" applyFont="1" applyFill="1" applyBorder="1" applyAlignment="1" applyProtection="1">
      <alignment horizontal="center"/>
      <protection locked="0"/>
    </xf>
    <xf numFmtId="1" fontId="75" fillId="36" borderId="1" xfId="9" applyNumberFormat="1" applyFont="1" applyFill="1" applyBorder="1" applyAlignment="1" applyProtection="1">
      <alignment horizontal="center"/>
      <protection locked="0"/>
    </xf>
    <xf numFmtId="2" fontId="75" fillId="36" borderId="1" xfId="9" applyNumberFormat="1" applyFont="1" applyFill="1" applyBorder="1" applyAlignment="1" applyProtection="1">
      <alignment horizontal="center"/>
      <protection locked="0"/>
    </xf>
    <xf numFmtId="0" fontId="75" fillId="36" borderId="1" xfId="9" applyFont="1" applyFill="1" applyBorder="1" applyAlignment="1" applyProtection="1">
      <alignment horizontal="center"/>
      <protection locked="0"/>
    </xf>
    <xf numFmtId="0" fontId="73" fillId="8" borderId="1" xfId="9" applyFont="1" applyFill="1" applyBorder="1" applyAlignment="1" applyProtection="1">
      <alignment horizontal="left" vertical="center" wrapText="1" indent="2"/>
      <protection locked="0"/>
    </xf>
    <xf numFmtId="0" fontId="73" fillId="8" borderId="1" xfId="9" applyFont="1" applyFill="1" applyBorder="1" applyAlignment="1" applyProtection="1">
      <alignment horizontal="center" vertical="center" wrapText="1"/>
      <protection locked="0"/>
    </xf>
    <xf numFmtId="176" fontId="52" fillId="8" borderId="1" xfId="1" applyNumberFormat="1" applyFont="1" applyFill="1" applyBorder="1" applyAlignment="1" applyProtection="1">
      <alignment horizontal="center" vertical="center" wrapText="1"/>
      <protection locked="0"/>
    </xf>
    <xf numFmtId="0" fontId="75" fillId="0" borderId="1" xfId="9" applyFont="1" applyBorder="1" applyAlignment="1" applyProtection="1">
      <alignment horizontal="left" vertical="center" wrapText="1" indent="2"/>
      <protection locked="0"/>
    </xf>
    <xf numFmtId="0" fontId="75" fillId="0" borderId="1" xfId="9" applyFont="1" applyBorder="1" applyAlignment="1" applyProtection="1">
      <alignment horizontal="center" vertical="center" wrapText="1"/>
      <protection locked="0"/>
    </xf>
    <xf numFmtId="2" fontId="75" fillId="0" borderId="1" xfId="9" applyNumberFormat="1" applyFont="1" applyBorder="1" applyAlignment="1" applyProtection="1">
      <alignment horizontal="center" vertical="center" wrapText="1"/>
      <protection locked="0"/>
    </xf>
    <xf numFmtId="0" fontId="75" fillId="0" borderId="1" xfId="9" applyFont="1" applyFill="1" applyBorder="1" applyAlignment="1" applyProtection="1">
      <alignment horizontal="center" vertical="center" wrapText="1"/>
      <protection locked="0"/>
    </xf>
    <xf numFmtId="176" fontId="12" fillId="0" borderId="1" xfId="1" applyNumberFormat="1" applyFont="1" applyBorder="1" applyAlignment="1" applyProtection="1">
      <alignment horizontal="center" vertical="center" wrapText="1"/>
      <protection locked="0"/>
    </xf>
    <xf numFmtId="171" fontId="12" fillId="0" borderId="1" xfId="11" applyNumberFormat="1" applyFont="1" applyBorder="1" applyAlignment="1" applyProtection="1">
      <alignment horizontal="center" vertical="center" wrapText="1"/>
      <protection locked="0"/>
    </xf>
    <xf numFmtId="185" fontId="75" fillId="0" borderId="1" xfId="9" applyNumberFormat="1" applyFont="1" applyBorder="1" applyAlignment="1" applyProtection="1">
      <alignment horizontal="center" vertical="center" wrapText="1"/>
      <protection locked="0"/>
    </xf>
    <xf numFmtId="0" fontId="75" fillId="3" borderId="1" xfId="9" applyFont="1" applyFill="1" applyBorder="1" applyProtection="1">
      <protection locked="0"/>
    </xf>
    <xf numFmtId="3" fontId="75" fillId="3" borderId="5" xfId="9" applyNumberFormat="1" applyFont="1" applyFill="1" applyBorder="1" applyProtection="1">
      <protection locked="0"/>
    </xf>
    <xf numFmtId="0" fontId="74" fillId="3" borderId="1" xfId="9" applyFont="1" applyFill="1" applyBorder="1" applyAlignment="1" applyProtection="1">
      <alignment horizontal="center" vertical="center" wrapText="1"/>
      <protection locked="0"/>
    </xf>
    <xf numFmtId="0" fontId="74" fillId="3" borderId="5" xfId="9" applyFont="1" applyFill="1" applyBorder="1" applyAlignment="1" applyProtection="1">
      <alignment horizontal="center" vertical="center" wrapText="1"/>
      <protection locked="0"/>
    </xf>
    <xf numFmtId="169" fontId="75" fillId="0" borderId="1" xfId="9" applyNumberFormat="1" applyFont="1" applyBorder="1" applyAlignment="1" applyProtection="1">
      <alignment vertical="center" wrapText="1"/>
      <protection locked="0"/>
    </xf>
    <xf numFmtId="2" fontId="75" fillId="0" borderId="1" xfId="9" applyNumberFormat="1" applyFont="1" applyBorder="1" applyAlignment="1" applyProtection="1">
      <alignment vertical="center" wrapText="1"/>
      <protection locked="0"/>
    </xf>
    <xf numFmtId="0" fontId="75" fillId="0" borderId="1" xfId="9" applyFont="1" applyBorder="1" applyAlignment="1" applyProtection="1">
      <alignment vertical="center" wrapText="1"/>
      <protection locked="0"/>
    </xf>
    <xf numFmtId="3" fontId="75" fillId="0" borderId="1" xfId="9" applyNumberFormat="1" applyFont="1" applyBorder="1" applyAlignment="1" applyProtection="1">
      <alignment horizontal="center" vertical="center" wrapText="1"/>
      <protection locked="0"/>
    </xf>
    <xf numFmtId="169" fontId="75" fillId="0" borderId="1" xfId="9" applyNumberFormat="1" applyFont="1" applyBorder="1" applyAlignment="1" applyProtection="1">
      <alignment horizontal="center" vertical="center" wrapText="1"/>
      <protection locked="0"/>
    </xf>
    <xf numFmtId="0" fontId="74" fillId="36" borderId="5" xfId="9" applyFont="1" applyFill="1" applyBorder="1" applyAlignment="1" applyProtection="1">
      <alignment horizontal="center" vertical="center" wrapText="1"/>
      <protection locked="0"/>
    </xf>
    <xf numFmtId="0" fontId="74" fillId="36" borderId="19" xfId="9" applyFont="1" applyFill="1" applyBorder="1" applyAlignment="1" applyProtection="1">
      <alignment horizontal="center" vertical="center" wrapText="1"/>
      <protection locked="0"/>
    </xf>
    <xf numFmtId="0" fontId="74" fillId="36" borderId="4" xfId="9" applyFont="1" applyFill="1" applyBorder="1" applyAlignment="1" applyProtection="1">
      <alignment horizontal="center" vertical="center" wrapText="1"/>
      <protection locked="0"/>
    </xf>
    <xf numFmtId="7" fontId="13" fillId="32" borderId="1" xfId="3" applyNumberFormat="1" applyFont="1" applyFill="1" applyBorder="1" applyAlignment="1" applyProtection="1">
      <alignment horizontal="center" vertical="center" wrapText="1"/>
    </xf>
    <xf numFmtId="172" fontId="12" fillId="0" borderId="1" xfId="2" applyNumberFormat="1" applyFont="1" applyBorder="1" applyAlignment="1" applyProtection="1">
      <alignment horizontal="center" vertical="center" wrapText="1"/>
      <protection locked="0"/>
    </xf>
    <xf numFmtId="0" fontId="13" fillId="3" borderId="1" xfId="9" applyFont="1" applyFill="1" applyBorder="1" applyAlignment="1" applyProtection="1">
      <alignment horizontal="left" vertical="center" wrapText="1" indent="2"/>
      <protection locked="0"/>
    </xf>
    <xf numFmtId="0" fontId="13" fillId="3" borderId="1" xfId="9" applyFont="1" applyFill="1" applyBorder="1" applyAlignment="1" applyProtection="1">
      <alignment horizontal="center" vertical="center" wrapText="1"/>
      <protection locked="0"/>
    </xf>
    <xf numFmtId="184" fontId="13" fillId="3" borderId="1" xfId="1" applyNumberFormat="1" applyFont="1" applyFill="1" applyBorder="1" applyAlignment="1" applyProtection="1">
      <alignment horizontal="center" vertical="center" wrapText="1"/>
      <protection locked="0"/>
    </xf>
    <xf numFmtId="189" fontId="52" fillId="8" borderId="1" xfId="2" applyNumberFormat="1" applyFont="1" applyFill="1" applyBorder="1" applyAlignment="1" applyProtection="1">
      <alignment horizontal="center" vertical="center" wrapText="1"/>
      <protection locked="0"/>
    </xf>
    <xf numFmtId="169" fontId="13" fillId="0" borderId="1" xfId="0" applyNumberFormat="1" applyFont="1" applyFill="1" applyBorder="1" applyAlignment="1" applyProtection="1">
      <alignment horizontal="center" vertical="center" wrapText="1"/>
      <protection locked="0"/>
    </xf>
    <xf numFmtId="189" fontId="12" fillId="0" borderId="1" xfId="2" applyNumberFormat="1" applyFont="1" applyBorder="1" applyAlignment="1" applyProtection="1">
      <alignment horizontal="center" vertical="center" wrapText="1"/>
      <protection locked="0"/>
    </xf>
    <xf numFmtId="9" fontId="13" fillId="3" borderId="1" xfId="2" applyFont="1" applyFill="1" applyBorder="1" applyAlignment="1" applyProtection="1">
      <alignment horizontal="center" vertical="center" wrapText="1"/>
      <protection locked="0"/>
    </xf>
    <xf numFmtId="186" fontId="13" fillId="3" borderId="5" xfId="9" applyNumberFormat="1" applyFont="1" applyFill="1" applyBorder="1" applyProtection="1">
      <protection locked="0"/>
    </xf>
    <xf numFmtId="187" fontId="12" fillId="3" borderId="5" xfId="11" applyNumberFormat="1" applyFont="1" applyFill="1" applyBorder="1" applyAlignment="1" applyProtection="1">
      <alignment horizontal="right"/>
      <protection locked="0"/>
    </xf>
    <xf numFmtId="167" fontId="12" fillId="0" borderId="1" xfId="1" applyFont="1" applyBorder="1" applyAlignment="1" applyProtection="1">
      <alignment horizontal="left" vertical="center" wrapText="1"/>
      <protection locked="0"/>
    </xf>
    <xf numFmtId="0" fontId="82" fillId="0" borderId="1" xfId="0" applyFont="1" applyBorder="1" applyAlignment="1" applyProtection="1">
      <alignment horizontal="center" vertical="center" wrapText="1"/>
      <protection locked="0"/>
    </xf>
    <xf numFmtId="14" fontId="82" fillId="0" borderId="1" xfId="0" applyNumberFormat="1" applyFont="1" applyBorder="1" applyAlignment="1" applyProtection="1">
      <alignment horizontal="center" vertical="center" wrapText="1"/>
      <protection locked="0"/>
    </xf>
    <xf numFmtId="2" fontId="82" fillId="0" borderId="1" xfId="0" applyNumberFormat="1" applyFont="1" applyBorder="1" applyAlignment="1" applyProtection="1">
      <alignment horizontal="center" vertical="center" wrapText="1"/>
      <protection locked="0"/>
    </xf>
    <xf numFmtId="14" fontId="12" fillId="0" borderId="1" xfId="0" applyNumberFormat="1" applyFont="1" applyBorder="1" applyAlignment="1" applyProtection="1">
      <alignment horizontal="center" vertical="center" wrapText="1"/>
      <protection locked="0"/>
    </xf>
    <xf numFmtId="14" fontId="12" fillId="0" borderId="1" xfId="0" applyNumberFormat="1" applyFont="1" applyBorder="1" applyAlignment="1" applyProtection="1">
      <alignment vertical="center" wrapText="1"/>
      <protection locked="0"/>
    </xf>
    <xf numFmtId="1" fontId="12" fillId="0" borderId="1" xfId="0" applyNumberFormat="1" applyFont="1" applyBorder="1" applyAlignment="1" applyProtection="1">
      <alignment horizontal="center" vertical="center" wrapText="1"/>
      <protection locked="0"/>
    </xf>
    <xf numFmtId="184" fontId="12" fillId="0" borderId="1" xfId="0" applyNumberFormat="1" applyFont="1" applyBorder="1" applyAlignment="1" applyProtection="1">
      <alignment horizontal="center" vertical="center" wrapText="1"/>
      <protection locked="0"/>
    </xf>
    <xf numFmtId="9" fontId="13" fillId="0" borderId="1" xfId="9" applyNumberFormat="1" applyFont="1" applyBorder="1" applyAlignment="1" applyProtection="1">
      <alignment horizontal="center" vertical="center" wrapText="1"/>
      <protection locked="0"/>
    </xf>
    <xf numFmtId="169" fontId="13" fillId="0" borderId="1" xfId="10" applyNumberFormat="1" applyFont="1" applyFill="1" applyBorder="1" applyAlignment="1" applyProtection="1">
      <alignment horizontal="center" vertical="center" wrapText="1"/>
      <protection locked="0"/>
    </xf>
    <xf numFmtId="3" fontId="12" fillId="3" borderId="0" xfId="0" applyNumberFormat="1" applyFont="1" applyFill="1" applyProtection="1"/>
    <xf numFmtId="0" fontId="12" fillId="0" borderId="0" xfId="0" applyFont="1" applyFill="1" applyProtection="1">
      <protection locked="0"/>
    </xf>
    <xf numFmtId="189" fontId="52" fillId="8" borderId="1" xfId="11" applyNumberFormat="1" applyFont="1" applyFill="1" applyBorder="1" applyAlignment="1" applyProtection="1">
      <alignment horizontal="center" vertical="center" wrapText="1"/>
      <protection locked="0"/>
    </xf>
    <xf numFmtId="1" fontId="12" fillId="0" borderId="1" xfId="10" applyNumberFormat="1" applyFont="1" applyBorder="1" applyAlignment="1" applyProtection="1">
      <alignment horizontal="center" vertical="center" wrapText="1"/>
      <protection locked="0"/>
    </xf>
    <xf numFmtId="0" fontId="18" fillId="0" borderId="1" xfId="0" applyFont="1" applyFill="1" applyBorder="1" applyAlignment="1" applyProtection="1">
      <alignment horizontal="left" vertical="center" wrapText="1" indent="1"/>
    </xf>
    <xf numFmtId="6" fontId="12" fillId="32" borderId="5" xfId="0" applyNumberFormat="1" applyFont="1" applyFill="1" applyBorder="1" applyAlignment="1" applyProtection="1">
      <alignment horizontal="center" vertical="center" wrapText="1"/>
    </xf>
    <xf numFmtId="0" fontId="83" fillId="3" borderId="0" xfId="0" applyFont="1" applyFill="1" applyProtection="1"/>
    <xf numFmtId="0" fontId="69" fillId="0" borderId="1" xfId="0" applyFont="1" applyFill="1" applyBorder="1" applyAlignment="1" applyProtection="1">
      <alignment horizontal="left" vertical="center" wrapText="1" indent="2"/>
    </xf>
    <xf numFmtId="0" fontId="84" fillId="0" borderId="1" xfId="0" applyFont="1" applyBorder="1" applyAlignment="1" applyProtection="1">
      <alignment horizontal="center" vertical="center" wrapText="1"/>
    </xf>
    <xf numFmtId="0" fontId="85" fillId="8" borderId="1" xfId="0" applyFont="1" applyFill="1" applyBorder="1" applyAlignment="1" applyProtection="1">
      <alignment horizontal="center" vertical="center" wrapText="1"/>
    </xf>
    <xf numFmtId="6" fontId="12" fillId="33" borderId="5" xfId="0" applyNumberFormat="1" applyFont="1" applyFill="1" applyBorder="1" applyAlignment="1" applyProtection="1">
      <alignment horizontal="center" vertical="center" wrapText="1"/>
      <protection locked="0"/>
    </xf>
    <xf numFmtId="170" fontId="12" fillId="36" borderId="1" xfId="0" applyNumberFormat="1" applyFont="1" applyFill="1" applyBorder="1" applyAlignment="1" applyProtection="1">
      <alignment horizontal="center"/>
      <protection locked="0"/>
    </xf>
    <xf numFmtId="189" fontId="52" fillId="8" borderId="1" xfId="0" applyNumberFormat="1" applyFont="1" applyFill="1" applyBorder="1" applyAlignment="1" applyProtection="1">
      <alignment horizontal="center" vertical="center" wrapText="1"/>
      <protection locked="0"/>
    </xf>
    <xf numFmtId="176" fontId="12" fillId="0" borderId="1" xfId="10" applyNumberFormat="1" applyFont="1" applyBorder="1" applyAlignment="1" applyProtection="1">
      <alignment horizontal="center" vertical="center" wrapText="1"/>
      <protection locked="0"/>
    </xf>
    <xf numFmtId="189" fontId="12" fillId="3" borderId="1" xfId="0" applyNumberFormat="1" applyFont="1" applyFill="1" applyBorder="1" applyAlignment="1" applyProtection="1">
      <alignment horizontal="center" vertical="center" wrapText="1"/>
      <protection locked="0"/>
    </xf>
    <xf numFmtId="1" fontId="12" fillId="3" borderId="1" xfId="0" applyNumberFormat="1" applyFont="1" applyFill="1" applyBorder="1" applyAlignment="1" applyProtection="1">
      <alignment horizontal="center" vertical="center" wrapText="1"/>
      <protection locked="0"/>
    </xf>
    <xf numFmtId="0" fontId="12" fillId="3" borderId="1" xfId="0" applyFont="1" applyFill="1" applyBorder="1" applyAlignment="1" applyProtection="1">
      <alignment horizontal="left" vertical="center"/>
      <protection locked="0"/>
    </xf>
    <xf numFmtId="186" fontId="12" fillId="3" borderId="5" xfId="0" applyNumberFormat="1" applyFont="1" applyFill="1" applyBorder="1" applyAlignment="1" applyProtection="1">
      <alignment horizontal="center" vertical="center"/>
      <protection locked="0"/>
    </xf>
    <xf numFmtId="186" fontId="12" fillId="3" borderId="1" xfId="0" applyNumberFormat="1" applyFont="1" applyFill="1" applyBorder="1" applyAlignment="1" applyProtection="1">
      <protection locked="0"/>
    </xf>
    <xf numFmtId="4" fontId="12" fillId="3" borderId="5" xfId="0" applyNumberFormat="1" applyFont="1" applyFill="1" applyBorder="1" applyAlignment="1" applyProtection="1">
      <alignment horizontal="center" vertical="center"/>
      <protection locked="0"/>
    </xf>
    <xf numFmtId="169" fontId="13" fillId="36" borderId="1" xfId="0" applyNumberFormat="1" applyFont="1" applyFill="1" applyBorder="1" applyAlignment="1" applyProtection="1">
      <alignment horizontal="center" vertical="center"/>
      <protection locked="0"/>
    </xf>
    <xf numFmtId="9" fontId="75" fillId="0" borderId="1" xfId="9" applyNumberFormat="1" applyFont="1" applyBorder="1" applyAlignment="1" applyProtection="1">
      <alignment horizontal="center" vertical="center" wrapText="1"/>
      <protection locked="0"/>
    </xf>
    <xf numFmtId="169" fontId="13" fillId="0" borderId="1" xfId="10" applyNumberFormat="1" applyFont="1" applyBorder="1" applyAlignment="1" applyProtection="1">
      <alignment horizontal="center" vertical="center" wrapText="1"/>
      <protection locked="0"/>
    </xf>
    <xf numFmtId="183" fontId="76" fillId="3" borderId="5" xfId="0" applyNumberFormat="1" applyFont="1" applyFill="1" applyBorder="1" applyAlignment="1" applyProtection="1">
      <alignment horizontal="center"/>
      <protection locked="0"/>
    </xf>
    <xf numFmtId="0" fontId="33" fillId="0" borderId="1" xfId="0" applyFont="1" applyBorder="1" applyAlignment="1" applyProtection="1">
      <alignment horizontal="center" vertical="center" wrapText="1"/>
      <protection locked="0"/>
    </xf>
    <xf numFmtId="2" fontId="33" fillId="0" borderId="1" xfId="0" applyNumberFormat="1" applyFont="1" applyBorder="1" applyAlignment="1" applyProtection="1">
      <alignment horizontal="center" vertical="center" wrapText="1"/>
      <protection locked="0"/>
    </xf>
    <xf numFmtId="0" fontId="74" fillId="0" borderId="1" xfId="0" applyFont="1" applyFill="1" applyBorder="1" applyAlignment="1" applyProtection="1">
      <alignment horizontal="left" vertical="center" wrapText="1" indent="1"/>
    </xf>
    <xf numFmtId="5" fontId="75" fillId="33" borderId="1" xfId="3" applyNumberFormat="1" applyFont="1" applyFill="1" applyBorder="1" applyAlignment="1" applyProtection="1">
      <alignment horizontal="center" vertical="center" wrapText="1"/>
      <protection locked="0"/>
    </xf>
    <xf numFmtId="9" fontId="13" fillId="3" borderId="1" xfId="0" applyNumberFormat="1" applyFont="1" applyFill="1" applyBorder="1" applyAlignment="1" applyProtection="1">
      <alignment horizontal="center" vertical="center" wrapText="1"/>
      <protection locked="0"/>
    </xf>
    <xf numFmtId="0" fontId="13" fillId="3" borderId="1" xfId="0" applyFont="1" applyFill="1" applyBorder="1" applyAlignment="1" applyProtection="1">
      <alignment horizontal="center" vertical="center" wrapText="1"/>
      <protection locked="0"/>
    </xf>
    <xf numFmtId="188" fontId="75" fillId="0" borderId="1" xfId="2" applyNumberFormat="1" applyFont="1" applyBorder="1" applyAlignment="1" applyProtection="1">
      <alignment horizontal="center" vertical="center" wrapText="1"/>
      <protection locked="0"/>
    </xf>
    <xf numFmtId="175" fontId="13" fillId="0" borderId="1" xfId="1" applyNumberFormat="1" applyFont="1" applyBorder="1" applyAlignment="1" applyProtection="1">
      <alignment horizontal="center" vertical="center" wrapText="1"/>
    </xf>
    <xf numFmtId="0" fontId="12" fillId="0" borderId="9" xfId="0" applyFont="1" applyBorder="1" applyAlignment="1" applyProtection="1">
      <alignment vertical="center"/>
      <protection locked="0"/>
    </xf>
    <xf numFmtId="5" fontId="52" fillId="33" borderId="1" xfId="3" applyNumberFormat="1" applyFont="1" applyFill="1" applyBorder="1" applyAlignment="1" applyProtection="1">
      <alignment horizontal="center" vertical="center" wrapText="1"/>
      <protection locked="0"/>
    </xf>
    <xf numFmtId="0" fontId="12" fillId="0" borderId="0" xfId="0" applyFont="1" applyProtection="1"/>
    <xf numFmtId="9" fontId="12" fillId="0" borderId="0" xfId="2" applyFont="1" applyProtection="1"/>
    <xf numFmtId="184" fontId="12" fillId="36" borderId="1" xfId="0" applyNumberFormat="1" applyFont="1" applyFill="1" applyBorder="1" applyAlignment="1" applyProtection="1">
      <alignment horizontal="center"/>
      <protection locked="0"/>
    </xf>
    <xf numFmtId="9" fontId="12" fillId="0" borderId="1" xfId="0" applyNumberFormat="1" applyFont="1" applyFill="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protection locked="0"/>
    </xf>
    <xf numFmtId="0" fontId="13" fillId="0" borderId="1" xfId="2" applyNumberFormat="1" applyFont="1" applyFill="1" applyBorder="1" applyAlignment="1" applyProtection="1">
      <alignment horizontal="center" vertical="center" wrapText="1"/>
      <protection locked="0"/>
    </xf>
    <xf numFmtId="9" fontId="12" fillId="0" borderId="5" xfId="2" applyFont="1" applyBorder="1" applyAlignment="1" applyProtection="1">
      <alignment vertical="center" wrapText="1"/>
      <protection locked="0"/>
    </xf>
    <xf numFmtId="171" fontId="12" fillId="0" borderId="1" xfId="1" applyNumberFormat="1" applyFont="1" applyBorder="1" applyAlignment="1" applyProtection="1">
      <alignment horizontal="center" vertical="center" wrapText="1"/>
      <protection locked="0"/>
    </xf>
    <xf numFmtId="171" fontId="13" fillId="0" borderId="1" xfId="1" applyNumberFormat="1" applyFont="1" applyBorder="1" applyAlignment="1" applyProtection="1">
      <alignment horizontal="center" vertical="center" wrapText="1"/>
      <protection locked="0"/>
    </xf>
    <xf numFmtId="172" fontId="12" fillId="0" borderId="5" xfId="2" applyNumberFormat="1" applyFont="1" applyBorder="1" applyAlignment="1" applyProtection="1">
      <alignment vertical="center" wrapText="1"/>
    </xf>
    <xf numFmtId="172" fontId="12" fillId="0" borderId="1" xfId="2" applyNumberFormat="1" applyFont="1" applyBorder="1" applyAlignment="1" applyProtection="1">
      <alignment vertical="center" wrapText="1"/>
    </xf>
    <xf numFmtId="172" fontId="13" fillId="0" borderId="1" xfId="2" applyNumberFormat="1" applyFont="1" applyBorder="1" applyAlignment="1" applyProtection="1">
      <alignment vertical="center" wrapText="1"/>
    </xf>
    <xf numFmtId="168" fontId="13" fillId="35" borderId="1" xfId="0" applyNumberFormat="1" applyFont="1" applyFill="1" applyBorder="1" applyAlignment="1" applyProtection="1">
      <alignment horizontal="center"/>
    </xf>
    <xf numFmtId="2" fontId="13" fillId="36" borderId="1" xfId="0" applyNumberFormat="1" applyFont="1" applyFill="1" applyBorder="1" applyAlignment="1" applyProtection="1">
      <alignment horizontal="center"/>
      <protection locked="0"/>
    </xf>
    <xf numFmtId="189" fontId="12" fillId="0" borderId="1" xfId="0" applyNumberFormat="1" applyFont="1" applyBorder="1" applyAlignment="1" applyProtection="1">
      <alignment horizontal="center" vertical="center" wrapText="1"/>
      <protection locked="0"/>
    </xf>
    <xf numFmtId="0" fontId="13" fillId="0" borderId="0" xfId="0" applyFont="1" applyFill="1" applyProtection="1">
      <protection locked="0"/>
    </xf>
    <xf numFmtId="10" fontId="12" fillId="0" borderId="1" xfId="0" applyNumberFormat="1" applyFont="1" applyBorder="1" applyAlignment="1" applyProtection="1">
      <alignment horizontal="center" vertical="center" wrapText="1"/>
      <protection locked="0"/>
    </xf>
    <xf numFmtId="0" fontId="12" fillId="3" borderId="8" xfId="0" applyFont="1" applyFill="1" applyBorder="1" applyProtection="1"/>
    <xf numFmtId="186" fontId="13" fillId="3" borderId="14" xfId="0" applyNumberFormat="1" applyFont="1" applyFill="1" applyBorder="1" applyAlignment="1" applyProtection="1">
      <alignment horizontal="center"/>
    </xf>
    <xf numFmtId="0" fontId="18" fillId="3" borderId="0" xfId="0" applyFont="1" applyFill="1" applyProtection="1"/>
    <xf numFmtId="0" fontId="69" fillId="3" borderId="0" xfId="0" applyFont="1" applyFill="1" applyProtection="1"/>
    <xf numFmtId="190" fontId="13" fillId="35" borderId="1" xfId="0" applyNumberFormat="1" applyFont="1" applyFill="1" applyBorder="1" applyAlignment="1" applyProtection="1">
      <alignment horizontal="center"/>
    </xf>
    <xf numFmtId="190" fontId="13" fillId="36" borderId="1" xfId="0" applyNumberFormat="1" applyFont="1" applyFill="1" applyBorder="1" applyAlignment="1" applyProtection="1">
      <alignment horizontal="center"/>
      <protection locked="0"/>
    </xf>
    <xf numFmtId="189" fontId="13" fillId="0" borderId="1" xfId="0" applyNumberFormat="1" applyFont="1" applyFill="1" applyBorder="1" applyAlignment="1" applyProtection="1">
      <alignment horizontal="center" vertical="center" wrapText="1"/>
      <protection locked="0"/>
    </xf>
    <xf numFmtId="172" fontId="13" fillId="0" borderId="1" xfId="2" applyNumberFormat="1" applyFont="1" applyFill="1" applyBorder="1" applyAlignment="1" applyProtection="1">
      <alignment horizontal="center" vertical="center" wrapText="1"/>
      <protection locked="0"/>
    </xf>
    <xf numFmtId="167" fontId="13" fillId="0" borderId="1" xfId="1" applyFont="1" applyBorder="1" applyAlignment="1" applyProtection="1">
      <alignment horizontal="center" vertical="center" wrapText="1"/>
      <protection locked="0"/>
    </xf>
    <xf numFmtId="0" fontId="13" fillId="3" borderId="0" xfId="0" applyFont="1" applyFill="1" applyProtection="1">
      <protection locked="0"/>
    </xf>
    <xf numFmtId="0" fontId="18" fillId="3" borderId="19" xfId="0" applyFont="1" applyFill="1" applyBorder="1" applyAlignment="1" applyProtection="1">
      <alignment horizontal="center" vertical="center" wrapText="1"/>
      <protection locked="0"/>
    </xf>
    <xf numFmtId="0" fontId="18" fillId="3" borderId="4" xfId="0" applyFont="1" applyFill="1" applyBorder="1" applyAlignment="1" applyProtection="1">
      <alignment horizontal="center" vertical="center" wrapText="1"/>
      <protection locked="0"/>
    </xf>
    <xf numFmtId="172" fontId="12" fillId="0" borderId="5" xfId="2" applyNumberFormat="1" applyFont="1" applyBorder="1" applyAlignment="1" applyProtection="1">
      <alignment vertical="center" wrapText="1"/>
      <protection locked="0"/>
    </xf>
    <xf numFmtId="172" fontId="12" fillId="0" borderId="1" xfId="2" applyNumberFormat="1" applyFont="1" applyBorder="1" applyAlignment="1" applyProtection="1">
      <alignment vertical="center" wrapText="1"/>
      <protection locked="0"/>
    </xf>
    <xf numFmtId="172" fontId="13" fillId="0" borderId="1" xfId="2" applyNumberFormat="1" applyFont="1" applyBorder="1" applyAlignment="1" applyProtection="1">
      <alignment vertical="center" wrapText="1"/>
      <protection locked="0"/>
    </xf>
    <xf numFmtId="0" fontId="69" fillId="0" borderId="8" xfId="0" applyFont="1" applyBorder="1" applyAlignment="1" applyProtection="1">
      <alignment horizontal="center" vertical="center" wrapText="1"/>
    </xf>
    <xf numFmtId="0" fontId="12" fillId="3" borderId="8" xfId="0" applyFont="1" applyFill="1" applyBorder="1" applyProtection="1">
      <protection locked="0"/>
    </xf>
    <xf numFmtId="186" fontId="13" fillId="3" borderId="14" xfId="0" applyNumberFormat="1" applyFont="1" applyFill="1" applyBorder="1" applyAlignment="1" applyProtection="1">
      <alignment horizontal="center"/>
      <protection locked="0"/>
    </xf>
    <xf numFmtId="0" fontId="69" fillId="28" borderId="58" xfId="0" applyFont="1" applyFill="1" applyBorder="1" applyAlignment="1" applyProtection="1">
      <alignment wrapText="1"/>
    </xf>
    <xf numFmtId="0" fontId="12" fillId="0" borderId="0" xfId="0" applyFont="1" applyAlignment="1" applyProtection="1">
      <alignment horizontal="left"/>
    </xf>
    <xf numFmtId="3" fontId="12" fillId="0" borderId="0" xfId="0" applyNumberFormat="1" applyFont="1" applyProtection="1"/>
    <xf numFmtId="187" fontId="12" fillId="0" borderId="0" xfId="0" applyNumberFormat="1" applyFont="1" applyProtection="1"/>
    <xf numFmtId="0" fontId="12" fillId="35" borderId="5" xfId="0" applyFont="1" applyFill="1" applyBorder="1" applyAlignment="1" applyProtection="1">
      <alignment horizontal="left" vertical="center" wrapText="1" indent="1"/>
    </xf>
    <xf numFmtId="195" fontId="12" fillId="36" borderId="1" xfId="0" applyNumberFormat="1" applyFont="1" applyFill="1" applyBorder="1" applyAlignment="1" applyProtection="1">
      <alignment horizontal="center"/>
      <protection locked="0"/>
    </xf>
    <xf numFmtId="199" fontId="12" fillId="0" borderId="1" xfId="0" applyNumberFormat="1" applyFont="1" applyBorder="1" applyAlignment="1" applyProtection="1">
      <alignment horizontal="center" vertical="center" wrapText="1"/>
      <protection locked="0"/>
    </xf>
    <xf numFmtId="3" fontId="12" fillId="0" borderId="0" xfId="0" applyNumberFormat="1" applyFont="1" applyAlignment="1" applyProtection="1">
      <alignment wrapText="1"/>
    </xf>
    <xf numFmtId="9" fontId="12" fillId="3" borderId="0" xfId="2" applyFont="1" applyFill="1" applyProtection="1"/>
    <xf numFmtId="169" fontId="12" fillId="3" borderId="0" xfId="0" applyNumberFormat="1" applyFont="1" applyFill="1" applyProtection="1"/>
    <xf numFmtId="173" fontId="12" fillId="3" borderId="0" xfId="0" applyNumberFormat="1" applyFont="1" applyFill="1" applyProtection="1"/>
    <xf numFmtId="169" fontId="52" fillId="8" borderId="1" xfId="0" applyNumberFormat="1" applyFont="1" applyFill="1" applyBorder="1" applyAlignment="1" applyProtection="1">
      <alignment horizontal="center" vertical="center" wrapText="1"/>
      <protection locked="0"/>
    </xf>
    <xf numFmtId="0" fontId="52" fillId="8" borderId="0" xfId="0" applyFont="1" applyFill="1" applyProtection="1">
      <protection locked="0"/>
    </xf>
    <xf numFmtId="0" fontId="69" fillId="28" borderId="64" xfId="0" applyFont="1" applyFill="1" applyBorder="1" applyAlignment="1" applyProtection="1">
      <alignment horizontal="left"/>
    </xf>
    <xf numFmtId="3" fontId="69" fillId="28" borderId="64" xfId="0" applyNumberFormat="1" applyFont="1" applyFill="1" applyBorder="1" applyProtection="1"/>
    <xf numFmtId="3" fontId="69" fillId="28" borderId="64" xfId="0" applyNumberFormat="1" applyFont="1" applyFill="1" applyBorder="1" applyAlignment="1" applyProtection="1">
      <alignment wrapText="1"/>
    </xf>
    <xf numFmtId="187" fontId="69" fillId="28" borderId="64" xfId="0" applyNumberFormat="1" applyFont="1" applyFill="1" applyBorder="1" applyProtection="1"/>
    <xf numFmtId="0" fontId="69" fillId="0" borderId="0" xfId="0" applyFont="1" applyAlignment="1" applyProtection="1">
      <alignment horizontal="left"/>
    </xf>
    <xf numFmtId="169" fontId="12" fillId="8" borderId="1" xfId="0" applyNumberFormat="1" applyFont="1" applyFill="1" applyBorder="1" applyAlignment="1" applyProtection="1">
      <alignment vertical="center" wrapText="1"/>
      <protection locked="0"/>
    </xf>
    <xf numFmtId="0" fontId="69" fillId="28" borderId="58" xfId="0" applyFont="1" applyFill="1" applyBorder="1" applyAlignment="1" applyProtection="1">
      <alignment wrapText="1"/>
      <protection locked="0"/>
    </xf>
    <xf numFmtId="3" fontId="12" fillId="0" borderId="0" xfId="0" applyNumberFormat="1" applyFont="1" applyProtection="1">
      <protection locked="0"/>
    </xf>
    <xf numFmtId="3" fontId="12" fillId="0" borderId="0" xfId="0" applyNumberFormat="1" applyFont="1" applyAlignment="1" applyProtection="1">
      <alignment wrapText="1"/>
      <protection locked="0"/>
    </xf>
    <xf numFmtId="187" fontId="12" fillId="0" borderId="0" xfId="0" applyNumberFormat="1" applyFont="1" applyProtection="1">
      <protection locked="0"/>
    </xf>
    <xf numFmtId="0" fontId="69" fillId="0" borderId="9" xfId="0" applyFont="1" applyBorder="1" applyAlignment="1" applyProtection="1">
      <alignment horizontal="center" vertical="center" wrapText="1"/>
    </xf>
    <xf numFmtId="0" fontId="52" fillId="8" borderId="1" xfId="0" applyFont="1" applyFill="1" applyBorder="1" applyProtection="1">
      <protection locked="0"/>
    </xf>
    <xf numFmtId="0" fontId="12" fillId="0" borderId="9" xfId="0" applyFont="1" applyBorder="1" applyAlignment="1" applyProtection="1">
      <alignment horizontal="left" vertical="center" wrapText="1" indent="2"/>
      <protection locked="0"/>
    </xf>
    <xf numFmtId="0" fontId="12" fillId="0" borderId="9" xfId="0" applyFont="1" applyBorder="1" applyAlignment="1" applyProtection="1">
      <alignment horizontal="center" vertical="center" wrapText="1"/>
      <protection locked="0"/>
    </xf>
    <xf numFmtId="169" fontId="12" fillId="0" borderId="1" xfId="0" applyNumberFormat="1" applyFont="1" applyBorder="1" applyAlignment="1" applyProtection="1">
      <alignment horizontal="right" vertical="center" wrapText="1" indent="1"/>
      <protection locked="0"/>
    </xf>
    <xf numFmtId="169" fontId="12" fillId="0" borderId="1" xfId="0" applyNumberFormat="1" applyFont="1" applyBorder="1" applyAlignment="1" applyProtection="1">
      <alignment horizontal="right" vertical="center" wrapText="1"/>
      <protection locked="0"/>
    </xf>
    <xf numFmtId="2"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indent="1"/>
      <protection locked="0"/>
    </xf>
    <xf numFmtId="2" fontId="12" fillId="0" borderId="1" xfId="0" applyNumberFormat="1" applyFont="1" applyBorder="1" applyAlignment="1" applyProtection="1">
      <alignment horizontal="right" vertical="center" wrapText="1" indent="1"/>
      <protection locked="0"/>
    </xf>
    <xf numFmtId="0" fontId="76" fillId="0" borderId="1" xfId="0" applyFont="1" applyBorder="1" applyAlignment="1" applyProtection="1">
      <alignment horizontal="center"/>
    </xf>
    <xf numFmtId="0" fontId="76" fillId="3" borderId="0" xfId="0" applyFont="1" applyFill="1" applyAlignment="1" applyProtection="1">
      <alignment horizontal="left" vertical="center" wrapText="1"/>
    </xf>
    <xf numFmtId="0" fontId="76" fillId="3" borderId="0" xfId="0" applyFont="1" applyFill="1" applyProtection="1"/>
    <xf numFmtId="0" fontId="78" fillId="0" borderId="1" xfId="0" applyFont="1" applyBorder="1" applyAlignment="1" applyProtection="1">
      <alignment horizontal="left" vertical="center" wrapText="1" indent="2"/>
    </xf>
    <xf numFmtId="0" fontId="78" fillId="3" borderId="0" xfId="0" applyFont="1" applyFill="1" applyAlignment="1" applyProtection="1">
      <alignment vertical="center" wrapText="1"/>
    </xf>
    <xf numFmtId="168" fontId="76" fillId="36" borderId="1" xfId="0" applyNumberFormat="1" applyFont="1" applyFill="1" applyBorder="1" applyAlignment="1" applyProtection="1">
      <alignment horizontal="center"/>
      <protection locked="0"/>
    </xf>
    <xf numFmtId="169" fontId="76" fillId="36" borderId="1" xfId="0" applyNumberFormat="1" applyFont="1" applyFill="1" applyBorder="1" applyAlignment="1" applyProtection="1">
      <alignment horizontal="center"/>
      <protection locked="0"/>
    </xf>
    <xf numFmtId="0" fontId="58" fillId="36" borderId="1" xfId="0" applyFont="1" applyFill="1" applyBorder="1" applyAlignment="1" applyProtection="1">
      <alignment horizontal="center" vertical="center" wrapText="1"/>
      <protection locked="0"/>
    </xf>
    <xf numFmtId="187" fontId="52" fillId="8" borderId="1" xfId="0" applyNumberFormat="1" applyFont="1" applyFill="1" applyBorder="1" applyAlignment="1" applyProtection="1">
      <alignment horizontal="center" vertical="center" wrapText="1"/>
      <protection locked="0"/>
    </xf>
    <xf numFmtId="176" fontId="12" fillId="0" borderId="1" xfId="0" applyNumberFormat="1" applyFont="1" applyBorder="1" applyAlignment="1" applyProtection="1">
      <alignment vertical="center" wrapText="1"/>
    </xf>
    <xf numFmtId="0" fontId="52" fillId="8" borderId="1" xfId="0" applyNumberFormat="1" applyFont="1" applyFill="1" applyBorder="1" applyAlignment="1" applyProtection="1">
      <alignment horizontal="center" vertical="center" wrapText="1"/>
      <protection locked="0"/>
    </xf>
    <xf numFmtId="176" fontId="12" fillId="0" borderId="1" xfId="0" applyNumberFormat="1" applyFont="1" applyBorder="1" applyAlignment="1" applyProtection="1">
      <alignment vertical="center" wrapText="1"/>
      <protection locked="0"/>
    </xf>
    <xf numFmtId="5" fontId="75" fillId="0" borderId="1" xfId="3" applyNumberFormat="1" applyFont="1" applyFill="1" applyBorder="1" applyAlignment="1" applyProtection="1">
      <alignment horizontal="center" vertical="center" wrapText="1"/>
    </xf>
    <xf numFmtId="0" fontId="12" fillId="3" borderId="0" xfId="0" applyFont="1" applyFill="1" applyAlignment="1" applyProtection="1">
      <alignment wrapText="1"/>
    </xf>
    <xf numFmtId="9" fontId="52" fillId="8" borderId="1" xfId="0" applyNumberFormat="1" applyFont="1" applyFill="1" applyBorder="1" applyAlignment="1" applyProtection="1">
      <alignment horizontal="center" vertical="center" wrapText="1"/>
      <protection locked="0"/>
    </xf>
    <xf numFmtId="0" fontId="13" fillId="0" borderId="1" xfId="0" applyFont="1" applyFill="1" applyBorder="1" applyAlignment="1" applyProtection="1">
      <alignment vertical="center" wrapText="1"/>
      <protection locked="0"/>
    </xf>
    <xf numFmtId="169" fontId="13" fillId="0" borderId="1" xfId="0" applyNumberFormat="1" applyFont="1" applyFill="1" applyBorder="1" applyAlignment="1" applyProtection="1">
      <alignment vertical="center" wrapText="1"/>
      <protection locked="0"/>
    </xf>
    <xf numFmtId="189" fontId="12" fillId="32" borderId="1"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center" wrapText="1"/>
      <protection locked="0"/>
    </xf>
    <xf numFmtId="193" fontId="12" fillId="0" borderId="1" xfId="0" applyNumberFormat="1" applyFont="1" applyBorder="1" applyAlignment="1" applyProtection="1">
      <alignment vertical="center" wrapText="1"/>
      <protection locked="0"/>
    </xf>
    <xf numFmtId="184" fontId="12" fillId="36" borderId="1" xfId="1" applyNumberFormat="1" applyFont="1" applyFill="1" applyBorder="1" applyAlignment="1" applyProtection="1">
      <alignment horizontal="center"/>
      <protection locked="0"/>
    </xf>
    <xf numFmtId="176" fontId="13" fillId="0" borderId="1" xfId="0" applyNumberFormat="1" applyFont="1" applyBorder="1" applyAlignment="1" applyProtection="1">
      <alignment horizontal="center" vertical="center" wrapText="1"/>
      <protection locked="0"/>
    </xf>
    <xf numFmtId="175" fontId="12" fillId="0" borderId="1" xfId="0" applyNumberFormat="1" applyFont="1" applyBorder="1" applyAlignment="1" applyProtection="1">
      <alignment horizontal="center" vertical="center" wrapText="1"/>
      <protection locked="0"/>
    </xf>
    <xf numFmtId="175" fontId="13" fillId="0" borderId="1" xfId="0" applyNumberFormat="1" applyFont="1" applyBorder="1" applyAlignment="1" applyProtection="1">
      <alignment horizontal="center" vertical="center" wrapText="1"/>
      <protection locked="0"/>
    </xf>
    <xf numFmtId="176" fontId="13" fillId="0" borderId="1" xfId="2" applyNumberFormat="1" applyFont="1" applyBorder="1" applyAlignment="1" applyProtection="1">
      <alignment horizontal="center" vertical="center" wrapText="1"/>
      <protection locked="0"/>
    </xf>
    <xf numFmtId="167" fontId="12" fillId="3" borderId="0" xfId="1" applyFont="1" applyFill="1" applyProtection="1"/>
    <xf numFmtId="9" fontId="12" fillId="3" borderId="0" xfId="0" applyNumberFormat="1" applyFont="1" applyFill="1" applyProtection="1"/>
    <xf numFmtId="43" fontId="12" fillId="3" borderId="0" xfId="0" applyNumberFormat="1" applyFont="1" applyFill="1" applyProtection="1"/>
    <xf numFmtId="177" fontId="13" fillId="3" borderId="0" xfId="1" applyNumberFormat="1" applyFont="1" applyFill="1" applyProtection="1"/>
    <xf numFmtId="184" fontId="52" fillId="8" borderId="1" xfId="0" applyNumberFormat="1" applyFont="1" applyFill="1" applyBorder="1" applyAlignment="1" applyProtection="1">
      <alignment horizontal="center" vertical="center" wrapText="1"/>
      <protection locked="0"/>
    </xf>
    <xf numFmtId="184" fontId="13" fillId="0" borderId="1" xfId="0" applyNumberFormat="1" applyFont="1" applyBorder="1" applyAlignment="1" applyProtection="1">
      <alignment horizontal="center" vertical="center" wrapText="1"/>
      <protection locked="0"/>
    </xf>
    <xf numFmtId="3" fontId="13" fillId="0" borderId="1" xfId="2" applyNumberFormat="1" applyFont="1" applyBorder="1" applyAlignment="1" applyProtection="1">
      <alignment horizontal="center" vertical="center" wrapText="1"/>
      <protection locked="0"/>
    </xf>
    <xf numFmtId="168" fontId="12" fillId="3" borderId="1" xfId="0" applyNumberFormat="1" applyFont="1" applyFill="1" applyBorder="1" applyProtection="1">
      <protection locked="0"/>
    </xf>
    <xf numFmtId="5" fontId="12" fillId="0" borderId="1" xfId="0" applyNumberFormat="1" applyFont="1" applyBorder="1" applyAlignment="1" applyProtection="1">
      <alignment vertical="center" wrapText="1"/>
      <protection locked="0"/>
    </xf>
    <xf numFmtId="0" fontId="18" fillId="31" borderId="1" xfId="0" applyFont="1" applyFill="1" applyBorder="1" applyAlignment="1" applyProtection="1">
      <alignment vertical="center" wrapText="1"/>
    </xf>
    <xf numFmtId="0" fontId="18" fillId="31" borderId="1" xfId="0" applyFont="1" applyFill="1" applyBorder="1" applyAlignment="1" applyProtection="1">
      <alignment horizontal="center" vertical="center" wrapText="1"/>
    </xf>
    <xf numFmtId="189" fontId="12" fillId="0" borderId="1" xfId="1" applyNumberFormat="1" applyFont="1" applyBorder="1" applyAlignment="1" applyProtection="1">
      <alignment horizontal="center" vertical="center" wrapText="1"/>
      <protection locked="0"/>
    </xf>
    <xf numFmtId="168" fontId="13" fillId="0" borderId="1" xfId="0" applyNumberFormat="1" applyFont="1" applyFill="1" applyBorder="1" applyAlignment="1" applyProtection="1">
      <alignment horizontal="center" vertical="center" wrapText="1"/>
      <protection locked="0"/>
    </xf>
    <xf numFmtId="169" fontId="13" fillId="0" borderId="1" xfId="2" applyNumberFormat="1" applyFont="1" applyBorder="1" applyAlignment="1" applyProtection="1">
      <alignment horizontal="center" vertical="center" wrapText="1"/>
      <protection locked="0"/>
    </xf>
    <xf numFmtId="2" fontId="12" fillId="0" borderId="1" xfId="0" applyNumberFormat="1" applyFont="1" applyFill="1" applyBorder="1" applyAlignment="1" applyProtection="1">
      <alignment horizontal="center" vertical="center" wrapText="1"/>
      <protection locked="0"/>
    </xf>
    <xf numFmtId="169" fontId="13" fillId="0" borderId="1" xfId="2" applyNumberFormat="1" applyFont="1" applyFill="1" applyBorder="1" applyAlignment="1" applyProtection="1">
      <alignment horizontal="center" vertical="center" wrapText="1"/>
      <protection locked="0"/>
    </xf>
    <xf numFmtId="198" fontId="12" fillId="0" borderId="1" xfId="3" applyNumberFormat="1" applyFont="1" applyBorder="1" applyAlignment="1" applyProtection="1">
      <alignment vertical="center" wrapText="1"/>
      <protection locked="0"/>
    </xf>
    <xf numFmtId="0" fontId="52" fillId="0" borderId="1" xfId="0" applyFont="1" applyFill="1" applyBorder="1" applyAlignment="1" applyProtection="1">
      <alignment horizontal="left" vertical="center" wrapText="1" indent="2"/>
      <protection locked="0"/>
    </xf>
    <xf numFmtId="0" fontId="52" fillId="0" borderId="1" xfId="0" applyFont="1" applyFill="1" applyBorder="1" applyAlignment="1" applyProtection="1">
      <alignment horizontal="center" vertical="center" wrapText="1"/>
      <protection locked="0"/>
    </xf>
    <xf numFmtId="187" fontId="52" fillId="0" borderId="1" xfId="0" applyNumberFormat="1" applyFont="1" applyFill="1" applyBorder="1" applyAlignment="1" applyProtection="1">
      <alignment horizontal="center" vertical="center" wrapText="1"/>
      <protection locked="0"/>
    </xf>
    <xf numFmtId="0" fontId="13" fillId="3" borderId="8" xfId="0" applyFont="1" applyFill="1" applyBorder="1" applyProtection="1">
      <protection locked="0"/>
    </xf>
    <xf numFmtId="3" fontId="12" fillId="3" borderId="14" xfId="0" applyNumberFormat="1" applyFont="1" applyFill="1" applyBorder="1" applyProtection="1">
      <protection locked="0"/>
    </xf>
    <xf numFmtId="186" fontId="13" fillId="3" borderId="1" xfId="0" applyNumberFormat="1" applyFont="1" applyFill="1" applyBorder="1" applyAlignment="1" applyProtection="1">
      <alignment horizontal="center"/>
      <protection locked="0"/>
    </xf>
    <xf numFmtId="3" fontId="12" fillId="3" borderId="1" xfId="0" applyNumberFormat="1" applyFont="1" applyFill="1" applyBorder="1" applyAlignment="1" applyProtection="1">
      <alignment wrapText="1"/>
      <protection locked="0"/>
    </xf>
    <xf numFmtId="3" fontId="12" fillId="3" borderId="1" xfId="0" applyNumberFormat="1" applyFont="1" applyFill="1" applyBorder="1" applyProtection="1">
      <protection locked="0"/>
    </xf>
    <xf numFmtId="3" fontId="12" fillId="3" borderId="1" xfId="0" applyNumberFormat="1" applyFont="1" applyFill="1" applyBorder="1" applyAlignment="1" applyProtection="1">
      <alignment horizontal="center"/>
      <protection locked="0"/>
    </xf>
    <xf numFmtId="3" fontId="12" fillId="3" borderId="5" xfId="0" applyNumberFormat="1" applyFont="1" applyFill="1" applyBorder="1" applyAlignment="1" applyProtection="1">
      <alignment wrapText="1"/>
      <protection locked="0"/>
    </xf>
    <xf numFmtId="0" fontId="12" fillId="3" borderId="9" xfId="0" applyFont="1" applyFill="1" applyBorder="1" applyProtection="1">
      <protection locked="0"/>
    </xf>
    <xf numFmtId="186" fontId="13" fillId="3" borderId="11" xfId="0" applyNumberFormat="1" applyFont="1" applyFill="1" applyBorder="1" applyAlignment="1" applyProtection="1">
      <alignment horizontal="center"/>
      <protection locked="0"/>
    </xf>
    <xf numFmtId="3" fontId="12" fillId="3" borderId="11" xfId="0" applyNumberFormat="1" applyFont="1" applyFill="1" applyBorder="1" applyProtection="1">
      <protection locked="0"/>
    </xf>
    <xf numFmtId="0" fontId="0" fillId="3" borderId="0" xfId="0" applyFont="1" applyFill="1" applyBorder="1"/>
    <xf numFmtId="0" fontId="0" fillId="3" borderId="0" xfId="0" applyFont="1" applyFill="1" applyBorder="1" applyAlignment="1">
      <alignment wrapText="1"/>
    </xf>
    <xf numFmtId="0" fontId="66" fillId="3" borderId="0" xfId="0" applyFont="1" applyFill="1" applyBorder="1" applyAlignment="1">
      <alignment horizontal="left"/>
    </xf>
    <xf numFmtId="0" fontId="1" fillId="3" borderId="0" xfId="0" applyFont="1" applyFill="1" applyBorder="1" applyAlignment="1">
      <alignment horizontal="left" vertical="center"/>
    </xf>
    <xf numFmtId="0" fontId="3" fillId="3" borderId="0" xfId="0" applyFont="1" applyFill="1"/>
    <xf numFmtId="0" fontId="86" fillId="27" borderId="0" xfId="0" applyFont="1" applyFill="1" applyBorder="1"/>
    <xf numFmtId="0" fontId="6" fillId="27" borderId="0" xfId="0" applyFont="1" applyFill="1" applyBorder="1" applyAlignment="1">
      <alignment horizontal="right" vertical="center" indent="1"/>
    </xf>
    <xf numFmtId="0" fontId="0" fillId="27" borderId="0" xfId="0" applyFont="1" applyFill="1"/>
    <xf numFmtId="0" fontId="0" fillId="27" borderId="0" xfId="0" applyFont="1" applyFill="1" applyAlignment="1">
      <alignment wrapText="1"/>
    </xf>
    <xf numFmtId="0" fontId="89" fillId="27" borderId="0" xfId="0" applyFont="1" applyFill="1" applyBorder="1" applyAlignment="1">
      <alignment horizontal="left"/>
    </xf>
    <xf numFmtId="0" fontId="6" fillId="27" borderId="0" xfId="0" applyFont="1" applyFill="1" applyBorder="1" applyAlignment="1">
      <alignment horizontal="left" vertical="center"/>
    </xf>
    <xf numFmtId="0" fontId="86" fillId="27" borderId="0" xfId="0" applyFont="1" applyFill="1" applyBorder="1" applyAlignment="1">
      <alignment horizontal="center" vertical="center" wrapText="1"/>
    </xf>
    <xf numFmtId="0" fontId="86" fillId="27" borderId="0" xfId="0" applyFont="1" applyFill="1" applyBorder="1" applyAlignment="1"/>
    <xf numFmtId="0" fontId="1" fillId="3" borderId="73" xfId="0" applyFont="1" applyFill="1" applyBorder="1" applyAlignment="1" applyProtection="1">
      <alignment horizontal="center" vertical="center" wrapText="1"/>
      <protection locked="0"/>
    </xf>
    <xf numFmtId="0" fontId="1" fillId="3" borderId="68" xfId="0" applyFont="1" applyFill="1" applyBorder="1" applyAlignment="1" applyProtection="1">
      <alignment horizontal="center" vertical="center" wrapText="1"/>
      <protection locked="0"/>
    </xf>
    <xf numFmtId="0" fontId="0" fillId="12" borderId="0" xfId="0" applyFont="1" applyFill="1" applyAlignment="1"/>
    <xf numFmtId="0" fontId="0" fillId="12" borderId="0" xfId="0" applyFont="1" applyFill="1" applyAlignment="1">
      <alignment horizontal="center" vertical="center" wrapText="1"/>
    </xf>
    <xf numFmtId="0" fontId="14" fillId="12" borderId="70" xfId="0" applyFont="1" applyFill="1" applyBorder="1" applyAlignment="1">
      <alignment horizontal="center" vertical="center" wrapText="1"/>
    </xf>
    <xf numFmtId="0" fontId="14" fillId="12" borderId="0" xfId="0" applyFont="1" applyFill="1" applyBorder="1" applyAlignment="1">
      <alignment horizontal="center" vertical="center" wrapText="1"/>
    </xf>
    <xf numFmtId="3" fontId="0" fillId="12" borderId="0" xfId="0" applyNumberFormat="1" applyFont="1" applyFill="1" applyAlignment="1">
      <alignment horizontal="center" vertical="center"/>
    </xf>
    <xf numFmtId="187" fontId="0" fillId="12" borderId="0" xfId="0" applyNumberFormat="1" applyFont="1" applyFill="1" applyAlignment="1">
      <alignment horizontal="center" vertical="center"/>
    </xf>
    <xf numFmtId="0" fontId="0" fillId="12" borderId="0" xfId="0" applyFont="1" applyFill="1"/>
    <xf numFmtId="0" fontId="48" fillId="12" borderId="0" xfId="6" applyFont="1" applyFill="1" applyAlignment="1">
      <alignment vertical="center"/>
    </xf>
    <xf numFmtId="0" fontId="0" fillId="12" borderId="0" xfId="0" applyFont="1" applyFill="1" applyAlignment="1">
      <alignment horizontal="center"/>
    </xf>
    <xf numFmtId="0" fontId="66" fillId="12" borderId="0" xfId="0" applyFont="1" applyFill="1" applyAlignment="1"/>
    <xf numFmtId="0" fontId="6" fillId="27" borderId="0" xfId="0" applyFont="1" applyFill="1" applyAlignment="1" applyProtection="1">
      <alignment horizontal="left" vertical="center" wrapText="1"/>
    </xf>
    <xf numFmtId="0" fontId="6" fillId="27" borderId="0" xfId="0" applyFont="1" applyFill="1" applyAlignment="1" applyProtection="1">
      <alignment horizontal="center" vertical="center" wrapText="1"/>
    </xf>
    <xf numFmtId="0" fontId="3" fillId="3" borderId="0" xfId="0" applyFont="1" applyFill="1" applyAlignment="1">
      <alignment horizontal="center"/>
    </xf>
    <xf numFmtId="0" fontId="91" fillId="12" borderId="70" xfId="0" applyFont="1" applyFill="1" applyBorder="1" applyAlignment="1">
      <alignment horizontal="center" vertical="center" wrapText="1"/>
    </xf>
    <xf numFmtId="0" fontId="3" fillId="12" borderId="0" xfId="0" applyFont="1" applyFill="1" applyAlignment="1">
      <alignment horizontal="center"/>
    </xf>
    <xf numFmtId="0" fontId="14" fillId="3" borderId="69" xfId="0" applyFont="1" applyFill="1" applyBorder="1" applyAlignment="1" applyProtection="1">
      <alignment horizontal="center" vertical="center" wrapText="1"/>
      <protection locked="0"/>
    </xf>
    <xf numFmtId="0" fontId="86" fillId="37" borderId="0" xfId="0" applyFont="1" applyFill="1"/>
    <xf numFmtId="0" fontId="86" fillId="37" borderId="0" xfId="0" applyFont="1" applyFill="1" applyBorder="1"/>
    <xf numFmtId="0" fontId="0" fillId="37" borderId="0" xfId="0" applyFont="1" applyFill="1"/>
    <xf numFmtId="0" fontId="0" fillId="37" borderId="0" xfId="0" applyFont="1" applyFill="1" applyAlignment="1">
      <alignment wrapText="1"/>
    </xf>
    <xf numFmtId="0" fontId="86" fillId="37" borderId="0" xfId="0" applyFont="1" applyFill="1" applyAlignment="1">
      <alignment horizontal="center"/>
    </xf>
    <xf numFmtId="0" fontId="3" fillId="37" borderId="0" xfId="0" applyFont="1" applyFill="1" applyAlignment="1">
      <alignment horizontal="center"/>
    </xf>
    <xf numFmtId="0" fontId="88" fillId="37" borderId="0" xfId="0" applyFont="1" applyFill="1" applyAlignment="1">
      <alignment horizontal="center" vertical="top"/>
    </xf>
    <xf numFmtId="0" fontId="89" fillId="37" borderId="0" xfId="0" applyFont="1" applyFill="1"/>
    <xf numFmtId="0" fontId="89" fillId="37" borderId="0" xfId="0" applyFont="1" applyFill="1" applyAlignment="1">
      <alignment vertical="top"/>
    </xf>
    <xf numFmtId="0" fontId="86" fillId="37" borderId="0" xfId="0" applyFont="1" applyFill="1" applyAlignment="1">
      <alignment wrapText="1"/>
    </xf>
    <xf numFmtId="0" fontId="86" fillId="37" borderId="0" xfId="0" applyFont="1" applyFill="1" applyBorder="1" applyAlignment="1">
      <alignment wrapText="1"/>
    </xf>
    <xf numFmtId="0" fontId="86" fillId="37" borderId="0" xfId="0" applyFont="1" applyFill="1" applyBorder="1" applyAlignment="1">
      <alignment horizontal="center"/>
    </xf>
    <xf numFmtId="0" fontId="3" fillId="37" borderId="0" xfId="0" applyFont="1" applyFill="1" applyBorder="1" applyAlignment="1">
      <alignment horizontal="center"/>
    </xf>
    <xf numFmtId="0" fontId="6" fillId="37" borderId="72" xfId="0" applyFont="1" applyFill="1" applyBorder="1" applyAlignment="1">
      <alignment horizontal="right" vertical="center" indent="1"/>
    </xf>
    <xf numFmtId="0" fontId="6" fillId="37" borderId="0" xfId="0" applyFont="1" applyFill="1" applyBorder="1" applyAlignment="1">
      <alignment horizontal="right" vertical="center" indent="1"/>
    </xf>
    <xf numFmtId="0" fontId="6" fillId="37" borderId="70" xfId="0" applyFont="1" applyFill="1" applyBorder="1" applyAlignment="1">
      <alignment horizontal="right" vertical="center" indent="1"/>
    </xf>
    <xf numFmtId="0" fontId="1" fillId="0" borderId="0" xfId="0" applyFont="1" applyAlignment="1">
      <alignment vertical="center" wrapText="1"/>
    </xf>
    <xf numFmtId="0" fontId="0" fillId="0" borderId="0" xfId="0" applyAlignment="1">
      <alignment vertical="center" wrapText="1"/>
    </xf>
    <xf numFmtId="0" fontId="24" fillId="0" borderId="1" xfId="0" applyFont="1" applyBorder="1" applyAlignment="1">
      <alignment vertical="center" wrapText="1"/>
    </xf>
    <xf numFmtId="0" fontId="24" fillId="12" borderId="1" xfId="0" applyFont="1" applyFill="1" applyBorder="1" applyAlignment="1">
      <alignment vertical="center" wrapText="1"/>
    </xf>
    <xf numFmtId="0" fontId="24" fillId="0" borderId="1" xfId="0" applyFont="1" applyBorder="1" applyAlignment="1">
      <alignment horizontal="center" vertical="center" wrapText="1"/>
    </xf>
    <xf numFmtId="0" fontId="92" fillId="0" borderId="1" xfId="0" applyFont="1" applyBorder="1" applyAlignment="1">
      <alignment horizontal="center" vertical="center" wrapText="1"/>
    </xf>
    <xf numFmtId="0" fontId="24" fillId="12" borderId="1" xfId="0" applyFont="1" applyFill="1" applyBorder="1" applyAlignment="1">
      <alignment horizontal="center" vertical="center" wrapText="1"/>
    </xf>
    <xf numFmtId="0" fontId="24" fillId="0" borderId="1" xfId="0" applyFont="1" applyBorder="1" applyAlignment="1">
      <alignment horizontal="center" vertical="center"/>
    </xf>
    <xf numFmtId="0" fontId="25" fillId="0" borderId="1" xfId="6" applyFont="1" applyBorder="1" applyAlignment="1">
      <alignment horizontal="left" vertical="center" wrapText="1"/>
    </xf>
    <xf numFmtId="0" fontId="1" fillId="0" borderId="0" xfId="0" applyFont="1" applyAlignment="1">
      <alignment horizontal="center" vertical="center" wrapText="1"/>
    </xf>
    <xf numFmtId="3" fontId="15" fillId="0" borderId="0" xfId="0" applyNumberFormat="1" applyFont="1" applyBorder="1" applyAlignment="1">
      <alignment horizontal="center" vertical="center"/>
    </xf>
    <xf numFmtId="0" fontId="61" fillId="0" borderId="0" xfId="0" applyFont="1" applyBorder="1" applyAlignment="1">
      <alignment wrapText="1"/>
    </xf>
    <xf numFmtId="0" fontId="14" fillId="0" borderId="0" xfId="0" applyFont="1" applyBorder="1"/>
    <xf numFmtId="0" fontId="60" fillId="38" borderId="1" xfId="0" applyFont="1" applyFill="1" applyBorder="1" applyAlignment="1" applyProtection="1">
      <alignment horizontal="center" vertical="center" wrapText="1"/>
      <protection locked="0"/>
    </xf>
    <xf numFmtId="168" fontId="12" fillId="36" borderId="1" xfId="0" applyNumberFormat="1" applyFont="1" applyFill="1" applyBorder="1" applyAlignment="1" applyProtection="1">
      <alignment horizontal="center"/>
    </xf>
    <xf numFmtId="169" fontId="12" fillId="36" borderId="1" xfId="0" applyNumberFormat="1" applyFont="1" applyFill="1" applyBorder="1" applyAlignment="1" applyProtection="1">
      <alignment horizontal="center"/>
    </xf>
    <xf numFmtId="168" fontId="75" fillId="36" borderId="1" xfId="0" applyNumberFormat="1" applyFont="1" applyFill="1" applyBorder="1" applyAlignment="1" applyProtection="1">
      <alignment horizontal="center"/>
    </xf>
    <xf numFmtId="1" fontId="75" fillId="36" borderId="1" xfId="0" applyNumberFormat="1" applyFont="1" applyFill="1" applyBorder="1" applyAlignment="1" applyProtection="1">
      <alignment horizontal="center"/>
    </xf>
    <xf numFmtId="2" fontId="12" fillId="36" borderId="1" xfId="0" applyNumberFormat="1" applyFont="1" applyFill="1" applyBorder="1" applyAlignment="1" applyProtection="1">
      <alignment horizontal="center"/>
    </xf>
    <xf numFmtId="0" fontId="75" fillId="36" borderId="1" xfId="0" applyFont="1" applyFill="1" applyBorder="1" applyAlignment="1" applyProtection="1">
      <alignment horizontal="center"/>
    </xf>
    <xf numFmtId="0" fontId="12" fillId="0" borderId="1" xfId="0" applyFont="1" applyFill="1" applyBorder="1" applyAlignment="1" applyProtection="1">
      <alignment horizontal="left" vertical="center" wrapText="1" indent="2"/>
    </xf>
    <xf numFmtId="0" fontId="12" fillId="0" borderId="1" xfId="0" applyFont="1" applyFill="1" applyBorder="1" applyAlignment="1" applyProtection="1">
      <alignment horizontal="center" vertical="center" wrapText="1"/>
    </xf>
    <xf numFmtId="9" fontId="12" fillId="0" borderId="1" xfId="0" applyNumberFormat="1" applyFont="1" applyFill="1" applyBorder="1" applyAlignment="1" applyProtection="1">
      <alignment horizontal="center" vertical="center" wrapText="1"/>
    </xf>
    <xf numFmtId="176" fontId="12" fillId="0" borderId="1" xfId="0" applyNumberFormat="1" applyFont="1" applyFill="1" applyBorder="1" applyAlignment="1" applyProtection="1">
      <alignment horizontal="center" vertical="center" wrapText="1"/>
    </xf>
    <xf numFmtId="0" fontId="52" fillId="8" borderId="1" xfId="0" applyFont="1" applyFill="1" applyBorder="1" applyAlignment="1" applyProtection="1">
      <alignment horizontal="left" vertical="center" wrapText="1" indent="2"/>
    </xf>
    <xf numFmtId="9" fontId="52" fillId="8" borderId="1" xfId="0" applyNumberFormat="1" applyFont="1" applyFill="1" applyBorder="1" applyAlignment="1" applyProtection="1">
      <alignment horizontal="center" vertical="center" wrapText="1"/>
    </xf>
    <xf numFmtId="176" fontId="52" fillId="8" borderId="1" xfId="0" applyNumberFormat="1" applyFont="1" applyFill="1" applyBorder="1" applyAlignment="1" applyProtection="1">
      <alignment horizontal="center" vertical="center" wrapText="1"/>
    </xf>
    <xf numFmtId="0" fontId="52" fillId="8" borderId="1" xfId="0" applyFont="1" applyFill="1" applyBorder="1" applyAlignment="1" applyProtection="1">
      <alignment horizontal="center" vertical="center" wrapText="1"/>
    </xf>
    <xf numFmtId="0" fontId="75" fillId="3" borderId="1" xfId="0" applyFont="1" applyFill="1" applyBorder="1" applyProtection="1"/>
    <xf numFmtId="3" fontId="75" fillId="3" borderId="5" xfId="0" applyNumberFormat="1" applyFont="1" applyFill="1" applyBorder="1" applyAlignment="1" applyProtection="1">
      <alignment horizontal="center"/>
    </xf>
    <xf numFmtId="3" fontId="76" fillId="3" borderId="5" xfId="0" applyNumberFormat="1" applyFont="1" applyFill="1" applyBorder="1" applyProtection="1"/>
    <xf numFmtId="186" fontId="75" fillId="3" borderId="5" xfId="0" applyNumberFormat="1" applyFont="1" applyFill="1" applyBorder="1" applyAlignment="1" applyProtection="1">
      <alignment horizontal="center"/>
    </xf>
    <xf numFmtId="186" fontId="12" fillId="3" borderId="5" xfId="0" applyNumberFormat="1" applyFont="1" applyFill="1" applyBorder="1" applyAlignment="1" applyProtection="1">
      <alignment horizontal="right"/>
    </xf>
    <xf numFmtId="0" fontId="12" fillId="8" borderId="1" xfId="0" applyFont="1" applyFill="1" applyBorder="1" applyAlignment="1" applyProtection="1">
      <alignment horizontal="center" vertical="center" wrapText="1"/>
    </xf>
    <xf numFmtId="0" fontId="13" fillId="0" borderId="1" xfId="0" applyFont="1" applyFill="1" applyBorder="1" applyAlignment="1" applyProtection="1">
      <alignment vertical="center" wrapText="1"/>
    </xf>
    <xf numFmtId="169" fontId="13" fillId="0" borderId="1" xfId="0" applyNumberFormat="1" applyFont="1" applyFill="1" applyBorder="1" applyAlignment="1" applyProtection="1">
      <alignment vertical="center" wrapText="1"/>
    </xf>
    <xf numFmtId="2" fontId="13" fillId="0" borderId="1" xfId="0" applyNumberFormat="1" applyFont="1" applyFill="1" applyBorder="1" applyAlignment="1" applyProtection="1">
      <alignment horizontal="center" vertical="center" wrapText="1"/>
    </xf>
    <xf numFmtId="8" fontId="12" fillId="35" borderId="5" xfId="0" applyNumberFormat="1" applyFont="1" applyFill="1" applyBorder="1" applyAlignment="1" applyProtection="1">
      <alignment horizontal="center" vertical="center" wrapText="1"/>
    </xf>
    <xf numFmtId="193" fontId="12" fillId="35" borderId="5" xfId="0" applyNumberFormat="1" applyFont="1" applyFill="1" applyBorder="1" applyAlignment="1" applyProtection="1">
      <alignment horizontal="center" vertical="center" wrapText="1"/>
    </xf>
    <xf numFmtId="184" fontId="12" fillId="36" borderId="5" xfId="0" applyNumberFormat="1" applyFont="1" applyFill="1" applyBorder="1" applyAlignment="1" applyProtection="1">
      <alignment horizontal="center" vertical="center" wrapText="1"/>
    </xf>
    <xf numFmtId="0" fontId="12" fillId="9" borderId="1" xfId="0" applyFont="1" applyFill="1" applyBorder="1" applyAlignment="1" applyProtection="1">
      <alignment horizontal="center" vertical="center" wrapText="1"/>
    </xf>
    <xf numFmtId="14" fontId="12" fillId="9" borderId="1" xfId="0" applyNumberFormat="1" applyFont="1" applyFill="1" applyBorder="1" applyAlignment="1" applyProtection="1">
      <alignment horizontal="center" vertical="center" wrapText="1"/>
    </xf>
    <xf numFmtId="7" fontId="75" fillId="9" borderId="1" xfId="3" applyNumberFormat="1" applyFont="1" applyFill="1" applyBorder="1" applyAlignment="1" applyProtection="1">
      <alignment horizontal="center" vertical="center" wrapText="1"/>
    </xf>
    <xf numFmtId="0" fontId="72" fillId="38" borderId="1" xfId="0" applyFont="1" applyFill="1" applyBorder="1" applyAlignment="1" applyProtection="1">
      <alignment vertical="center" wrapText="1"/>
    </xf>
    <xf numFmtId="0" fontId="72" fillId="38" borderId="8" xfId="0" applyFont="1" applyFill="1" applyBorder="1" applyAlignment="1" applyProtection="1">
      <alignment horizontal="center" vertical="center" wrapText="1"/>
    </xf>
    <xf numFmtId="0" fontId="77" fillId="38" borderId="1" xfId="0" applyFont="1" applyFill="1" applyBorder="1" applyAlignment="1" applyProtection="1">
      <alignment horizontal="center" vertical="center" wrapText="1"/>
    </xf>
    <xf numFmtId="0" fontId="58" fillId="30" borderId="19" xfId="0" applyFont="1" applyFill="1" applyBorder="1" applyAlignment="1" applyProtection="1">
      <alignment horizontal="left" vertical="center"/>
    </xf>
    <xf numFmtId="0" fontId="58" fillId="30" borderId="4" xfId="0" applyFont="1" applyFill="1" applyBorder="1" applyAlignment="1" applyProtection="1">
      <alignment horizontal="left" vertical="center"/>
    </xf>
    <xf numFmtId="0" fontId="18" fillId="36" borderId="5" xfId="0" applyFont="1" applyFill="1" applyBorder="1" applyAlignment="1" applyProtection="1">
      <alignment horizontal="center" vertical="center" wrapText="1"/>
      <protection locked="0"/>
    </xf>
    <xf numFmtId="0" fontId="18" fillId="36" borderId="19" xfId="0" applyFont="1" applyFill="1" applyBorder="1" applyAlignment="1" applyProtection="1">
      <alignment horizontal="center" vertical="center" wrapText="1"/>
      <protection locked="0"/>
    </xf>
    <xf numFmtId="0" fontId="18" fillId="36" borderId="4" xfId="0" applyFont="1" applyFill="1" applyBorder="1" applyAlignment="1" applyProtection="1">
      <alignment horizontal="center" vertical="center" wrapText="1"/>
      <protection locked="0"/>
    </xf>
    <xf numFmtId="0" fontId="60" fillId="31" borderId="5" xfId="0" applyFont="1" applyFill="1" applyBorder="1" applyAlignment="1" applyProtection="1">
      <alignment horizontal="center" vertical="center" wrapText="1"/>
    </xf>
    <xf numFmtId="0" fontId="58" fillId="31" borderId="5" xfId="0" applyFont="1" applyFill="1" applyBorder="1" applyAlignment="1" applyProtection="1">
      <alignment vertical="center"/>
    </xf>
    <xf numFmtId="3" fontId="12" fillId="3" borderId="5" xfId="0" applyNumberFormat="1" applyFont="1" applyFill="1" applyBorder="1" applyAlignment="1" applyProtection="1">
      <protection locked="0"/>
    </xf>
    <xf numFmtId="0" fontId="12" fillId="0" borderId="1" xfId="0" applyFont="1" applyBorder="1" applyAlignment="1" applyProtection="1">
      <alignment horizontal="left" vertical="center" wrapText="1"/>
      <protection locked="0"/>
    </xf>
    <xf numFmtId="0" fontId="12" fillId="0" borderId="5" xfId="0" applyFont="1" applyBorder="1" applyAlignment="1" applyProtection="1">
      <alignment vertical="center" wrapText="1"/>
      <protection locked="0"/>
    </xf>
    <xf numFmtId="0" fontId="12" fillId="0" borderId="5" xfId="0" applyFont="1" applyBorder="1" applyAlignment="1" applyProtection="1">
      <alignment horizontal="left" vertical="center" wrapText="1"/>
      <protection locked="0"/>
    </xf>
    <xf numFmtId="0" fontId="12" fillId="0" borderId="4" xfId="0" applyFont="1" applyBorder="1" applyAlignment="1" applyProtection="1">
      <alignment horizontal="left" vertical="center" wrapText="1"/>
      <protection locked="0"/>
    </xf>
    <xf numFmtId="0" fontId="58" fillId="31" borderId="5" xfId="0" applyFont="1" applyFill="1" applyBorder="1" applyAlignment="1" applyProtection="1">
      <alignment vertical="center" wrapText="1"/>
    </xf>
    <xf numFmtId="0" fontId="58" fillId="31" borderId="1" xfId="0" applyFont="1" applyFill="1" applyBorder="1" applyAlignment="1" applyProtection="1">
      <alignment horizontal="center" vertical="center" wrapText="1"/>
    </xf>
    <xf numFmtId="0" fontId="12" fillId="0" borderId="1" xfId="0" applyFont="1" applyBorder="1" applyAlignment="1" applyProtection="1">
      <alignment vertical="center" wrapText="1"/>
    </xf>
    <xf numFmtId="169" fontId="12" fillId="0" borderId="1" xfId="0" applyNumberFormat="1" applyFont="1" applyBorder="1" applyAlignment="1" applyProtection="1">
      <alignment vertical="center" wrapText="1"/>
      <protection locked="0"/>
    </xf>
    <xf numFmtId="0" fontId="12" fillId="3" borderId="1" xfId="0" applyFont="1" applyFill="1" applyBorder="1" applyAlignment="1" applyProtection="1">
      <alignment horizontal="center" vertical="center" wrapText="1"/>
      <protection locked="0"/>
    </xf>
    <xf numFmtId="0" fontId="58" fillId="18" borderId="1" xfId="0" applyFont="1" applyFill="1" applyBorder="1" applyAlignment="1" applyProtection="1">
      <alignment horizontal="center" vertical="center" wrapText="1"/>
    </xf>
    <xf numFmtId="0" fontId="58" fillId="18" borderId="1" xfId="0" applyFont="1" applyFill="1" applyBorder="1" applyAlignment="1" applyProtection="1">
      <alignment horizontal="left" vertical="center" wrapText="1"/>
    </xf>
    <xf numFmtId="0" fontId="12" fillId="33" borderId="5" xfId="0" applyFont="1" applyFill="1" applyBorder="1" applyAlignment="1" applyProtection="1">
      <alignment horizontal="center" vertical="center" wrapText="1"/>
      <protection locked="0"/>
    </xf>
    <xf numFmtId="0" fontId="13" fillId="0" borderId="5" xfId="0" applyFont="1" applyBorder="1" applyAlignment="1" applyProtection="1">
      <alignment horizontal="left" vertical="center" wrapText="1"/>
      <protection locked="0"/>
    </xf>
    <xf numFmtId="0" fontId="13" fillId="0" borderId="4" xfId="0" applyFont="1" applyBorder="1" applyAlignment="1" applyProtection="1">
      <alignment horizontal="left" vertical="center" wrapText="1"/>
      <protection locked="0"/>
    </xf>
    <xf numFmtId="0" fontId="13" fillId="0" borderId="19" xfId="0" applyFont="1" applyBorder="1" applyAlignment="1" applyProtection="1">
      <alignment horizontal="left" vertical="center" wrapText="1"/>
      <protection locked="0"/>
    </xf>
    <xf numFmtId="0" fontId="13" fillId="0" borderId="5" xfId="0" applyFont="1" applyBorder="1" applyAlignment="1" applyProtection="1">
      <alignment vertical="center" wrapText="1"/>
      <protection locked="0"/>
    </xf>
    <xf numFmtId="0" fontId="13" fillId="33" borderId="5" xfId="0" applyFont="1" applyFill="1" applyBorder="1" applyAlignment="1" applyProtection="1">
      <alignment horizontal="center" vertical="center" wrapText="1"/>
      <protection locked="0"/>
    </xf>
    <xf numFmtId="0" fontId="13" fillId="0" borderId="1" xfId="0" applyFont="1" applyBorder="1" applyAlignment="1" applyProtection="1">
      <alignment vertical="center" wrapText="1"/>
    </xf>
    <xf numFmtId="0" fontId="13" fillId="0" borderId="1" xfId="0" applyFont="1" applyFill="1" applyBorder="1" applyAlignment="1" applyProtection="1">
      <alignment horizontal="left" vertical="center" wrapText="1" indent="1"/>
      <protection locked="0"/>
    </xf>
    <xf numFmtId="0" fontId="72" fillId="18" borderId="1" xfId="0" applyFont="1" applyFill="1" applyBorder="1" applyAlignment="1" applyProtection="1">
      <alignment horizontal="center" vertical="center" wrapText="1"/>
    </xf>
    <xf numFmtId="0" fontId="72" fillId="18" borderId="1" xfId="0" applyFont="1" applyFill="1" applyBorder="1" applyAlignment="1" applyProtection="1">
      <alignment horizontal="left" vertical="center" wrapText="1"/>
    </xf>
    <xf numFmtId="0" fontId="72" fillId="31" borderId="5" xfId="0" applyFont="1" applyFill="1" applyBorder="1" applyAlignment="1" applyProtection="1">
      <alignment vertical="center" wrapText="1"/>
    </xf>
    <xf numFmtId="0" fontId="72" fillId="31" borderId="1" xfId="0" applyFont="1" applyFill="1" applyBorder="1" applyAlignment="1" applyProtection="1">
      <alignment horizontal="center" vertical="center" wrapText="1"/>
    </xf>
    <xf numFmtId="0" fontId="74" fillId="36" borderId="5" xfId="0" applyFont="1" applyFill="1" applyBorder="1" applyAlignment="1" applyProtection="1">
      <alignment horizontal="center" vertical="center" wrapText="1"/>
      <protection locked="0"/>
    </xf>
    <xf numFmtId="0" fontId="74" fillId="36" borderId="19" xfId="0" applyFont="1" applyFill="1" applyBorder="1" applyAlignment="1" applyProtection="1">
      <alignment horizontal="center" vertical="center" wrapText="1"/>
      <protection locked="0"/>
    </xf>
    <xf numFmtId="0" fontId="74" fillId="36" borderId="4" xfId="0" applyFont="1" applyFill="1" applyBorder="1" applyAlignment="1" applyProtection="1">
      <alignment horizontal="center" vertical="center" wrapText="1"/>
      <protection locked="0"/>
    </xf>
    <xf numFmtId="0" fontId="77" fillId="31" borderId="5" xfId="0" applyFont="1" applyFill="1" applyBorder="1" applyAlignment="1" applyProtection="1">
      <alignment horizontal="center" vertical="center" wrapText="1"/>
    </xf>
    <xf numFmtId="0" fontId="72" fillId="31" borderId="5" xfId="0" applyFont="1" applyFill="1" applyBorder="1" applyAlignment="1" applyProtection="1">
      <alignment vertical="center"/>
    </xf>
    <xf numFmtId="3" fontId="76" fillId="3" borderId="5" xfId="0" applyNumberFormat="1" applyFont="1" applyFill="1" applyBorder="1" applyAlignment="1" applyProtection="1">
      <protection locked="0"/>
    </xf>
    <xf numFmtId="0" fontId="52" fillId="3" borderId="1" xfId="0" applyFont="1" applyFill="1" applyBorder="1" applyProtection="1">
      <protection locked="0"/>
    </xf>
    <xf numFmtId="0" fontId="60" fillId="13" borderId="5" xfId="0" applyFont="1" applyFill="1" applyBorder="1" applyAlignment="1" applyProtection="1">
      <alignment horizontal="center" vertical="center" wrapText="1"/>
    </xf>
    <xf numFmtId="0" fontId="18" fillId="3" borderId="5" xfId="0" applyFont="1" applyFill="1" applyBorder="1" applyAlignment="1" applyProtection="1">
      <alignment horizontal="center" vertical="center" wrapText="1"/>
    </xf>
    <xf numFmtId="0" fontId="18" fillId="3" borderId="19" xfId="0" applyFont="1" applyFill="1" applyBorder="1" applyAlignment="1" applyProtection="1">
      <alignment horizontal="center" vertical="center" wrapText="1"/>
    </xf>
    <xf numFmtId="0" fontId="18" fillId="3" borderId="4" xfId="0" applyFont="1" applyFill="1" applyBorder="1" applyAlignment="1" applyProtection="1">
      <alignment horizontal="center" vertical="center" wrapText="1"/>
    </xf>
    <xf numFmtId="0" fontId="12" fillId="0" borderId="1" xfId="0" applyFont="1" applyBorder="1" applyAlignment="1" applyProtection="1">
      <alignment horizontal="center" vertical="center" wrapText="1"/>
      <protection locked="0"/>
    </xf>
    <xf numFmtId="0" fontId="12" fillId="33" borderId="1" xfId="0"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xf>
    <xf numFmtId="0" fontId="77" fillId="13" borderId="5" xfId="0" applyFont="1" applyFill="1" applyBorder="1" applyAlignment="1" applyProtection="1">
      <alignment horizontal="center" vertical="center" wrapText="1"/>
    </xf>
    <xf numFmtId="0" fontId="13" fillId="0" borderId="1" xfId="0" applyFont="1" applyBorder="1" applyAlignment="1" applyProtection="1">
      <alignment vertical="center" wrapText="1"/>
      <protection locked="0"/>
    </xf>
    <xf numFmtId="0" fontId="58" fillId="31" borderId="5" xfId="9" applyFont="1" applyFill="1" applyBorder="1" applyAlignment="1" applyProtection="1">
      <alignment vertical="center" wrapText="1"/>
    </xf>
    <xf numFmtId="0" fontId="58" fillId="31" borderId="1" xfId="9" applyFont="1" applyFill="1" applyBorder="1" applyAlignment="1" applyProtection="1">
      <alignment horizontal="center" vertical="center" wrapText="1"/>
    </xf>
    <xf numFmtId="0" fontId="12" fillId="0" borderId="1" xfId="0" applyFont="1" applyFill="1" applyBorder="1" applyAlignment="1" applyProtection="1">
      <alignment horizontal="center" vertical="center" wrapText="1"/>
      <protection locked="0"/>
    </xf>
    <xf numFmtId="0" fontId="13" fillId="0" borderId="5" xfId="9" applyFont="1" applyBorder="1" applyAlignment="1" applyProtection="1">
      <alignment vertical="center" wrapText="1"/>
      <protection locked="0"/>
    </xf>
    <xf numFmtId="0" fontId="58" fillId="18" borderId="1" xfId="9" applyFont="1" applyFill="1" applyBorder="1" applyAlignment="1" applyProtection="1">
      <alignment horizontal="left" vertical="center" wrapText="1"/>
    </xf>
    <xf numFmtId="0" fontId="60" fillId="31" borderId="5" xfId="9" applyFont="1" applyFill="1" applyBorder="1" applyAlignment="1" applyProtection="1">
      <alignment horizontal="center" vertical="center" wrapText="1"/>
    </xf>
    <xf numFmtId="0" fontId="77" fillId="31" borderId="5" xfId="9" applyFont="1" applyFill="1" applyBorder="1" applyAlignment="1" applyProtection="1">
      <alignment horizontal="center" vertical="center" wrapText="1"/>
    </xf>
    <xf numFmtId="0" fontId="75" fillId="0" borderId="5" xfId="9" applyFont="1" applyBorder="1" applyAlignment="1" applyProtection="1">
      <alignment vertical="center" wrapText="1"/>
      <protection locked="0"/>
    </xf>
    <xf numFmtId="0" fontId="72" fillId="31" borderId="5" xfId="9" applyFont="1" applyFill="1" applyBorder="1" applyAlignment="1" applyProtection="1">
      <alignment vertical="center" wrapText="1"/>
    </xf>
    <xf numFmtId="0" fontId="72" fillId="31" borderId="1" xfId="9" applyFont="1" applyFill="1" applyBorder="1" applyAlignment="1" applyProtection="1">
      <alignment horizontal="center" vertical="center" wrapText="1"/>
    </xf>
    <xf numFmtId="0" fontId="72" fillId="18" borderId="1" xfId="9" applyFont="1" applyFill="1" applyBorder="1" applyAlignment="1" applyProtection="1">
      <alignment horizontal="left" vertical="center" wrapText="1"/>
    </xf>
    <xf numFmtId="3" fontId="12" fillId="3" borderId="5" xfId="0" applyNumberFormat="1" applyFont="1" applyFill="1" applyBorder="1" applyProtection="1">
      <protection locked="0"/>
    </xf>
    <xf numFmtId="3" fontId="12" fillId="3" borderId="14" xfId="0" applyNumberFormat="1" applyFont="1" applyFill="1" applyBorder="1" applyAlignment="1" applyProtection="1"/>
    <xf numFmtId="0" fontId="60" fillId="38" borderId="5" xfId="0" applyFont="1" applyFill="1" applyBorder="1" applyAlignment="1" applyProtection="1">
      <alignment horizontal="center" vertical="center" wrapText="1"/>
      <protection locked="0"/>
    </xf>
    <xf numFmtId="3" fontId="12" fillId="3" borderId="14" xfId="0" applyNumberFormat="1" applyFont="1" applyFill="1" applyBorder="1" applyAlignment="1" applyProtection="1">
      <protection locked="0"/>
    </xf>
    <xf numFmtId="3" fontId="12" fillId="3" borderId="5" xfId="0" applyNumberFormat="1" applyFont="1" applyFill="1" applyBorder="1" applyAlignment="1" applyProtection="1"/>
    <xf numFmtId="0" fontId="13" fillId="0" borderId="1" xfId="0" applyFont="1" applyFill="1" applyBorder="1" applyAlignment="1" applyProtection="1">
      <alignment horizontal="center" vertical="center" wrapText="1"/>
      <protection locked="0"/>
    </xf>
    <xf numFmtId="169" fontId="12" fillId="0" borderId="1" xfId="0" applyNumberFormat="1" applyFont="1" applyBorder="1" applyAlignment="1" applyProtection="1">
      <alignment vertical="center" wrapText="1"/>
    </xf>
    <xf numFmtId="0" fontId="12" fillId="0" borderId="1" xfId="0" applyFont="1" applyBorder="1" applyAlignment="1" applyProtection="1">
      <alignment horizontal="center" vertical="center" wrapText="1"/>
    </xf>
    <xf numFmtId="0" fontId="12" fillId="0" borderId="5" xfId="0" applyFont="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xf>
    <xf numFmtId="0" fontId="12" fillId="0" borderId="1" xfId="0" applyFont="1" applyBorder="1" applyAlignment="1" applyProtection="1">
      <alignment horizontal="center"/>
    </xf>
    <xf numFmtId="0" fontId="72" fillId="38" borderId="5" xfId="0" applyFont="1" applyFill="1" applyBorder="1" applyAlignment="1" applyProtection="1">
      <alignment vertical="center" wrapText="1"/>
    </xf>
    <xf numFmtId="0" fontId="72" fillId="38" borderId="1" xfId="0" applyFont="1" applyFill="1" applyBorder="1" applyAlignment="1" applyProtection="1">
      <alignment horizontal="center" vertical="center" wrapText="1"/>
    </xf>
    <xf numFmtId="0" fontId="75" fillId="0" borderId="1" xfId="0" applyFont="1" applyBorder="1" applyAlignment="1" applyProtection="1">
      <alignment horizontal="center"/>
    </xf>
    <xf numFmtId="0" fontId="12" fillId="0" borderId="1" xfId="0" applyFont="1" applyBorder="1" applyAlignment="1" applyProtection="1">
      <alignment horizontal="left" vertical="center" wrapText="1"/>
    </xf>
    <xf numFmtId="0" fontId="72" fillId="38" borderId="5" xfId="0" applyFont="1" applyFill="1" applyBorder="1" applyAlignment="1" applyProtection="1">
      <alignment vertical="center"/>
    </xf>
    <xf numFmtId="0" fontId="77" fillId="38" borderId="5" xfId="0" applyFont="1" applyFill="1" applyBorder="1" applyAlignment="1" applyProtection="1">
      <alignment horizontal="center" vertical="center" wrapText="1"/>
    </xf>
    <xf numFmtId="0" fontId="12" fillId="0" borderId="5" xfId="0" quotePrefix="1" applyFont="1" applyBorder="1" applyAlignment="1" applyProtection="1">
      <alignment vertical="center" wrapText="1"/>
      <protection locked="0"/>
    </xf>
    <xf numFmtId="169" fontId="52" fillId="0" borderId="1" xfId="0" applyNumberFormat="1" applyFont="1" applyBorder="1" applyAlignment="1" applyProtection="1">
      <alignment vertical="center" wrapText="1"/>
      <protection locked="0"/>
    </xf>
    <xf numFmtId="0" fontId="13" fillId="0" borderId="31" xfId="0" applyFont="1" applyBorder="1" applyAlignment="1">
      <alignment horizontal="left" vertical="center" wrapText="1"/>
    </xf>
    <xf numFmtId="0" fontId="20" fillId="0" borderId="6" xfId="0" applyFont="1" applyBorder="1" applyAlignment="1">
      <alignment horizontal="left" vertical="center" wrapText="1"/>
    </xf>
    <xf numFmtId="0" fontId="0" fillId="12" borderId="0" xfId="0" applyFont="1" applyFill="1" applyAlignment="1">
      <alignment horizontal="left" vertical="center"/>
    </xf>
    <xf numFmtId="0" fontId="12" fillId="3" borderId="1" xfId="0" applyFont="1" applyFill="1" applyBorder="1" applyAlignment="1" applyProtection="1">
      <alignment horizontal="center" vertical="center" wrapText="1"/>
      <protection locked="0"/>
    </xf>
    <xf numFmtId="0" fontId="66" fillId="3" borderId="0" xfId="0" applyFont="1" applyFill="1" applyBorder="1" applyAlignment="1">
      <alignment horizontal="left" vertical="center" indent="1"/>
    </xf>
    <xf numFmtId="0" fontId="89" fillId="37" borderId="0" xfId="0" applyFont="1" applyFill="1" applyAlignment="1">
      <alignment horizontal="center" vertical="top"/>
    </xf>
    <xf numFmtId="0" fontId="5" fillId="3" borderId="0" xfId="0" applyFont="1" applyFill="1"/>
    <xf numFmtId="0" fontId="5" fillId="37" borderId="0" xfId="0" applyFont="1" applyFill="1"/>
    <xf numFmtId="9" fontId="12" fillId="3" borderId="1" xfId="2" applyFont="1" applyFill="1" applyBorder="1" applyAlignment="1" applyProtection="1">
      <alignment horizontal="center" vertical="center" wrapText="1"/>
      <protection locked="0"/>
    </xf>
    <xf numFmtId="0" fontId="1" fillId="3" borderId="0" xfId="0" applyFont="1" applyFill="1" applyAlignment="1">
      <alignment horizontal="left" vertical="center"/>
    </xf>
    <xf numFmtId="0" fontId="66" fillId="3" borderId="0" xfId="0" applyFont="1" applyFill="1" applyAlignment="1">
      <alignment horizontal="left" vertical="center" indent="1"/>
    </xf>
    <xf numFmtId="0" fontId="5" fillId="28" borderId="4" xfId="0" applyFont="1" applyFill="1" applyBorder="1" applyAlignment="1">
      <alignment horizontal="left"/>
    </xf>
    <xf numFmtId="0" fontId="5" fillId="28" borderId="1" xfId="0" applyFont="1" applyFill="1" applyBorder="1" applyAlignment="1">
      <alignment horizontal="left"/>
    </xf>
    <xf numFmtId="0" fontId="5" fillId="28" borderId="5" xfId="0" applyFont="1" applyFill="1" applyBorder="1" applyAlignment="1">
      <alignment vertical="center" wrapText="1"/>
    </xf>
    <xf numFmtId="172" fontId="5" fillId="28" borderId="1" xfId="2" applyNumberFormat="1" applyFont="1" applyFill="1" applyBorder="1" applyAlignment="1">
      <alignment horizontal="center" vertical="center" wrapText="1"/>
    </xf>
    <xf numFmtId="0" fontId="5" fillId="0" borderId="1" xfId="0" applyFont="1" applyBorder="1" applyAlignment="1">
      <alignment horizontal="left" vertical="center"/>
    </xf>
    <xf numFmtId="169" fontId="5" fillId="28" borderId="1" xfId="1" applyNumberFormat="1" applyFont="1" applyFill="1" applyBorder="1" applyAlignment="1">
      <alignment horizontal="center" vertical="center" wrapText="1"/>
    </xf>
    <xf numFmtId="0" fontId="48" fillId="28" borderId="5" xfId="6" applyFont="1" applyFill="1" applyBorder="1" applyAlignment="1">
      <alignment vertical="center" wrapText="1"/>
    </xf>
    <xf numFmtId="0" fontId="5" fillId="0" borderId="1" xfId="2" applyNumberFormat="1" applyFont="1" applyFill="1" applyBorder="1" applyAlignment="1">
      <alignment horizontal="center" vertical="center" wrapText="1"/>
    </xf>
    <xf numFmtId="0" fontId="48" fillId="0" borderId="5" xfId="6" applyFont="1" applyFill="1" applyBorder="1" applyAlignment="1">
      <alignment vertical="center" wrapText="1"/>
    </xf>
    <xf numFmtId="0" fontId="5" fillId="0" borderId="14" xfId="6" applyFont="1" applyFill="1" applyBorder="1" applyAlignment="1">
      <alignment vertical="center" wrapText="1"/>
    </xf>
    <xf numFmtId="6" fontId="0" fillId="12" borderId="0" xfId="0" applyNumberFormat="1" applyFont="1" applyFill="1" applyAlignment="1">
      <alignment horizontal="center" vertical="center"/>
    </xf>
    <xf numFmtId="0" fontId="93" fillId="3" borderId="0" xfId="6" applyFont="1" applyFill="1" applyAlignment="1">
      <alignment horizontal="center" wrapText="1"/>
    </xf>
    <xf numFmtId="0" fontId="51" fillId="3" borderId="0" xfId="0" applyFont="1" applyFill="1" applyAlignment="1">
      <alignment vertical="top" wrapText="1"/>
    </xf>
    <xf numFmtId="2" fontId="24" fillId="10" borderId="0" xfId="0" applyNumberFormat="1" applyFont="1" applyFill="1" applyAlignment="1" applyProtection="1">
      <alignment horizontal="center" vertical="center" wrapText="1"/>
    </xf>
    <xf numFmtId="0" fontId="58" fillId="18" borderId="1" xfId="0" applyFont="1" applyFill="1" applyBorder="1" applyAlignment="1" applyProtection="1">
      <alignment horizontal="center" vertical="center" wrapText="1"/>
    </xf>
    <xf numFmtId="0" fontId="58" fillId="18" borderId="1" xfId="0" applyFont="1" applyFill="1" applyBorder="1" applyAlignment="1" applyProtection="1">
      <alignment horizontal="left" vertical="center" wrapText="1"/>
    </xf>
    <xf numFmtId="0" fontId="58" fillId="31" borderId="5" xfId="0" applyFont="1" applyFill="1" applyBorder="1" applyAlignment="1" applyProtection="1">
      <alignment vertical="center" wrapText="1"/>
    </xf>
    <xf numFmtId="0" fontId="58" fillId="31" borderId="1" xfId="0" applyFont="1" applyFill="1" applyBorder="1" applyAlignment="1" applyProtection="1">
      <alignment horizontal="center" vertical="center" wrapText="1"/>
    </xf>
    <xf numFmtId="0" fontId="12" fillId="0" borderId="1" xfId="0" applyFont="1" applyBorder="1" applyAlignment="1" applyProtection="1">
      <alignment vertical="center" wrapText="1"/>
    </xf>
    <xf numFmtId="0" fontId="60" fillId="31" borderId="5" xfId="0" applyFont="1" applyFill="1" applyBorder="1" applyAlignment="1" applyProtection="1">
      <alignment horizontal="center" vertical="center" wrapText="1"/>
    </xf>
    <xf numFmtId="0" fontId="58" fillId="31" borderId="5" xfId="0" applyFont="1" applyFill="1" applyBorder="1" applyAlignment="1" applyProtection="1">
      <alignment vertical="center"/>
    </xf>
    <xf numFmtId="0" fontId="18" fillId="3" borderId="5" xfId="0" applyFont="1" applyFill="1" applyBorder="1" applyAlignment="1" applyProtection="1">
      <alignment horizontal="center" vertical="center" wrapText="1"/>
    </xf>
    <xf numFmtId="3" fontId="12" fillId="3" borderId="5" xfId="0" applyNumberFormat="1" applyFont="1" applyFill="1" applyBorder="1" applyAlignment="1" applyProtection="1"/>
    <xf numFmtId="0" fontId="12" fillId="0" borderId="1" xfId="0" applyFont="1" applyBorder="1" applyAlignment="1" applyProtection="1">
      <alignment horizontal="center"/>
    </xf>
    <xf numFmtId="169" fontId="12" fillId="0" borderId="1" xfId="0" applyNumberFormat="1" applyFont="1" applyBorder="1" applyAlignment="1" applyProtection="1">
      <alignment vertical="center" wrapText="1"/>
    </xf>
    <xf numFmtId="0" fontId="12" fillId="0" borderId="1" xfId="0" applyFont="1" applyBorder="1" applyAlignment="1" applyProtection="1">
      <alignment horizontal="center" vertical="center" wrapText="1"/>
    </xf>
    <xf numFmtId="0" fontId="12" fillId="33" borderId="1" xfId="0" applyFont="1" applyFill="1" applyBorder="1" applyAlignment="1" applyProtection="1">
      <alignment horizontal="center" vertical="center" wrapText="1"/>
    </xf>
    <xf numFmtId="14" fontId="12" fillId="33" borderId="1" xfId="0" applyNumberFormat="1" applyFont="1" applyFill="1" applyBorder="1" applyAlignment="1" applyProtection="1">
      <alignment horizontal="center" vertical="center" wrapText="1"/>
    </xf>
    <xf numFmtId="169" fontId="12" fillId="33" borderId="1" xfId="0" applyNumberFormat="1" applyFont="1" applyFill="1" applyBorder="1" applyAlignment="1" applyProtection="1">
      <alignment horizontal="center" vertical="center" wrapText="1"/>
    </xf>
    <xf numFmtId="7" fontId="13" fillId="33" borderId="1" xfId="3" applyNumberFormat="1" applyFont="1" applyFill="1" applyBorder="1" applyAlignment="1" applyProtection="1">
      <alignment horizontal="center" vertical="center" wrapText="1"/>
    </xf>
    <xf numFmtId="168" fontId="13" fillId="36" borderId="1" xfId="0" applyNumberFormat="1" applyFont="1" applyFill="1" applyBorder="1" applyAlignment="1" applyProtection="1">
      <alignment horizontal="center"/>
    </xf>
    <xf numFmtId="1" fontId="13" fillId="36" borderId="1" xfId="0" applyNumberFormat="1" applyFont="1" applyFill="1" applyBorder="1" applyAlignment="1" applyProtection="1">
      <alignment horizontal="center"/>
    </xf>
    <xf numFmtId="0" fontId="13" fillId="36" borderId="1" xfId="0" applyFont="1" applyFill="1" applyBorder="1" applyAlignment="1" applyProtection="1">
      <alignment horizontal="center"/>
    </xf>
    <xf numFmtId="9" fontId="12" fillId="0" borderId="1" xfId="0" applyNumberFormat="1" applyFont="1" applyBorder="1" applyAlignment="1" applyProtection="1">
      <alignment horizontal="center" vertical="center" wrapText="1"/>
    </xf>
    <xf numFmtId="168" fontId="12" fillId="0" borderId="1" xfId="0" applyNumberFormat="1" applyFont="1" applyBorder="1" applyAlignment="1" applyProtection="1">
      <alignment horizontal="center" vertical="center" wrapText="1"/>
    </xf>
    <xf numFmtId="0" fontId="13" fillId="0" borderId="1" xfId="2" applyNumberFormat="1" applyFont="1" applyBorder="1" applyAlignment="1" applyProtection="1">
      <alignment horizontal="center" vertical="center" wrapText="1"/>
    </xf>
    <xf numFmtId="9" fontId="13" fillId="0" borderId="1" xfId="2" applyFont="1" applyBorder="1" applyAlignment="1" applyProtection="1">
      <alignment horizontal="center" vertical="center" wrapText="1"/>
    </xf>
    <xf numFmtId="186" fontId="13" fillId="3" borderId="5" xfId="0" applyNumberFormat="1" applyFont="1" applyFill="1" applyBorder="1" applyAlignment="1" applyProtection="1">
      <alignment horizontal="center"/>
    </xf>
    <xf numFmtId="0" fontId="7" fillId="0" borderId="0" xfId="0" applyFont="1" applyFill="1" applyAlignment="1" applyProtection="1">
      <alignment wrapText="1"/>
    </xf>
    <xf numFmtId="2" fontId="14" fillId="10" borderId="0" xfId="0" applyNumberFormat="1" applyFont="1" applyFill="1" applyAlignment="1" applyProtection="1">
      <alignment horizontal="center" vertical="center" wrapText="1"/>
    </xf>
    <xf numFmtId="0" fontId="7" fillId="0" borderId="0" xfId="0" applyFont="1" applyFill="1" applyAlignment="1" applyProtection="1">
      <alignment horizontal="center"/>
    </xf>
    <xf numFmtId="0" fontId="56" fillId="0" borderId="0" xfId="6" applyAlignment="1" applyProtection="1">
      <alignment horizontal="left"/>
    </xf>
    <xf numFmtId="0" fontId="7" fillId="0" borderId="0" xfId="0" applyFont="1" applyAlignment="1" applyProtection="1"/>
    <xf numFmtId="0" fontId="24" fillId="0" borderId="0" xfId="0" applyFont="1" applyAlignment="1" applyProtection="1">
      <alignment horizontal="left"/>
    </xf>
    <xf numFmtId="0" fontId="7" fillId="0" borderId="0" xfId="0" applyFont="1" applyAlignment="1" applyProtection="1">
      <alignment horizontal="left"/>
    </xf>
    <xf numFmtId="169" fontId="23" fillId="24" borderId="0" xfId="0" applyNumberFormat="1" applyFont="1" applyFill="1" applyAlignment="1" applyProtection="1">
      <alignment horizontal="center" vertical="center"/>
    </xf>
    <xf numFmtId="0" fontId="24" fillId="24" borderId="0" xfId="0" applyFont="1" applyFill="1" applyAlignment="1" applyProtection="1">
      <alignment horizontal="left" vertical="center"/>
    </xf>
    <xf numFmtId="0" fontId="23" fillId="24" borderId="0" xfId="0" applyFont="1" applyFill="1" applyAlignment="1" applyProtection="1">
      <alignment horizontal="left" vertical="center"/>
    </xf>
    <xf numFmtId="8" fontId="7" fillId="9" borderId="0" xfId="0" applyNumberFormat="1" applyFont="1" applyFill="1" applyAlignment="1" applyProtection="1"/>
    <xf numFmtId="1" fontId="24" fillId="0" borderId="0" xfId="0" applyNumberFormat="1" applyFont="1" applyAlignment="1" applyProtection="1"/>
    <xf numFmtId="187" fontId="24" fillId="0" borderId="0" xfId="0" applyNumberFormat="1" applyFont="1" applyAlignment="1" applyProtection="1"/>
    <xf numFmtId="187" fontId="7" fillId="0" borderId="0" xfId="0" applyNumberFormat="1" applyFont="1" applyAlignment="1" applyProtection="1"/>
    <xf numFmtId="6" fontId="7" fillId="0" borderId="0" xfId="0" applyNumberFormat="1" applyFont="1" applyAlignment="1" applyProtection="1"/>
    <xf numFmtId="169" fontId="24" fillId="6" borderId="0" xfId="0" applyNumberFormat="1" applyFont="1" applyFill="1" applyAlignment="1" applyProtection="1">
      <alignment horizontal="center"/>
    </xf>
    <xf numFmtId="8" fontId="7" fillId="6" borderId="0" xfId="0" applyNumberFormat="1" applyFont="1" applyFill="1" applyAlignment="1" applyProtection="1">
      <alignment horizontal="center"/>
    </xf>
    <xf numFmtId="6" fontId="7" fillId="6" borderId="0" xfId="0" applyNumberFormat="1" applyFont="1" applyFill="1" applyAlignment="1" applyProtection="1"/>
    <xf numFmtId="0" fontId="7" fillId="0" borderId="0" xfId="0" applyFont="1" applyFill="1" applyAlignment="1" applyProtection="1"/>
    <xf numFmtId="0" fontId="24" fillId="0" borderId="0" xfId="0" applyFont="1" applyAlignment="1" applyProtection="1">
      <alignment horizontal="center"/>
    </xf>
    <xf numFmtId="0" fontId="7" fillId="0" borderId="0" xfId="0" applyFont="1" applyAlignment="1" applyProtection="1">
      <alignment horizontal="center"/>
    </xf>
    <xf numFmtId="169" fontId="24" fillId="24" borderId="0" xfId="0" applyNumberFormat="1" applyFont="1" applyFill="1" applyAlignment="1" applyProtection="1">
      <alignment horizontal="center" vertical="center"/>
    </xf>
    <xf numFmtId="169" fontId="55" fillId="24" borderId="0" xfId="0" applyNumberFormat="1" applyFont="1" applyFill="1" applyAlignment="1" applyProtection="1">
      <alignment horizontal="center" vertical="center"/>
    </xf>
    <xf numFmtId="0" fontId="54" fillId="24" borderId="0" xfId="0" applyFont="1" applyFill="1" applyAlignment="1" applyProtection="1">
      <alignment horizontal="left" vertical="center"/>
    </xf>
    <xf numFmtId="169" fontId="53" fillId="24" borderId="0" xfId="0" applyNumberFormat="1" applyFont="1" applyFill="1" applyAlignment="1" applyProtection="1">
      <alignment horizontal="center" vertical="center"/>
    </xf>
    <xf numFmtId="0" fontId="23" fillId="0" borderId="0" xfId="0" applyFont="1" applyAlignment="1" applyProtection="1"/>
    <xf numFmtId="0" fontId="7" fillId="24" borderId="0" xfId="0" applyFont="1" applyFill="1" applyAlignment="1" applyProtection="1">
      <alignment horizontal="left" vertical="center"/>
    </xf>
    <xf numFmtId="0" fontId="24" fillId="0" borderId="0" xfId="0" applyFont="1" applyFill="1" applyAlignment="1" applyProtection="1">
      <alignment horizontal="center"/>
    </xf>
    <xf numFmtId="0" fontId="24" fillId="24" borderId="0" xfId="0" applyFont="1" applyFill="1" applyAlignment="1" applyProtection="1">
      <alignment horizontal="left"/>
    </xf>
    <xf numFmtId="0" fontId="7" fillId="0" borderId="0" xfId="0" applyFont="1" applyFill="1" applyAlignment="1" applyProtection="1">
      <alignment horizontal="left"/>
    </xf>
    <xf numFmtId="0" fontId="0" fillId="0" borderId="0" xfId="0" applyAlignment="1" applyProtection="1">
      <alignment horizontal="center"/>
    </xf>
    <xf numFmtId="2" fontId="7" fillId="0" borderId="0" xfId="0" applyNumberFormat="1" applyFont="1" applyFill="1" applyAlignment="1" applyProtection="1">
      <alignment horizontal="left"/>
    </xf>
    <xf numFmtId="0" fontId="7" fillId="0" borderId="0" xfId="0" applyFont="1" applyFill="1" applyAlignment="1" applyProtection="1">
      <alignment horizontal="center" vertical="center"/>
    </xf>
    <xf numFmtId="0" fontId="7" fillId="0" borderId="0" xfId="0" applyFont="1" applyFill="1" applyAlignment="1" applyProtection="1">
      <alignment horizontal="left" vertical="center"/>
    </xf>
    <xf numFmtId="2" fontId="7" fillId="0" borderId="0" xfId="0" applyNumberFormat="1" applyFont="1" applyFill="1" applyAlignment="1" applyProtection="1"/>
    <xf numFmtId="1" fontId="7" fillId="0" borderId="0" xfId="0" applyNumberFormat="1" applyFont="1" applyFill="1" applyAlignment="1" applyProtection="1">
      <alignment horizontal="center"/>
    </xf>
    <xf numFmtId="168" fontId="7" fillId="0" borderId="0" xfId="0" applyNumberFormat="1" applyFont="1" applyFill="1" applyAlignment="1" applyProtection="1">
      <alignment horizontal="center"/>
    </xf>
    <xf numFmtId="2" fontId="7" fillId="0" borderId="0" xfId="0" applyNumberFormat="1" applyFont="1" applyFill="1" applyAlignment="1" applyProtection="1">
      <alignment horizontal="center"/>
    </xf>
    <xf numFmtId="0" fontId="0" fillId="12" borderId="0" xfId="0" applyFont="1" applyFill="1" applyAlignment="1">
      <alignment horizontal="left"/>
    </xf>
    <xf numFmtId="0" fontId="0" fillId="12" borderId="0" xfId="0" applyFill="1" applyAlignment="1">
      <alignment horizontal="left" vertical="top" wrapText="1"/>
    </xf>
    <xf numFmtId="0" fontId="0" fillId="3" borderId="0" xfId="0" applyFont="1" applyFill="1" applyAlignment="1">
      <alignment horizontal="left" vertical="top" wrapText="1"/>
    </xf>
    <xf numFmtId="0" fontId="87" fillId="37" borderId="0" xfId="0" applyFont="1" applyFill="1" applyAlignment="1">
      <alignment horizontal="center" vertical="center"/>
    </xf>
    <xf numFmtId="0" fontId="5" fillId="3" borderId="0" xfId="0" applyFont="1" applyFill="1" applyAlignment="1">
      <alignment horizontal="left" vertical="top" wrapText="1" indent="1"/>
    </xf>
    <xf numFmtId="0" fontId="0" fillId="12" borderId="0" xfId="0" applyFill="1" applyAlignment="1">
      <alignment horizontal="left" vertical="center" wrapText="1" indent="1"/>
    </xf>
    <xf numFmtId="0" fontId="0" fillId="3" borderId="0" xfId="0" applyFill="1" applyAlignment="1">
      <alignment horizontal="left" wrapText="1"/>
    </xf>
    <xf numFmtId="0" fontId="90" fillId="37" borderId="71" xfId="0" applyFont="1" applyFill="1" applyBorder="1" applyAlignment="1">
      <alignment horizontal="left" vertical="center" wrapText="1" indent="2"/>
    </xf>
    <xf numFmtId="0" fontId="90" fillId="37" borderId="74" xfId="0" applyFont="1" applyFill="1" applyBorder="1" applyAlignment="1">
      <alignment horizontal="left" vertical="center" wrapText="1" indent="2"/>
    </xf>
    <xf numFmtId="0" fontId="90" fillId="37" borderId="75" xfId="0" applyFont="1" applyFill="1" applyBorder="1" applyAlignment="1">
      <alignment horizontal="left" vertical="center" wrapText="1" indent="2"/>
    </xf>
    <xf numFmtId="0" fontId="86" fillId="3" borderId="0" xfId="0" applyFont="1" applyFill="1" applyAlignment="1">
      <alignment horizontal="left" vertical="top" wrapText="1" indent="1"/>
    </xf>
    <xf numFmtId="0" fontId="37" fillId="20" borderId="0" xfId="0" applyFont="1" applyFill="1" applyAlignment="1" applyProtection="1">
      <alignment horizontal="center" vertical="center" wrapText="1"/>
    </xf>
    <xf numFmtId="0" fontId="37" fillId="27" borderId="0" xfId="0" applyFont="1" applyFill="1" applyAlignment="1" applyProtection="1">
      <alignment horizontal="center" vertical="center" wrapText="1"/>
    </xf>
    <xf numFmtId="2" fontId="37" fillId="7" borderId="0" xfId="0" applyNumberFormat="1" applyFont="1" applyFill="1" applyAlignment="1" applyProtection="1">
      <alignment horizontal="center" wrapText="1"/>
    </xf>
    <xf numFmtId="0" fontId="37" fillId="17" borderId="0" xfId="0" applyFont="1" applyFill="1" applyAlignment="1" applyProtection="1">
      <alignment horizontal="center" vertical="center" wrapText="1"/>
    </xf>
    <xf numFmtId="2" fontId="38" fillId="2" borderId="0" xfId="0" applyNumberFormat="1" applyFont="1" applyFill="1" applyAlignment="1" applyProtection="1">
      <alignment horizontal="center" vertical="center" wrapText="1"/>
    </xf>
    <xf numFmtId="2" fontId="24" fillId="10" borderId="0" xfId="0" applyNumberFormat="1" applyFont="1" applyFill="1" applyAlignment="1" applyProtection="1">
      <alignment horizontal="center" vertical="center" wrapText="1"/>
    </xf>
    <xf numFmtId="2" fontId="37" fillId="11" borderId="0" xfId="0" applyNumberFormat="1" applyFont="1" applyFill="1" applyAlignment="1" applyProtection="1">
      <alignment horizontal="center" wrapText="1"/>
    </xf>
    <xf numFmtId="0" fontId="13" fillId="0" borderId="5" xfId="0" applyFont="1" applyBorder="1" applyAlignment="1" applyProtection="1">
      <alignment horizontal="left" vertical="center" wrapText="1"/>
    </xf>
    <xf numFmtId="0" fontId="13" fillId="0" borderId="4" xfId="0" applyFont="1" applyBorder="1" applyAlignment="1" applyProtection="1">
      <alignment horizontal="left" vertical="center" wrapText="1"/>
    </xf>
    <xf numFmtId="0" fontId="13" fillId="0" borderId="19" xfId="0" applyFont="1" applyBorder="1" applyAlignment="1" applyProtection="1">
      <alignment horizontal="left" vertical="center" wrapText="1"/>
    </xf>
    <xf numFmtId="0" fontId="13" fillId="0" borderId="5" xfId="0" applyFont="1" applyBorder="1" applyAlignment="1" applyProtection="1">
      <alignment vertical="center" wrapText="1"/>
    </xf>
    <xf numFmtId="0" fontId="13" fillId="0" borderId="19" xfId="0" applyFont="1" applyBorder="1" applyAlignment="1" applyProtection="1">
      <alignment vertical="center" wrapText="1"/>
    </xf>
    <xf numFmtId="0" fontId="13" fillId="0" borderId="4" xfId="0" applyFont="1" applyBorder="1" applyAlignment="1" applyProtection="1">
      <alignment vertical="center" wrapText="1"/>
    </xf>
    <xf numFmtId="0" fontId="58" fillId="18" borderId="1" xfId="0" applyFont="1" applyFill="1" applyBorder="1" applyAlignment="1" applyProtection="1">
      <alignment vertical="center" wrapText="1"/>
    </xf>
    <xf numFmtId="169" fontId="12" fillId="0" borderId="1" xfId="0" applyNumberFormat="1" applyFont="1" applyBorder="1" applyAlignment="1" applyProtection="1">
      <alignment vertical="center" wrapText="1"/>
    </xf>
    <xf numFmtId="0" fontId="12" fillId="3" borderId="1" xfId="0" applyFont="1" applyFill="1" applyBorder="1" applyAlignment="1" applyProtection="1">
      <alignment horizontal="center" vertical="center" wrapText="1"/>
    </xf>
    <xf numFmtId="0" fontId="58" fillId="18" borderId="1" xfId="0" applyFont="1" applyFill="1" applyBorder="1" applyAlignment="1" applyProtection="1">
      <alignment horizontal="center" vertical="center" wrapText="1"/>
    </xf>
    <xf numFmtId="0" fontId="12" fillId="32" borderId="1" xfId="0" applyFont="1" applyFill="1" applyBorder="1" applyAlignment="1" applyProtection="1">
      <alignment horizontal="center" vertical="center" wrapText="1"/>
    </xf>
    <xf numFmtId="0" fontId="58" fillId="18" borderId="1" xfId="0" applyFont="1" applyFill="1" applyBorder="1" applyAlignment="1" applyProtection="1">
      <alignment horizontal="left" vertical="center" wrapText="1"/>
    </xf>
    <xf numFmtId="0" fontId="71" fillId="0" borderId="9" xfId="0" applyFont="1" applyBorder="1" applyAlignment="1" applyProtection="1">
      <alignment horizontal="left" vertical="center" wrapText="1" indent="1"/>
    </xf>
    <xf numFmtId="0" fontId="12" fillId="33" borderId="5" xfId="0" applyFont="1" applyFill="1" applyBorder="1" applyAlignment="1" applyProtection="1">
      <alignment horizontal="center" vertical="center" wrapText="1"/>
    </xf>
    <xf numFmtId="0" fontId="12" fillId="33" borderId="19" xfId="0" applyFont="1" applyFill="1" applyBorder="1" applyAlignment="1" applyProtection="1">
      <alignment horizontal="center" vertical="center" wrapText="1"/>
    </xf>
    <xf numFmtId="0" fontId="12" fillId="33" borderId="4" xfId="0" applyFont="1" applyFill="1" applyBorder="1" applyAlignment="1" applyProtection="1">
      <alignment horizontal="center" vertical="center" wrapText="1"/>
    </xf>
    <xf numFmtId="0" fontId="12" fillId="0" borderId="1" xfId="0" applyFont="1" applyBorder="1" applyAlignment="1" applyProtection="1">
      <alignment horizontal="left" vertical="center" wrapText="1" indent="1"/>
    </xf>
    <xf numFmtId="0" fontId="12" fillId="0" borderId="1" xfId="0" applyFont="1" applyBorder="1" applyAlignment="1" applyProtection="1">
      <alignment horizontal="left" wrapText="1"/>
    </xf>
    <xf numFmtId="0" fontId="12" fillId="0" borderId="1" xfId="0" applyFont="1" applyBorder="1" applyAlignment="1" applyProtection="1">
      <alignment horizontal="left"/>
    </xf>
    <xf numFmtId="0" fontId="58" fillId="31" borderId="5" xfId="0" applyFont="1" applyFill="1" applyBorder="1" applyAlignment="1" applyProtection="1">
      <alignment vertical="center" wrapText="1"/>
    </xf>
    <xf numFmtId="0" fontId="58" fillId="31" borderId="19" xfId="0" applyFont="1" applyFill="1" applyBorder="1" applyAlignment="1" applyProtection="1">
      <alignment vertical="center" wrapText="1"/>
    </xf>
    <xf numFmtId="0" fontId="58" fillId="31" borderId="4" xfId="0" applyFont="1" applyFill="1" applyBorder="1" applyAlignment="1" applyProtection="1">
      <alignment vertical="center" wrapText="1"/>
    </xf>
    <xf numFmtId="0" fontId="58" fillId="31" borderId="1" xfId="0" applyFont="1" applyFill="1" applyBorder="1" applyAlignment="1" applyProtection="1">
      <alignment horizontal="center" vertical="center" wrapText="1"/>
    </xf>
    <xf numFmtId="0" fontId="12" fillId="0" borderId="5" xfId="0" applyFont="1" applyBorder="1" applyAlignment="1" applyProtection="1"/>
    <xf numFmtId="0" fontId="12" fillId="0" borderId="19" xfId="0" applyFont="1" applyBorder="1" applyAlignment="1" applyProtection="1"/>
    <xf numFmtId="0" fontId="12" fillId="0" borderId="4" xfId="0" applyFont="1" applyBorder="1" applyAlignment="1" applyProtection="1"/>
    <xf numFmtId="0" fontId="12" fillId="0" borderId="1" xfId="0" applyFont="1" applyBorder="1" applyAlignment="1" applyProtection="1">
      <alignment horizontal="center"/>
    </xf>
    <xf numFmtId="0" fontId="12" fillId="0" borderId="9" xfId="0" applyFont="1" applyBorder="1" applyAlignment="1" applyProtection="1">
      <alignment vertical="center"/>
    </xf>
    <xf numFmtId="0" fontId="52" fillId="0" borderId="1" xfId="0" applyFont="1" applyBorder="1" applyAlignment="1" applyProtection="1">
      <alignment vertical="center" wrapText="1"/>
    </xf>
    <xf numFmtId="0" fontId="12" fillId="0" borderId="1" xfId="0" applyFont="1" applyBorder="1" applyAlignment="1" applyProtection="1">
      <alignment vertical="center" wrapText="1"/>
    </xf>
    <xf numFmtId="0" fontId="13" fillId="0" borderId="5" xfId="0" applyFont="1" applyBorder="1" applyAlignment="1" applyProtection="1"/>
    <xf numFmtId="0" fontId="13" fillId="0" borderId="19" xfId="0" applyFont="1" applyBorder="1" applyAlignment="1" applyProtection="1"/>
    <xf numFmtId="0" fontId="13" fillId="0" borderId="4" xfId="0" applyFont="1" applyBorder="1" applyAlignment="1" applyProtection="1"/>
    <xf numFmtId="0" fontId="13" fillId="0" borderId="1" xfId="0" applyFont="1" applyBorder="1" applyAlignment="1" applyProtection="1">
      <alignment horizontal="center"/>
    </xf>
    <xf numFmtId="0" fontId="12" fillId="0" borderId="1" xfId="0" applyFont="1" applyBorder="1" applyAlignment="1" applyProtection="1">
      <alignment horizontal="left" vertical="center" wrapText="1"/>
    </xf>
    <xf numFmtId="0" fontId="12" fillId="0" borderId="5" xfId="0" applyFont="1" applyBorder="1" applyAlignment="1" applyProtection="1">
      <alignment horizontal="left" vertical="center" wrapText="1"/>
    </xf>
    <xf numFmtId="0" fontId="12" fillId="0" borderId="19" xfId="0" applyFont="1" applyBorder="1" applyAlignment="1" applyProtection="1">
      <alignment horizontal="left" vertical="center" wrapText="1"/>
    </xf>
    <xf numFmtId="0" fontId="12" fillId="0" borderId="4" xfId="0" applyFont="1" applyBorder="1" applyAlignment="1" applyProtection="1">
      <alignment horizontal="left" vertical="center" wrapText="1"/>
    </xf>
    <xf numFmtId="0" fontId="58" fillId="31" borderId="1" xfId="0" applyFont="1" applyFill="1" applyBorder="1" applyAlignment="1" applyProtection="1">
      <alignment horizontal="left" vertical="center" wrapText="1"/>
    </xf>
    <xf numFmtId="0" fontId="58" fillId="31" borderId="5" xfId="0" applyFont="1" applyFill="1" applyBorder="1" applyAlignment="1" applyProtection="1">
      <alignment horizontal="left" vertical="center" wrapText="1"/>
    </xf>
    <xf numFmtId="0" fontId="58" fillId="31" borderId="19" xfId="0" applyFont="1" applyFill="1" applyBorder="1" applyAlignment="1" applyProtection="1">
      <alignment horizontal="left" vertical="center" wrapText="1"/>
    </xf>
    <xf numFmtId="0" fontId="58" fillId="31" borderId="4" xfId="0" applyFont="1" applyFill="1" applyBorder="1" applyAlignment="1" applyProtection="1">
      <alignment horizontal="left" vertical="center" wrapText="1"/>
    </xf>
    <xf numFmtId="0" fontId="12" fillId="0" borderId="5" xfId="0" applyFont="1" applyBorder="1" applyAlignment="1" applyProtection="1">
      <alignment vertical="center" wrapText="1"/>
    </xf>
    <xf numFmtId="0" fontId="12" fillId="0" borderId="19" xfId="0" applyFont="1" applyBorder="1" applyAlignment="1" applyProtection="1">
      <alignment vertical="center" wrapText="1"/>
    </xf>
    <xf numFmtId="0" fontId="12" fillId="0" borderId="4" xfId="0" applyFont="1" applyBorder="1" applyAlignment="1" applyProtection="1">
      <alignment vertical="center" wrapText="1"/>
    </xf>
    <xf numFmtId="0" fontId="60" fillId="31" borderId="5" xfId="0" applyFont="1" applyFill="1" applyBorder="1" applyAlignment="1" applyProtection="1">
      <alignment horizontal="center" vertical="center" wrapText="1"/>
    </xf>
    <xf numFmtId="0" fontId="60" fillId="31" borderId="19" xfId="0" applyFont="1" applyFill="1" applyBorder="1" applyAlignment="1" applyProtection="1">
      <alignment horizontal="center" vertical="center" wrapText="1"/>
    </xf>
    <xf numFmtId="0" fontId="60" fillId="31" borderId="14" xfId="0" applyFont="1" applyFill="1" applyBorder="1" applyAlignment="1" applyProtection="1">
      <alignment horizontal="center" vertical="center" wrapText="1"/>
    </xf>
    <xf numFmtId="0" fontId="60" fillId="31" borderId="2" xfId="0" applyFont="1" applyFill="1" applyBorder="1" applyAlignment="1" applyProtection="1">
      <alignment horizontal="center" vertical="center" wrapText="1"/>
    </xf>
    <xf numFmtId="0" fontId="60" fillId="31" borderId="15" xfId="0" applyFont="1" applyFill="1" applyBorder="1" applyAlignment="1" applyProtection="1">
      <alignment horizontal="center" vertical="center" wrapText="1"/>
    </xf>
    <xf numFmtId="0" fontId="60" fillId="31" borderId="7" xfId="0" applyFont="1" applyFill="1" applyBorder="1" applyAlignment="1" applyProtection="1">
      <alignment horizontal="center" vertical="center" wrapText="1"/>
    </xf>
    <xf numFmtId="0" fontId="60" fillId="31" borderId="0" xfId="0" applyFont="1" applyFill="1" applyBorder="1" applyAlignment="1" applyProtection="1">
      <alignment horizontal="center" vertical="center" wrapText="1"/>
    </xf>
    <xf numFmtId="0" fontId="60" fillId="31" borderId="10" xfId="0" applyFont="1" applyFill="1" applyBorder="1" applyAlignment="1" applyProtection="1">
      <alignment horizontal="center" vertical="center" wrapText="1"/>
    </xf>
    <xf numFmtId="0" fontId="60" fillId="31" borderId="11" xfId="0" applyFont="1" applyFill="1" applyBorder="1" applyAlignment="1" applyProtection="1">
      <alignment horizontal="center" vertical="center" wrapText="1"/>
    </xf>
    <xf numFmtId="0" fontId="60" fillId="31" borderId="13" xfId="0" applyFont="1" applyFill="1" applyBorder="1" applyAlignment="1" applyProtection="1">
      <alignment horizontal="center" vertical="center" wrapText="1"/>
    </xf>
    <xf numFmtId="0" fontId="60" fillId="31" borderId="12" xfId="0" applyFont="1" applyFill="1" applyBorder="1" applyAlignment="1" applyProtection="1">
      <alignment horizontal="center" vertical="center" wrapText="1"/>
    </xf>
    <xf numFmtId="0" fontId="58" fillId="31" borderId="5" xfId="0" applyFont="1" applyFill="1" applyBorder="1" applyAlignment="1" applyProtection="1">
      <alignment vertical="center"/>
    </xf>
    <xf numFmtId="0" fontId="58" fillId="31" borderId="19" xfId="0" applyFont="1" applyFill="1" applyBorder="1" applyAlignment="1" applyProtection="1">
      <alignment vertical="center"/>
    </xf>
    <xf numFmtId="0" fontId="58" fillId="31" borderId="4" xfId="0" applyFont="1" applyFill="1" applyBorder="1" applyAlignment="1" applyProtection="1">
      <alignment vertical="center"/>
    </xf>
    <xf numFmtId="3" fontId="12" fillId="3" borderId="5" xfId="0" applyNumberFormat="1" applyFont="1" applyFill="1" applyBorder="1" applyAlignment="1" applyProtection="1"/>
    <xf numFmtId="3" fontId="12" fillId="3" borderId="19" xfId="0" applyNumberFormat="1" applyFont="1" applyFill="1" applyBorder="1" applyAlignment="1" applyProtection="1"/>
    <xf numFmtId="3" fontId="12" fillId="3" borderId="4" xfId="0" applyNumberFormat="1" applyFont="1" applyFill="1" applyBorder="1" applyAlignment="1" applyProtection="1"/>
    <xf numFmtId="186" fontId="59" fillId="3" borderId="5" xfId="6" applyNumberFormat="1" applyFont="1" applyFill="1" applyBorder="1" applyAlignment="1" applyProtection="1"/>
    <xf numFmtId="186" fontId="59" fillId="3" borderId="19" xfId="6" applyNumberFormat="1" applyFont="1" applyFill="1" applyBorder="1" applyAlignment="1" applyProtection="1"/>
    <xf numFmtId="186" fontId="59" fillId="3" borderId="4" xfId="6" applyNumberFormat="1" applyFont="1" applyFill="1" applyBorder="1" applyAlignment="1" applyProtection="1"/>
    <xf numFmtId="2" fontId="12" fillId="0" borderId="5" xfId="0" applyNumberFormat="1" applyFont="1" applyBorder="1" applyAlignment="1" applyProtection="1">
      <alignment vertical="center" wrapText="1"/>
    </xf>
    <xf numFmtId="2" fontId="12" fillId="0" borderId="19" xfId="0" applyNumberFormat="1" applyFont="1" applyBorder="1" applyAlignment="1" applyProtection="1">
      <alignment vertical="center" wrapText="1"/>
    </xf>
    <xf numFmtId="2" fontId="12" fillId="0" borderId="4" xfId="0" applyNumberFormat="1" applyFont="1" applyBorder="1" applyAlignment="1" applyProtection="1">
      <alignment vertical="center" wrapText="1"/>
    </xf>
    <xf numFmtId="2" fontId="12" fillId="0" borderId="5" xfId="0" applyNumberFormat="1" applyFont="1" applyBorder="1" applyAlignment="1" applyProtection="1">
      <alignment horizontal="center" vertical="center" wrapText="1"/>
    </xf>
    <xf numFmtId="2" fontId="12" fillId="0" borderId="19" xfId="0" applyNumberFormat="1" applyFont="1" applyBorder="1" applyAlignment="1" applyProtection="1">
      <alignment horizontal="center" vertical="center" wrapText="1"/>
    </xf>
    <xf numFmtId="2" fontId="12" fillId="0" borderId="4" xfId="0" applyNumberFormat="1" applyFont="1" applyBorder="1" applyAlignment="1" applyProtection="1">
      <alignment horizontal="center" vertical="center" wrapText="1"/>
    </xf>
    <xf numFmtId="0" fontId="18" fillId="36" borderId="5" xfId="0" applyFont="1" applyFill="1" applyBorder="1" applyAlignment="1" applyProtection="1">
      <alignment horizontal="center" vertical="center" wrapText="1"/>
    </xf>
    <xf numFmtId="0" fontId="18" fillId="36" borderId="19" xfId="0" applyFont="1" applyFill="1" applyBorder="1" applyAlignment="1" applyProtection="1">
      <alignment horizontal="center" vertical="center" wrapText="1"/>
    </xf>
    <xf numFmtId="0" fontId="18" fillId="36" borderId="4" xfId="0" applyFont="1" applyFill="1" applyBorder="1" applyAlignment="1" applyProtection="1">
      <alignment horizontal="center" vertical="center" wrapText="1"/>
    </xf>
    <xf numFmtId="0" fontId="60" fillId="31" borderId="4" xfId="0" applyFont="1" applyFill="1" applyBorder="1" applyAlignment="1" applyProtection="1">
      <alignment horizontal="center" vertical="center" wrapText="1"/>
    </xf>
    <xf numFmtId="2" fontId="12" fillId="0" borderId="11" xfId="0" applyNumberFormat="1" applyFont="1" applyBorder="1" applyAlignment="1" applyProtection="1">
      <alignment vertical="center" wrapText="1"/>
    </xf>
    <xf numFmtId="2" fontId="12" fillId="0" borderId="13" xfId="0" applyNumberFormat="1" applyFont="1" applyBorder="1" applyAlignment="1" applyProtection="1">
      <alignment vertical="center" wrapText="1"/>
    </xf>
    <xf numFmtId="2" fontId="12" fillId="0" borderId="12" xfId="0" applyNumberFormat="1" applyFont="1" applyBorder="1" applyAlignment="1" applyProtection="1">
      <alignment vertical="center" wrapText="1"/>
    </xf>
    <xf numFmtId="0" fontId="13" fillId="0" borderId="9" xfId="0" applyFont="1" applyBorder="1" applyAlignment="1" applyProtection="1">
      <alignment horizontal="left" vertical="center" wrapText="1" indent="1"/>
    </xf>
    <xf numFmtId="0" fontId="13" fillId="0" borderId="1" xfId="0" applyFont="1" applyBorder="1" applyAlignment="1" applyProtection="1">
      <alignment horizontal="left" vertical="center" wrapText="1" indent="1"/>
    </xf>
    <xf numFmtId="0" fontId="13" fillId="0" borderId="5" xfId="0" applyFont="1" applyBorder="1" applyAlignment="1" applyProtection="1">
      <alignment horizontal="left" vertical="center" wrapText="1"/>
      <protection locked="0"/>
    </xf>
    <xf numFmtId="0" fontId="13" fillId="0" borderId="4" xfId="0" applyFont="1" applyBorder="1" applyAlignment="1" applyProtection="1">
      <alignment horizontal="left" vertical="center" wrapText="1"/>
      <protection locked="0"/>
    </xf>
    <xf numFmtId="0" fontId="13" fillId="0" borderId="9" xfId="0" applyFont="1" applyBorder="1" applyAlignment="1" applyProtection="1">
      <alignment horizontal="left" vertical="center" wrapText="1" indent="1"/>
      <protection locked="0"/>
    </xf>
    <xf numFmtId="0" fontId="13" fillId="0" borderId="1" xfId="0" applyFont="1" applyBorder="1" applyAlignment="1" applyProtection="1">
      <alignment horizontal="left" vertical="center" wrapText="1" indent="1"/>
      <protection locked="0"/>
    </xf>
    <xf numFmtId="0" fontId="13" fillId="0" borderId="1" xfId="0" applyFont="1" applyBorder="1" applyAlignment="1" applyProtection="1">
      <alignment horizontal="left"/>
      <protection locked="0"/>
    </xf>
    <xf numFmtId="0" fontId="12" fillId="0" borderId="1" xfId="0" applyFont="1" applyBorder="1" applyAlignment="1" applyProtection="1">
      <alignment horizontal="left"/>
      <protection locked="0"/>
    </xf>
    <xf numFmtId="0" fontId="58" fillId="30" borderId="5" xfId="0" applyFont="1" applyFill="1" applyBorder="1" applyAlignment="1" applyProtection="1">
      <alignment horizontal="left" vertical="center" wrapText="1"/>
    </xf>
    <xf numFmtId="0" fontId="58" fillId="30" borderId="19" xfId="0" applyFont="1" applyFill="1" applyBorder="1" applyAlignment="1" applyProtection="1">
      <alignment horizontal="left" vertical="center" wrapText="1"/>
    </xf>
    <xf numFmtId="0" fontId="58" fillId="30" borderId="4" xfId="0" applyFont="1" applyFill="1" applyBorder="1" applyAlignment="1" applyProtection="1">
      <alignment horizontal="left" vertical="center" wrapText="1"/>
    </xf>
    <xf numFmtId="0" fontId="13" fillId="0" borderId="9" xfId="0" applyFont="1" applyBorder="1" applyAlignment="1" applyProtection="1">
      <alignment vertical="center"/>
    </xf>
    <xf numFmtId="0" fontId="13" fillId="0" borderId="1" xfId="0" applyFont="1" applyBorder="1" applyAlignment="1" applyProtection="1">
      <alignment horizontal="center"/>
      <protection locked="0"/>
    </xf>
    <xf numFmtId="0" fontId="13" fillId="0" borderId="19" xfId="0" applyFont="1" applyBorder="1" applyAlignment="1" applyProtection="1">
      <alignment horizontal="left" vertical="center" wrapText="1"/>
      <protection locked="0"/>
    </xf>
    <xf numFmtId="0" fontId="13" fillId="0" borderId="5" xfId="0" applyFont="1" applyBorder="1" applyAlignment="1" applyProtection="1">
      <protection locked="0"/>
    </xf>
    <xf numFmtId="0" fontId="13" fillId="0" borderId="19" xfId="0" applyFont="1" applyBorder="1" applyAlignment="1" applyProtection="1">
      <protection locked="0"/>
    </xf>
    <xf numFmtId="0" fontId="13" fillId="0" borderId="4" xfId="0" applyFont="1" applyBorder="1" applyAlignment="1" applyProtection="1">
      <protection locked="0"/>
    </xf>
    <xf numFmtId="0" fontId="13" fillId="0" borderId="5" xfId="0" applyFont="1" applyBorder="1" applyAlignment="1" applyProtection="1">
      <alignment horizontal="center"/>
      <protection locked="0"/>
    </xf>
    <xf numFmtId="0" fontId="13" fillId="0" borderId="4" xfId="0" applyFont="1" applyBorder="1" applyAlignment="1" applyProtection="1">
      <alignment horizontal="center"/>
      <protection locked="0"/>
    </xf>
    <xf numFmtId="169" fontId="12" fillId="0" borderId="5" xfId="0" applyNumberFormat="1" applyFont="1" applyBorder="1" applyAlignment="1" applyProtection="1">
      <alignment vertical="center" wrapText="1"/>
      <protection locked="0"/>
    </xf>
    <xf numFmtId="169" fontId="12" fillId="0" borderId="19" xfId="0" applyNumberFormat="1" applyFont="1" applyBorder="1" applyAlignment="1" applyProtection="1">
      <alignment vertical="center" wrapText="1"/>
      <protection locked="0"/>
    </xf>
    <xf numFmtId="169" fontId="12" fillId="0" borderId="4" xfId="0" applyNumberFormat="1" applyFont="1" applyBorder="1" applyAlignment="1" applyProtection="1">
      <alignment vertical="center" wrapText="1"/>
      <protection locked="0"/>
    </xf>
    <xf numFmtId="0" fontId="12" fillId="3" borderId="1" xfId="0" applyFont="1" applyFill="1" applyBorder="1" applyAlignment="1" applyProtection="1">
      <alignment horizontal="center" vertical="center" wrapText="1"/>
      <protection locked="0"/>
    </xf>
    <xf numFmtId="0" fontId="13" fillId="33" borderId="5" xfId="0" applyFont="1" applyFill="1" applyBorder="1" applyAlignment="1" applyProtection="1">
      <alignment horizontal="center" vertical="center" wrapText="1"/>
      <protection locked="0"/>
    </xf>
    <xf numFmtId="0" fontId="13" fillId="33" borderId="19" xfId="0" applyFont="1" applyFill="1" applyBorder="1" applyAlignment="1" applyProtection="1">
      <alignment horizontal="center" vertical="center" wrapText="1"/>
      <protection locked="0"/>
    </xf>
    <xf numFmtId="0" fontId="13" fillId="33" borderId="4" xfId="0" applyFont="1" applyFill="1" applyBorder="1" applyAlignment="1" applyProtection="1">
      <alignment horizontal="center" vertical="center" wrapText="1"/>
      <protection locked="0"/>
    </xf>
    <xf numFmtId="0" fontId="13" fillId="0" borderId="1" xfId="0" applyFont="1" applyBorder="1" applyAlignment="1" applyProtection="1">
      <alignment vertical="center" wrapText="1"/>
    </xf>
    <xf numFmtId="0" fontId="13" fillId="0" borderId="5" xfId="0" applyFont="1" applyFill="1" applyBorder="1" applyAlignment="1" applyProtection="1">
      <alignment horizontal="left" vertical="center" wrapText="1"/>
      <protection locked="0"/>
    </xf>
    <xf numFmtId="0" fontId="13" fillId="0" borderId="4" xfId="0" applyFont="1" applyFill="1" applyBorder="1" applyAlignment="1" applyProtection="1">
      <alignment horizontal="left" vertical="center" wrapText="1"/>
      <protection locked="0"/>
    </xf>
    <xf numFmtId="0" fontId="13" fillId="0" borderId="19" xfId="0" applyFont="1" applyFill="1" applyBorder="1" applyAlignment="1" applyProtection="1">
      <alignment horizontal="left" vertical="center" wrapText="1"/>
      <protection locked="0"/>
    </xf>
    <xf numFmtId="0" fontId="12" fillId="0" borderId="5" xfId="0" applyFont="1" applyFill="1" applyBorder="1" applyAlignment="1" applyProtection="1">
      <alignment vertical="center"/>
      <protection locked="0"/>
    </xf>
    <xf numFmtId="0" fontId="12" fillId="0" borderId="19" xfId="0" applyFont="1" applyFill="1" applyBorder="1" applyAlignment="1" applyProtection="1">
      <alignment vertical="center"/>
      <protection locked="0"/>
    </xf>
    <xf numFmtId="0" fontId="12" fillId="0" borderId="4" xfId="0" applyFont="1" applyFill="1" applyBorder="1" applyAlignment="1" applyProtection="1">
      <alignment vertical="center"/>
      <protection locked="0"/>
    </xf>
    <xf numFmtId="0" fontId="12" fillId="0" borderId="5" xfId="0" applyFont="1" applyBorder="1" applyAlignment="1" applyProtection="1">
      <alignment horizontal="left" vertical="center" wrapText="1"/>
      <protection locked="0"/>
    </xf>
    <xf numFmtId="0" fontId="12" fillId="0" borderId="4" xfId="0" applyFont="1" applyBorder="1" applyAlignment="1" applyProtection="1">
      <alignment horizontal="left" vertical="center" wrapText="1"/>
      <protection locked="0"/>
    </xf>
    <xf numFmtId="0" fontId="13" fillId="0" borderId="19" xfId="0" applyFont="1" applyFill="1" applyBorder="1" applyAlignment="1" applyProtection="1">
      <alignment horizontal="left" vertical="center"/>
      <protection locked="0"/>
    </xf>
    <xf numFmtId="0" fontId="13" fillId="0" borderId="4" xfId="0" applyFont="1" applyFill="1" applyBorder="1" applyAlignment="1" applyProtection="1">
      <alignment horizontal="left" vertical="center"/>
      <protection locked="0"/>
    </xf>
    <xf numFmtId="0" fontId="13" fillId="0" borderId="5" xfId="0" applyFont="1" applyBorder="1" applyAlignment="1" applyProtection="1">
      <alignment vertical="center" wrapText="1"/>
      <protection locked="0"/>
    </xf>
    <xf numFmtId="0" fontId="13" fillId="0" borderId="19" xfId="0" applyFont="1" applyBorder="1" applyAlignment="1" applyProtection="1">
      <alignment vertical="center" wrapText="1"/>
      <protection locked="0"/>
    </xf>
    <xf numFmtId="0" fontId="13" fillId="0" borderId="4" xfId="0" applyFont="1" applyBorder="1" applyAlignment="1" applyProtection="1">
      <alignment vertical="center" wrapText="1"/>
      <protection locked="0"/>
    </xf>
    <xf numFmtId="0" fontId="52" fillId="0" borderId="5" xfId="0" applyFont="1" applyBorder="1" applyAlignment="1" applyProtection="1">
      <alignment horizontal="left" wrapText="1"/>
      <protection locked="0"/>
    </xf>
    <xf numFmtId="0" fontId="52" fillId="0" borderId="19" xfId="0" applyFont="1" applyBorder="1" applyAlignment="1" applyProtection="1">
      <alignment horizontal="left" wrapText="1"/>
      <protection locked="0"/>
    </xf>
    <xf numFmtId="0" fontId="52" fillId="0" borderId="4" xfId="0" applyFont="1" applyBorder="1" applyAlignment="1" applyProtection="1">
      <alignment horizontal="left" wrapText="1"/>
      <protection locked="0"/>
    </xf>
    <xf numFmtId="0" fontId="12" fillId="0" borderId="19" xfId="0" applyFont="1" applyBorder="1" applyAlignment="1" applyProtection="1">
      <alignment horizontal="left" vertical="center" wrapText="1"/>
      <protection locked="0"/>
    </xf>
    <xf numFmtId="0" fontId="12" fillId="0" borderId="5" xfId="0" applyFont="1" applyFill="1" applyBorder="1" applyAlignment="1" applyProtection="1">
      <alignment horizontal="left" vertical="center" wrapText="1"/>
      <protection locked="0"/>
    </xf>
    <xf numFmtId="0" fontId="12" fillId="0" borderId="19" xfId="0" applyFont="1" applyFill="1" applyBorder="1" applyAlignment="1" applyProtection="1">
      <alignment horizontal="left" vertical="center" wrapText="1"/>
      <protection locked="0"/>
    </xf>
    <xf numFmtId="0" fontId="12" fillId="0" borderId="4" xfId="0" applyFont="1" applyFill="1" applyBorder="1" applyAlignment="1" applyProtection="1">
      <alignment horizontal="left" vertical="center" wrapText="1"/>
      <protection locked="0"/>
    </xf>
    <xf numFmtId="0" fontId="52" fillId="8" borderId="5" xfId="0" applyFont="1" applyFill="1" applyBorder="1" applyAlignment="1" applyProtection="1">
      <alignment horizontal="left" vertical="center" wrapText="1"/>
      <protection locked="0"/>
    </xf>
    <xf numFmtId="0" fontId="52" fillId="8" borderId="4" xfId="0" applyFont="1" applyFill="1" applyBorder="1" applyAlignment="1" applyProtection="1">
      <alignment horizontal="left" vertical="center" wrapText="1"/>
      <protection locked="0"/>
    </xf>
    <xf numFmtId="0" fontId="52" fillId="8" borderId="19" xfId="0" applyFont="1" applyFill="1" applyBorder="1" applyAlignment="1" applyProtection="1">
      <alignment horizontal="left" vertical="center" wrapText="1"/>
      <protection locked="0"/>
    </xf>
    <xf numFmtId="0" fontId="60" fillId="31" borderId="0" xfId="0" applyFont="1" applyFill="1" applyAlignment="1" applyProtection="1">
      <alignment horizontal="center" vertical="center" wrapText="1"/>
    </xf>
    <xf numFmtId="3" fontId="12" fillId="3" borderId="5" xfId="0" applyNumberFormat="1" applyFont="1" applyFill="1" applyBorder="1" applyAlignment="1" applyProtection="1">
      <protection locked="0"/>
    </xf>
    <xf numFmtId="3" fontId="12" fillId="3" borderId="19" xfId="0" applyNumberFormat="1" applyFont="1" applyFill="1" applyBorder="1" applyAlignment="1" applyProtection="1">
      <protection locked="0"/>
    </xf>
    <xf numFmtId="3" fontId="12" fillId="3" borderId="4" xfId="0" applyNumberFormat="1" applyFont="1" applyFill="1" applyBorder="1" applyAlignment="1" applyProtection="1">
      <protection locked="0"/>
    </xf>
    <xf numFmtId="186" fontId="59" fillId="3" borderId="5" xfId="6" applyNumberFormat="1" applyFont="1" applyFill="1" applyBorder="1" applyAlignment="1" applyProtection="1">
      <protection locked="0"/>
    </xf>
    <xf numFmtId="186" fontId="59" fillId="3" borderId="19" xfId="6" applyNumberFormat="1" applyFont="1" applyFill="1" applyBorder="1" applyAlignment="1" applyProtection="1">
      <protection locked="0"/>
    </xf>
    <xf numFmtId="186" fontId="59" fillId="3" borderId="4" xfId="6" applyNumberFormat="1" applyFont="1" applyFill="1" applyBorder="1" applyAlignment="1" applyProtection="1">
      <protection locked="0"/>
    </xf>
    <xf numFmtId="2" fontId="12" fillId="0" borderId="5" xfId="0" applyNumberFormat="1" applyFont="1" applyBorder="1" applyAlignment="1" applyProtection="1">
      <alignment horizontal="center" vertical="center" wrapText="1"/>
      <protection locked="0"/>
    </xf>
    <xf numFmtId="2" fontId="12" fillId="0" borderId="19" xfId="0" applyNumberFormat="1" applyFont="1" applyBorder="1" applyAlignment="1" applyProtection="1">
      <alignment horizontal="center" vertical="center" wrapText="1"/>
      <protection locked="0"/>
    </xf>
    <xf numFmtId="2" fontId="12" fillId="0" borderId="4" xfId="0" applyNumberFormat="1" applyFont="1" applyBorder="1" applyAlignment="1" applyProtection="1">
      <alignment horizontal="center" vertical="center" wrapText="1"/>
      <protection locked="0"/>
    </xf>
    <xf numFmtId="2" fontId="12" fillId="0" borderId="5" xfId="0" applyNumberFormat="1" applyFont="1" applyBorder="1" applyAlignment="1" applyProtection="1">
      <alignment vertical="center" wrapText="1"/>
      <protection locked="0"/>
    </xf>
    <xf numFmtId="2" fontId="12" fillId="0" borderId="19" xfId="0" applyNumberFormat="1" applyFont="1" applyBorder="1" applyAlignment="1" applyProtection="1">
      <alignment vertical="center" wrapText="1"/>
      <protection locked="0"/>
    </xf>
    <xf numFmtId="2" fontId="12" fillId="0" borderId="4" xfId="0" applyNumberFormat="1" applyFont="1" applyBorder="1" applyAlignment="1" applyProtection="1">
      <alignment vertical="center" wrapText="1"/>
      <protection locked="0"/>
    </xf>
    <xf numFmtId="0" fontId="18" fillId="36" borderId="5" xfId="0" applyFont="1" applyFill="1" applyBorder="1" applyAlignment="1" applyProtection="1">
      <alignment horizontal="center" vertical="center" wrapText="1"/>
      <protection locked="0"/>
    </xf>
    <xf numFmtId="0" fontId="18" fillId="36" borderId="19" xfId="0" applyFont="1" applyFill="1" applyBorder="1" applyAlignment="1" applyProtection="1">
      <alignment horizontal="center" vertical="center" wrapText="1"/>
      <protection locked="0"/>
    </xf>
    <xf numFmtId="0" fontId="18" fillId="36" borderId="4" xfId="0" applyFont="1" applyFill="1" applyBorder="1" applyAlignment="1" applyProtection="1">
      <alignment horizontal="center" vertical="center" wrapText="1"/>
      <protection locked="0"/>
    </xf>
    <xf numFmtId="2" fontId="12" fillId="0" borderId="11" xfId="0" applyNumberFormat="1" applyFont="1" applyBorder="1" applyAlignment="1" applyProtection="1">
      <alignment vertical="center" wrapText="1"/>
      <protection locked="0"/>
    </xf>
    <xf numFmtId="2" fontId="12" fillId="0" borderId="13" xfId="0" applyNumberFormat="1" applyFont="1" applyBorder="1" applyAlignment="1" applyProtection="1">
      <alignment vertical="center" wrapText="1"/>
      <protection locked="0"/>
    </xf>
    <xf numFmtId="2" fontId="12" fillId="0" borderId="12" xfId="0" applyNumberFormat="1" applyFont="1" applyBorder="1" applyAlignment="1" applyProtection="1">
      <alignment vertical="center" wrapText="1"/>
      <protection locked="0"/>
    </xf>
    <xf numFmtId="0" fontId="12" fillId="0" borderId="5" xfId="0" applyFont="1" applyBorder="1" applyAlignment="1" applyProtection="1">
      <protection locked="0"/>
    </xf>
    <xf numFmtId="0" fontId="12" fillId="0" borderId="19" xfId="0" applyFont="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alignment vertical="center" wrapText="1"/>
      <protection locked="0"/>
    </xf>
    <xf numFmtId="0" fontId="12" fillId="0" borderId="19" xfId="0" applyFont="1" applyBorder="1" applyAlignment="1" applyProtection="1">
      <alignment vertical="center"/>
      <protection locked="0"/>
    </xf>
    <xf numFmtId="0" fontId="12" fillId="0" borderId="4" xfId="0" applyFont="1" applyBorder="1" applyAlignment="1" applyProtection="1">
      <alignment vertical="center"/>
      <protection locked="0"/>
    </xf>
    <xf numFmtId="0" fontId="12" fillId="0" borderId="1" xfId="0" applyFont="1" applyFill="1" applyBorder="1" applyAlignment="1" applyProtection="1">
      <alignment horizontal="center"/>
      <protection locked="0"/>
    </xf>
    <xf numFmtId="0" fontId="12" fillId="0" borderId="1" xfId="0" applyFont="1" applyBorder="1" applyAlignment="1" applyProtection="1">
      <alignment horizontal="center"/>
      <protection locked="0"/>
    </xf>
    <xf numFmtId="0" fontId="12" fillId="0" borderId="1" xfId="0" applyFont="1" applyBorder="1" applyAlignment="1" applyProtection="1">
      <alignment horizontal="left" wrapText="1"/>
      <protection locked="0"/>
    </xf>
    <xf numFmtId="169" fontId="12" fillId="0" borderId="1" xfId="0" applyNumberFormat="1" applyFont="1" applyBorder="1" applyAlignment="1" applyProtection="1">
      <alignment vertical="center" wrapText="1"/>
      <protection locked="0"/>
    </xf>
    <xf numFmtId="0" fontId="12" fillId="0" borderId="19" xfId="0" applyFont="1" applyBorder="1" applyAlignment="1" applyProtection="1">
      <alignment vertical="center" wrapText="1"/>
      <protection locked="0"/>
    </xf>
    <xf numFmtId="0" fontId="12" fillId="0" borderId="4" xfId="0" applyFont="1" applyBorder="1" applyAlignment="1" applyProtection="1">
      <alignment vertical="center" wrapText="1"/>
      <protection locked="0"/>
    </xf>
    <xf numFmtId="0" fontId="12" fillId="10" borderId="1" xfId="0" applyFont="1" applyFill="1" applyBorder="1" applyAlignment="1" applyProtection="1">
      <alignment horizontal="center" vertical="center" wrapText="1"/>
    </xf>
    <xf numFmtId="0" fontId="12" fillId="9" borderId="5" xfId="0" applyFont="1" applyFill="1" applyBorder="1" applyAlignment="1" applyProtection="1">
      <alignment horizontal="center" vertical="center" wrapText="1"/>
      <protection locked="0"/>
    </xf>
    <xf numFmtId="0" fontId="12" fillId="9" borderId="19" xfId="0" applyFont="1" applyFill="1" applyBorder="1" applyAlignment="1" applyProtection="1">
      <alignment horizontal="center" vertical="center" wrapText="1"/>
      <protection locked="0"/>
    </xf>
    <xf numFmtId="0" fontId="12" fillId="9" borderId="4" xfId="0" applyFont="1" applyFill="1" applyBorder="1" applyAlignment="1" applyProtection="1">
      <alignment horizontal="center" vertical="center" wrapText="1"/>
      <protection locked="0"/>
    </xf>
    <xf numFmtId="0" fontId="12" fillId="3" borderId="1" xfId="0" applyFont="1" applyFill="1" applyBorder="1" applyAlignment="1" applyProtection="1">
      <protection locked="0"/>
    </xf>
    <xf numFmtId="0" fontId="12" fillId="0" borderId="14"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15"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wrapText="1"/>
      <protection locked="0"/>
    </xf>
    <xf numFmtId="0" fontId="12" fillId="0" borderId="13" xfId="0"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33" borderId="5" xfId="0" applyFont="1" applyFill="1" applyBorder="1" applyAlignment="1" applyProtection="1">
      <alignment horizontal="center" vertical="center" wrapText="1"/>
      <protection locked="0"/>
    </xf>
    <xf numFmtId="0" fontId="12" fillId="33" borderId="19" xfId="0" applyFont="1" applyFill="1" applyBorder="1" applyAlignment="1" applyProtection="1">
      <alignment horizontal="center" vertical="center" wrapText="1"/>
      <protection locked="0"/>
    </xf>
    <xf numFmtId="0" fontId="12" fillId="33" borderId="4" xfId="0" applyFont="1" applyFill="1" applyBorder="1" applyAlignment="1" applyProtection="1">
      <alignment horizontal="center" vertical="center" wrapText="1"/>
      <protection locked="0"/>
    </xf>
    <xf numFmtId="0" fontId="12" fillId="0" borderId="9" xfId="0" applyFont="1" applyFill="1" applyBorder="1" applyAlignment="1" applyProtection="1">
      <alignment horizontal="left" vertical="center" wrapText="1" indent="1"/>
      <protection locked="0"/>
    </xf>
    <xf numFmtId="0" fontId="13" fillId="0" borderId="1" xfId="0" applyFont="1" applyFill="1" applyBorder="1" applyAlignment="1" applyProtection="1">
      <alignment horizontal="left" vertical="center" wrapText="1" indent="1"/>
      <protection locked="0"/>
    </xf>
    <xf numFmtId="0" fontId="12" fillId="0" borderId="1" xfId="0" applyFont="1" applyFill="1" applyBorder="1" applyAlignment="1" applyProtection="1">
      <alignment horizontal="left" vertical="center" wrapText="1" indent="1"/>
      <protection locked="0"/>
    </xf>
    <xf numFmtId="0" fontId="12" fillId="0" borderId="1" xfId="0" applyFont="1" applyBorder="1" applyAlignment="1" applyProtection="1">
      <alignment horizontal="left" vertical="center" wrapText="1" indent="1"/>
      <protection locked="0"/>
    </xf>
    <xf numFmtId="0" fontId="12" fillId="0" borderId="5" xfId="0" applyFont="1" applyBorder="1" applyAlignment="1" applyProtection="1">
      <alignment horizontal="center"/>
      <protection locked="0"/>
    </xf>
    <xf numFmtId="0" fontId="12" fillId="0" borderId="4" xfId="0" applyFont="1" applyBorder="1" applyAlignment="1" applyProtection="1">
      <alignment horizontal="center"/>
      <protection locked="0"/>
    </xf>
    <xf numFmtId="0" fontId="12" fillId="0" borderId="1" xfId="0" applyFont="1" applyBorder="1" applyAlignment="1" applyProtection="1">
      <alignment horizontal="left" vertical="center" wrapText="1"/>
      <protection locked="0"/>
    </xf>
    <xf numFmtId="0" fontId="12" fillId="0" borderId="0" xfId="0" applyFont="1" applyFill="1" applyAlignment="1" applyProtection="1">
      <alignment vertical="center"/>
      <protection locked="0"/>
    </xf>
    <xf numFmtId="0" fontId="12" fillId="0" borderId="19" xfId="0" applyFont="1" applyBorder="1" applyAlignment="1" applyProtection="1">
      <alignment horizontal="left" vertical="center"/>
      <protection locked="0"/>
    </xf>
    <xf numFmtId="0" fontId="12" fillId="0" borderId="4" xfId="0" applyFont="1" applyBorder="1" applyAlignment="1" applyProtection="1">
      <alignment horizontal="left" vertical="center"/>
      <protection locked="0"/>
    </xf>
    <xf numFmtId="0" fontId="52" fillId="8" borderId="1" xfId="0" applyFont="1" applyFill="1" applyBorder="1" applyAlignment="1" applyProtection="1">
      <alignment horizontal="left" vertical="center" wrapText="1"/>
      <protection locked="0"/>
    </xf>
    <xf numFmtId="0" fontId="52" fillId="8" borderId="19" xfId="0" applyFont="1" applyFill="1" applyBorder="1" applyAlignment="1" applyProtection="1">
      <alignment horizontal="left" vertical="center"/>
      <protection locked="0"/>
    </xf>
    <xf numFmtId="0" fontId="52" fillId="8" borderId="4" xfId="0" applyFont="1" applyFill="1" applyBorder="1" applyAlignment="1" applyProtection="1">
      <alignment horizontal="left" vertical="center"/>
      <protection locked="0"/>
    </xf>
    <xf numFmtId="0" fontId="71" fillId="0" borderId="9" xfId="0" applyFont="1" applyBorder="1" applyAlignment="1" applyProtection="1">
      <alignment horizontal="left" vertical="center" wrapText="1" indent="1"/>
      <protection locked="0"/>
    </xf>
    <xf numFmtId="0" fontId="13" fillId="0" borderId="14" xfId="0"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wrapText="1"/>
      <protection locked="0"/>
    </xf>
    <xf numFmtId="0" fontId="13" fillId="0" borderId="7" xfId="0" applyFont="1" applyFill="1" applyBorder="1" applyAlignment="1" applyProtection="1">
      <alignment horizontal="center" vertical="center" wrapText="1"/>
      <protection locked="0"/>
    </xf>
    <xf numFmtId="0" fontId="13" fillId="0" borderId="0" xfId="0" applyFont="1" applyFill="1" applyBorder="1" applyAlignment="1" applyProtection="1">
      <alignment horizontal="center" vertical="center" wrapText="1"/>
      <protection locked="0"/>
    </xf>
    <xf numFmtId="0" fontId="13" fillId="0" borderId="10" xfId="0"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left" vertical="center" wrapText="1"/>
      <protection locked="0"/>
    </xf>
    <xf numFmtId="0" fontId="12" fillId="0" borderId="1" xfId="0" applyFont="1" applyFill="1" applyBorder="1" applyAlignment="1" applyProtection="1">
      <alignment horizontal="left" wrapText="1"/>
      <protection locked="0"/>
    </xf>
    <xf numFmtId="0" fontId="12" fillId="0" borderId="1" xfId="0" applyFont="1" applyFill="1" applyBorder="1" applyAlignment="1" applyProtection="1">
      <alignment horizontal="left"/>
      <protection locked="0"/>
    </xf>
    <xf numFmtId="0" fontId="12" fillId="0" borderId="1" xfId="0" applyFont="1" applyFill="1" applyBorder="1" applyAlignment="1" applyProtection="1">
      <alignment vertical="center"/>
      <protection locked="0"/>
    </xf>
    <xf numFmtId="0" fontId="13" fillId="0" borderId="19" xfId="0" applyFont="1" applyBorder="1" applyAlignment="1" applyProtection="1">
      <alignment horizontal="left" vertical="center"/>
      <protection locked="0"/>
    </xf>
    <xf numFmtId="0" fontId="13" fillId="0" borderId="4" xfId="0" applyFont="1" applyBorder="1" applyAlignment="1" applyProtection="1">
      <alignment horizontal="left" vertical="center"/>
      <protection locked="0"/>
    </xf>
    <xf numFmtId="0" fontId="72" fillId="31" borderId="5" xfId="0" applyFont="1" applyFill="1" applyBorder="1" applyAlignment="1" applyProtection="1">
      <alignment vertical="center"/>
    </xf>
    <xf numFmtId="0" fontId="72" fillId="31" borderId="19" xfId="0" applyFont="1" applyFill="1" applyBorder="1" applyAlignment="1" applyProtection="1">
      <alignment vertical="center"/>
    </xf>
    <xf numFmtId="0" fontId="72" fillId="31" borderId="4" xfId="0" applyFont="1" applyFill="1" applyBorder="1" applyAlignment="1" applyProtection="1">
      <alignment vertical="center"/>
    </xf>
    <xf numFmtId="3" fontId="76" fillId="3" borderId="5" xfId="0" applyNumberFormat="1" applyFont="1" applyFill="1" applyBorder="1" applyAlignment="1" applyProtection="1">
      <protection locked="0"/>
    </xf>
    <xf numFmtId="3" fontId="76" fillId="3" borderId="19" xfId="0" applyNumberFormat="1" applyFont="1" applyFill="1" applyBorder="1" applyAlignment="1" applyProtection="1">
      <protection locked="0"/>
    </xf>
    <xf numFmtId="3" fontId="76" fillId="3" borderId="4" xfId="0" applyNumberFormat="1" applyFont="1" applyFill="1" applyBorder="1" applyAlignment="1" applyProtection="1">
      <protection locked="0"/>
    </xf>
    <xf numFmtId="186" fontId="62" fillId="3" borderId="5" xfId="6" applyNumberFormat="1" applyFont="1" applyFill="1" applyBorder="1" applyAlignment="1" applyProtection="1">
      <protection locked="0"/>
    </xf>
    <xf numFmtId="186" fontId="62" fillId="3" borderId="19" xfId="6" applyNumberFormat="1" applyFont="1" applyFill="1" applyBorder="1" applyAlignment="1" applyProtection="1">
      <protection locked="0"/>
    </xf>
    <xf numFmtId="186" fontId="62" fillId="3" borderId="4" xfId="6" applyNumberFormat="1" applyFont="1" applyFill="1" applyBorder="1" applyAlignment="1" applyProtection="1">
      <protection locked="0"/>
    </xf>
    <xf numFmtId="0" fontId="74" fillId="36" borderId="5" xfId="0" applyFont="1" applyFill="1" applyBorder="1" applyAlignment="1" applyProtection="1">
      <alignment horizontal="center" vertical="center" wrapText="1"/>
      <protection locked="0"/>
    </xf>
    <xf numFmtId="0" fontId="74" fillId="36" borderId="19" xfId="0" applyFont="1" applyFill="1" applyBorder="1" applyAlignment="1" applyProtection="1">
      <alignment horizontal="center" vertical="center" wrapText="1"/>
      <protection locked="0"/>
    </xf>
    <xf numFmtId="0" fontId="74" fillId="36" borderId="4" xfId="0" applyFont="1" applyFill="1" applyBorder="1" applyAlignment="1" applyProtection="1">
      <alignment horizontal="center" vertical="center" wrapText="1"/>
      <protection locked="0"/>
    </xf>
    <xf numFmtId="0" fontId="77" fillId="31" borderId="5" xfId="0" applyFont="1" applyFill="1" applyBorder="1" applyAlignment="1" applyProtection="1">
      <alignment horizontal="center" vertical="center" wrapText="1"/>
    </xf>
    <xf numFmtId="0" fontId="77" fillId="31" borderId="4" xfId="0" applyFont="1" applyFill="1" applyBorder="1" applyAlignment="1" applyProtection="1">
      <alignment horizontal="center" vertical="center" wrapText="1"/>
    </xf>
    <xf numFmtId="3" fontId="76" fillId="3" borderId="5" xfId="0" applyNumberFormat="1" applyFont="1" applyFill="1" applyBorder="1" applyAlignment="1" applyProtection="1">
      <alignment wrapText="1"/>
      <protection locked="0"/>
    </xf>
    <xf numFmtId="0" fontId="77" fillId="31" borderId="19" xfId="0" applyFont="1" applyFill="1" applyBorder="1" applyAlignment="1" applyProtection="1">
      <alignment horizontal="center" vertical="center" wrapText="1"/>
    </xf>
    <xf numFmtId="0" fontId="77" fillId="31" borderId="14" xfId="0" applyFont="1" applyFill="1" applyBorder="1" applyAlignment="1" applyProtection="1">
      <alignment horizontal="center" vertical="center" wrapText="1"/>
    </xf>
    <xf numFmtId="0" fontId="77" fillId="31" borderId="2" xfId="0" applyFont="1" applyFill="1" applyBorder="1" applyAlignment="1" applyProtection="1">
      <alignment horizontal="center" vertical="center" wrapText="1"/>
    </xf>
    <xf numFmtId="0" fontId="77" fillId="31" borderId="15" xfId="0" applyFont="1" applyFill="1" applyBorder="1" applyAlignment="1" applyProtection="1">
      <alignment horizontal="center" vertical="center" wrapText="1"/>
    </xf>
    <xf numFmtId="0" fontId="77" fillId="31" borderId="7" xfId="0" applyFont="1" applyFill="1" applyBorder="1" applyAlignment="1" applyProtection="1">
      <alignment horizontal="center" vertical="center" wrapText="1"/>
    </xf>
    <xf numFmtId="0" fontId="77" fillId="31" borderId="0" xfId="0" applyFont="1" applyFill="1" applyAlignment="1" applyProtection="1">
      <alignment horizontal="center" vertical="center" wrapText="1"/>
    </xf>
    <xf numFmtId="0" fontId="77" fillId="31" borderId="10" xfId="0" applyFont="1" applyFill="1" applyBorder="1" applyAlignment="1" applyProtection="1">
      <alignment horizontal="center" vertical="center" wrapText="1"/>
    </xf>
    <xf numFmtId="0" fontId="77" fillId="31" borderId="11" xfId="0" applyFont="1" applyFill="1" applyBorder="1" applyAlignment="1" applyProtection="1">
      <alignment horizontal="center" vertical="center" wrapText="1"/>
    </xf>
    <xf numFmtId="0" fontId="77" fillId="31" borderId="13" xfId="0" applyFont="1" applyFill="1" applyBorder="1" applyAlignment="1" applyProtection="1">
      <alignment horizontal="center" vertical="center" wrapText="1"/>
    </xf>
    <xf numFmtId="0" fontId="77" fillId="31" borderId="12" xfId="0" applyFont="1" applyFill="1" applyBorder="1" applyAlignment="1" applyProtection="1">
      <alignment horizontal="center" vertical="center" wrapText="1"/>
    </xf>
    <xf numFmtId="0" fontId="13" fillId="0" borderId="1" xfId="0" applyFont="1" applyBorder="1" applyAlignment="1" applyProtection="1">
      <alignment horizontal="left" vertical="center" wrapText="1"/>
      <protection locked="0"/>
    </xf>
    <xf numFmtId="0" fontId="12" fillId="3" borderId="1" xfId="0" applyFont="1" applyFill="1" applyBorder="1" applyAlignment="1" applyProtection="1">
      <alignment horizontal="left" vertical="center" wrapText="1"/>
      <protection locked="0"/>
    </xf>
    <xf numFmtId="0" fontId="12" fillId="3" borderId="5" xfId="0" applyFont="1" applyFill="1" applyBorder="1" applyAlignment="1" applyProtection="1">
      <alignment vertical="center"/>
      <protection locked="0"/>
    </xf>
    <xf numFmtId="0" fontId="12" fillId="3" borderId="19" xfId="0" applyFont="1" applyFill="1" applyBorder="1" applyAlignment="1" applyProtection="1">
      <alignment vertical="center"/>
      <protection locked="0"/>
    </xf>
    <xf numFmtId="0" fontId="12" fillId="3" borderId="4" xfId="0" applyFont="1" applyFill="1" applyBorder="1" applyAlignment="1" applyProtection="1">
      <alignment vertical="center"/>
      <protection locked="0"/>
    </xf>
    <xf numFmtId="0" fontId="72" fillId="31" borderId="1" xfId="0" applyFont="1" applyFill="1" applyBorder="1" applyAlignment="1" applyProtection="1">
      <alignment horizontal="left" vertical="center" wrapText="1"/>
    </xf>
    <xf numFmtId="0" fontId="72" fillId="31" borderId="5" xfId="0" applyFont="1" applyFill="1" applyBorder="1" applyAlignment="1" applyProtection="1">
      <alignment horizontal="left" vertical="center" wrapText="1"/>
    </xf>
    <xf numFmtId="0" fontId="72" fillId="31" borderId="19" xfId="0" applyFont="1" applyFill="1" applyBorder="1" applyAlignment="1" applyProtection="1">
      <alignment horizontal="left" vertical="center" wrapText="1"/>
    </xf>
    <xf numFmtId="0" fontId="72" fillId="31" borderId="4" xfId="0" applyFont="1" applyFill="1" applyBorder="1" applyAlignment="1" applyProtection="1">
      <alignment horizontal="left" vertical="center" wrapText="1"/>
    </xf>
    <xf numFmtId="0" fontId="72" fillId="31" borderId="5" xfId="0" applyFont="1" applyFill="1" applyBorder="1" applyAlignment="1" applyProtection="1">
      <alignment vertical="center" wrapText="1"/>
    </xf>
    <xf numFmtId="0" fontId="72" fillId="31" borderId="19" xfId="0" applyFont="1" applyFill="1" applyBorder="1" applyAlignment="1" applyProtection="1">
      <alignment vertical="center" wrapText="1"/>
    </xf>
    <xf numFmtId="0" fontId="72" fillId="31" borderId="4" xfId="0" applyFont="1" applyFill="1" applyBorder="1" applyAlignment="1" applyProtection="1">
      <alignment vertical="center" wrapText="1"/>
    </xf>
    <xf numFmtId="0" fontId="72" fillId="31" borderId="1" xfId="0" applyFont="1" applyFill="1" applyBorder="1" applyAlignment="1" applyProtection="1">
      <alignment horizontal="center" vertical="center" wrapText="1"/>
    </xf>
    <xf numFmtId="0" fontId="12" fillId="0" borderId="5" xfId="0" applyFont="1" applyBorder="1" applyAlignment="1" applyProtection="1">
      <alignment wrapText="1"/>
      <protection locked="0"/>
    </xf>
    <xf numFmtId="0" fontId="12" fillId="0" borderId="19" xfId="0" applyFont="1" applyBorder="1" applyAlignment="1" applyProtection="1">
      <alignment wrapText="1"/>
      <protection locked="0"/>
    </xf>
    <xf numFmtId="0" fontId="12" fillId="0" borderId="4" xfId="0" applyFont="1" applyBorder="1" applyAlignment="1" applyProtection="1">
      <alignment wrapText="1"/>
      <protection locked="0"/>
    </xf>
    <xf numFmtId="0" fontId="12" fillId="0" borderId="1" xfId="0" applyFont="1" applyBorder="1" applyAlignment="1" applyProtection="1">
      <alignment horizontal="center" wrapText="1"/>
      <protection locked="0"/>
    </xf>
    <xf numFmtId="0" fontId="73" fillId="0" borderId="5" xfId="0" applyFont="1" applyBorder="1" applyAlignment="1" applyProtection="1">
      <alignment horizontal="left" wrapText="1"/>
      <protection locked="0"/>
    </xf>
    <xf numFmtId="0" fontId="73" fillId="0" borderId="19" xfId="0" applyFont="1" applyBorder="1" applyAlignment="1" applyProtection="1">
      <alignment horizontal="left" wrapText="1"/>
      <protection locked="0"/>
    </xf>
    <xf numFmtId="0" fontId="73" fillId="0" borderId="4" xfId="0" applyFont="1" applyBorder="1" applyAlignment="1" applyProtection="1">
      <alignment horizontal="left" wrapText="1"/>
      <protection locked="0"/>
    </xf>
    <xf numFmtId="0" fontId="72" fillId="18" borderId="1" xfId="0" applyFont="1" applyFill="1" applyBorder="1" applyAlignment="1" applyProtection="1">
      <alignment vertical="center" wrapText="1"/>
    </xf>
    <xf numFmtId="0" fontId="72" fillId="18" borderId="1" xfId="0" applyFont="1" applyFill="1" applyBorder="1" applyAlignment="1" applyProtection="1">
      <alignment horizontal="center" vertical="center" wrapText="1"/>
    </xf>
    <xf numFmtId="0" fontId="72" fillId="18" borderId="1" xfId="0" applyFont="1" applyFill="1" applyBorder="1" applyAlignment="1" applyProtection="1">
      <alignment horizontal="left" vertical="center" wrapText="1"/>
    </xf>
    <xf numFmtId="0" fontId="12" fillId="0" borderId="5" xfId="0" applyFont="1" applyFill="1" applyBorder="1" applyAlignment="1" applyProtection="1">
      <alignment horizontal="left" vertical="center" wrapText="1" indent="1"/>
      <protection locked="0"/>
    </xf>
    <xf numFmtId="0" fontId="12" fillId="0" borderId="19" xfId="0" applyFont="1" applyFill="1" applyBorder="1" applyAlignment="1" applyProtection="1">
      <alignment horizontal="left" vertical="center" wrapText="1" indent="1"/>
      <protection locked="0"/>
    </xf>
    <xf numFmtId="0" fontId="12" fillId="0" borderId="4" xfId="0" applyFont="1" applyFill="1" applyBorder="1" applyAlignment="1" applyProtection="1">
      <alignment horizontal="left" vertical="center" wrapText="1" indent="1"/>
      <protection locked="0"/>
    </xf>
    <xf numFmtId="0" fontId="13" fillId="3" borderId="14" xfId="0" applyFont="1" applyFill="1" applyBorder="1" applyAlignment="1" applyProtection="1">
      <alignment horizontal="center" vertical="center" wrapText="1"/>
      <protection locked="0"/>
    </xf>
    <xf numFmtId="0" fontId="13" fillId="3" borderId="2" xfId="0" applyFont="1" applyFill="1" applyBorder="1" applyAlignment="1" applyProtection="1">
      <alignment horizontal="center" vertical="center" wrapText="1"/>
      <protection locked="0"/>
    </xf>
    <xf numFmtId="0" fontId="13" fillId="3" borderId="15" xfId="0" applyFont="1" applyFill="1" applyBorder="1" applyAlignment="1" applyProtection="1">
      <alignment horizontal="center" vertical="center" wrapText="1"/>
      <protection locked="0"/>
    </xf>
    <xf numFmtId="0" fontId="13" fillId="3" borderId="7"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wrapText="1"/>
      <protection locked="0"/>
    </xf>
    <xf numFmtId="0" fontId="13" fillId="3" borderId="10" xfId="0" applyFont="1" applyFill="1" applyBorder="1" applyAlignment="1" applyProtection="1">
      <alignment horizontal="center" vertical="center" wrapText="1"/>
      <protection locked="0"/>
    </xf>
    <xf numFmtId="0" fontId="13" fillId="3" borderId="11" xfId="0" applyFont="1" applyFill="1" applyBorder="1" applyAlignment="1" applyProtection="1">
      <alignment horizontal="center" vertical="center" wrapText="1"/>
      <protection locked="0"/>
    </xf>
    <xf numFmtId="0" fontId="13" fillId="3" borderId="13" xfId="0" applyFont="1" applyFill="1" applyBorder="1" applyAlignment="1" applyProtection="1">
      <alignment horizontal="center" vertical="center" wrapText="1"/>
      <protection locked="0"/>
    </xf>
    <xf numFmtId="0" fontId="13" fillId="3" borderId="12" xfId="0" applyFont="1" applyFill="1" applyBorder="1" applyAlignment="1" applyProtection="1">
      <alignment horizontal="center" vertical="center" wrapText="1"/>
      <protection locked="0"/>
    </xf>
    <xf numFmtId="0" fontId="13" fillId="0" borderId="1" xfId="0" applyFont="1" applyBorder="1" applyAlignment="1" applyProtection="1">
      <alignment horizontal="left" vertical="center"/>
      <protection locked="0"/>
    </xf>
    <xf numFmtId="0" fontId="52" fillId="8" borderId="1" xfId="0" applyFont="1" applyFill="1" applyBorder="1" applyAlignment="1" applyProtection="1">
      <alignment horizontal="left" vertical="center"/>
      <protection locked="0"/>
    </xf>
    <xf numFmtId="0" fontId="12" fillId="3" borderId="1" xfId="0" applyFont="1" applyFill="1" applyBorder="1" applyAlignment="1" applyProtection="1">
      <alignment vertical="center"/>
      <protection locked="0"/>
    </xf>
    <xf numFmtId="0" fontId="12" fillId="0" borderId="1" xfId="0" applyFont="1" applyBorder="1" applyAlignment="1" applyProtection="1">
      <alignment horizontal="left" vertical="center"/>
      <protection locked="0"/>
    </xf>
    <xf numFmtId="0" fontId="13" fillId="0" borderId="14"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3" fillId="0" borderId="15"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3" fillId="0" borderId="10" xfId="0" applyFont="1" applyBorder="1" applyAlignment="1" applyProtection="1">
      <alignment horizontal="center" vertical="center" wrapText="1"/>
      <protection locked="0"/>
    </xf>
    <xf numFmtId="0" fontId="13" fillId="0" borderId="11" xfId="0" applyFont="1" applyBorder="1" applyAlignment="1" applyProtection="1">
      <alignment horizontal="center" vertical="center" wrapText="1"/>
      <protection locked="0"/>
    </xf>
    <xf numFmtId="0" fontId="13" fillId="0" borderId="13"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52" fillId="3" borderId="1" xfId="0" applyFont="1" applyFill="1" applyBorder="1" applyAlignment="1" applyProtection="1">
      <protection locked="0"/>
    </xf>
    <xf numFmtId="0" fontId="13" fillId="0" borderId="9" xfId="0" applyFont="1" applyFill="1" applyBorder="1" applyAlignment="1" applyProtection="1">
      <alignment horizontal="left" vertical="center" wrapText="1" indent="1"/>
      <protection locked="0"/>
    </xf>
    <xf numFmtId="0" fontId="80" fillId="0" borderId="9" xfId="0" applyFont="1" applyBorder="1" applyAlignment="1" applyProtection="1">
      <alignment horizontal="left" vertical="center" wrapText="1" indent="1"/>
      <protection locked="0"/>
    </xf>
    <xf numFmtId="0" fontId="75" fillId="0" borderId="5" xfId="0" applyFont="1" applyBorder="1" applyAlignment="1" applyProtection="1">
      <protection locked="0"/>
    </xf>
    <xf numFmtId="0" fontId="75" fillId="0" borderId="19" xfId="0" applyFont="1" applyBorder="1" applyAlignment="1" applyProtection="1">
      <protection locked="0"/>
    </xf>
    <xf numFmtId="0" fontId="75" fillId="0" borderId="4" xfId="0" applyFont="1" applyBorder="1" applyAlignment="1" applyProtection="1">
      <protection locked="0"/>
    </xf>
    <xf numFmtId="0" fontId="75" fillId="0" borderId="1" xfId="0" applyFont="1" applyBorder="1" applyAlignment="1" applyProtection="1">
      <alignment horizontal="center"/>
      <protection locked="0"/>
    </xf>
    <xf numFmtId="0" fontId="75" fillId="0" borderId="5"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0" borderId="5" xfId="0" applyFont="1" applyBorder="1" applyAlignment="1" applyProtection="1">
      <alignment vertical="center" wrapText="1"/>
      <protection locked="0"/>
    </xf>
    <xf numFmtId="0" fontId="75" fillId="0" borderId="19" xfId="0" applyFont="1" applyBorder="1" applyAlignment="1" applyProtection="1">
      <alignment vertical="center" wrapText="1"/>
      <protection locked="0"/>
    </xf>
    <xf numFmtId="0" fontId="75" fillId="0" borderId="4" xfId="0" applyFont="1" applyBorder="1" applyAlignment="1" applyProtection="1">
      <alignment vertical="center" wrapText="1"/>
      <protection locked="0"/>
    </xf>
    <xf numFmtId="0" fontId="75" fillId="0" borderId="19" xfId="0" applyFont="1" applyBorder="1" applyAlignment="1" applyProtection="1">
      <alignment horizontal="left" vertical="center" wrapText="1"/>
      <protection locked="0"/>
    </xf>
    <xf numFmtId="0" fontId="13" fillId="0" borderId="1" xfId="0" applyFont="1" applyBorder="1" applyAlignment="1" applyProtection="1">
      <protection locked="0"/>
    </xf>
    <xf numFmtId="0" fontId="13" fillId="0" borderId="0" xfId="0" applyFont="1" applyBorder="1" applyAlignment="1" applyProtection="1">
      <alignment horizontal="center" vertical="center" wrapText="1"/>
      <protection locked="0"/>
    </xf>
    <xf numFmtId="2" fontId="13" fillId="0" borderId="5" xfId="0" applyNumberFormat="1" applyFont="1" applyBorder="1" applyAlignment="1" applyProtection="1">
      <alignment horizontal="center" vertical="center" wrapText="1"/>
      <protection locked="0"/>
    </xf>
    <xf numFmtId="2" fontId="13" fillId="0" borderId="19" xfId="0" applyNumberFormat="1" applyFont="1" applyBorder="1" applyAlignment="1" applyProtection="1">
      <alignment horizontal="center" vertical="center" wrapText="1"/>
      <protection locked="0"/>
    </xf>
    <xf numFmtId="2" fontId="13" fillId="0" borderId="4" xfId="0" applyNumberFormat="1" applyFont="1" applyBorder="1" applyAlignment="1" applyProtection="1">
      <alignment horizontal="center" vertical="center" wrapText="1"/>
      <protection locked="0"/>
    </xf>
    <xf numFmtId="2" fontId="13" fillId="0" borderId="5" xfId="0" applyNumberFormat="1" applyFont="1" applyBorder="1" applyAlignment="1" applyProtection="1">
      <alignment vertical="center" wrapText="1"/>
      <protection locked="0"/>
    </xf>
    <xf numFmtId="2" fontId="13" fillId="0" borderId="19" xfId="0" applyNumberFormat="1" applyFont="1" applyBorder="1" applyAlignment="1" applyProtection="1">
      <alignment vertical="center" wrapText="1"/>
      <protection locked="0"/>
    </xf>
    <xf numFmtId="2" fontId="13" fillId="0" borderId="4" xfId="0" applyNumberFormat="1" applyFont="1" applyBorder="1" applyAlignment="1" applyProtection="1">
      <alignment vertical="center" wrapText="1"/>
      <protection locked="0"/>
    </xf>
    <xf numFmtId="2" fontId="13" fillId="0" borderId="11" xfId="0" applyNumberFormat="1" applyFont="1" applyBorder="1" applyAlignment="1" applyProtection="1">
      <alignment vertical="center" wrapText="1"/>
      <protection locked="0"/>
    </xf>
    <xf numFmtId="2" fontId="13" fillId="0" borderId="13" xfId="0" applyNumberFormat="1" applyFont="1" applyBorder="1" applyAlignment="1" applyProtection="1">
      <alignment vertical="center" wrapText="1"/>
      <protection locked="0"/>
    </xf>
    <xf numFmtId="2" fontId="13" fillId="0" borderId="12" xfId="0" applyNumberFormat="1" applyFont="1" applyBorder="1" applyAlignment="1" applyProtection="1">
      <alignment vertical="center" wrapText="1"/>
      <protection locked="0"/>
    </xf>
    <xf numFmtId="0" fontId="52" fillId="8" borderId="5" xfId="0" applyFont="1" applyFill="1" applyBorder="1" applyAlignment="1" applyProtection="1">
      <alignment vertical="center" wrapText="1"/>
      <protection locked="0"/>
    </xf>
    <xf numFmtId="0" fontId="52" fillId="8" borderId="19" xfId="0" applyFont="1" applyFill="1" applyBorder="1" applyAlignment="1" applyProtection="1">
      <alignment vertical="center" wrapText="1"/>
      <protection locked="0"/>
    </xf>
    <xf numFmtId="0" fontId="52" fillId="8" borderId="4" xfId="0" applyFont="1" applyFill="1" applyBorder="1" applyAlignment="1" applyProtection="1">
      <alignment vertical="center" wrapText="1"/>
      <protection locked="0"/>
    </xf>
    <xf numFmtId="0" fontId="60" fillId="13" borderId="5" xfId="0" applyFont="1" applyFill="1" applyBorder="1" applyAlignment="1" applyProtection="1">
      <alignment horizontal="center" vertical="center" wrapText="1"/>
    </xf>
    <xf numFmtId="0" fontId="60" fillId="13" borderId="19" xfId="0" applyFont="1" applyFill="1" applyBorder="1" applyAlignment="1" applyProtection="1">
      <alignment horizontal="center" vertical="center" wrapText="1"/>
    </xf>
    <xf numFmtId="0" fontId="60" fillId="13" borderId="14" xfId="0" applyFont="1" applyFill="1" applyBorder="1" applyAlignment="1" applyProtection="1">
      <alignment horizontal="center" vertical="center" wrapText="1"/>
    </xf>
    <xf numFmtId="0" fontId="60" fillId="13" borderId="2" xfId="0" applyFont="1" applyFill="1" applyBorder="1" applyAlignment="1" applyProtection="1">
      <alignment horizontal="center" vertical="center" wrapText="1"/>
    </xf>
    <xf numFmtId="0" fontId="60" fillId="13" borderId="15" xfId="0" applyFont="1" applyFill="1" applyBorder="1" applyAlignment="1" applyProtection="1">
      <alignment horizontal="center" vertical="center" wrapText="1"/>
    </xf>
    <xf numFmtId="0" fontId="60" fillId="13" borderId="7" xfId="0" applyFont="1" applyFill="1" applyBorder="1" applyAlignment="1" applyProtection="1">
      <alignment horizontal="center" vertical="center" wrapText="1"/>
    </xf>
    <xf numFmtId="0" fontId="60" fillId="13" borderId="0" xfId="0" applyFont="1" applyFill="1" applyAlignment="1" applyProtection="1">
      <alignment horizontal="center" vertical="center" wrapText="1"/>
    </xf>
    <xf numFmtId="0" fontId="60" fillId="13" borderId="10" xfId="0" applyFont="1" applyFill="1" applyBorder="1" applyAlignment="1" applyProtection="1">
      <alignment horizontal="center" vertical="center" wrapText="1"/>
    </xf>
    <xf numFmtId="0" fontId="60" fillId="13" borderId="11" xfId="0" applyFont="1" applyFill="1" applyBorder="1" applyAlignment="1" applyProtection="1">
      <alignment horizontal="center" vertical="center" wrapText="1"/>
    </xf>
    <xf numFmtId="0" fontId="60" fillId="13" borderId="13" xfId="0" applyFont="1" applyFill="1" applyBorder="1" applyAlignment="1" applyProtection="1">
      <alignment horizontal="center" vertical="center" wrapText="1"/>
    </xf>
    <xf numFmtId="0" fontId="60" fillId="13" borderId="12" xfId="0" applyFont="1" applyFill="1" applyBorder="1" applyAlignment="1" applyProtection="1">
      <alignment horizontal="center" vertical="center" wrapText="1"/>
    </xf>
    <xf numFmtId="0" fontId="18" fillId="3" borderId="5" xfId="0" applyFont="1" applyFill="1" applyBorder="1" applyAlignment="1" applyProtection="1">
      <alignment horizontal="center" vertical="center" wrapText="1"/>
    </xf>
    <xf numFmtId="0" fontId="18" fillId="3" borderId="19" xfId="0" applyFont="1" applyFill="1" applyBorder="1" applyAlignment="1" applyProtection="1">
      <alignment horizontal="center" vertical="center" wrapText="1"/>
    </xf>
    <xf numFmtId="0" fontId="18" fillId="3" borderId="4" xfId="0" applyFont="1" applyFill="1" applyBorder="1" applyAlignment="1" applyProtection="1">
      <alignment horizontal="center" vertical="center" wrapText="1"/>
    </xf>
    <xf numFmtId="0" fontId="60" fillId="13" borderId="4" xfId="0" applyFont="1" applyFill="1" applyBorder="1" applyAlignment="1" applyProtection="1">
      <alignment horizontal="center" vertical="center" wrapText="1"/>
    </xf>
    <xf numFmtId="0" fontId="52" fillId="0" borderId="1" xfId="0" applyFont="1" applyBorder="1" applyAlignment="1" applyProtection="1">
      <alignment horizontal="left" wrapText="1"/>
      <protection locked="0"/>
    </xf>
    <xf numFmtId="0" fontId="13" fillId="0" borderId="5" xfId="0" applyFont="1" applyFill="1" applyBorder="1" applyAlignment="1" applyProtection="1">
      <alignment wrapText="1"/>
      <protection locked="0"/>
    </xf>
    <xf numFmtId="0" fontId="13" fillId="0" borderId="19" xfId="0" applyFont="1" applyFill="1" applyBorder="1" applyAlignment="1" applyProtection="1">
      <alignment wrapText="1"/>
      <protection locked="0"/>
    </xf>
    <xf numFmtId="0" fontId="13" fillId="0" borderId="4" xfId="0" applyFont="1" applyFill="1" applyBorder="1" applyAlignment="1" applyProtection="1">
      <alignment wrapText="1"/>
      <protection locked="0"/>
    </xf>
    <xf numFmtId="0" fontId="12" fillId="0" borderId="14" xfId="0" applyFont="1" applyFill="1" applyBorder="1" applyAlignment="1" applyProtection="1">
      <alignment horizontal="center" vertical="center" wrapText="1"/>
      <protection locked="0"/>
    </xf>
    <xf numFmtId="0" fontId="12" fillId="0" borderId="2" xfId="0" applyFont="1" applyFill="1" applyBorder="1" applyAlignment="1" applyProtection="1">
      <alignment horizontal="center" vertical="center" wrapText="1"/>
      <protection locked="0"/>
    </xf>
    <xf numFmtId="0" fontId="12" fillId="0" borderId="15" xfId="0" applyFont="1" applyFill="1" applyBorder="1" applyAlignment="1" applyProtection="1">
      <alignment horizontal="center" vertical="center" wrapText="1"/>
      <protection locked="0"/>
    </xf>
    <xf numFmtId="0" fontId="12" fillId="0" borderId="7" xfId="0" applyFont="1" applyFill="1" applyBorder="1" applyAlignment="1" applyProtection="1">
      <alignment horizontal="center" vertical="center" wrapText="1"/>
      <protection locked="0"/>
    </xf>
    <xf numFmtId="0" fontId="12" fillId="0" borderId="0" xfId="0" applyFont="1" applyFill="1" applyBorder="1" applyAlignment="1" applyProtection="1">
      <alignment horizontal="center" vertical="center" wrapText="1"/>
      <protection locked="0"/>
    </xf>
    <xf numFmtId="0" fontId="12" fillId="0" borderId="10" xfId="0"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wrapText="1"/>
      <protection locked="0"/>
    </xf>
    <xf numFmtId="0" fontId="12" fillId="0" borderId="13" xfId="0" applyFont="1" applyFill="1" applyBorder="1" applyAlignment="1" applyProtection="1">
      <alignment horizontal="center" vertical="center" wrapText="1"/>
      <protection locked="0"/>
    </xf>
    <xf numFmtId="0" fontId="12" fillId="0" borderId="12" xfId="0" applyFont="1" applyFill="1" applyBorder="1" applyAlignment="1" applyProtection="1">
      <alignment horizontal="center" vertical="center" wrapText="1"/>
      <protection locked="0"/>
    </xf>
    <xf numFmtId="0" fontId="13" fillId="0" borderId="41" xfId="0" applyFont="1" applyBorder="1" applyAlignment="1" applyProtection="1">
      <alignment horizontal="center" vertical="top" wrapText="1"/>
    </xf>
    <xf numFmtId="0" fontId="13" fillId="0" borderId="42" xfId="0" applyFont="1" applyBorder="1" applyAlignment="1" applyProtection="1">
      <alignment horizontal="center" vertical="top" wrapText="1"/>
    </xf>
    <xf numFmtId="0" fontId="12" fillId="3" borderId="13" xfId="0" applyFont="1" applyFill="1" applyBorder="1" applyAlignment="1" applyProtection="1">
      <alignment horizontal="center"/>
    </xf>
    <xf numFmtId="0" fontId="18" fillId="19" borderId="41" xfId="0" applyFont="1" applyFill="1" applyBorder="1" applyAlignment="1" applyProtection="1">
      <alignment horizontal="left" vertical="top" wrapText="1" indent="2"/>
    </xf>
    <xf numFmtId="0" fontId="18" fillId="19" borderId="42" xfId="0" applyFont="1" applyFill="1" applyBorder="1" applyAlignment="1" applyProtection="1">
      <alignment horizontal="left" vertical="top" wrapText="1" indent="2"/>
    </xf>
    <xf numFmtId="0" fontId="12" fillId="3" borderId="5" xfId="0" applyFont="1" applyFill="1" applyBorder="1" applyAlignment="1" applyProtection="1">
      <alignment horizontal="left" wrapText="1"/>
      <protection locked="0"/>
    </xf>
    <xf numFmtId="0" fontId="12" fillId="3" borderId="19" xfId="0" applyFont="1" applyFill="1" applyBorder="1" applyAlignment="1" applyProtection="1">
      <alignment horizontal="left" wrapText="1"/>
      <protection locked="0"/>
    </xf>
    <xf numFmtId="0" fontId="12" fillId="0" borderId="1" xfId="0" applyFont="1" applyBorder="1" applyAlignment="1" applyProtection="1">
      <alignment horizontal="center" vertical="center" wrapText="1"/>
      <protection locked="0"/>
    </xf>
    <xf numFmtId="0" fontId="12" fillId="33" borderId="1" xfId="0" applyFont="1" applyFill="1" applyBorder="1" applyAlignment="1" applyProtection="1">
      <alignment horizontal="center" vertical="center" wrapText="1"/>
      <protection locked="0"/>
    </xf>
    <xf numFmtId="0" fontId="12" fillId="0" borderId="5" xfId="0" applyFont="1" applyBorder="1" applyAlignment="1" applyProtection="1">
      <alignment vertical="center"/>
      <protection locked="0"/>
    </xf>
    <xf numFmtId="0" fontId="12" fillId="0" borderId="1" xfId="0" applyFont="1" applyBorder="1" applyAlignment="1" applyProtection="1">
      <alignment horizontal="center" vertical="center"/>
      <protection locked="0"/>
    </xf>
    <xf numFmtId="0" fontId="13" fillId="0" borderId="5" xfId="0" applyFont="1" applyFill="1" applyBorder="1" applyAlignment="1" applyProtection="1">
      <alignment vertical="center" wrapText="1"/>
      <protection locked="0"/>
    </xf>
    <xf numFmtId="0" fontId="60" fillId="13" borderId="0" xfId="0" applyFont="1" applyFill="1" applyBorder="1" applyAlignment="1" applyProtection="1">
      <alignment horizontal="center" vertical="center" wrapText="1"/>
    </xf>
    <xf numFmtId="0" fontId="13" fillId="0" borderId="65" xfId="0" applyFont="1" applyBorder="1" applyAlignment="1" applyProtection="1">
      <alignment horizontal="left" vertical="center" wrapText="1"/>
    </xf>
    <xf numFmtId="0" fontId="13" fillId="0" borderId="66" xfId="0" applyFont="1" applyBorder="1" applyAlignment="1" applyProtection="1">
      <alignment horizontal="left" vertical="center" wrapText="1"/>
    </xf>
    <xf numFmtId="0" fontId="77" fillId="31" borderId="0" xfId="0" applyFont="1" applyFill="1" applyBorder="1" applyAlignment="1" applyProtection="1">
      <alignment horizontal="center" vertical="center" wrapText="1"/>
    </xf>
    <xf numFmtId="0" fontId="74" fillId="3" borderId="5" xfId="0" applyFont="1" applyFill="1" applyBorder="1" applyAlignment="1" applyProtection="1">
      <alignment horizontal="center" vertical="center" wrapText="1"/>
    </xf>
    <xf numFmtId="0" fontId="74" fillId="3" borderId="19" xfId="0" applyFont="1" applyFill="1" applyBorder="1" applyAlignment="1" applyProtection="1">
      <alignment horizontal="center" vertical="center" wrapText="1"/>
    </xf>
    <xf numFmtId="0" fontId="74" fillId="3" borderId="4" xfId="0" applyFont="1" applyFill="1" applyBorder="1" applyAlignment="1" applyProtection="1">
      <alignment horizontal="center" vertical="center" wrapText="1"/>
    </xf>
    <xf numFmtId="0" fontId="77" fillId="13" borderId="5" xfId="0" applyFont="1" applyFill="1" applyBorder="1" applyAlignment="1" applyProtection="1">
      <alignment horizontal="center" vertical="center" wrapText="1"/>
    </xf>
    <xf numFmtId="0" fontId="77" fillId="13" borderId="4" xfId="0" applyFont="1" applyFill="1" applyBorder="1" applyAlignment="1" applyProtection="1">
      <alignment horizontal="center" vertical="center" wrapText="1"/>
    </xf>
    <xf numFmtId="0" fontId="77" fillId="13" borderId="19" xfId="0" applyFont="1" applyFill="1" applyBorder="1" applyAlignment="1" applyProtection="1">
      <alignment horizontal="center" vertical="center" wrapText="1"/>
    </xf>
    <xf numFmtId="0" fontId="77" fillId="13" borderId="14" xfId="0" applyFont="1" applyFill="1" applyBorder="1" applyAlignment="1" applyProtection="1">
      <alignment horizontal="center" vertical="center" wrapText="1"/>
    </xf>
    <xf numFmtId="0" fontId="77" fillId="13" borderId="2" xfId="0" applyFont="1" applyFill="1" applyBorder="1" applyAlignment="1" applyProtection="1">
      <alignment horizontal="center" vertical="center" wrapText="1"/>
    </xf>
    <xf numFmtId="0" fontId="77" fillId="13" borderId="15" xfId="0" applyFont="1" applyFill="1" applyBorder="1" applyAlignment="1" applyProtection="1">
      <alignment horizontal="center" vertical="center" wrapText="1"/>
    </xf>
    <xf numFmtId="0" fontId="77" fillId="13" borderId="7" xfId="0" applyFont="1" applyFill="1" applyBorder="1" applyAlignment="1" applyProtection="1">
      <alignment horizontal="center" vertical="center" wrapText="1"/>
    </xf>
    <xf numFmtId="0" fontId="77" fillId="13" borderId="0" xfId="0" applyFont="1" applyFill="1" applyBorder="1" applyAlignment="1" applyProtection="1">
      <alignment horizontal="center" vertical="center" wrapText="1"/>
    </xf>
    <xf numFmtId="0" fontId="77" fillId="13" borderId="10" xfId="0" applyFont="1" applyFill="1" applyBorder="1" applyAlignment="1" applyProtection="1">
      <alignment horizontal="center" vertical="center" wrapText="1"/>
    </xf>
    <xf numFmtId="0" fontId="77" fillId="13" borderId="11" xfId="0" applyFont="1" applyFill="1" applyBorder="1" applyAlignment="1" applyProtection="1">
      <alignment horizontal="center" vertical="center" wrapText="1"/>
    </xf>
    <xf numFmtId="0" fontId="77" fillId="13" borderId="13" xfId="0" applyFont="1" applyFill="1" applyBorder="1" applyAlignment="1" applyProtection="1">
      <alignment horizontal="center" vertical="center" wrapText="1"/>
    </xf>
    <xf numFmtId="0" fontId="77" fillId="13" borderId="12" xfId="0" applyFont="1" applyFill="1" applyBorder="1" applyAlignment="1" applyProtection="1">
      <alignment horizontal="center" vertical="center" wrapText="1"/>
    </xf>
    <xf numFmtId="0" fontId="13" fillId="0" borderId="1" xfId="0" applyFont="1" applyBorder="1" applyAlignment="1" applyProtection="1">
      <alignment vertical="center" wrapText="1"/>
      <protection locked="0"/>
    </xf>
    <xf numFmtId="0" fontId="52" fillId="8" borderId="1" xfId="0" applyFont="1" applyFill="1" applyBorder="1" applyAlignment="1" applyProtection="1">
      <alignment vertical="center" wrapText="1"/>
      <protection locked="0"/>
    </xf>
    <xf numFmtId="0" fontId="12" fillId="3" borderId="5" xfId="0" applyFont="1" applyFill="1" applyBorder="1" applyAlignment="1" applyProtection="1">
      <alignment vertical="center" wrapText="1"/>
      <protection locked="0"/>
    </xf>
    <xf numFmtId="0" fontId="12" fillId="3" borderId="19" xfId="0" applyFont="1" applyFill="1" applyBorder="1" applyAlignment="1" applyProtection="1">
      <alignment vertical="center" wrapText="1"/>
      <protection locked="0"/>
    </xf>
    <xf numFmtId="0" fontId="12" fillId="3" borderId="4" xfId="0" applyFont="1" applyFill="1" applyBorder="1" applyAlignment="1" applyProtection="1">
      <alignment vertical="center" wrapText="1"/>
      <protection locked="0"/>
    </xf>
    <xf numFmtId="0" fontId="13" fillId="0" borderId="5" xfId="9" applyFont="1" applyBorder="1" applyAlignment="1" applyProtection="1">
      <protection locked="0"/>
    </xf>
    <xf numFmtId="0" fontId="13" fillId="0" borderId="19" xfId="9" applyFont="1" applyBorder="1" applyAlignment="1" applyProtection="1">
      <protection locked="0"/>
    </xf>
    <xf numFmtId="0" fontId="13" fillId="0" borderId="4" xfId="9" applyFont="1" applyBorder="1" applyAlignment="1" applyProtection="1">
      <protection locked="0"/>
    </xf>
    <xf numFmtId="0" fontId="13" fillId="0" borderId="1" xfId="9" applyFont="1" applyBorder="1" applyAlignment="1" applyProtection="1">
      <alignment horizontal="center"/>
      <protection locked="0"/>
    </xf>
    <xf numFmtId="0" fontId="13" fillId="0" borderId="1" xfId="9" applyFont="1" applyFill="1" applyBorder="1" applyAlignment="1" applyProtection="1">
      <alignment horizontal="left" vertical="center" wrapText="1"/>
      <protection locked="0"/>
    </xf>
    <xf numFmtId="0" fontId="58" fillId="31" borderId="5" xfId="9" applyFont="1" applyFill="1" applyBorder="1" applyAlignment="1" applyProtection="1">
      <alignment vertical="center" wrapText="1"/>
    </xf>
    <xf numFmtId="0" fontId="58" fillId="31" borderId="19" xfId="9" applyFont="1" applyFill="1" applyBorder="1" applyAlignment="1" applyProtection="1">
      <alignment vertical="center" wrapText="1"/>
    </xf>
    <xf numFmtId="0" fontId="58" fillId="31" borderId="4" xfId="9" applyFont="1" applyFill="1" applyBorder="1" applyAlignment="1" applyProtection="1">
      <alignment vertical="center" wrapText="1"/>
    </xf>
    <xf numFmtId="0" fontId="58" fillId="31" borderId="1" xfId="9" applyFont="1" applyFill="1" applyBorder="1" applyAlignment="1" applyProtection="1">
      <alignment horizontal="center" vertical="center" wrapText="1"/>
    </xf>
    <xf numFmtId="0" fontId="13" fillId="0" borderId="5" xfId="9" applyFont="1" applyBorder="1" applyAlignment="1" applyProtection="1">
      <alignment horizontal="left" vertical="center" wrapText="1"/>
      <protection locked="0"/>
    </xf>
    <xf numFmtId="0" fontId="13" fillId="0" borderId="19" xfId="9" applyFont="1" applyBorder="1" applyAlignment="1" applyProtection="1">
      <alignment horizontal="left" vertical="center" wrapText="1"/>
      <protection locked="0"/>
    </xf>
    <xf numFmtId="0" fontId="13" fillId="0" borderId="4" xfId="9" applyFont="1" applyBorder="1" applyAlignment="1" applyProtection="1">
      <alignment horizontal="left" vertical="center" wrapText="1"/>
      <protection locked="0"/>
    </xf>
    <xf numFmtId="0" fontId="13" fillId="0" borderId="5" xfId="9" applyFont="1" applyFill="1" applyBorder="1" applyAlignment="1" applyProtection="1">
      <alignment horizontal="left" vertical="center" wrapText="1"/>
      <protection locked="0"/>
    </xf>
    <xf numFmtId="0" fontId="13" fillId="0" borderId="19" xfId="9" applyFont="1" applyFill="1" applyBorder="1" applyAlignment="1" applyProtection="1">
      <alignment horizontal="left" vertical="center" wrapText="1"/>
      <protection locked="0"/>
    </xf>
    <xf numFmtId="0" fontId="13" fillId="0" borderId="4" xfId="9" applyFont="1" applyFill="1" applyBorder="1" applyAlignment="1" applyProtection="1">
      <alignment horizontal="left" vertical="center" wrapText="1"/>
      <protection locked="0"/>
    </xf>
    <xf numFmtId="0" fontId="58" fillId="31" borderId="5" xfId="9" applyFont="1" applyFill="1" applyBorder="1" applyAlignment="1" applyProtection="1">
      <alignment horizontal="left" vertical="center" wrapText="1"/>
    </xf>
    <xf numFmtId="0" fontId="58" fillId="31" borderId="19" xfId="9" applyFont="1" applyFill="1" applyBorder="1" applyAlignment="1" applyProtection="1">
      <alignment horizontal="left" vertical="center" wrapText="1"/>
    </xf>
    <xf numFmtId="0" fontId="58" fillId="31" borderId="4" xfId="9" applyFont="1" applyFill="1" applyBorder="1" applyAlignment="1" applyProtection="1">
      <alignment horizontal="left" vertical="center" wrapText="1"/>
    </xf>
    <xf numFmtId="0" fontId="13" fillId="0" borderId="1" xfId="9" applyFont="1" applyBorder="1" applyAlignment="1" applyProtection="1">
      <alignment horizontal="left" vertical="center" wrapText="1"/>
      <protection locked="0"/>
    </xf>
    <xf numFmtId="2" fontId="13" fillId="0" borderId="5" xfId="9" applyNumberFormat="1" applyFont="1" applyBorder="1" applyAlignment="1" applyProtection="1">
      <alignment horizontal="center" vertical="center" wrapText="1"/>
      <protection locked="0"/>
    </xf>
    <xf numFmtId="2" fontId="13" fillId="0" borderId="19" xfId="9" applyNumberFormat="1" applyFont="1" applyBorder="1" applyAlignment="1" applyProtection="1">
      <alignment horizontal="center" vertical="center" wrapText="1"/>
      <protection locked="0"/>
    </xf>
    <xf numFmtId="2" fontId="13" fillId="0" borderId="4" xfId="9" applyNumberFormat="1" applyFont="1" applyBorder="1" applyAlignment="1" applyProtection="1">
      <alignment horizontal="center" vertical="center" wrapText="1"/>
      <protection locked="0"/>
    </xf>
    <xf numFmtId="0" fontId="18" fillId="36" borderId="5" xfId="9" applyFont="1" applyFill="1" applyBorder="1" applyAlignment="1" applyProtection="1">
      <alignment horizontal="center" vertical="center" wrapText="1"/>
      <protection locked="0"/>
    </xf>
    <xf numFmtId="0" fontId="18" fillId="36" borderId="19" xfId="9" applyFont="1" applyFill="1" applyBorder="1" applyAlignment="1" applyProtection="1">
      <alignment horizontal="center" vertical="center" wrapText="1"/>
      <protection locked="0"/>
    </xf>
    <xf numFmtId="0" fontId="18" fillId="36" borderId="4" xfId="9" applyFont="1" applyFill="1" applyBorder="1" applyAlignment="1" applyProtection="1">
      <alignment horizontal="center" vertical="center" wrapText="1"/>
      <protection locked="0"/>
    </xf>
    <xf numFmtId="0" fontId="60" fillId="31" borderId="5" xfId="9" applyFont="1" applyFill="1" applyBorder="1" applyAlignment="1" applyProtection="1">
      <alignment horizontal="center" vertical="center" wrapText="1"/>
    </xf>
    <xf numFmtId="0" fontId="60" fillId="31" borderId="4" xfId="9" applyFont="1" applyFill="1" applyBorder="1" applyAlignment="1" applyProtection="1">
      <alignment horizontal="center" vertical="center" wrapText="1"/>
    </xf>
    <xf numFmtId="2" fontId="13" fillId="0" borderId="11" xfId="9" applyNumberFormat="1" applyFont="1" applyBorder="1" applyAlignment="1" applyProtection="1">
      <alignment vertical="center" wrapText="1"/>
      <protection locked="0"/>
    </xf>
    <xf numFmtId="2" fontId="13" fillId="0" borderId="13" xfId="9" applyNumberFormat="1" applyFont="1" applyBorder="1" applyAlignment="1" applyProtection="1">
      <alignment vertical="center" wrapText="1"/>
      <protection locked="0"/>
    </xf>
    <xf numFmtId="2" fontId="13" fillId="0" borderId="12" xfId="9" applyNumberFormat="1" applyFont="1" applyBorder="1" applyAlignment="1" applyProtection="1">
      <alignment vertical="center" wrapText="1"/>
      <protection locked="0"/>
    </xf>
    <xf numFmtId="2" fontId="13" fillId="0" borderId="5" xfId="9" applyNumberFormat="1" applyFont="1" applyBorder="1" applyAlignment="1" applyProtection="1">
      <alignment vertical="center" wrapText="1"/>
      <protection locked="0"/>
    </xf>
    <xf numFmtId="2" fontId="13" fillId="0" borderId="19" xfId="9" applyNumberFormat="1" applyFont="1" applyBorder="1" applyAlignment="1" applyProtection="1">
      <alignment vertical="center" wrapText="1"/>
      <protection locked="0"/>
    </xf>
    <xf numFmtId="2" fontId="13" fillId="0" borderId="4" xfId="9" applyNumberFormat="1" applyFont="1" applyBorder="1" applyAlignment="1" applyProtection="1">
      <alignment vertical="center" wrapText="1"/>
      <protection locked="0"/>
    </xf>
    <xf numFmtId="0" fontId="13" fillId="0" borderId="5" xfId="9" applyFont="1" applyBorder="1" applyAlignment="1" applyProtection="1">
      <alignment vertical="center" wrapText="1"/>
      <protection locked="0"/>
    </xf>
    <xf numFmtId="0" fontId="13" fillId="0" borderId="19" xfId="9" applyFont="1" applyBorder="1" applyAlignment="1" applyProtection="1">
      <alignment vertical="center" wrapText="1"/>
      <protection locked="0"/>
    </xf>
    <xf numFmtId="0" fontId="13" fillId="0" borderId="4" xfId="9" applyFont="1" applyBorder="1" applyAlignment="1" applyProtection="1">
      <alignment vertical="center" wrapText="1"/>
      <protection locked="0"/>
    </xf>
    <xf numFmtId="0" fontId="60" fillId="31" borderId="19" xfId="9" applyFont="1" applyFill="1" applyBorder="1" applyAlignment="1" applyProtection="1">
      <alignment horizontal="center" vertical="center" wrapText="1"/>
    </xf>
    <xf numFmtId="0" fontId="60" fillId="31" borderId="14" xfId="9" applyFont="1" applyFill="1" applyBorder="1" applyAlignment="1" applyProtection="1">
      <alignment horizontal="center" vertical="center" wrapText="1"/>
    </xf>
    <xf numFmtId="0" fontId="60" fillId="31" borderId="2" xfId="9" applyFont="1" applyFill="1" applyBorder="1" applyAlignment="1" applyProtection="1">
      <alignment horizontal="center" vertical="center" wrapText="1"/>
    </xf>
    <xf numFmtId="0" fontId="60" fillId="31" borderId="15" xfId="9" applyFont="1" applyFill="1" applyBorder="1" applyAlignment="1" applyProtection="1">
      <alignment horizontal="center" vertical="center" wrapText="1"/>
    </xf>
    <xf numFmtId="0" fontId="60" fillId="31" borderId="7" xfId="9" applyFont="1" applyFill="1" applyBorder="1" applyAlignment="1" applyProtection="1">
      <alignment horizontal="center" vertical="center" wrapText="1"/>
    </xf>
    <xf numFmtId="0" fontId="60" fillId="31" borderId="0" xfId="9" applyFont="1" applyFill="1" applyAlignment="1" applyProtection="1">
      <alignment horizontal="center" vertical="center" wrapText="1"/>
    </xf>
    <xf numFmtId="0" fontId="60" fillId="31" borderId="10" xfId="9" applyFont="1" applyFill="1" applyBorder="1" applyAlignment="1" applyProtection="1">
      <alignment horizontal="center" vertical="center" wrapText="1"/>
    </xf>
    <xf numFmtId="0" fontId="60" fillId="31" borderId="11" xfId="9" applyFont="1" applyFill="1" applyBorder="1" applyAlignment="1" applyProtection="1">
      <alignment horizontal="center" vertical="center" wrapText="1"/>
    </xf>
    <xf numFmtId="0" fontId="60" fillId="31" borderId="13" xfId="9" applyFont="1" applyFill="1" applyBorder="1" applyAlignment="1" applyProtection="1">
      <alignment horizontal="center" vertical="center" wrapText="1"/>
    </xf>
    <xf numFmtId="0" fontId="60" fillId="31" borderId="12" xfId="9" applyFont="1" applyFill="1" applyBorder="1" applyAlignment="1" applyProtection="1">
      <alignment horizontal="center" vertical="center" wrapText="1"/>
    </xf>
    <xf numFmtId="2" fontId="12" fillId="0" borderId="5" xfId="10" applyNumberFormat="1" applyFont="1" applyBorder="1" applyAlignment="1" applyProtection="1">
      <alignment horizontal="center" vertical="center" wrapText="1"/>
      <protection locked="0"/>
    </xf>
    <xf numFmtId="2" fontId="12" fillId="0" borderId="19" xfId="10" applyNumberFormat="1" applyFont="1" applyBorder="1" applyAlignment="1" applyProtection="1">
      <alignment horizontal="center" vertical="center" wrapText="1"/>
      <protection locked="0"/>
    </xf>
    <xf numFmtId="2" fontId="12" fillId="0" borderId="4" xfId="10" applyNumberFormat="1" applyFont="1" applyBorder="1" applyAlignment="1" applyProtection="1">
      <alignment horizontal="center" vertical="center" wrapText="1"/>
      <protection locked="0"/>
    </xf>
    <xf numFmtId="0" fontId="13" fillId="0" borderId="5" xfId="9" applyFont="1" applyBorder="1" applyAlignment="1" applyProtection="1"/>
    <xf numFmtId="0" fontId="13" fillId="0" borderId="19" xfId="9" applyFont="1" applyBorder="1" applyAlignment="1" applyProtection="1"/>
    <xf numFmtId="0" fontId="13" fillId="0" borderId="4" xfId="9" applyFont="1" applyBorder="1" applyAlignment="1" applyProtection="1"/>
    <xf numFmtId="0" fontId="58" fillId="18" borderId="1" xfId="9" applyFont="1" applyFill="1" applyBorder="1" applyAlignment="1" applyProtection="1">
      <alignment horizontal="left" vertical="center" wrapText="1"/>
    </xf>
    <xf numFmtId="0" fontId="71" fillId="0" borderId="9" xfId="9" applyFont="1" applyBorder="1" applyAlignment="1" applyProtection="1">
      <alignment horizontal="left" vertical="center" wrapText="1" indent="1"/>
      <protection locked="0"/>
    </xf>
    <xf numFmtId="0" fontId="13" fillId="0" borderId="1" xfId="9" applyFont="1" applyBorder="1" applyAlignment="1" applyProtection="1">
      <alignment horizontal="left" vertical="center" wrapText="1" indent="1"/>
      <protection locked="0"/>
    </xf>
    <xf numFmtId="0" fontId="58" fillId="18" borderId="1" xfId="9" applyFont="1" applyFill="1" applyBorder="1" applyAlignment="1" applyProtection="1">
      <alignment vertical="center" wrapText="1"/>
    </xf>
    <xf numFmtId="0" fontId="13" fillId="0" borderId="9" xfId="9" applyFont="1" applyBorder="1" applyAlignment="1" applyProtection="1">
      <alignment vertical="center"/>
    </xf>
    <xf numFmtId="0" fontId="52" fillId="8" borderId="5" xfId="9" applyFont="1" applyFill="1" applyBorder="1" applyAlignment="1" applyProtection="1">
      <alignment horizontal="left" vertical="center" wrapText="1"/>
      <protection locked="0"/>
    </xf>
    <xf numFmtId="0" fontId="52" fillId="8" borderId="4" xfId="9" applyFont="1" applyFill="1" applyBorder="1" applyAlignment="1" applyProtection="1">
      <alignment horizontal="left" vertical="center" wrapText="1"/>
      <protection locked="0"/>
    </xf>
    <xf numFmtId="0" fontId="58" fillId="31" borderId="1" xfId="9" applyFont="1" applyFill="1" applyBorder="1" applyAlignment="1" applyProtection="1">
      <alignment horizontal="left" vertical="center" wrapText="1"/>
    </xf>
    <xf numFmtId="0" fontId="13" fillId="0" borderId="1" xfId="9" applyFont="1" applyBorder="1" applyAlignment="1" applyProtection="1">
      <alignment horizontal="left" wrapText="1"/>
      <protection locked="0"/>
    </xf>
    <xf numFmtId="0" fontId="13" fillId="0" borderId="1" xfId="9" applyFont="1" applyBorder="1" applyAlignment="1" applyProtection="1">
      <alignment horizontal="left"/>
      <protection locked="0"/>
    </xf>
    <xf numFmtId="0" fontId="52" fillId="0" borderId="1" xfId="9" applyFont="1" applyBorder="1" applyAlignment="1" applyProtection="1">
      <alignment vertical="center" wrapText="1"/>
    </xf>
    <xf numFmtId="0" fontId="13" fillId="0" borderId="1" xfId="9" applyFont="1" applyBorder="1" applyAlignment="1" applyProtection="1">
      <alignment vertical="center" wrapText="1"/>
    </xf>
    <xf numFmtId="0" fontId="58" fillId="18" borderId="5" xfId="0" applyFont="1" applyFill="1" applyBorder="1" applyAlignment="1" applyProtection="1">
      <alignment horizontal="left" vertical="center" wrapText="1"/>
    </xf>
    <xf numFmtId="0" fontId="58" fillId="18" borderId="19" xfId="0" applyFont="1" applyFill="1" applyBorder="1" applyAlignment="1" applyProtection="1">
      <alignment horizontal="left" vertical="center" wrapText="1"/>
    </xf>
    <xf numFmtId="0" fontId="58" fillId="18" borderId="4" xfId="0" applyFont="1" applyFill="1" applyBorder="1" applyAlignment="1" applyProtection="1">
      <alignment horizontal="left" vertical="center" wrapText="1"/>
    </xf>
    <xf numFmtId="0" fontId="12" fillId="0" borderId="1" xfId="0" applyFont="1" applyFill="1" applyBorder="1" applyAlignment="1" applyProtection="1">
      <alignment horizontal="center" vertical="center" wrapText="1"/>
      <protection locked="0"/>
    </xf>
    <xf numFmtId="186" fontId="12" fillId="3" borderId="1" xfId="11" applyNumberFormat="1" applyFont="1" applyFill="1" applyBorder="1" applyAlignment="1" applyProtection="1">
      <protection locked="0"/>
    </xf>
    <xf numFmtId="3" fontId="13" fillId="3" borderId="1" xfId="9" applyNumberFormat="1" applyFont="1" applyFill="1" applyBorder="1" applyAlignment="1" applyProtection="1">
      <protection locked="0"/>
    </xf>
    <xf numFmtId="0" fontId="58" fillId="31" borderId="1" xfId="9" applyFont="1" applyFill="1" applyBorder="1" applyAlignment="1" applyProtection="1"/>
    <xf numFmtId="0" fontId="72" fillId="18" borderId="5" xfId="0" applyFont="1" applyFill="1" applyBorder="1" applyAlignment="1" applyProtection="1">
      <alignment horizontal="left" vertical="center" wrapText="1"/>
    </xf>
    <xf numFmtId="0" fontId="72" fillId="18" borderId="19" xfId="0" applyFont="1" applyFill="1" applyBorder="1" applyAlignment="1" applyProtection="1">
      <alignment horizontal="left" vertical="center" wrapText="1"/>
    </xf>
    <xf numFmtId="0" fontId="72" fillId="18" borderId="4" xfId="0" applyFont="1" applyFill="1" applyBorder="1" applyAlignment="1" applyProtection="1">
      <alignment horizontal="left" vertical="center" wrapText="1"/>
    </xf>
    <xf numFmtId="0" fontId="72" fillId="18" borderId="1" xfId="9" applyFont="1" applyFill="1" applyBorder="1" applyAlignment="1" applyProtection="1">
      <alignment vertical="center" wrapText="1"/>
    </xf>
    <xf numFmtId="0" fontId="75" fillId="0" borderId="9" xfId="9" applyFont="1" applyBorder="1" applyAlignment="1" applyProtection="1">
      <alignment vertical="center"/>
    </xf>
    <xf numFmtId="0" fontId="73" fillId="0" borderId="1" xfId="9" applyFont="1" applyBorder="1" applyAlignment="1" applyProtection="1">
      <alignment vertical="center" wrapText="1"/>
    </xf>
    <xf numFmtId="0" fontId="75" fillId="0" borderId="1" xfId="9" applyFont="1" applyBorder="1" applyAlignment="1" applyProtection="1">
      <alignment vertical="center" wrapText="1"/>
    </xf>
    <xf numFmtId="0" fontId="75" fillId="0" borderId="1" xfId="9" applyFont="1" applyBorder="1" applyAlignment="1" applyProtection="1">
      <alignment horizontal="left" wrapText="1"/>
      <protection locked="0"/>
    </xf>
    <xf numFmtId="0" fontId="72" fillId="18" borderId="1" xfId="9" applyFont="1" applyFill="1" applyBorder="1" applyAlignment="1" applyProtection="1">
      <alignment horizontal="left" vertical="center" wrapText="1"/>
    </xf>
    <xf numFmtId="0" fontId="80" fillId="0" borderId="9" xfId="9" applyFont="1" applyBorder="1" applyAlignment="1" applyProtection="1">
      <alignment horizontal="left" vertical="center" wrapText="1" indent="1"/>
      <protection locked="0"/>
    </xf>
    <xf numFmtId="0" fontId="75" fillId="0" borderId="5" xfId="9" applyFont="1" applyBorder="1" applyAlignment="1" applyProtection="1"/>
    <xf numFmtId="0" fontId="75" fillId="0" borderId="19" xfId="9" applyFont="1" applyBorder="1" applyAlignment="1" applyProtection="1"/>
    <xf numFmtId="0" fontId="75" fillId="0" borderId="4" xfId="9" applyFont="1" applyBorder="1" applyAlignment="1" applyProtection="1"/>
    <xf numFmtId="0" fontId="75" fillId="0" borderId="1" xfId="9" applyFont="1" applyBorder="1" applyAlignment="1" applyProtection="1">
      <alignment horizontal="center"/>
      <protection locked="0"/>
    </xf>
    <xf numFmtId="0" fontId="75" fillId="0" borderId="1" xfId="9" applyFont="1" applyBorder="1" applyAlignment="1" applyProtection="1">
      <alignment horizontal="left"/>
      <protection locked="0"/>
    </xf>
    <xf numFmtId="0" fontId="72" fillId="31" borderId="5" xfId="9" applyFont="1" applyFill="1" applyBorder="1" applyAlignment="1" applyProtection="1">
      <alignment vertical="center" wrapText="1"/>
    </xf>
    <xf numFmtId="0" fontId="72" fillId="31" borderId="19" xfId="9" applyFont="1" applyFill="1" applyBorder="1" applyAlignment="1" applyProtection="1">
      <alignment vertical="center" wrapText="1"/>
    </xf>
    <xf numFmtId="0" fontId="72" fillId="31" borderId="4" xfId="9" applyFont="1" applyFill="1" applyBorder="1" applyAlignment="1" applyProtection="1">
      <alignment vertical="center" wrapText="1"/>
    </xf>
    <xf numFmtId="0" fontId="72" fillId="31" borderId="1" xfId="9" applyFont="1" applyFill="1" applyBorder="1" applyAlignment="1" applyProtection="1">
      <alignment horizontal="center" vertical="center" wrapText="1"/>
    </xf>
    <xf numFmtId="0" fontId="75" fillId="0" borderId="5" xfId="9" applyFont="1" applyBorder="1" applyAlignment="1" applyProtection="1">
      <alignment wrapText="1"/>
      <protection locked="0"/>
    </xf>
    <xf numFmtId="0" fontId="75" fillId="0" borderId="19" xfId="9" applyFont="1" applyBorder="1" applyAlignment="1" applyProtection="1">
      <protection locked="0"/>
    </xf>
    <xf numFmtId="0" fontId="75" fillId="0" borderId="4" xfId="9" applyFont="1" applyBorder="1" applyAlignment="1" applyProtection="1">
      <protection locked="0"/>
    </xf>
    <xf numFmtId="0" fontId="75" fillId="0" borderId="5" xfId="9" applyFont="1" applyBorder="1" applyAlignment="1" applyProtection="1">
      <alignment horizontal="center"/>
      <protection locked="0"/>
    </xf>
    <xf numFmtId="0" fontId="75" fillId="0" borderId="4" xfId="9" applyFont="1" applyBorder="1" applyAlignment="1" applyProtection="1">
      <alignment horizontal="center"/>
      <protection locked="0"/>
    </xf>
    <xf numFmtId="0" fontId="75" fillId="0" borderId="5" xfId="9" applyFont="1" applyBorder="1" applyAlignment="1" applyProtection="1">
      <protection locked="0"/>
    </xf>
    <xf numFmtId="0" fontId="75" fillId="0" borderId="1" xfId="9" applyFont="1" applyBorder="1" applyAlignment="1" applyProtection="1">
      <alignment horizontal="left" vertical="center" wrapText="1"/>
      <protection locked="0"/>
    </xf>
    <xf numFmtId="0" fontId="75" fillId="0" borderId="5" xfId="9" applyFont="1" applyFill="1" applyBorder="1" applyAlignment="1" applyProtection="1">
      <alignment horizontal="left" vertical="center" wrapText="1"/>
      <protection locked="0"/>
    </xf>
    <xf numFmtId="0" fontId="75" fillId="0" borderId="19" xfId="9" applyFont="1" applyFill="1" applyBorder="1" applyAlignment="1" applyProtection="1">
      <alignment horizontal="left" vertical="center" wrapText="1"/>
      <protection locked="0"/>
    </xf>
    <xf numFmtId="0" fontId="75" fillId="0" borderId="4" xfId="9" applyFont="1" applyFill="1" applyBorder="1" applyAlignment="1" applyProtection="1">
      <alignment horizontal="left" vertical="center" wrapText="1"/>
      <protection locked="0"/>
    </xf>
    <xf numFmtId="0" fontId="73" fillId="8" borderId="1" xfId="9" applyFont="1" applyFill="1" applyBorder="1" applyAlignment="1" applyProtection="1">
      <alignment horizontal="left" vertical="center" wrapText="1"/>
      <protection locked="0"/>
    </xf>
    <xf numFmtId="0" fontId="75" fillId="0" borderId="5" xfId="9" applyFont="1" applyBorder="1" applyAlignment="1" applyProtection="1">
      <alignment vertical="center" wrapText="1"/>
      <protection locked="0"/>
    </xf>
    <xf numFmtId="0" fontId="75" fillId="0" borderId="19" xfId="9" applyFont="1" applyBorder="1" applyAlignment="1" applyProtection="1">
      <alignment vertical="center" wrapText="1"/>
      <protection locked="0"/>
    </xf>
    <xf numFmtId="0" fontId="75" fillId="0" borderId="4" xfId="9" applyFont="1" applyBorder="1" applyAlignment="1" applyProtection="1">
      <alignment vertical="center" wrapText="1"/>
      <protection locked="0"/>
    </xf>
    <xf numFmtId="0" fontId="72" fillId="31" borderId="1" xfId="9" applyFont="1" applyFill="1" applyBorder="1" applyAlignment="1" applyProtection="1"/>
    <xf numFmtId="0" fontId="72" fillId="31" borderId="1" xfId="9" applyFont="1" applyFill="1" applyBorder="1" applyAlignment="1" applyProtection="1">
      <alignment horizontal="left" vertical="center" wrapText="1"/>
    </xf>
    <xf numFmtId="0" fontId="72" fillId="31" borderId="5" xfId="9" applyFont="1" applyFill="1" applyBorder="1" applyAlignment="1" applyProtection="1">
      <alignment horizontal="left" vertical="center" wrapText="1"/>
    </xf>
    <xf numFmtId="0" fontId="72" fillId="31" borderId="19" xfId="9" applyFont="1" applyFill="1" applyBorder="1" applyAlignment="1" applyProtection="1">
      <alignment horizontal="left" vertical="center" wrapText="1"/>
    </xf>
    <xf numFmtId="0" fontId="72" fillId="31" borderId="4" xfId="9" applyFont="1" applyFill="1" applyBorder="1" applyAlignment="1" applyProtection="1">
      <alignment horizontal="left" vertical="center" wrapText="1"/>
    </xf>
    <xf numFmtId="3" fontId="75" fillId="3" borderId="1" xfId="9" applyNumberFormat="1" applyFont="1" applyFill="1" applyBorder="1" applyAlignment="1" applyProtection="1">
      <protection locked="0"/>
    </xf>
    <xf numFmtId="0" fontId="75" fillId="0" borderId="5" xfId="9" applyFont="1" applyBorder="1" applyAlignment="1" applyProtection="1">
      <alignment horizontal="left" vertical="center" wrapText="1"/>
      <protection locked="0"/>
    </xf>
    <xf numFmtId="0" fontId="75" fillId="0" borderId="19" xfId="9" applyFont="1" applyBorder="1" applyAlignment="1" applyProtection="1">
      <alignment horizontal="left" vertical="center" wrapText="1"/>
      <protection locked="0"/>
    </xf>
    <xf numFmtId="0" fontId="75" fillId="0" borderId="4" xfId="9" applyFont="1" applyBorder="1" applyAlignment="1" applyProtection="1">
      <alignment horizontal="left" vertical="center" wrapText="1"/>
      <protection locked="0"/>
    </xf>
    <xf numFmtId="0" fontId="77" fillId="31" borderId="5" xfId="9" applyFont="1" applyFill="1" applyBorder="1" applyAlignment="1" applyProtection="1">
      <alignment horizontal="center" vertical="center" wrapText="1"/>
    </xf>
    <xf numFmtId="0" fontId="77" fillId="31" borderId="4" xfId="9" applyFont="1" applyFill="1" applyBorder="1" applyAlignment="1" applyProtection="1">
      <alignment horizontal="center" vertical="center" wrapText="1"/>
    </xf>
    <xf numFmtId="2" fontId="75" fillId="0" borderId="11" xfId="9" applyNumberFormat="1" applyFont="1" applyBorder="1" applyAlignment="1" applyProtection="1">
      <alignment vertical="center" wrapText="1"/>
      <protection locked="0"/>
    </xf>
    <xf numFmtId="2" fontId="75" fillId="0" borderId="13" xfId="9" applyNumberFormat="1" applyFont="1" applyBorder="1" applyAlignment="1" applyProtection="1">
      <alignment vertical="center" wrapText="1"/>
      <protection locked="0"/>
    </xf>
    <xf numFmtId="2" fontId="75" fillId="0" borderId="12" xfId="9" applyNumberFormat="1" applyFont="1" applyBorder="1" applyAlignment="1" applyProtection="1">
      <alignment vertical="center" wrapText="1"/>
      <protection locked="0"/>
    </xf>
    <xf numFmtId="2" fontId="75" fillId="0" borderId="5" xfId="9" applyNumberFormat="1" applyFont="1" applyBorder="1" applyAlignment="1" applyProtection="1">
      <alignment vertical="center" wrapText="1"/>
      <protection locked="0"/>
    </xf>
    <xf numFmtId="2" fontId="75" fillId="0" borderId="19" xfId="9" applyNumberFormat="1" applyFont="1" applyBorder="1" applyAlignment="1" applyProtection="1">
      <alignment vertical="center" wrapText="1"/>
      <protection locked="0"/>
    </xf>
    <xf numFmtId="2" fontId="75" fillId="0" borderId="4" xfId="9" applyNumberFormat="1" applyFont="1" applyBorder="1" applyAlignment="1" applyProtection="1">
      <alignment vertical="center" wrapText="1"/>
      <protection locked="0"/>
    </xf>
    <xf numFmtId="2" fontId="75" fillId="0" borderId="5" xfId="9" applyNumberFormat="1" applyFont="1" applyBorder="1" applyAlignment="1" applyProtection="1">
      <alignment horizontal="center" vertical="center" wrapText="1"/>
      <protection locked="0"/>
    </xf>
    <xf numFmtId="2" fontId="75" fillId="0" borderId="19" xfId="9" applyNumberFormat="1" applyFont="1" applyBorder="1" applyAlignment="1" applyProtection="1">
      <alignment horizontal="center" vertical="center" wrapText="1"/>
      <protection locked="0"/>
    </xf>
    <xf numFmtId="2" fontId="75" fillId="0" borderId="4" xfId="9" applyNumberFormat="1" applyFont="1" applyBorder="1" applyAlignment="1" applyProtection="1">
      <alignment horizontal="center" vertical="center" wrapText="1"/>
      <protection locked="0"/>
    </xf>
    <xf numFmtId="0" fontId="77" fillId="31" borderId="19" xfId="9" applyFont="1" applyFill="1" applyBorder="1" applyAlignment="1" applyProtection="1">
      <alignment horizontal="center" vertical="center" wrapText="1"/>
    </xf>
    <xf numFmtId="0" fontId="77" fillId="31" borderId="14" xfId="9" applyFont="1" applyFill="1" applyBorder="1" applyAlignment="1" applyProtection="1">
      <alignment horizontal="center" vertical="center" wrapText="1"/>
    </xf>
    <xf numFmtId="0" fontId="77" fillId="31" borderId="2" xfId="9" applyFont="1" applyFill="1" applyBorder="1" applyAlignment="1" applyProtection="1">
      <alignment horizontal="center" vertical="center" wrapText="1"/>
    </xf>
    <xf numFmtId="0" fontId="77" fillId="31" borderId="15" xfId="9" applyFont="1" applyFill="1" applyBorder="1" applyAlignment="1" applyProtection="1">
      <alignment horizontal="center" vertical="center" wrapText="1"/>
    </xf>
    <xf numFmtId="0" fontId="77" fillId="31" borderId="7" xfId="9" applyFont="1" applyFill="1" applyBorder="1" applyAlignment="1" applyProtection="1">
      <alignment horizontal="center" vertical="center" wrapText="1"/>
    </xf>
    <xf numFmtId="0" fontId="77" fillId="31" borderId="0" xfId="9" applyFont="1" applyFill="1" applyAlignment="1" applyProtection="1">
      <alignment horizontal="center" vertical="center" wrapText="1"/>
    </xf>
    <xf numFmtId="0" fontId="77" fillId="31" borderId="10" xfId="9" applyFont="1" applyFill="1" applyBorder="1" applyAlignment="1" applyProtection="1">
      <alignment horizontal="center" vertical="center" wrapText="1"/>
    </xf>
    <xf numFmtId="0" fontId="77" fillId="31" borderId="11" xfId="9" applyFont="1" applyFill="1" applyBorder="1" applyAlignment="1" applyProtection="1">
      <alignment horizontal="center" vertical="center" wrapText="1"/>
    </xf>
    <xf numFmtId="0" fontId="77" fillId="31" borderId="13" xfId="9" applyFont="1" applyFill="1" applyBorder="1" applyAlignment="1" applyProtection="1">
      <alignment horizontal="center" vertical="center" wrapText="1"/>
    </xf>
    <xf numFmtId="0" fontId="77" fillId="31" borderId="12" xfId="9" applyFont="1" applyFill="1" applyBorder="1" applyAlignment="1" applyProtection="1">
      <alignment horizontal="center" vertical="center" wrapText="1"/>
    </xf>
    <xf numFmtId="0" fontId="13" fillId="0" borderId="5" xfId="9" applyFont="1" applyBorder="1" applyAlignment="1" applyProtection="1">
      <alignment wrapText="1"/>
      <protection locked="0"/>
    </xf>
    <xf numFmtId="0" fontId="13" fillId="0" borderId="19" xfId="9" applyFont="1" applyBorder="1" applyAlignment="1" applyProtection="1">
      <alignment wrapText="1"/>
      <protection locked="0"/>
    </xf>
    <xf numFmtId="0" fontId="13" fillId="0" borderId="4" xfId="9" applyFont="1" applyBorder="1" applyAlignment="1" applyProtection="1">
      <alignment wrapText="1"/>
      <protection locked="0"/>
    </xf>
    <xf numFmtId="0" fontId="13" fillId="0" borderId="5" xfId="9" applyFont="1" applyBorder="1" applyAlignment="1" applyProtection="1">
      <alignment horizontal="center"/>
      <protection locked="0"/>
    </xf>
    <xf numFmtId="0" fontId="13" fillId="0" borderId="4" xfId="9" applyFont="1" applyBorder="1" applyAlignment="1" applyProtection="1">
      <alignment horizontal="center"/>
      <protection locked="0"/>
    </xf>
    <xf numFmtId="0" fontId="13" fillId="3" borderId="1" xfId="9" applyFont="1" applyFill="1" applyBorder="1" applyAlignment="1" applyProtection="1">
      <alignment horizontal="left" vertical="center" wrapText="1"/>
      <protection locked="0"/>
    </xf>
    <xf numFmtId="0" fontId="13" fillId="3" borderId="5" xfId="9" applyFont="1" applyFill="1" applyBorder="1" applyAlignment="1" applyProtection="1">
      <alignment horizontal="left" vertical="center" wrapText="1"/>
      <protection locked="0"/>
    </xf>
    <xf numFmtId="0" fontId="13" fillId="3" borderId="19" xfId="9" applyFont="1" applyFill="1" applyBorder="1" applyAlignment="1" applyProtection="1">
      <alignment horizontal="left" vertical="center" wrapText="1"/>
      <protection locked="0"/>
    </xf>
    <xf numFmtId="0" fontId="13" fillId="3" borderId="4" xfId="9" applyFont="1" applyFill="1" applyBorder="1" applyAlignment="1" applyProtection="1">
      <alignment horizontal="left" vertical="center" wrapText="1"/>
      <protection locked="0"/>
    </xf>
    <xf numFmtId="0" fontId="52" fillId="8" borderId="1" xfId="9" applyFont="1" applyFill="1" applyBorder="1" applyAlignment="1" applyProtection="1">
      <alignment horizontal="left" vertical="center" wrapText="1"/>
      <protection locked="0"/>
    </xf>
    <xf numFmtId="0" fontId="71" fillId="0" borderId="5" xfId="0" applyFont="1" applyBorder="1" applyAlignment="1" applyProtection="1">
      <alignment horizontal="left" vertical="center" wrapText="1" indent="1"/>
      <protection locked="0"/>
    </xf>
    <xf numFmtId="0" fontId="71" fillId="0" borderId="19" xfId="0" applyFont="1" applyBorder="1" applyAlignment="1" applyProtection="1">
      <alignment horizontal="left" vertical="center" wrapText="1" indent="1"/>
      <protection locked="0"/>
    </xf>
    <xf numFmtId="0" fontId="71" fillId="0" borderId="4" xfId="0" applyFont="1" applyBorder="1" applyAlignment="1" applyProtection="1">
      <alignment horizontal="left" vertical="center" wrapText="1" indent="1"/>
      <protection locked="0"/>
    </xf>
    <xf numFmtId="0" fontId="12" fillId="0" borderId="5" xfId="0" applyFont="1" applyBorder="1" applyAlignment="1" applyProtection="1">
      <alignment horizontal="left" vertical="center" wrapText="1" indent="1"/>
      <protection locked="0"/>
    </xf>
    <xf numFmtId="0" fontId="12" fillId="0" borderId="19" xfId="0" applyFont="1" applyBorder="1" applyAlignment="1" applyProtection="1">
      <alignment horizontal="left" vertical="center" wrapText="1" indent="1"/>
      <protection locked="0"/>
    </xf>
    <xf numFmtId="0" fontId="12" fillId="0" borderId="4" xfId="0" applyFont="1" applyBorder="1" applyAlignment="1" applyProtection="1">
      <alignment horizontal="left" vertical="center" wrapText="1" indent="1"/>
      <protection locked="0"/>
    </xf>
    <xf numFmtId="0" fontId="13" fillId="32" borderId="1" xfId="0" applyFont="1" applyFill="1" applyBorder="1" applyAlignment="1" applyProtection="1">
      <alignment horizontal="center" vertical="center" wrapText="1"/>
    </xf>
    <xf numFmtId="0" fontId="12" fillId="0" borderId="0" xfId="0" applyFont="1" applyAlignment="1" applyProtection="1">
      <alignment horizontal="center" vertical="center" wrapText="1"/>
      <protection locked="0"/>
    </xf>
    <xf numFmtId="0" fontId="12" fillId="3" borderId="1" xfId="0" applyFont="1" applyFill="1" applyBorder="1" applyAlignment="1" applyProtection="1">
      <alignment wrapText="1"/>
      <protection locked="0"/>
    </xf>
    <xf numFmtId="0" fontId="12" fillId="0" borderId="9" xfId="0" applyFont="1" applyBorder="1" applyAlignment="1" applyProtection="1">
      <alignment horizontal="left" vertical="center" wrapText="1" indent="1"/>
      <protection locked="0"/>
    </xf>
    <xf numFmtId="0" fontId="52" fillId="3" borderId="1" xfId="0" applyFont="1" applyFill="1" applyBorder="1" applyAlignment="1" applyProtection="1">
      <alignment horizontal="left" vertical="center" wrapText="1" indent="1"/>
      <protection locked="0"/>
    </xf>
    <xf numFmtId="0" fontId="13" fillId="0" borderId="1" xfId="0" applyFont="1" applyFill="1" applyBorder="1" applyAlignment="1" applyProtection="1">
      <alignment horizontal="center"/>
      <protection locked="0"/>
    </xf>
    <xf numFmtId="0" fontId="59" fillId="0" borderId="5" xfId="6" applyFont="1" applyFill="1" applyBorder="1" applyAlignment="1" applyProtection="1">
      <alignment horizontal="left" vertical="center" wrapText="1"/>
      <protection locked="0"/>
    </xf>
    <xf numFmtId="0" fontId="59" fillId="0" borderId="19" xfId="6" applyFont="1" applyFill="1" applyBorder="1" applyAlignment="1" applyProtection="1">
      <alignment horizontal="left" vertical="center" wrapText="1"/>
      <protection locked="0"/>
    </xf>
    <xf numFmtId="0" fontId="59" fillId="0" borderId="4" xfId="6" applyFont="1" applyFill="1" applyBorder="1" applyAlignment="1" applyProtection="1">
      <alignment horizontal="left" vertical="center" wrapText="1"/>
      <protection locked="0"/>
    </xf>
    <xf numFmtId="0" fontId="12" fillId="0" borderId="1" xfId="0" applyFont="1" applyFill="1" applyBorder="1" applyAlignment="1" applyProtection="1">
      <alignment horizontal="left" vertical="center" wrapText="1"/>
      <protection locked="0"/>
    </xf>
    <xf numFmtId="0" fontId="12" fillId="0" borderId="5" xfId="0" applyFont="1" applyFill="1" applyBorder="1" applyAlignment="1" applyProtection="1">
      <alignment vertical="center" wrapText="1"/>
      <protection locked="0"/>
    </xf>
    <xf numFmtId="0" fontId="12" fillId="0" borderId="19" xfId="0" applyFont="1" applyFill="1" applyBorder="1" applyAlignment="1" applyProtection="1">
      <alignment vertical="center" wrapText="1"/>
      <protection locked="0"/>
    </xf>
    <xf numFmtId="0" fontId="12" fillId="0" borderId="4" xfId="0" applyFont="1" applyFill="1" applyBorder="1" applyAlignment="1" applyProtection="1">
      <alignment vertical="center" wrapText="1"/>
      <protection locked="0"/>
    </xf>
    <xf numFmtId="0" fontId="52" fillId="3" borderId="1" xfId="0" applyFont="1" applyFill="1" applyBorder="1" applyAlignment="1" applyProtection="1">
      <alignment horizontal="center" vertical="center" wrapText="1"/>
      <protection locked="0"/>
    </xf>
    <xf numFmtId="169" fontId="13" fillId="0" borderId="5" xfId="0" applyNumberFormat="1" applyFont="1" applyBorder="1" applyAlignment="1" applyProtection="1">
      <alignment vertical="center" wrapText="1"/>
      <protection locked="0"/>
    </xf>
    <xf numFmtId="169" fontId="13" fillId="0" borderId="19" xfId="0" applyNumberFormat="1" applyFont="1" applyBorder="1" applyAlignment="1" applyProtection="1">
      <alignment vertical="center" wrapText="1"/>
      <protection locked="0"/>
    </xf>
    <xf numFmtId="169" fontId="13" fillId="0" borderId="4" xfId="0" applyNumberFormat="1" applyFont="1" applyBorder="1" applyAlignment="1" applyProtection="1">
      <alignment vertical="center" wrapText="1"/>
      <protection locked="0"/>
    </xf>
    <xf numFmtId="186" fontId="12" fillId="3" borderId="5" xfId="0" applyNumberFormat="1" applyFont="1" applyFill="1" applyBorder="1" applyAlignment="1" applyProtection="1">
      <alignment horizontal="left" vertical="center"/>
      <protection locked="0"/>
    </xf>
    <xf numFmtId="186" fontId="12" fillId="3" borderId="19" xfId="0" applyNumberFormat="1" applyFont="1" applyFill="1" applyBorder="1" applyAlignment="1" applyProtection="1">
      <alignment horizontal="left" vertical="center"/>
      <protection locked="0"/>
    </xf>
    <xf numFmtId="186" fontId="12" fillId="3" borderId="4" xfId="0" applyNumberFormat="1" applyFont="1" applyFill="1" applyBorder="1" applyAlignment="1" applyProtection="1">
      <alignment horizontal="left" vertical="center"/>
      <protection locked="0"/>
    </xf>
    <xf numFmtId="3" fontId="12" fillId="3" borderId="5" xfId="0" applyNumberFormat="1" applyFont="1" applyFill="1" applyBorder="1" applyAlignment="1" applyProtection="1">
      <alignment horizontal="left" vertical="center"/>
      <protection locked="0"/>
    </xf>
    <xf numFmtId="3" fontId="12" fillId="3" borderId="19" xfId="0" applyNumberFormat="1" applyFont="1" applyFill="1" applyBorder="1" applyAlignment="1" applyProtection="1">
      <alignment horizontal="left" vertical="center"/>
      <protection locked="0"/>
    </xf>
    <xf numFmtId="3" fontId="12" fillId="3" borderId="4" xfId="0" applyNumberFormat="1" applyFont="1" applyFill="1" applyBorder="1" applyAlignment="1" applyProtection="1">
      <alignment horizontal="left" vertical="center"/>
      <protection locked="0"/>
    </xf>
    <xf numFmtId="3" fontId="59" fillId="3" borderId="5" xfId="6" applyNumberFormat="1" applyFont="1" applyFill="1" applyBorder="1" applyAlignment="1" applyProtection="1">
      <alignment horizontal="left" vertical="center"/>
      <protection locked="0"/>
    </xf>
    <xf numFmtId="3" fontId="59" fillId="3" borderId="19" xfId="6" applyNumberFormat="1" applyFont="1" applyFill="1" applyBorder="1" applyAlignment="1" applyProtection="1">
      <alignment horizontal="left" vertical="center"/>
      <protection locked="0"/>
    </xf>
    <xf numFmtId="3" fontId="59" fillId="3" borderId="4" xfId="6" applyNumberFormat="1" applyFont="1" applyFill="1" applyBorder="1" applyAlignment="1" applyProtection="1">
      <alignment horizontal="left" vertical="center"/>
      <protection locked="0"/>
    </xf>
    <xf numFmtId="186" fontId="12" fillId="3" borderId="5" xfId="0" applyNumberFormat="1" applyFont="1" applyFill="1" applyBorder="1" applyAlignment="1" applyProtection="1">
      <protection locked="0"/>
    </xf>
    <xf numFmtId="186" fontId="12" fillId="3" borderId="19" xfId="0" applyNumberFormat="1" applyFont="1" applyFill="1" applyBorder="1" applyAlignment="1" applyProtection="1">
      <protection locked="0"/>
    </xf>
    <xf numFmtId="186" fontId="12" fillId="3" borderId="4" xfId="0" applyNumberFormat="1" applyFont="1" applyFill="1" applyBorder="1" applyAlignment="1" applyProtection="1">
      <protection locked="0"/>
    </xf>
    <xf numFmtId="0" fontId="12" fillId="0" borderId="5" xfId="0" applyFont="1" applyFill="1" applyBorder="1" applyAlignment="1" applyProtection="1">
      <protection locked="0"/>
    </xf>
    <xf numFmtId="0" fontId="12" fillId="0" borderId="19" xfId="0" applyFont="1" applyFill="1" applyBorder="1" applyAlignment="1" applyProtection="1">
      <protection locked="0"/>
    </xf>
    <xf numFmtId="0" fontId="12" fillId="0" borderId="4" xfId="0" applyFont="1" applyFill="1" applyBorder="1" applyAlignment="1" applyProtection="1">
      <protection locked="0"/>
    </xf>
    <xf numFmtId="0" fontId="12" fillId="0" borderId="0" xfId="0" applyFont="1" applyFill="1" applyAlignment="1" applyProtection="1">
      <alignment horizontal="center" vertical="center" wrapText="1"/>
      <protection locked="0"/>
    </xf>
    <xf numFmtId="0" fontId="12" fillId="3" borderId="1" xfId="0" applyFont="1" applyFill="1" applyBorder="1" applyAlignment="1" applyProtection="1">
      <alignment vertical="center" wrapText="1"/>
      <protection locked="0"/>
    </xf>
    <xf numFmtId="0" fontId="12" fillId="3" borderId="1" xfId="0" applyFont="1" applyFill="1" applyBorder="1" applyAlignment="1" applyProtection="1">
      <alignment horizontal="left" vertical="center" wrapText="1" indent="1"/>
      <protection locked="0"/>
    </xf>
    <xf numFmtId="0" fontId="13" fillId="3" borderId="5" xfId="0" applyFont="1" applyFill="1" applyBorder="1" applyAlignment="1" applyProtection="1">
      <alignment vertical="center" wrapText="1"/>
      <protection locked="0"/>
    </xf>
    <xf numFmtId="0" fontId="13" fillId="3" borderId="19" xfId="0" applyFont="1" applyFill="1" applyBorder="1" applyAlignment="1" applyProtection="1">
      <alignment vertical="center" wrapText="1"/>
      <protection locked="0"/>
    </xf>
    <xf numFmtId="0" fontId="13" fillId="3" borderId="4" xfId="0" applyFont="1" applyFill="1" applyBorder="1" applyAlignment="1" applyProtection="1">
      <alignment vertical="center" wrapText="1"/>
      <protection locked="0"/>
    </xf>
    <xf numFmtId="0" fontId="13" fillId="3" borderId="5" xfId="0" applyFont="1" applyFill="1" applyBorder="1" applyAlignment="1" applyProtection="1">
      <alignment horizontal="left" vertical="center" wrapText="1"/>
      <protection locked="0"/>
    </xf>
    <xf numFmtId="0" fontId="13" fillId="3" borderId="19" xfId="0" applyFont="1" applyFill="1" applyBorder="1" applyAlignment="1" applyProtection="1">
      <alignment horizontal="left" vertical="center"/>
      <protection locked="0"/>
    </xf>
    <xf numFmtId="0" fontId="13" fillId="3" borderId="4" xfId="0" applyFont="1" applyFill="1" applyBorder="1" applyAlignment="1" applyProtection="1">
      <alignment horizontal="left" vertical="center"/>
      <protection locked="0"/>
    </xf>
    <xf numFmtId="0" fontId="13" fillId="0" borderId="19" xfId="0" applyFont="1" applyFill="1" applyBorder="1" applyAlignment="1" applyProtection="1">
      <alignment vertical="center" wrapText="1"/>
      <protection locked="0"/>
    </xf>
    <xf numFmtId="0" fontId="13" fillId="0" borderId="4" xfId="0" applyFont="1" applyFill="1" applyBorder="1" applyAlignment="1" applyProtection="1">
      <alignment vertical="center" wrapText="1"/>
      <protection locked="0"/>
    </xf>
    <xf numFmtId="0" fontId="13" fillId="0" borderId="1" xfId="0" applyFont="1" applyBorder="1" applyAlignment="1" applyProtection="1">
      <alignment wrapText="1"/>
      <protection locked="0"/>
    </xf>
    <xf numFmtId="2" fontId="13" fillId="0" borderId="11" xfId="0" applyNumberFormat="1" applyFont="1" applyBorder="1" applyAlignment="1" applyProtection="1">
      <alignment vertical="center" wrapText="1"/>
    </xf>
    <xf numFmtId="2" fontId="13" fillId="0" borderId="13" xfId="0" applyNumberFormat="1" applyFont="1" applyBorder="1" applyAlignment="1" applyProtection="1">
      <alignment vertical="center" wrapText="1"/>
    </xf>
    <xf numFmtId="2" fontId="13" fillId="0" borderId="12" xfId="0" applyNumberFormat="1" applyFont="1" applyBorder="1" applyAlignment="1" applyProtection="1">
      <alignment vertical="center" wrapText="1"/>
    </xf>
    <xf numFmtId="2" fontId="13" fillId="0" borderId="5" xfId="0" applyNumberFormat="1" applyFont="1" applyBorder="1" applyAlignment="1" applyProtection="1">
      <alignment horizontal="center" vertical="center" wrapText="1"/>
    </xf>
    <xf numFmtId="2" fontId="13" fillId="0" borderId="19" xfId="0" applyNumberFormat="1" applyFont="1" applyBorder="1" applyAlignment="1" applyProtection="1">
      <alignment horizontal="center" vertical="center" wrapText="1"/>
    </xf>
    <xf numFmtId="2" fontId="13" fillId="0" borderId="4" xfId="0" applyNumberFormat="1" applyFont="1" applyBorder="1" applyAlignment="1" applyProtection="1">
      <alignment horizontal="center" vertical="center" wrapText="1"/>
    </xf>
    <xf numFmtId="0" fontId="60" fillId="38" borderId="5" xfId="0" applyFont="1" applyFill="1" applyBorder="1" applyAlignment="1" applyProtection="1">
      <alignment horizontal="center" vertical="center" wrapText="1"/>
      <protection locked="0"/>
    </xf>
    <xf numFmtId="0" fontId="60" fillId="38" borderId="19" xfId="0" applyFont="1" applyFill="1" applyBorder="1" applyAlignment="1" applyProtection="1">
      <alignment horizontal="center" vertical="center" wrapText="1"/>
      <protection locked="0"/>
    </xf>
    <xf numFmtId="0" fontId="60" fillId="38" borderId="14" xfId="0" applyFont="1" applyFill="1" applyBorder="1" applyAlignment="1" applyProtection="1">
      <alignment horizontal="center" vertical="center" wrapText="1"/>
      <protection locked="0"/>
    </xf>
    <xf numFmtId="0" fontId="60" fillId="38" borderId="2" xfId="0" applyFont="1" applyFill="1" applyBorder="1" applyAlignment="1" applyProtection="1">
      <alignment horizontal="center" vertical="center" wrapText="1"/>
      <protection locked="0"/>
    </xf>
    <xf numFmtId="0" fontId="60" fillId="38" borderId="15" xfId="0" applyFont="1" applyFill="1" applyBorder="1" applyAlignment="1" applyProtection="1">
      <alignment horizontal="center" vertical="center" wrapText="1"/>
      <protection locked="0"/>
    </xf>
    <xf numFmtId="0" fontId="60" fillId="38" borderId="7" xfId="0" applyFont="1" applyFill="1" applyBorder="1" applyAlignment="1" applyProtection="1">
      <alignment horizontal="center" vertical="center" wrapText="1"/>
      <protection locked="0"/>
    </xf>
    <xf numFmtId="0" fontId="60" fillId="38" borderId="0" xfId="0" applyFont="1" applyFill="1" applyAlignment="1" applyProtection="1">
      <alignment horizontal="center" vertical="center" wrapText="1"/>
      <protection locked="0"/>
    </xf>
    <xf numFmtId="0" fontId="60" fillId="38" borderId="10" xfId="0" applyFont="1" applyFill="1" applyBorder="1" applyAlignment="1" applyProtection="1">
      <alignment horizontal="center" vertical="center" wrapText="1"/>
      <protection locked="0"/>
    </xf>
    <xf numFmtId="0" fontId="60" fillId="38" borderId="11" xfId="0" applyFont="1" applyFill="1" applyBorder="1" applyAlignment="1" applyProtection="1">
      <alignment horizontal="center" vertical="center" wrapText="1"/>
      <protection locked="0"/>
    </xf>
    <xf numFmtId="0" fontId="60" fillId="38" borderId="13" xfId="0" applyFont="1" applyFill="1" applyBorder="1" applyAlignment="1" applyProtection="1">
      <alignment horizontal="center" vertical="center" wrapText="1"/>
      <protection locked="0"/>
    </xf>
    <xf numFmtId="0" fontId="60" fillId="38" borderId="12" xfId="0" applyFont="1" applyFill="1" applyBorder="1" applyAlignment="1" applyProtection="1">
      <alignment horizontal="center" vertical="center" wrapText="1"/>
      <protection locked="0"/>
    </xf>
    <xf numFmtId="0" fontId="60" fillId="38" borderId="4" xfId="0" applyFont="1" applyFill="1" applyBorder="1" applyAlignment="1" applyProtection="1">
      <alignment horizontal="center" vertical="center" wrapText="1"/>
      <protection locked="0"/>
    </xf>
    <xf numFmtId="3" fontId="12" fillId="3" borderId="14" xfId="0" applyNumberFormat="1" applyFont="1" applyFill="1" applyBorder="1" applyAlignment="1" applyProtection="1"/>
    <xf numFmtId="3" fontId="12" fillId="3" borderId="2" xfId="0" applyNumberFormat="1" applyFont="1" applyFill="1" applyBorder="1" applyAlignment="1" applyProtection="1"/>
    <xf numFmtId="3" fontId="12" fillId="3" borderId="15" xfId="0" applyNumberFormat="1" applyFont="1" applyFill="1" applyBorder="1" applyAlignment="1" applyProtection="1"/>
    <xf numFmtId="3" fontId="12" fillId="3" borderId="14" xfId="0" applyNumberFormat="1" applyFont="1" applyFill="1" applyBorder="1" applyAlignment="1" applyProtection="1">
      <protection locked="0"/>
    </xf>
    <xf numFmtId="3" fontId="12" fillId="3" borderId="2" xfId="0" applyNumberFormat="1" applyFont="1" applyFill="1" applyBorder="1" applyAlignment="1" applyProtection="1">
      <protection locked="0"/>
    </xf>
    <xf numFmtId="3" fontId="12" fillId="3" borderId="15" xfId="0" applyNumberFormat="1" applyFont="1" applyFill="1" applyBorder="1" applyAlignment="1" applyProtection="1">
      <protection locked="0"/>
    </xf>
    <xf numFmtId="0" fontId="12" fillId="0" borderId="9" xfId="0" applyFont="1" applyBorder="1" applyAlignment="1" applyProtection="1">
      <alignment horizontal="left" vertical="center" wrapText="1"/>
      <protection locked="0"/>
    </xf>
    <xf numFmtId="0" fontId="12" fillId="0" borderId="11" xfId="0" applyFont="1" applyBorder="1" applyAlignment="1" applyProtection="1">
      <alignment vertical="center" wrapText="1"/>
      <protection locked="0"/>
    </xf>
    <xf numFmtId="0" fontId="12" fillId="0" borderId="13" xfId="0" applyFont="1" applyBorder="1" applyAlignment="1" applyProtection="1">
      <alignment vertical="center" wrapText="1"/>
      <protection locked="0"/>
    </xf>
    <xf numFmtId="0" fontId="12" fillId="0" borderId="12" xfId="0" applyFont="1" applyBorder="1" applyAlignment="1" applyProtection="1">
      <alignment vertical="center" wrapText="1"/>
      <protection locked="0"/>
    </xf>
    <xf numFmtId="0" fontId="75" fillId="0" borderId="1" xfId="0" applyFont="1" applyBorder="1" applyAlignment="1" applyProtection="1">
      <protection locked="0"/>
    </xf>
    <xf numFmtId="0" fontId="60" fillId="36" borderId="5" xfId="0" applyFont="1" applyFill="1" applyBorder="1" applyAlignment="1" applyProtection="1">
      <alignment horizontal="center" vertical="center" wrapText="1"/>
      <protection locked="0"/>
    </xf>
    <xf numFmtId="0" fontId="60" fillId="36" borderId="4" xfId="0" applyFont="1" applyFill="1" applyBorder="1" applyAlignment="1" applyProtection="1">
      <alignment horizontal="center" vertical="center" wrapText="1"/>
      <protection locked="0"/>
    </xf>
    <xf numFmtId="0" fontId="76" fillId="0" borderId="5" xfId="0" applyFont="1" applyBorder="1" applyAlignment="1" applyProtection="1">
      <protection locked="0"/>
    </xf>
    <xf numFmtId="0" fontId="76" fillId="0" borderId="19" xfId="0" applyFont="1" applyBorder="1" applyAlignment="1" applyProtection="1">
      <protection locked="0"/>
    </xf>
    <xf numFmtId="0" fontId="76" fillId="0" borderId="4" xfId="0" applyFont="1" applyBorder="1" applyAlignment="1" applyProtection="1">
      <protection locked="0"/>
    </xf>
    <xf numFmtId="0" fontId="13" fillId="0" borderId="5" xfId="0" applyFont="1" applyBorder="1" applyAlignment="1" applyProtection="1">
      <alignment horizontal="left" wrapText="1"/>
      <protection locked="0"/>
    </xf>
    <xf numFmtId="0" fontId="13" fillId="0" borderId="19" xfId="0" applyFont="1" applyBorder="1" applyAlignment="1" applyProtection="1">
      <alignment horizontal="left" wrapText="1"/>
      <protection locked="0"/>
    </xf>
    <xf numFmtId="0" fontId="13" fillId="0" borderId="4" xfId="0" applyFont="1" applyBorder="1" applyAlignment="1" applyProtection="1">
      <alignment horizontal="left" wrapText="1"/>
      <protection locked="0"/>
    </xf>
    <xf numFmtId="0" fontId="13" fillId="0" borderId="1" xfId="0" applyFont="1" applyFill="1" applyBorder="1" applyAlignment="1" applyProtection="1">
      <alignment horizontal="center" vertical="center" wrapText="1"/>
      <protection locked="0"/>
    </xf>
    <xf numFmtId="186" fontId="62" fillId="3" borderId="5" xfId="6" applyNumberFormat="1" applyFont="1" applyFill="1" applyBorder="1" applyAlignment="1" applyProtection="1"/>
    <xf numFmtId="186" fontId="62" fillId="3" borderId="19" xfId="6" applyNumberFormat="1" applyFont="1" applyFill="1" applyBorder="1" applyAlignment="1" applyProtection="1"/>
    <xf numFmtId="186" fontId="62" fillId="3" borderId="4" xfId="6" applyNumberFormat="1" applyFont="1" applyFill="1" applyBorder="1" applyAlignment="1" applyProtection="1"/>
    <xf numFmtId="0" fontId="77" fillId="38" borderId="5" xfId="0" applyFont="1" applyFill="1" applyBorder="1" applyAlignment="1" applyProtection="1">
      <alignment horizontal="center" vertical="center" wrapText="1"/>
    </xf>
    <xf numFmtId="0" fontId="77" fillId="38" borderId="19" xfId="0" applyFont="1" applyFill="1" applyBorder="1" applyAlignment="1" applyProtection="1">
      <alignment horizontal="center" vertical="center" wrapText="1"/>
    </xf>
    <xf numFmtId="0" fontId="77" fillId="38" borderId="4" xfId="0" applyFont="1" applyFill="1" applyBorder="1" applyAlignment="1" applyProtection="1">
      <alignment horizontal="center" vertical="center" wrapText="1"/>
    </xf>
    <xf numFmtId="0" fontId="77" fillId="38" borderId="14" xfId="0" applyFont="1" applyFill="1" applyBorder="1" applyAlignment="1" applyProtection="1">
      <alignment horizontal="center" vertical="center" wrapText="1"/>
    </xf>
    <xf numFmtId="0" fontId="77" fillId="38" borderId="2" xfId="0" applyFont="1" applyFill="1" applyBorder="1" applyAlignment="1" applyProtection="1">
      <alignment horizontal="center" vertical="center" wrapText="1"/>
    </xf>
    <xf numFmtId="0" fontId="77" fillId="38" borderId="15" xfId="0" applyFont="1" applyFill="1" applyBorder="1" applyAlignment="1" applyProtection="1">
      <alignment horizontal="center" vertical="center" wrapText="1"/>
    </xf>
    <xf numFmtId="0" fontId="77" fillId="38" borderId="7" xfId="0" applyFont="1" applyFill="1" applyBorder="1" applyAlignment="1" applyProtection="1">
      <alignment horizontal="center" vertical="center" wrapText="1"/>
    </xf>
    <xf numFmtId="0" fontId="77" fillId="38" borderId="0" xfId="0" applyFont="1" applyFill="1" applyBorder="1" applyAlignment="1" applyProtection="1">
      <alignment horizontal="center" vertical="center" wrapText="1"/>
    </xf>
    <xf numFmtId="0" fontId="77" fillId="38" borderId="10" xfId="0" applyFont="1" applyFill="1" applyBorder="1" applyAlignment="1" applyProtection="1">
      <alignment horizontal="center" vertical="center" wrapText="1"/>
    </xf>
    <xf numFmtId="0" fontId="77" fillId="38" borderId="11" xfId="0" applyFont="1" applyFill="1" applyBorder="1" applyAlignment="1" applyProtection="1">
      <alignment horizontal="center" vertical="center" wrapText="1"/>
    </xf>
    <xf numFmtId="0" fontId="77" fillId="38" borderId="13" xfId="0" applyFont="1" applyFill="1" applyBorder="1" applyAlignment="1" applyProtection="1">
      <alignment horizontal="center" vertical="center" wrapText="1"/>
    </xf>
    <xf numFmtId="0" fontId="77" fillId="38" borderId="12" xfId="0" applyFont="1" applyFill="1" applyBorder="1" applyAlignment="1" applyProtection="1">
      <alignment horizontal="center" vertical="center" wrapText="1"/>
    </xf>
    <xf numFmtId="0" fontId="74" fillId="36" borderId="5" xfId="0" applyFont="1" applyFill="1" applyBorder="1" applyAlignment="1" applyProtection="1">
      <alignment horizontal="center" vertical="center" wrapText="1"/>
    </xf>
    <xf numFmtId="0" fontId="74" fillId="36" borderId="19" xfId="0" applyFont="1" applyFill="1" applyBorder="1" applyAlignment="1" applyProtection="1">
      <alignment horizontal="center" vertical="center" wrapText="1"/>
    </xf>
    <xf numFmtId="0" fontId="74" fillId="36" borderId="4" xfId="0" applyFont="1" applyFill="1" applyBorder="1" applyAlignment="1" applyProtection="1">
      <alignment horizontal="center" vertical="center" wrapText="1"/>
    </xf>
    <xf numFmtId="0" fontId="72" fillId="38" borderId="5" xfId="0" applyFont="1" applyFill="1" applyBorder="1" applyAlignment="1" applyProtection="1">
      <alignment vertical="center"/>
    </xf>
    <xf numFmtId="0" fontId="72" fillId="38" borderId="19" xfId="0" applyFont="1" applyFill="1" applyBorder="1" applyAlignment="1" applyProtection="1">
      <alignment vertical="center"/>
    </xf>
    <xf numFmtId="0" fontId="72" fillId="38" borderId="4" xfId="0" applyFont="1" applyFill="1" applyBorder="1" applyAlignment="1" applyProtection="1">
      <alignment vertical="center"/>
    </xf>
    <xf numFmtId="3" fontId="76" fillId="3" borderId="5" xfId="0" applyNumberFormat="1" applyFont="1" applyFill="1" applyBorder="1" applyAlignment="1" applyProtection="1"/>
    <xf numFmtId="3" fontId="76" fillId="3" borderId="19" xfId="0" applyNumberFormat="1" applyFont="1" applyFill="1" applyBorder="1" applyAlignment="1" applyProtection="1"/>
    <xf numFmtId="3" fontId="76" fillId="3" borderId="4" xfId="0" applyNumberFormat="1" applyFont="1" applyFill="1" applyBorder="1" applyAlignment="1" applyProtection="1"/>
    <xf numFmtId="0" fontId="52" fillId="8" borderId="1" xfId="0" applyFont="1" applyFill="1" applyBorder="1" applyAlignment="1" applyProtection="1">
      <alignment horizontal="left" vertical="center" wrapText="1"/>
    </xf>
    <xf numFmtId="0" fontId="52" fillId="8" borderId="5" xfId="0" applyFont="1" applyFill="1" applyBorder="1" applyAlignment="1" applyProtection="1">
      <alignment horizontal="left" vertical="center" wrapText="1"/>
    </xf>
    <xf numFmtId="0" fontId="52" fillId="8" borderId="19" xfId="0" applyFont="1" applyFill="1" applyBorder="1" applyAlignment="1" applyProtection="1">
      <alignment horizontal="left" vertical="center" wrapText="1"/>
    </xf>
    <xf numFmtId="0" fontId="52" fillId="8" borderId="4" xfId="0" applyFont="1" applyFill="1" applyBorder="1" applyAlignment="1" applyProtection="1">
      <alignment horizontal="left" vertical="center" wrapText="1"/>
    </xf>
    <xf numFmtId="0" fontId="72" fillId="38" borderId="1" xfId="0" applyFont="1" applyFill="1" applyBorder="1" applyAlignment="1" applyProtection="1">
      <alignment horizontal="left" vertical="center" wrapText="1"/>
    </xf>
    <xf numFmtId="0" fontId="72" fillId="38" borderId="5" xfId="0" applyFont="1" applyFill="1" applyBorder="1" applyAlignment="1" applyProtection="1">
      <alignment horizontal="left" vertical="center" wrapText="1"/>
    </xf>
    <xf numFmtId="0" fontId="72" fillId="38" borderId="19" xfId="0" applyFont="1" applyFill="1" applyBorder="1" applyAlignment="1" applyProtection="1">
      <alignment horizontal="left" vertical="center" wrapText="1"/>
    </xf>
    <xf numFmtId="0" fontId="72" fillId="38" borderId="4" xfId="0" applyFont="1" applyFill="1" applyBorder="1" applyAlignment="1" applyProtection="1">
      <alignment horizontal="left" vertical="center" wrapText="1"/>
    </xf>
    <xf numFmtId="0" fontId="12" fillId="0" borderId="1" xfId="0" applyFont="1" applyFill="1" applyBorder="1" applyAlignment="1" applyProtection="1">
      <alignment horizontal="left" vertical="center" wrapText="1"/>
    </xf>
    <xf numFmtId="0" fontId="12" fillId="0" borderId="5" xfId="0" applyFont="1" applyFill="1" applyBorder="1" applyAlignment="1" applyProtection="1">
      <alignment horizontal="left" vertical="center" wrapText="1"/>
    </xf>
    <xf numFmtId="0" fontId="12" fillId="0" borderId="19" xfId="0" applyFont="1" applyFill="1" applyBorder="1" applyAlignment="1" applyProtection="1">
      <alignment horizontal="left" vertical="center" wrapText="1"/>
    </xf>
    <xf numFmtId="0" fontId="12" fillId="0" borderId="4" xfId="0" applyFont="1" applyFill="1" applyBorder="1" applyAlignment="1" applyProtection="1">
      <alignment horizontal="left" vertical="center" wrapText="1"/>
    </xf>
    <xf numFmtId="0" fontId="75" fillId="0" borderId="5" xfId="0" applyFont="1" applyBorder="1" applyAlignment="1" applyProtection="1"/>
    <xf numFmtId="0" fontId="75" fillId="0" borderId="19" xfId="0" applyFont="1" applyBorder="1" applyAlignment="1" applyProtection="1"/>
    <xf numFmtId="0" fontId="75" fillId="0" borderId="4" xfId="0" applyFont="1" applyBorder="1" applyAlignment="1" applyProtection="1"/>
    <xf numFmtId="0" fontId="75" fillId="0" borderId="1" xfId="0" applyFont="1" applyBorder="1" applyAlignment="1" applyProtection="1">
      <alignment horizontal="center"/>
    </xf>
    <xf numFmtId="0" fontId="72" fillId="38" borderId="5" xfId="0" applyFont="1" applyFill="1" applyBorder="1" applyAlignment="1" applyProtection="1">
      <alignment vertical="center" wrapText="1"/>
    </xf>
    <xf numFmtId="0" fontId="72" fillId="38" borderId="19" xfId="0" applyFont="1" applyFill="1" applyBorder="1" applyAlignment="1" applyProtection="1">
      <alignment vertical="center" wrapText="1"/>
    </xf>
    <xf numFmtId="0" fontId="72" fillId="38" borderId="4" xfId="0" applyFont="1" applyFill="1" applyBorder="1" applyAlignment="1" applyProtection="1">
      <alignment vertical="center" wrapText="1"/>
    </xf>
    <xf numFmtId="0" fontId="72" fillId="38" borderId="1" xfId="0" applyFont="1" applyFill="1" applyBorder="1" applyAlignment="1" applyProtection="1">
      <alignment horizontal="center" vertical="center" wrapText="1"/>
    </xf>
    <xf numFmtId="0" fontId="80" fillId="0" borderId="9" xfId="0" applyFont="1" applyBorder="1" applyAlignment="1" applyProtection="1">
      <alignment horizontal="left" vertical="center" wrapText="1" indent="1"/>
    </xf>
    <xf numFmtId="0" fontId="69" fillId="0" borderId="1" xfId="0" applyFont="1" applyBorder="1" applyAlignment="1" applyProtection="1">
      <alignment horizontal="left" vertical="center" wrapText="1" indent="1"/>
    </xf>
    <xf numFmtId="0" fontId="12" fillId="0" borderId="1" xfId="0" applyFont="1" applyBorder="1" applyAlignment="1" applyProtection="1">
      <alignment horizontal="center" vertical="center" wrapText="1"/>
    </xf>
    <xf numFmtId="0" fontId="12" fillId="0" borderId="5" xfId="0" applyFont="1" applyBorder="1" applyAlignment="1" applyProtection="1">
      <alignment horizontal="center" vertical="center" wrapText="1"/>
      <protection locked="0"/>
    </xf>
    <xf numFmtId="0" fontId="12" fillId="0" borderId="19" xfId="0" applyFont="1" applyBorder="1" applyAlignment="1" applyProtection="1">
      <alignment horizontal="center" vertical="center" wrapText="1"/>
      <protection locked="0"/>
    </xf>
    <xf numFmtId="0" fontId="12" fillId="0" borderId="4" xfId="0" applyFont="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xf>
    <xf numFmtId="0" fontId="58" fillId="18" borderId="5" xfId="0" applyFont="1" applyFill="1" applyBorder="1" applyAlignment="1" applyProtection="1">
      <alignment vertical="center" wrapText="1"/>
    </xf>
    <xf numFmtId="0" fontId="58" fillId="18" borderId="19" xfId="0" applyFont="1" applyFill="1" applyBorder="1" applyAlignment="1" applyProtection="1">
      <alignment vertical="center" wrapText="1"/>
    </xf>
    <xf numFmtId="0" fontId="58" fillId="18" borderId="4" xfId="0" applyFont="1" applyFill="1" applyBorder="1" applyAlignment="1" applyProtection="1">
      <alignment vertical="center" wrapText="1"/>
    </xf>
    <xf numFmtId="0" fontId="69" fillId="0" borderId="1" xfId="0" applyFont="1" applyBorder="1" applyAlignment="1" applyProtection="1">
      <alignment horizontal="left" vertical="center" wrapText="1" indent="1"/>
      <protection locked="0"/>
    </xf>
    <xf numFmtId="2" fontId="52" fillId="0" borderId="11" xfId="0" applyNumberFormat="1" applyFont="1" applyBorder="1" applyAlignment="1" applyProtection="1">
      <alignment vertical="center" wrapText="1"/>
      <protection locked="0"/>
    </xf>
    <xf numFmtId="2" fontId="52" fillId="0" borderId="13" xfId="0" applyNumberFormat="1" applyFont="1" applyBorder="1" applyAlignment="1" applyProtection="1">
      <alignment vertical="center" wrapText="1"/>
      <protection locked="0"/>
    </xf>
    <xf numFmtId="2" fontId="52" fillId="0" borderId="12" xfId="0" applyNumberFormat="1" applyFont="1" applyBorder="1" applyAlignment="1" applyProtection="1">
      <alignment vertical="center" wrapText="1"/>
      <protection locked="0"/>
    </xf>
    <xf numFmtId="0" fontId="12" fillId="0" borderId="5" xfId="0" quotePrefix="1" applyFont="1" applyBorder="1" applyAlignment="1" applyProtection="1">
      <alignment vertical="center" wrapText="1"/>
      <protection locked="0"/>
    </xf>
    <xf numFmtId="0" fontId="12" fillId="0" borderId="19" xfId="0" quotePrefix="1" applyFont="1" applyBorder="1" applyAlignment="1" applyProtection="1">
      <alignment vertical="center" wrapText="1"/>
      <protection locked="0"/>
    </xf>
    <xf numFmtId="0" fontId="12" fillId="0" borderId="4" xfId="0" quotePrefix="1" applyFont="1" applyBorder="1" applyAlignment="1" applyProtection="1">
      <alignment vertical="center" wrapText="1"/>
      <protection locked="0"/>
    </xf>
    <xf numFmtId="0" fontId="52" fillId="3" borderId="5" xfId="0" applyFont="1" applyFill="1" applyBorder="1" applyAlignment="1" applyProtection="1">
      <protection locked="0"/>
    </xf>
    <xf numFmtId="0" fontId="52" fillId="3" borderId="19" xfId="0" applyFont="1" applyFill="1" applyBorder="1" applyAlignment="1" applyProtection="1">
      <protection locked="0"/>
    </xf>
    <xf numFmtId="0" fontId="52" fillId="3" borderId="4" xfId="0" applyFont="1" applyFill="1" applyBorder="1" applyAlignment="1" applyProtection="1">
      <protection locked="0"/>
    </xf>
    <xf numFmtId="0" fontId="18" fillId="31" borderId="1" xfId="0" applyFont="1" applyFill="1" applyBorder="1" applyAlignment="1" applyProtection="1">
      <alignment horizontal="left" vertical="center" wrapText="1"/>
    </xf>
    <xf numFmtId="0" fontId="18" fillId="31" borderId="5" xfId="0" applyFont="1" applyFill="1" applyBorder="1" applyAlignment="1" applyProtection="1">
      <alignment horizontal="left" vertical="center" wrapText="1"/>
    </xf>
    <xf numFmtId="0" fontId="18" fillId="31" borderId="19" xfId="0" applyFont="1" applyFill="1" applyBorder="1" applyAlignment="1" applyProtection="1">
      <alignment horizontal="left" vertical="center" wrapText="1"/>
    </xf>
    <xf numFmtId="0" fontId="18" fillId="31" borderId="4" xfId="0" applyFont="1" applyFill="1" applyBorder="1" applyAlignment="1" applyProtection="1">
      <alignment horizontal="left" vertical="center" wrapText="1"/>
    </xf>
    <xf numFmtId="169" fontId="52" fillId="0" borderId="1" xfId="0" applyNumberFormat="1" applyFont="1" applyBorder="1" applyAlignment="1" applyProtection="1">
      <alignment vertical="center" wrapText="1"/>
      <protection locked="0"/>
    </xf>
    <xf numFmtId="0" fontId="52" fillId="0" borderId="1" xfId="0" applyFont="1" applyFill="1" applyBorder="1" applyAlignment="1" applyProtection="1">
      <alignment horizontal="left" vertical="center" wrapText="1"/>
      <protection locked="0"/>
    </xf>
    <xf numFmtId="0" fontId="52" fillId="0" borderId="5" xfId="0" applyFont="1" applyFill="1" applyBorder="1" applyAlignment="1" applyProtection="1">
      <alignment horizontal="left" vertical="center" wrapText="1"/>
      <protection locked="0"/>
    </xf>
    <xf numFmtId="0" fontId="52" fillId="0" borderId="19" xfId="0" applyFont="1" applyFill="1" applyBorder="1" applyAlignment="1" applyProtection="1">
      <alignment horizontal="left" vertical="center" wrapText="1"/>
      <protection locked="0"/>
    </xf>
    <xf numFmtId="0" fontId="52" fillId="0" borderId="4" xfId="0" applyFont="1" applyFill="1" applyBorder="1" applyAlignment="1" applyProtection="1">
      <alignment horizontal="left" vertical="center" wrapText="1"/>
      <protection locked="0"/>
    </xf>
    <xf numFmtId="3" fontId="12" fillId="3" borderId="1" xfId="0" applyNumberFormat="1" applyFont="1" applyFill="1" applyBorder="1" applyAlignment="1" applyProtection="1">
      <protection locked="0"/>
    </xf>
    <xf numFmtId="186" fontId="59" fillId="3" borderId="1" xfId="6" applyNumberFormat="1" applyFont="1" applyFill="1" applyBorder="1" applyAlignment="1" applyProtection="1">
      <protection locked="0"/>
    </xf>
    <xf numFmtId="0" fontId="52" fillId="0" borderId="1" xfId="0" applyFont="1" applyBorder="1" applyAlignment="1" applyProtection="1">
      <alignment horizontal="left" vertical="center" wrapText="1" indent="1"/>
      <protection locked="0"/>
    </xf>
    <xf numFmtId="3" fontId="12" fillId="3" borderId="11" xfId="0" applyNumberFormat="1" applyFont="1" applyFill="1" applyBorder="1" applyAlignment="1" applyProtection="1">
      <protection locked="0"/>
    </xf>
    <xf numFmtId="3" fontId="12" fillId="3" borderId="13" xfId="0" applyNumberFormat="1" applyFont="1" applyFill="1" applyBorder="1" applyAlignment="1" applyProtection="1">
      <protection locked="0"/>
    </xf>
    <xf numFmtId="3" fontId="12" fillId="3" borderId="12" xfId="0" applyNumberFormat="1" applyFont="1" applyFill="1" applyBorder="1" applyAlignment="1" applyProtection="1">
      <protection locked="0"/>
    </xf>
    <xf numFmtId="0" fontId="13" fillId="27" borderId="1" xfId="0" applyFont="1" applyFill="1" applyBorder="1" applyAlignment="1" applyProtection="1">
      <alignment horizontal="center" vertical="center" wrapText="1"/>
      <protection locked="0"/>
    </xf>
    <xf numFmtId="0" fontId="5" fillId="0" borderId="5" xfId="0" applyFont="1" applyBorder="1" applyAlignment="1">
      <alignment horizontal="left" vertical="center" wrapText="1"/>
    </xf>
    <xf numFmtId="0" fontId="5" fillId="0" borderId="19" xfId="0" applyFont="1" applyBorder="1" applyAlignment="1">
      <alignment horizontal="left" vertical="center" wrapText="1"/>
    </xf>
    <xf numFmtId="0" fontId="5" fillId="0" borderId="4" xfId="0" applyFont="1" applyBorder="1" applyAlignment="1">
      <alignment horizontal="left" vertical="center" wrapText="1"/>
    </xf>
    <xf numFmtId="0" fontId="57" fillId="0" borderId="46" xfId="14" applyFont="1" applyFill="1" applyAlignment="1">
      <alignment horizontal="left"/>
    </xf>
    <xf numFmtId="0" fontId="19" fillId="0" borderId="1" xfId="0" applyFont="1" applyFill="1" applyBorder="1" applyAlignment="1">
      <alignment horizontal="center" vertical="center"/>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36" fillId="0" borderId="1" xfId="14" applyBorder="1" applyAlignment="1">
      <alignment horizontal="center"/>
    </xf>
    <xf numFmtId="0" fontId="63" fillId="0" borderId="11" xfId="14" applyFont="1" applyBorder="1" applyAlignment="1">
      <alignment horizontal="left"/>
    </xf>
    <xf numFmtId="0" fontId="63" fillId="0" borderId="13" xfId="14" applyFont="1" applyBorder="1" applyAlignment="1">
      <alignment horizontal="left"/>
    </xf>
    <xf numFmtId="0" fontId="16" fillId="24" borderId="5" xfId="0" applyFont="1" applyFill="1" applyBorder="1" applyAlignment="1">
      <alignment horizontal="left"/>
    </xf>
    <xf numFmtId="0" fontId="16" fillId="24" borderId="19" xfId="0" applyFont="1" applyFill="1" applyBorder="1" applyAlignment="1">
      <alignment horizontal="left"/>
    </xf>
    <xf numFmtId="0" fontId="16" fillId="24" borderId="4" xfId="0" applyFont="1" applyFill="1" applyBorder="1" applyAlignment="1">
      <alignment horizontal="left"/>
    </xf>
    <xf numFmtId="0" fontId="0" fillId="0" borderId="0" xfId="0" applyAlignment="1">
      <alignment horizontal="left" wrapText="1"/>
    </xf>
    <xf numFmtId="0" fontId="11" fillId="8" borderId="1" xfId="0" applyFont="1" applyFill="1" applyBorder="1" applyAlignment="1">
      <alignment horizontal="center" vertical="center" wrapText="1"/>
    </xf>
    <xf numFmtId="0" fontId="46" fillId="0" borderId="0" xfId="0" applyFont="1" applyAlignment="1">
      <alignment horizontal="left" vertical="top" wrapText="1" indent="15"/>
    </xf>
    <xf numFmtId="0" fontId="31" fillId="22" borderId="43" xfId="0" applyFont="1" applyFill="1" applyBorder="1" applyAlignment="1">
      <alignment horizontal="left" wrapText="1"/>
    </xf>
    <xf numFmtId="0" fontId="31" fillId="22" borderId="47" xfId="0" applyFont="1" applyFill="1" applyBorder="1" applyAlignment="1">
      <alignment horizontal="left" wrapText="1"/>
    </xf>
    <xf numFmtId="0" fontId="31" fillId="22" borderId="27" xfId="0" applyFont="1" applyFill="1" applyBorder="1" applyAlignment="1">
      <alignment horizontal="left" wrapText="1"/>
    </xf>
    <xf numFmtId="0" fontId="31" fillId="22" borderId="41" xfId="0" applyFont="1" applyFill="1" applyBorder="1" applyAlignment="1">
      <alignment horizontal="left" vertical="top" wrapText="1" indent="2"/>
    </xf>
    <xf numFmtId="0" fontId="31" fillId="22" borderId="45" xfId="0" applyFont="1" applyFill="1" applyBorder="1" applyAlignment="1">
      <alignment horizontal="left" vertical="top" wrapText="1" indent="2"/>
    </xf>
    <xf numFmtId="0" fontId="31" fillId="22" borderId="42" xfId="0" applyFont="1" applyFill="1" applyBorder="1" applyAlignment="1">
      <alignment horizontal="left" vertical="top" wrapText="1" indent="2"/>
    </xf>
    <xf numFmtId="0" fontId="31" fillId="22" borderId="41" xfId="0" applyFont="1" applyFill="1" applyBorder="1" applyAlignment="1">
      <alignment horizontal="left" vertical="top" wrapText="1"/>
    </xf>
    <xf numFmtId="0" fontId="31" fillId="22" borderId="45" xfId="0" applyFont="1" applyFill="1" applyBorder="1" applyAlignment="1">
      <alignment horizontal="left" vertical="top" wrapText="1"/>
    </xf>
    <xf numFmtId="0" fontId="10" fillId="8" borderId="1" xfId="0" applyFont="1" applyFill="1" applyBorder="1" applyAlignment="1">
      <alignment horizontal="center" vertical="center" wrapText="1"/>
    </xf>
    <xf numFmtId="0" fontId="31" fillId="22" borderId="41" xfId="0" applyFont="1" applyFill="1" applyBorder="1" applyAlignment="1">
      <alignment horizontal="center" vertical="top" wrapText="1"/>
    </xf>
    <xf numFmtId="0" fontId="31" fillId="22" borderId="45" xfId="0" applyFont="1" applyFill="1" applyBorder="1" applyAlignment="1">
      <alignment horizontal="center" vertical="top" wrapText="1"/>
    </xf>
    <xf numFmtId="0" fontId="31" fillId="22" borderId="42" xfId="0" applyFont="1" applyFill="1" applyBorder="1" applyAlignment="1">
      <alignment horizontal="center" vertical="top" wrapText="1"/>
    </xf>
    <xf numFmtId="0" fontId="31" fillId="22" borderId="41" xfId="0" applyFont="1" applyFill="1" applyBorder="1" applyAlignment="1">
      <alignment horizontal="left" vertical="top" wrapText="1" indent="5"/>
    </xf>
    <xf numFmtId="0" fontId="31" fillId="22" borderId="45" xfId="0" applyFont="1" applyFill="1" applyBorder="1" applyAlignment="1">
      <alignment horizontal="left" vertical="top" wrapText="1" indent="5"/>
    </xf>
    <xf numFmtId="0" fontId="31" fillId="22" borderId="42" xfId="0" applyFont="1" applyFill="1" applyBorder="1" applyAlignment="1">
      <alignment horizontal="left" vertical="top" wrapText="1" indent="5"/>
    </xf>
    <xf numFmtId="0" fontId="31" fillId="22" borderId="41" xfId="0" applyFont="1" applyFill="1" applyBorder="1" applyAlignment="1">
      <alignment horizontal="left" vertical="top" wrapText="1" indent="6"/>
    </xf>
    <xf numFmtId="0" fontId="31" fillId="22" borderId="45" xfId="0" applyFont="1" applyFill="1" applyBorder="1" applyAlignment="1">
      <alignment horizontal="left" vertical="top" wrapText="1" indent="6"/>
    </xf>
    <xf numFmtId="0" fontId="13" fillId="0" borderId="18" xfId="0" quotePrefix="1" applyFont="1" applyBorder="1" applyAlignment="1">
      <alignment horizontal="left" vertical="center" wrapText="1"/>
    </xf>
    <xf numFmtId="0" fontId="13" fillId="0" borderId="6" xfId="0" quotePrefix="1" applyFont="1" applyBorder="1" applyAlignment="1">
      <alignment horizontal="left" vertical="center" wrapText="1"/>
    </xf>
    <xf numFmtId="0" fontId="20" fillId="0" borderId="8" xfId="0" applyFont="1" applyBorder="1" applyAlignment="1">
      <alignment horizontal="left" vertical="center" wrapText="1"/>
    </xf>
    <xf numFmtId="0" fontId="35" fillId="0" borderId="39" xfId="0" applyFont="1" applyBorder="1" applyAlignment="1">
      <alignment horizontal="left" vertical="center" wrapText="1"/>
    </xf>
    <xf numFmtId="0" fontId="13" fillId="0" borderId="17" xfId="0" applyFont="1" applyBorder="1" applyAlignment="1">
      <alignment horizontal="left" vertical="center" wrapText="1"/>
    </xf>
    <xf numFmtId="0" fontId="13" fillId="0" borderId="31" xfId="0" applyFont="1" applyBorder="1" applyAlignment="1">
      <alignment horizontal="left" vertical="center" wrapText="1"/>
    </xf>
    <xf numFmtId="0" fontId="13" fillId="0" borderId="37" xfId="0" applyFont="1" applyBorder="1" applyAlignment="1">
      <alignment horizontal="left" vertical="center" wrapText="1"/>
    </xf>
    <xf numFmtId="0" fontId="20" fillId="0" borderId="21" xfId="0" quotePrefix="1" applyFont="1" applyBorder="1" applyAlignment="1">
      <alignment horizontal="left" vertical="center" wrapText="1"/>
    </xf>
    <xf numFmtId="0" fontId="20" fillId="0" borderId="1" xfId="0" applyFont="1" applyBorder="1" applyAlignment="1">
      <alignment horizontal="left" vertical="center" wrapText="1"/>
    </xf>
    <xf numFmtId="0" fontId="20" fillId="0" borderId="25" xfId="0" applyFont="1" applyBorder="1" applyAlignment="1">
      <alignment horizontal="left" vertical="center" wrapText="1"/>
    </xf>
    <xf numFmtId="0" fontId="20" fillId="0" borderId="18" xfId="0" quotePrefix="1" applyFont="1" applyBorder="1" applyAlignment="1">
      <alignment horizontal="left" vertical="center" wrapText="1"/>
    </xf>
    <xf numFmtId="0" fontId="20" fillId="0" borderId="6" xfId="0" applyFont="1" applyBorder="1" applyAlignment="1">
      <alignment horizontal="left" vertical="center" wrapText="1"/>
    </xf>
    <xf numFmtId="0" fontId="13" fillId="0" borderId="7" xfId="0" applyFont="1" applyBorder="1" applyAlignment="1">
      <alignment horizontal="center" vertical="center" wrapText="1"/>
    </xf>
    <xf numFmtId="0" fontId="13" fillId="0" borderId="0" xfId="0" applyFont="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2" xfId="0" applyFont="1" applyBorder="1" applyAlignment="1">
      <alignment horizontal="center" vertical="center" wrapText="1"/>
    </xf>
    <xf numFmtId="0" fontId="20" fillId="0" borderId="39" xfId="0" applyFont="1" applyBorder="1" applyAlignment="1">
      <alignment horizontal="left" vertical="center" wrapText="1"/>
    </xf>
    <xf numFmtId="0" fontId="13" fillId="0" borderId="39" xfId="0" quotePrefix="1" applyFont="1" applyBorder="1" applyAlignment="1">
      <alignment horizontal="left" vertical="center" wrapText="1"/>
    </xf>
    <xf numFmtId="0" fontId="20" fillId="0" borderId="18" xfId="0" applyFont="1" applyBorder="1" applyAlignment="1">
      <alignment horizontal="left" vertical="center" wrapText="1"/>
    </xf>
    <xf numFmtId="0" fontId="20" fillId="0" borderId="9" xfId="0" applyFont="1" applyBorder="1" applyAlignment="1">
      <alignment horizontal="left" vertical="center" wrapText="1"/>
    </xf>
    <xf numFmtId="0" fontId="20" fillId="0" borderId="39" xfId="0" quotePrefix="1" applyFont="1" applyBorder="1" applyAlignment="1">
      <alignment horizontal="left" vertical="center" wrapText="1"/>
    </xf>
    <xf numFmtId="0" fontId="41" fillId="0" borderId="43" xfId="0" applyFont="1" applyBorder="1" applyAlignment="1">
      <alignment horizontal="center" vertical="center" wrapText="1"/>
    </xf>
    <xf numFmtId="0" fontId="41" fillId="0" borderId="27" xfId="0" applyFont="1" applyBorder="1" applyAlignment="1">
      <alignment horizontal="center" vertical="center" wrapText="1"/>
    </xf>
    <xf numFmtId="0" fontId="39" fillId="0" borderId="43" xfId="0" applyFont="1" applyBorder="1" applyAlignment="1">
      <alignment horizontal="center" vertical="center" wrapText="1"/>
    </xf>
    <xf numFmtId="0" fontId="39" fillId="0" borderId="27" xfId="0" applyFont="1" applyBorder="1" applyAlignment="1">
      <alignment horizontal="center" vertical="center" wrapText="1"/>
    </xf>
    <xf numFmtId="0" fontId="40" fillId="21" borderId="41" xfId="0" applyFont="1" applyFill="1" applyBorder="1" applyAlignment="1">
      <alignment horizontal="center" vertical="top" wrapText="1"/>
    </xf>
    <xf numFmtId="0" fontId="40" fillId="21" borderId="42" xfId="0" applyFont="1" applyFill="1" applyBorder="1" applyAlignment="1">
      <alignment horizontal="center" vertical="top" wrapText="1"/>
    </xf>
    <xf numFmtId="0" fontId="31" fillId="21" borderId="41" xfId="0" applyFont="1" applyFill="1" applyBorder="1" applyAlignment="1">
      <alignment horizontal="left" vertical="top" wrapText="1" indent="2"/>
    </xf>
    <xf numFmtId="0" fontId="31" fillId="21" borderId="45" xfId="0" applyFont="1" applyFill="1" applyBorder="1" applyAlignment="1">
      <alignment horizontal="left" vertical="top" wrapText="1" indent="2"/>
    </xf>
    <xf numFmtId="0" fontId="31" fillId="21" borderId="42" xfId="0" applyFont="1" applyFill="1" applyBorder="1" applyAlignment="1">
      <alignment horizontal="left" vertical="top" wrapText="1" indent="2"/>
    </xf>
  </cellXfs>
  <cellStyles count="17">
    <cellStyle name="Comma" xfId="1" builtinId="3"/>
    <cellStyle name="Comma 2" xfId="11" xr:uid="{234E5F0F-4B6C-46FE-BEEF-9F0ABF017868}"/>
    <cellStyle name="Comma 3" xfId="15" xr:uid="{7442CC19-369A-47F2-9C3D-E3720E7BC1C5}"/>
    <cellStyle name="Currency" xfId="3" builtinId="4"/>
    <cellStyle name="Currency 2" xfId="12" xr:uid="{A4F6EA72-9F7D-4220-8153-D31B7B72891C}"/>
    <cellStyle name="Data Field" xfId="4" xr:uid="{00000000-0005-0000-0000-000005000000}"/>
    <cellStyle name="Data Name" xfId="5" xr:uid="{00000000-0005-0000-0000-000006000000}"/>
    <cellStyle name="Heading 2" xfId="14" builtinId="17"/>
    <cellStyle name="Hyperlink" xfId="6" builtinId="8" customBuiltin="1"/>
    <cellStyle name="Hyperlink 2" xfId="16" xr:uid="{0444663C-40AD-4116-A1AE-B764787E8011}"/>
    <cellStyle name="Linked Cell" xfId="7" builtinId="24" hidden="1"/>
    <cellStyle name="Normal" xfId="0" builtinId="0"/>
    <cellStyle name="Normal 10" xfId="9" xr:uid="{25EA5CAB-B6ED-4013-9130-631A0FC9399C}"/>
    <cellStyle name="Normal 2 13" xfId="13" xr:uid="{020A413A-1162-4986-A8ED-7C2F2C751659}"/>
    <cellStyle name="Percent" xfId="2" builtinId="5"/>
    <cellStyle name="Percent 2" xfId="10" xr:uid="{BA5DB974-2E38-4346-B65D-25BF7F24D8D9}"/>
    <cellStyle name="Total" xfId="8" builtinId="25" hidden="1"/>
  </cellStyles>
  <dxfs count="4719">
    <dxf>
      <numFmt numFmtId="187" formatCode="#,##0.0"/>
    </dxf>
    <dxf>
      <alignment wrapText="0"/>
    </dxf>
    <dxf>
      <alignment wrapText="0"/>
    </dxf>
    <dxf>
      <alignment wrapText="1"/>
    </dxf>
    <dxf>
      <alignment horizontal="center"/>
    </dxf>
    <dxf>
      <fill>
        <patternFill patternType="solid">
          <bgColor theme="0"/>
        </patternFill>
      </fill>
    </dxf>
    <dxf>
      <fill>
        <patternFill patternType="solid">
          <bgColor theme="0"/>
        </patternFill>
      </fill>
    </dxf>
    <dxf>
      <fill>
        <patternFill patternType="solid">
          <bgColor theme="0"/>
        </patternFill>
      </fill>
    </dxf>
    <dxf>
      <font>
        <sz val="14"/>
      </font>
    </dxf>
    <dxf>
      <alignment wrapText="1"/>
    </dxf>
    <dxf>
      <alignment vertical="center"/>
    </dxf>
    <dxf>
      <alignment vertical="center"/>
    </dxf>
    <dxf>
      <alignment wrapText="1"/>
    </dxf>
    <dxf>
      <numFmt numFmtId="3" formatCode="#,##0"/>
    </dxf>
    <dxf>
      <font>
        <sz val="12"/>
      </font>
    </dxf>
    <dxf>
      <font>
        <sz val="12"/>
      </font>
    </dxf>
    <dxf>
      <font>
        <sz val="12"/>
      </font>
    </dxf>
    <dxf>
      <fill>
        <patternFill>
          <bgColor theme="0"/>
        </patternFill>
      </fill>
    </dxf>
    <dxf>
      <fill>
        <patternFill>
          <bgColor theme="0"/>
        </patternFill>
      </fill>
    </dxf>
    <dxf>
      <fill>
        <patternFill>
          <bgColor theme="0"/>
        </patternFill>
      </fill>
    </dxf>
    <dxf>
      <font>
        <sz val="12"/>
      </font>
    </dxf>
    <dxf>
      <alignment wrapText="1"/>
    </dxf>
    <dxf>
      <fill>
        <patternFill>
          <bgColor theme="0"/>
        </patternFill>
      </fill>
    </dxf>
    <dxf>
      <fill>
        <patternFill>
          <bgColor theme="0"/>
        </patternFill>
      </fill>
    </dxf>
    <dxf>
      <alignment vertical="center"/>
    </dxf>
    <dxf>
      <alignment vertical="center"/>
    </dxf>
    <dxf>
      <fill>
        <patternFill>
          <bgColor theme="0"/>
        </patternFill>
      </fill>
    </dxf>
    <dxf>
      <fill>
        <patternFill>
          <bgColor theme="0"/>
        </patternFill>
      </fill>
    </dxf>
    <dxf>
      <alignment horizontal="center"/>
    </dxf>
    <dxf>
      <font>
        <sz val="12"/>
      </font>
      <alignment horizontal="center" vertical="center" wrapText="1"/>
    </dxf>
    <dxf>
      <numFmt numFmtId="10" formatCode="&quot;$&quot;#,##0;[Red]\-&quot;$&quot;#,##0"/>
    </dxf>
    <dxf>
      <font>
        <sz val="11"/>
      </font>
    </dxf>
    <dxf>
      <font>
        <sz val="11"/>
      </font>
    </dxf>
    <dxf>
      <font>
        <sz val="11"/>
      </font>
    </dxf>
    <dxf>
      <font>
        <sz val="11"/>
      </font>
    </dxf>
    <dxf>
      <font>
        <sz val="11"/>
      </font>
    </dxf>
    <dxf>
      <font>
        <sz val="1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wrapText="0"/>
    </dxf>
    <dxf>
      <alignment wrapText="0"/>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numFmt numFmtId="187" formatCode="#,##0.0"/>
    </dxf>
    <dxf>
      <alignment wrapText="0"/>
    </dxf>
    <dxf>
      <alignment wrapText="0"/>
    </dxf>
    <dxf>
      <alignment wrapText="1"/>
    </dxf>
    <dxf>
      <alignment horizontal="center"/>
    </dxf>
    <dxf>
      <fill>
        <patternFill patternType="solid">
          <bgColor theme="0"/>
        </patternFill>
      </fill>
    </dxf>
    <dxf>
      <fill>
        <patternFill patternType="solid">
          <bgColor theme="0"/>
        </patternFill>
      </fill>
    </dxf>
    <dxf>
      <fill>
        <patternFill patternType="solid">
          <bgColor theme="0"/>
        </patternFill>
      </fill>
    </dxf>
    <dxf>
      <font>
        <sz val="14"/>
      </font>
    </dxf>
    <dxf>
      <alignment wrapText="1"/>
    </dxf>
    <dxf>
      <alignment vertical="center"/>
    </dxf>
    <dxf>
      <alignment vertical="center"/>
    </dxf>
    <dxf>
      <alignment wrapText="1"/>
    </dxf>
    <dxf>
      <numFmt numFmtId="3" formatCode="#,##0"/>
    </dxf>
    <dxf>
      <font>
        <sz val="12"/>
      </font>
    </dxf>
    <dxf>
      <font>
        <sz val="12"/>
      </font>
    </dxf>
    <dxf>
      <font>
        <sz val="12"/>
      </font>
    </dxf>
    <dxf>
      <fill>
        <patternFill>
          <bgColor theme="0"/>
        </patternFill>
      </fill>
    </dxf>
    <dxf>
      <fill>
        <patternFill>
          <bgColor theme="0"/>
        </patternFill>
      </fill>
    </dxf>
    <dxf>
      <fill>
        <patternFill>
          <bgColor theme="0"/>
        </patternFill>
      </fill>
    </dxf>
    <dxf>
      <font>
        <sz val="12"/>
      </font>
    </dxf>
    <dxf>
      <alignment wrapText="1"/>
    </dxf>
    <dxf>
      <fill>
        <patternFill>
          <bgColor theme="0"/>
        </patternFill>
      </fill>
    </dxf>
    <dxf>
      <fill>
        <patternFill>
          <bgColor theme="0"/>
        </patternFill>
      </fill>
    </dxf>
    <dxf>
      <alignment vertical="center"/>
    </dxf>
    <dxf>
      <alignment vertical="center"/>
    </dxf>
    <dxf>
      <fill>
        <patternFill>
          <bgColor theme="0"/>
        </patternFill>
      </fill>
    </dxf>
    <dxf>
      <fill>
        <patternFill>
          <bgColor theme="0"/>
        </patternFill>
      </fill>
    </dxf>
    <dxf>
      <alignment horizontal="center"/>
    </dxf>
    <dxf>
      <font>
        <sz val="12"/>
      </font>
      <alignment horizontal="center" vertical="center" wrapText="1"/>
    </dxf>
    <dxf>
      <numFmt numFmtId="10" formatCode="&quot;$&quot;#,##0;[Red]\-&quot;$&quot;#,##0"/>
    </dxf>
    <dxf>
      <font>
        <sz val="11"/>
      </font>
    </dxf>
    <dxf>
      <font>
        <sz val="11"/>
      </font>
    </dxf>
    <dxf>
      <font>
        <sz val="11"/>
      </font>
    </dxf>
    <dxf>
      <font>
        <sz val="11"/>
      </font>
    </dxf>
    <dxf>
      <font>
        <sz val="11"/>
      </font>
    </dxf>
    <dxf>
      <font>
        <sz val="1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wrapText="0"/>
    </dxf>
    <dxf>
      <alignment wrapText="0"/>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numFmt numFmtId="187" formatCode="#,##0.0"/>
    </dxf>
    <dxf>
      <alignment wrapText="0"/>
    </dxf>
    <dxf>
      <alignment wrapText="0"/>
    </dxf>
    <dxf>
      <alignment wrapText="1"/>
    </dxf>
    <dxf>
      <alignment horizontal="center"/>
    </dxf>
    <dxf>
      <fill>
        <patternFill patternType="solid">
          <bgColor theme="0"/>
        </patternFill>
      </fill>
    </dxf>
    <dxf>
      <fill>
        <patternFill patternType="solid">
          <bgColor theme="0"/>
        </patternFill>
      </fill>
    </dxf>
    <dxf>
      <fill>
        <patternFill patternType="solid">
          <bgColor theme="0"/>
        </patternFill>
      </fill>
    </dxf>
    <dxf>
      <font>
        <sz val="14"/>
      </font>
    </dxf>
    <dxf>
      <alignment wrapText="1"/>
    </dxf>
    <dxf>
      <alignment vertical="center"/>
    </dxf>
    <dxf>
      <alignment vertical="center"/>
    </dxf>
    <dxf>
      <alignment wrapText="1"/>
    </dxf>
    <dxf>
      <numFmt numFmtId="3" formatCode="#,##0"/>
    </dxf>
    <dxf>
      <font>
        <sz val="12"/>
      </font>
    </dxf>
    <dxf>
      <font>
        <sz val="12"/>
      </font>
    </dxf>
    <dxf>
      <font>
        <sz val="12"/>
      </font>
    </dxf>
    <dxf>
      <fill>
        <patternFill>
          <bgColor theme="0"/>
        </patternFill>
      </fill>
    </dxf>
    <dxf>
      <fill>
        <patternFill>
          <bgColor theme="0"/>
        </patternFill>
      </fill>
    </dxf>
    <dxf>
      <fill>
        <patternFill>
          <bgColor theme="0"/>
        </patternFill>
      </fill>
    </dxf>
    <dxf>
      <font>
        <sz val="12"/>
      </font>
    </dxf>
    <dxf>
      <alignment wrapText="1"/>
    </dxf>
    <dxf>
      <fill>
        <patternFill>
          <bgColor theme="0"/>
        </patternFill>
      </fill>
    </dxf>
    <dxf>
      <fill>
        <patternFill>
          <bgColor theme="0"/>
        </patternFill>
      </fill>
    </dxf>
    <dxf>
      <alignment vertical="center"/>
    </dxf>
    <dxf>
      <alignment vertical="center"/>
    </dxf>
    <dxf>
      <fill>
        <patternFill>
          <bgColor theme="0"/>
        </patternFill>
      </fill>
    </dxf>
    <dxf>
      <fill>
        <patternFill>
          <bgColor theme="0"/>
        </patternFill>
      </fill>
    </dxf>
    <dxf>
      <alignment horizontal="center"/>
    </dxf>
    <dxf>
      <font>
        <sz val="12"/>
      </font>
      <alignment horizontal="center" vertical="center" wrapText="1"/>
    </dxf>
    <dxf>
      <numFmt numFmtId="10" formatCode="&quot;$&quot;#,##0;[Red]\-&quot;$&quot;#,##0"/>
    </dxf>
    <dxf>
      <font>
        <sz val="11"/>
      </font>
    </dxf>
    <dxf>
      <font>
        <sz val="11"/>
      </font>
    </dxf>
    <dxf>
      <font>
        <sz val="11"/>
      </font>
    </dxf>
    <dxf>
      <font>
        <sz val="11"/>
      </font>
    </dxf>
    <dxf>
      <font>
        <sz val="11"/>
      </font>
    </dxf>
    <dxf>
      <font>
        <sz val="1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wrapText="0"/>
    </dxf>
    <dxf>
      <alignment wrapText="0"/>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border outline="0">
        <bottom style="thin">
          <color indexed="64"/>
        </bottom>
      </border>
    </dxf>
    <dxf>
      <font>
        <b/>
        <i val="0"/>
        <strike val="0"/>
        <condense val="0"/>
        <extend val="0"/>
        <outline val="0"/>
        <shadow val="0"/>
        <u val="none"/>
        <vertAlign val="baseline"/>
        <sz val="11"/>
        <color auto="1"/>
        <name val="Calibri"/>
        <family val="2"/>
        <scheme val="none"/>
      </font>
      <fill>
        <patternFill patternType="solid">
          <fgColor indexed="64"/>
          <bgColor theme="4"/>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top style="thin">
          <color indexed="64"/>
        </top>
        <bottom style="thin">
          <color indexed="64"/>
        </bottom>
      </border>
    </dxf>
    <dxf>
      <border outline="0">
        <top style="thin">
          <color indexed="64"/>
        </top>
      </border>
    </dxf>
    <dxf>
      <border outline="0">
        <bottom style="thin">
          <color indexed="64"/>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alignment horizontal="left"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none"/>
      </font>
      <fill>
        <patternFill patternType="solid">
          <fgColor indexed="64"/>
          <bgColor theme="4"/>
        </patternFill>
      </fill>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left style="thin">
          <color indexed="64"/>
        </left>
        <right style="thin">
          <color indexed="64"/>
        </right>
        <top style="thin">
          <color theme="1"/>
        </top>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none"/>
      </font>
      <fill>
        <patternFill patternType="solid">
          <fgColor indexed="64"/>
          <bgColor theme="4"/>
        </patternFill>
      </fill>
      <alignment horizontal="general" vertical="center" textRotation="0" wrapText="0" indent="0" justifyLastLine="0" shrinkToFit="0" readingOrder="0"/>
    </dxf>
    <dxf>
      <border outline="0">
        <top style="thin">
          <color indexed="64"/>
        </top>
      </border>
    </dxf>
    <dxf>
      <border outline="0">
        <left style="thin">
          <color indexed="64"/>
        </left>
        <right style="thin">
          <color indexed="64"/>
        </right>
        <top style="thin">
          <color theme="1"/>
        </top>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none"/>
      </font>
      <fill>
        <patternFill patternType="solid">
          <fgColor indexed="64"/>
          <bgColor theme="4"/>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none"/>
      </font>
      <fill>
        <patternFill patternType="solid">
          <fgColor theme="0" tint="-0.14999847407452621"/>
          <bgColor theme="0" tint="-0.14999847407452621"/>
        </patternFill>
      </fill>
      <alignment horizontal="left"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bottom style="thin">
          <color indexed="64"/>
        </bottom>
      </border>
    </dxf>
    <dxf>
      <font>
        <b val="0"/>
        <i val="0"/>
        <strike val="0"/>
        <condense val="0"/>
        <extend val="0"/>
        <outline val="0"/>
        <shadow val="0"/>
        <u val="none"/>
        <vertAlign val="baseline"/>
        <sz val="11"/>
        <color theme="1"/>
        <name val="Calibri"/>
        <family val="2"/>
        <scheme val="none"/>
      </font>
      <fill>
        <patternFill patternType="solid">
          <fgColor theme="0" tint="-0.14999847407452621"/>
          <bgColor theme="0" tint="-0.14999847407452621"/>
        </patternFill>
      </fill>
      <alignment horizontal="left"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none"/>
      </font>
      <fill>
        <patternFill patternType="solid">
          <fgColor indexed="64"/>
          <bgColor theme="4"/>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none"/>
      </font>
      <fill>
        <patternFill patternType="solid">
          <fgColor theme="0" tint="-0.14999847407452621"/>
          <bgColor theme="0" tint="-0.14999847407452621"/>
        </patternFill>
      </fill>
      <alignment horizontal="left"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bottom style="thin">
          <color indexed="64"/>
        </bottom>
      </border>
    </dxf>
    <dxf>
      <font>
        <b val="0"/>
        <i val="0"/>
        <strike val="0"/>
        <condense val="0"/>
        <extend val="0"/>
        <outline val="0"/>
        <shadow val="0"/>
        <u val="none"/>
        <vertAlign val="baseline"/>
        <sz val="11"/>
        <color theme="1"/>
        <name val="Calibri"/>
        <family val="2"/>
        <scheme val="none"/>
      </font>
      <fill>
        <patternFill patternType="solid">
          <fgColor theme="0" tint="-0.14999847407452621"/>
          <bgColor theme="0" tint="-0.14999847407452621"/>
        </patternFill>
      </fill>
      <alignment horizontal="left"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none"/>
      </font>
      <fill>
        <patternFill patternType="solid">
          <fgColor indexed="64"/>
          <bgColor theme="4"/>
        </patternFill>
      </fill>
      <alignment horizontal="general" vertical="center" textRotation="0" wrapText="0" indent="0" justifyLastLine="0" shrinkToFit="0" readingOrder="0"/>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none"/>
      </font>
      <fill>
        <patternFill patternType="solid">
          <fgColor indexed="64"/>
          <bgColor theme="4"/>
        </patternFill>
      </fill>
      <alignment horizontal="general" vertical="center" textRotation="0" wrapText="0" indent="0" justifyLastLine="0" shrinkToFit="0" readingOrder="0"/>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none"/>
      </font>
      <fill>
        <patternFill patternType="solid">
          <fgColor indexed="64"/>
          <bgColor theme="4"/>
        </patternFill>
      </fill>
      <alignment horizontal="general" vertical="center" textRotation="0" wrapText="0" indent="0" justifyLastLine="0" shrinkToFit="0" readingOrder="0"/>
    </dxf>
    <dxf>
      <border outline="0">
        <top style="thick">
          <color theme="4" tint="0.499984740745262"/>
        </top>
      </border>
    </dxf>
    <dxf>
      <border outline="0">
        <bottom style="thin">
          <color theme="1"/>
        </bottom>
      </border>
    </dxf>
    <dxf>
      <font>
        <b/>
        <i val="0"/>
        <strike val="0"/>
        <condense val="0"/>
        <extend val="0"/>
        <outline val="0"/>
        <shadow val="0"/>
        <u val="none"/>
        <vertAlign val="baseline"/>
        <sz val="11"/>
        <color auto="1"/>
        <name val="Calibri"/>
        <family val="2"/>
        <scheme val="minor"/>
      </font>
      <fill>
        <patternFill patternType="solid">
          <fgColor indexed="64"/>
          <bgColor theme="4"/>
        </patternFill>
      </fill>
    </dxf>
    <dxf>
      <fill>
        <patternFill patternType="solid">
          <fgColor indexed="64"/>
          <bgColor theme="4"/>
        </patternFill>
      </fill>
    </dxf>
    <dxf>
      <fill>
        <patternFill patternType="solid">
          <fgColor indexed="64"/>
          <bgColor theme="4"/>
        </patternFill>
      </fill>
    </dxf>
    <dxf>
      <fill>
        <patternFill patternType="solid">
          <fgColor indexed="64"/>
          <bgColor theme="4"/>
        </patternFill>
      </fill>
    </dxf>
    <dxf>
      <alignment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4" formatCode="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76" formatCode="#,##0_ ;[Red]\-#,##0\ "/>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76" formatCode="#,##0_ ;[Red]\-#,##0\ "/>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76" formatCode="#,##0_ ;[Red]\-#,##0\ "/>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FF0000"/>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FF0000"/>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FF0000"/>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84" formatCode="#,##0.0_ ;[Red]\-#,##0.0\ "/>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84" formatCode="#,##0.0_ ;[Red]\-#,##0.0\ "/>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75" formatCode="#,##0.000_ ;[Red]\-#,##0.000\ "/>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76" formatCode="#,##0_ ;[Red]\-#,##0\ "/>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71" formatCode="_(* #,##0_);_(* \(#,##0\);_(* &quot;-&quot;??_);_(@_)"/>
      <fill>
        <patternFill patternType="none">
          <fgColor indexed="64"/>
          <bgColor rgb="FFFF00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71" formatCode="_(* #,##0_);_(* \(#,##0\);_(* &quot;-&quot;??_);_(@_)"/>
      <fill>
        <patternFill patternType="none">
          <fgColor indexed="64"/>
          <bgColor rgb="FFFF00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171" formatCode="_(* #,##0_);_(* \(#,##0\);_(* &quot;-&quot;??_);_(@_)"/>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171" formatCode="_(* #,##0_);_(* \(#,##0\);_(* &quot;-&quot;??_);_(@_)"/>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171" formatCode="_(* #,##0_);_(* \(#,##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171" formatCode="_(* #,##0_);_(* \(#,##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none"/>
      </font>
      <numFmt numFmtId="171" formatCode="_(* #,##0_);_(* \(#,##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171" formatCode="_(* #,##0_);_(* \(#,##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171" formatCode="_(* #,##0_);_(* \(#,##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fill>
        <patternFill patternType="none">
          <fgColor indexed="64"/>
          <bgColor indexed="65"/>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border>
    </dxf>
    <dxf>
      <border outline="0">
        <left style="thin">
          <color indexed="64"/>
        </left>
      </border>
    </dxf>
    <dxf>
      <alignment vertical="center" textRotation="0" wrapText="0" indent="0" justifyLastLine="0" shrinkToFit="0" readingOrder="0"/>
    </dxf>
    <dxf>
      <font>
        <b/>
        <i val="0"/>
        <strike val="0"/>
        <condense val="0"/>
        <extend val="0"/>
        <outline val="0"/>
        <shadow val="0"/>
        <u val="none"/>
        <vertAlign val="baseline"/>
        <sz val="11"/>
        <color auto="1"/>
        <name val="Calibri"/>
        <family val="2"/>
        <scheme val="none"/>
      </font>
      <fill>
        <patternFill patternType="solid">
          <fgColor rgb="FF4472C4"/>
          <bgColor theme="9"/>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indexed="8"/>
        <name val="Calibri"/>
        <family val="2"/>
        <scheme val="minor"/>
      </font>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indexed="8"/>
        <name val="Calibri"/>
        <family val="2"/>
        <scheme val="none"/>
      </font>
      <numFmt numFmtId="3" formatCode="#,##0"/>
      <fill>
        <patternFill patternType="none">
          <fgColor theme="0" tint="-0.14999847407452621"/>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border outline="0">
        <left style="thin">
          <color rgb="FF000000"/>
        </left>
        <right style="thin">
          <color rgb="FF000000"/>
        </right>
        <top style="thin">
          <color rgb="FF000000"/>
        </top>
      </border>
    </dxf>
    <dxf>
      <font>
        <b val="0"/>
        <i val="0"/>
        <strike val="0"/>
        <condense val="0"/>
        <extend val="0"/>
        <outline val="0"/>
        <shadow val="0"/>
        <u val="none"/>
        <vertAlign val="baseline"/>
        <sz val="11"/>
        <color indexed="8"/>
        <name val="Calibri"/>
        <family val="2"/>
        <scheme val="minor"/>
      </font>
      <fill>
        <patternFill patternType="none">
          <fgColor theme="0" tint="-0.14999847407452621"/>
          <bgColor auto="1"/>
        </patternFill>
      </fill>
      <alignment horizontal="center" vertical="center" textRotation="0" wrapText="1" indent="0" justifyLastLine="0" shrinkToFit="0" readingOrder="0"/>
    </dxf>
    <dxf>
      <font>
        <b/>
        <i val="0"/>
        <strike val="0"/>
        <condense val="0"/>
        <extend val="0"/>
        <outline val="0"/>
        <shadow val="0"/>
        <u val="none"/>
        <vertAlign val="baseline"/>
        <sz val="11"/>
        <color auto="1"/>
        <name val="Calibri"/>
        <family val="2"/>
        <scheme val="none"/>
      </font>
      <fill>
        <patternFill patternType="solid">
          <fgColor indexed="64"/>
          <bgColor theme="4"/>
        </patternFill>
      </fill>
      <alignment horizontal="general" vertical="center" textRotation="0" wrapText="0" indent="0" justifyLastLine="0" shrinkToFit="0" readingOrder="0"/>
    </dxf>
    <dxf>
      <font>
        <b val="0"/>
        <i val="0"/>
        <strike val="0"/>
        <condense val="0"/>
        <extend val="0"/>
        <outline val="0"/>
        <shadow val="0"/>
        <u val="none"/>
        <vertAlign val="baseline"/>
        <sz val="11"/>
        <color indexed="8"/>
        <name val="Calibri"/>
        <family val="2"/>
        <scheme val="minor"/>
      </font>
      <numFmt numFmtId="187" formatCode="#,##0.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numFmt numFmtId="187" formatCode="#,##0.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numFmt numFmtId="187" formatCode="#,##0.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numFmt numFmtId="187" formatCode="#,##0.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numFmt numFmtId="187" formatCode="#,##0.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numFmt numFmtId="187" formatCode="#,##0.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numFmt numFmtId="187" formatCode="#,##0.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numFmt numFmtId="187" formatCode="#,##0.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numFmt numFmtId="187" formatCode="#,##0.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numFmt numFmtId="187" formatCode="#,##0.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numFmt numFmtId="187" formatCode="#,##0.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numFmt numFmtId="187" formatCode="#,##0.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numFmt numFmtId="187" formatCode="#,##0.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indexed="8"/>
        <name val="Calibri"/>
        <family val="2"/>
        <scheme val="none"/>
      </font>
      <numFmt numFmtId="3" formatCode="#,##0"/>
      <fill>
        <patternFill patternType="none">
          <fgColor theme="0" tint="-0.14999847407452621"/>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border outline="0">
        <left style="thin">
          <color rgb="FF000000"/>
        </left>
        <right style="thin">
          <color rgb="FF000000"/>
        </right>
        <top style="thin">
          <color rgb="FF000000"/>
        </top>
      </border>
    </dxf>
    <dxf>
      <font>
        <b val="0"/>
        <i val="0"/>
        <strike val="0"/>
        <condense val="0"/>
        <extend val="0"/>
        <outline val="0"/>
        <shadow val="0"/>
        <u val="none"/>
        <vertAlign val="baseline"/>
        <sz val="11"/>
        <color indexed="8"/>
        <name val="Calibri"/>
        <family val="2"/>
        <scheme val="minor"/>
      </font>
      <fill>
        <patternFill patternType="none">
          <fgColor theme="0" tint="-0.14999847407452621"/>
          <bgColor auto="1"/>
        </patternFill>
      </fill>
      <alignment horizontal="center" vertical="center" textRotation="0" wrapText="1" indent="0" justifyLastLine="0" shrinkToFit="0" readingOrder="0"/>
    </dxf>
    <dxf>
      <font>
        <b/>
        <i val="0"/>
        <strike val="0"/>
        <condense val="0"/>
        <extend val="0"/>
        <outline val="0"/>
        <shadow val="0"/>
        <u val="none"/>
        <vertAlign val="baseline"/>
        <sz val="11"/>
        <color auto="1"/>
        <name val="Calibri"/>
        <family val="2"/>
        <scheme val="none"/>
      </font>
      <fill>
        <patternFill patternType="solid">
          <fgColor indexed="64"/>
          <bgColor theme="4"/>
        </patternFill>
      </fill>
      <alignment horizontal="general" vertical="center" textRotation="0" wrapText="0" indent="0" justifyLastLine="0" shrinkToFit="0" readingOrder="0"/>
    </dxf>
    <dxf>
      <font>
        <b val="0"/>
        <i val="0"/>
        <strike val="0"/>
        <condense val="0"/>
        <extend val="0"/>
        <outline val="0"/>
        <shadow val="0"/>
        <u val="none"/>
        <vertAlign val="baseline"/>
        <sz val="11"/>
        <color indexed="8"/>
        <name val="Calibri"/>
        <family val="2"/>
        <scheme val="minor"/>
      </font>
      <numFmt numFmtId="187" formatCode="#,##0.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numFmt numFmtId="187" formatCode="#,##0.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numFmt numFmtId="187" formatCode="#,##0.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numFmt numFmtId="187" formatCode="#,##0.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numFmt numFmtId="187" formatCode="#,##0.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numFmt numFmtId="187" formatCode="#,##0.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numFmt numFmtId="187" formatCode="#,##0.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numFmt numFmtId="187" formatCode="#,##0.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numFmt numFmtId="187" formatCode="#,##0.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numFmt numFmtId="187" formatCode="#,##0.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numFmt numFmtId="187" formatCode="#,##0.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numFmt numFmtId="187" formatCode="#,##0.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numFmt numFmtId="187" formatCode="#,##0.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indexed="8"/>
        <name val="Calibri"/>
        <family val="2"/>
        <scheme val="none"/>
      </font>
      <numFmt numFmtId="3" formatCode="#,##0"/>
      <fill>
        <patternFill patternType="none">
          <fgColor theme="0" tint="-0.14999847407452621"/>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border outline="0">
        <left style="thin">
          <color rgb="FF000000"/>
        </left>
        <right style="thin">
          <color rgb="FF000000"/>
        </right>
        <top style="thin">
          <color rgb="FF000000"/>
        </top>
      </border>
    </dxf>
    <dxf>
      <font>
        <b val="0"/>
        <i val="0"/>
        <strike val="0"/>
        <condense val="0"/>
        <extend val="0"/>
        <outline val="0"/>
        <shadow val="0"/>
        <u val="none"/>
        <vertAlign val="baseline"/>
        <sz val="11"/>
        <color indexed="8"/>
        <name val="Calibri"/>
        <family val="2"/>
        <scheme val="minor"/>
      </font>
      <fill>
        <patternFill patternType="none">
          <fgColor theme="0" tint="-0.14999847407452621"/>
          <bgColor auto="1"/>
        </patternFill>
      </fill>
      <alignment horizontal="center" vertical="center" textRotation="0" wrapText="1" indent="0" justifyLastLine="0" shrinkToFit="0" readingOrder="0"/>
    </dxf>
    <dxf>
      <font>
        <b/>
        <i val="0"/>
        <strike val="0"/>
        <condense val="0"/>
        <extend val="0"/>
        <outline val="0"/>
        <shadow val="0"/>
        <u val="none"/>
        <vertAlign val="baseline"/>
        <sz val="11"/>
        <color auto="1"/>
        <name val="Calibri"/>
        <family val="2"/>
        <scheme val="none"/>
      </font>
      <fill>
        <patternFill patternType="solid">
          <fgColor indexed="64"/>
          <bgColor theme="4"/>
        </patternFill>
      </fill>
      <alignment horizontal="general" vertical="center" textRotation="0" wrapText="0" indent="0" justifyLastLine="0" shrinkToFit="0" readingOrder="0"/>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libri"/>
        <family val="2"/>
        <scheme val="none"/>
      </font>
      <numFmt numFmtId="3" formatCode="#,##0"/>
      <fill>
        <patternFill patternType="none">
          <fgColor theme="0" tint="-0.14999847407452621"/>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left style="thin">
          <color rgb="FF000000"/>
        </left>
        <right style="thin">
          <color rgb="FF000000"/>
        </right>
        <top style="thin">
          <color rgb="FF000000"/>
        </top>
      </border>
    </dxf>
    <dxf>
      <font>
        <b val="0"/>
        <i val="0"/>
        <strike val="0"/>
        <condense val="0"/>
        <extend val="0"/>
        <outline val="0"/>
        <shadow val="0"/>
        <u val="none"/>
        <vertAlign val="baseline"/>
        <sz val="11"/>
        <color indexed="8"/>
        <name val="Calibri"/>
        <family val="2"/>
        <scheme val="minor"/>
      </font>
      <fill>
        <patternFill patternType="none">
          <fgColor theme="0" tint="-0.14999847407452621"/>
          <bgColor auto="1"/>
        </patternFill>
      </fill>
      <alignment horizontal="center" vertical="center" textRotation="0" wrapText="1" indent="0" justifyLastLine="0" shrinkToFit="0" readingOrder="0"/>
    </dxf>
    <dxf>
      <font>
        <b/>
        <i val="0"/>
        <strike val="0"/>
        <condense val="0"/>
        <extend val="0"/>
        <outline val="0"/>
        <shadow val="0"/>
        <u val="none"/>
        <vertAlign val="baseline"/>
        <sz val="11"/>
        <color auto="1"/>
        <name val="Calibri"/>
        <family val="2"/>
        <scheme val="none"/>
      </font>
      <fill>
        <patternFill patternType="solid">
          <fgColor indexed="64"/>
          <bgColor theme="4"/>
        </patternFill>
      </fill>
      <alignment horizontal="general" vertical="center" textRotation="0" wrapText="0" indent="0" justifyLastLine="0" shrinkToFit="0" readingOrder="0"/>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right/>
        <top style="thin">
          <color indexed="64"/>
        </top>
        <bottom/>
      </border>
    </dxf>
    <dxf>
      <font>
        <b/>
        <i val="0"/>
        <strike val="0"/>
        <condense val="0"/>
        <extend val="0"/>
        <outline val="0"/>
        <shadow val="0"/>
        <u val="none"/>
        <vertAlign val="baseline"/>
        <sz val="11"/>
        <color indexed="8"/>
        <name val="Calibri"/>
        <family val="2"/>
        <scheme val="none"/>
      </font>
      <numFmt numFmtId="3" formatCode="#,##0"/>
      <fill>
        <patternFill patternType="none">
          <fgColor theme="0" tint="-0.14999847407452621"/>
          <bgColor auto="1"/>
        </patternFill>
      </fill>
      <alignment horizontal="left" vertical="center" textRotation="0" wrapText="1" indent="0" justifyLastLine="0" shrinkToFit="0" readingOrder="0"/>
      <border diagonalUp="0" diagonalDown="0">
        <left style="thin">
          <color indexed="64"/>
        </left>
        <right/>
        <top style="thin">
          <color indexed="64"/>
        </top>
        <bottom/>
      </border>
    </dxf>
    <dxf>
      <border outline="0">
        <left style="thin">
          <color rgb="FF000000"/>
        </left>
        <right style="thin">
          <color rgb="FF000000"/>
        </right>
        <top style="thin">
          <color rgb="FF000000"/>
        </top>
      </border>
    </dxf>
    <dxf>
      <font>
        <b val="0"/>
        <i val="0"/>
        <strike val="0"/>
        <condense val="0"/>
        <extend val="0"/>
        <outline val="0"/>
        <shadow val="0"/>
        <u val="none"/>
        <vertAlign val="baseline"/>
        <sz val="11"/>
        <color indexed="8"/>
        <name val="Calibri"/>
        <family val="2"/>
        <scheme val="minor"/>
      </font>
      <fill>
        <patternFill patternType="none">
          <fgColor theme="0" tint="-0.14999847407452621"/>
          <bgColor auto="1"/>
        </patternFill>
      </fill>
      <alignment horizontal="center" vertical="center" textRotation="0" wrapText="1" indent="0" justifyLastLine="0" shrinkToFit="0" readingOrder="0"/>
    </dxf>
    <dxf>
      <font>
        <b/>
        <i val="0"/>
        <strike val="0"/>
        <condense val="0"/>
        <extend val="0"/>
        <outline val="0"/>
        <shadow val="0"/>
        <u val="none"/>
        <vertAlign val="baseline"/>
        <sz val="11"/>
        <color auto="1"/>
        <name val="Calibri"/>
        <family val="2"/>
        <scheme val="none"/>
      </font>
      <fill>
        <patternFill patternType="solid">
          <fgColor indexed="64"/>
          <bgColor theme="4"/>
        </patternFill>
      </fill>
      <alignment horizontal="general" vertical="center" textRotation="0" wrapText="0" indent="0" justifyLastLine="0" shrinkToFit="0" readingOrder="0"/>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right/>
        <top style="thin">
          <color indexed="64"/>
        </top>
        <bottom/>
      </border>
    </dxf>
    <dxf>
      <font>
        <b/>
        <i val="0"/>
        <strike val="0"/>
        <condense val="0"/>
        <extend val="0"/>
        <outline val="0"/>
        <shadow val="0"/>
        <u val="none"/>
        <vertAlign val="baseline"/>
        <sz val="11"/>
        <color indexed="8"/>
        <name val="Calibri"/>
        <family val="2"/>
        <scheme val="none"/>
      </font>
      <numFmt numFmtId="3" formatCode="#,##0"/>
      <fill>
        <patternFill patternType="none">
          <fgColor theme="0" tint="-0.14999847407452621"/>
          <bgColor auto="1"/>
        </patternFill>
      </fill>
      <alignment horizontal="left" vertical="center" textRotation="0" wrapText="1" indent="0" justifyLastLine="0" shrinkToFit="0" readingOrder="0"/>
      <border diagonalUp="0" diagonalDown="0">
        <left style="thin">
          <color indexed="64"/>
        </left>
        <right/>
        <top style="thin">
          <color indexed="64"/>
        </top>
        <bottom/>
      </border>
    </dxf>
    <dxf>
      <border outline="0">
        <left style="thin">
          <color rgb="FF000000"/>
        </left>
        <right style="thin">
          <color rgb="FF000000"/>
        </right>
        <top style="thin">
          <color rgb="FF000000"/>
        </top>
      </border>
    </dxf>
    <dxf>
      <font>
        <b val="0"/>
        <i val="0"/>
        <strike val="0"/>
        <condense val="0"/>
        <extend val="0"/>
        <outline val="0"/>
        <shadow val="0"/>
        <u val="none"/>
        <vertAlign val="baseline"/>
        <sz val="11"/>
        <color indexed="8"/>
        <name val="Calibri"/>
        <family val="2"/>
        <scheme val="minor"/>
      </font>
      <fill>
        <patternFill patternType="none">
          <fgColor theme="0" tint="-0.14999847407452621"/>
          <bgColor auto="1"/>
        </patternFill>
      </fill>
      <alignment horizontal="center" vertical="center" textRotation="0" wrapText="1" indent="0" justifyLastLine="0" shrinkToFit="0" readingOrder="0"/>
    </dxf>
    <dxf>
      <font>
        <b/>
        <i val="0"/>
        <strike val="0"/>
        <condense val="0"/>
        <extend val="0"/>
        <outline val="0"/>
        <shadow val="0"/>
        <u val="none"/>
        <vertAlign val="baseline"/>
        <sz val="11"/>
        <color auto="1"/>
        <name val="Calibri"/>
        <family val="2"/>
        <scheme val="none"/>
      </font>
      <fill>
        <patternFill patternType="solid">
          <fgColor indexed="64"/>
          <bgColor theme="4"/>
        </patternFill>
      </fill>
      <alignment horizontal="general" vertical="center" textRotation="0" wrapText="0" indent="0" justifyLastLine="0" shrinkToFit="0" readingOrder="0"/>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indexed="8"/>
        <name val="Calibri"/>
        <family val="2"/>
        <scheme val="minor"/>
      </font>
      <numFmt numFmtId="3" formatCode="#,##0"/>
      <fill>
        <patternFill patternType="none">
          <fgColor theme="0" tint="-0.14999847407452621"/>
          <bgColor auto="1"/>
        </patternFill>
      </fill>
      <alignment horizontal="center" vertical="center" textRotation="0" wrapText="1" indent="0" justifyLastLine="0" shrinkToFit="0" readingOrder="0"/>
      <border diagonalUp="0" diagonalDown="0">
        <left/>
        <right/>
        <top style="thin">
          <color indexed="64"/>
        </top>
        <bottom/>
      </border>
    </dxf>
    <dxf>
      <font>
        <b/>
        <i val="0"/>
        <strike val="0"/>
        <condense val="0"/>
        <extend val="0"/>
        <outline val="0"/>
        <shadow val="0"/>
        <u val="none"/>
        <vertAlign val="baseline"/>
        <sz val="11"/>
        <color indexed="8"/>
        <name val="Calibri"/>
        <family val="2"/>
        <scheme val="none"/>
      </font>
      <numFmt numFmtId="3" formatCode="#,##0"/>
      <fill>
        <patternFill patternType="none">
          <fgColor theme="0" tint="-0.14999847407452621"/>
          <bgColor auto="1"/>
        </patternFill>
      </fill>
      <alignment horizontal="left" vertical="center" textRotation="0" wrapText="1" indent="0" justifyLastLine="0" shrinkToFit="0" readingOrder="0"/>
      <border diagonalUp="0" diagonalDown="0">
        <left style="thin">
          <color indexed="64"/>
        </left>
        <right/>
        <top style="thin">
          <color indexed="64"/>
        </top>
        <bottom/>
      </border>
    </dxf>
    <dxf>
      <border outline="0">
        <left style="thin">
          <color rgb="FF000000"/>
        </left>
        <right style="thin">
          <color rgb="FF000000"/>
        </right>
        <top style="thin">
          <color rgb="FF000000"/>
        </top>
      </border>
    </dxf>
    <dxf>
      <font>
        <b val="0"/>
        <i val="0"/>
        <strike val="0"/>
        <condense val="0"/>
        <extend val="0"/>
        <outline val="0"/>
        <shadow val="0"/>
        <u val="none"/>
        <vertAlign val="baseline"/>
        <sz val="11"/>
        <color indexed="8"/>
        <name val="Calibri"/>
        <family val="2"/>
        <scheme val="minor"/>
      </font>
      <fill>
        <patternFill patternType="none">
          <fgColor theme="0" tint="-0.14999847407452621"/>
          <bgColor auto="1"/>
        </patternFill>
      </fill>
      <alignment horizontal="center" vertical="center" textRotation="0" wrapText="1" indent="0" justifyLastLine="0" shrinkToFit="0" readingOrder="0"/>
    </dxf>
    <dxf>
      <font>
        <b/>
        <i val="0"/>
        <strike val="0"/>
        <condense val="0"/>
        <extend val="0"/>
        <outline val="0"/>
        <shadow val="0"/>
        <u val="none"/>
        <vertAlign val="baseline"/>
        <sz val="11"/>
        <color auto="1"/>
        <name val="Calibri"/>
        <family val="2"/>
        <scheme val="none"/>
      </font>
      <fill>
        <patternFill patternType="solid">
          <fgColor indexed="64"/>
          <bgColor theme="4"/>
        </patternFill>
      </fill>
      <alignment horizontal="general" vertical="center" textRotation="0" wrapText="0" indent="0" justifyLastLine="0" shrinkToFit="0" readingOrder="0"/>
    </dxf>
    <dxf>
      <font>
        <b val="0"/>
        <i val="0"/>
        <strike val="0"/>
        <condense val="0"/>
        <extend val="0"/>
        <outline val="0"/>
        <shadow val="0"/>
        <u val="none"/>
        <vertAlign val="baseline"/>
        <sz val="11"/>
        <color indexed="8"/>
        <name val="Calibri"/>
        <family val="2"/>
        <scheme val="minor"/>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171" formatCode="_(* #,##0_);_(* \(#,##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71" formatCode="_(* #,##0_);_(* \(#,##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71" formatCode="_(* #,##0_);_(* \(#,##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71" formatCode="_(* #,##0_);_(* \(#,##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71" formatCode="_(* #,##0_);_(* \(#,##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71" formatCode="_(* #,##0_);_(* \(#,##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71" formatCode="_(* #,##0_);_(* \(#,##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71" formatCode="_(* #,##0_);_(* \(#,##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71" formatCode="_(* #,##0_);_(* \(#,##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71" formatCode="_(* #,##0_);_(* \(#,##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71" formatCode="_(* #,##0_);_(* \(#,##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border outline="0">
        <left style="thin">
          <color rgb="FF000000"/>
        </left>
        <top style="thin">
          <color rgb="FF000000"/>
        </top>
      </border>
    </dxf>
    <dxf>
      <fill>
        <patternFill patternType="none">
          <fgColor indexed="64"/>
          <bgColor auto="1"/>
        </patternFill>
      </fill>
    </dxf>
    <dxf>
      <font>
        <b/>
        <i val="0"/>
        <strike val="0"/>
        <condense val="0"/>
        <extend val="0"/>
        <outline val="0"/>
        <shadow val="0"/>
        <u val="none"/>
        <vertAlign val="baseline"/>
        <sz val="11"/>
        <color auto="1"/>
        <name val="Calibri"/>
        <family val="2"/>
        <scheme val="none"/>
      </font>
      <fill>
        <patternFill patternType="solid">
          <fgColor indexed="64"/>
          <bgColor theme="4"/>
        </patternFill>
      </fill>
      <alignment horizontal="general" vertical="center" textRotation="0" wrapText="0" indent="0" justifyLastLine="0" shrinkToFit="0" readingOrder="0"/>
    </dxf>
    <dxf>
      <font>
        <b val="0"/>
        <i val="0"/>
        <strike val="0"/>
        <condense val="0"/>
        <extend val="0"/>
        <outline val="0"/>
        <shadow val="0"/>
        <u val="none"/>
        <vertAlign val="baseline"/>
        <sz val="11"/>
        <color indexed="8"/>
        <name val="Calibri"/>
        <family val="2"/>
        <scheme val="minor"/>
      </font>
      <numFmt numFmtId="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none"/>
      </font>
      <fill>
        <patternFill patternType="solid">
          <fgColor indexed="64"/>
          <bgColor theme="4"/>
        </patternFill>
      </fill>
      <alignment horizontal="general" vertical="center" textRotation="0" wrapText="0" indent="0" justifyLastLine="0" shrinkToFit="0" readingOrder="0"/>
    </dxf>
    <dxf>
      <font>
        <b val="0"/>
        <i val="0"/>
        <strike val="0"/>
        <condense val="0"/>
        <extend val="0"/>
        <outline val="0"/>
        <shadow val="0"/>
        <u val="none"/>
        <vertAlign val="baseline"/>
        <sz val="11"/>
        <color indexed="8"/>
        <name val="Calibri"/>
        <family val="2"/>
        <scheme val="minor"/>
      </font>
      <numFmt numFmtId="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none"/>
      </font>
      <fill>
        <patternFill patternType="solid">
          <fgColor indexed="64"/>
          <bgColor theme="4"/>
        </patternFill>
      </fill>
      <alignment horizontal="general" vertical="center" textRotation="0" wrapText="0" indent="0" justifyLastLine="0" shrinkToFit="0" readingOrder="0"/>
    </dxf>
    <dxf>
      <font>
        <b val="0"/>
        <i val="0"/>
        <strike val="0"/>
        <condense val="0"/>
        <extend val="0"/>
        <outline val="0"/>
        <shadow val="0"/>
        <u val="none"/>
        <vertAlign val="baseline"/>
        <sz val="11"/>
        <color indexed="8"/>
        <name val="Calibri"/>
        <family val="2"/>
        <scheme val="minor"/>
      </font>
      <numFmt numFmtId="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none"/>
      </font>
      <fill>
        <patternFill patternType="solid">
          <fgColor indexed="64"/>
          <bgColor theme="4"/>
        </patternFill>
      </fill>
      <alignment horizontal="general" vertical="center" textRotation="0" wrapText="0" indent="0" justifyLastLine="0" shrinkToFit="0" readingOrder="0"/>
    </dxf>
    <dxf>
      <font>
        <b val="0"/>
        <i val="0"/>
        <strike val="0"/>
        <condense val="0"/>
        <extend val="0"/>
        <outline val="0"/>
        <shadow val="0"/>
        <u val="none"/>
        <vertAlign val="baseline"/>
        <sz val="11"/>
        <color indexed="8"/>
        <name val="Calibri"/>
        <family val="2"/>
        <scheme val="minor"/>
      </font>
      <numFmt numFmtId="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none"/>
      </font>
      <fill>
        <patternFill patternType="solid">
          <fgColor indexed="64"/>
          <bgColor theme="4"/>
        </patternFill>
      </fill>
      <alignment horizontal="general" vertical="center" textRotation="0" wrapText="0" indent="0" justifyLastLine="0" shrinkToFit="0" readingOrder="0"/>
    </dxf>
    <dxf>
      <font>
        <b val="0"/>
        <i val="0"/>
        <strike val="0"/>
        <condense val="0"/>
        <extend val="0"/>
        <outline val="0"/>
        <shadow val="0"/>
        <u val="none"/>
        <vertAlign val="baseline"/>
        <sz val="11"/>
        <color indexed="8"/>
        <name val="Calibri"/>
        <family val="2"/>
        <scheme val="minor"/>
      </font>
      <numFmt numFmtId="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none"/>
      </font>
      <fill>
        <patternFill patternType="solid">
          <fgColor indexed="64"/>
          <bgColor theme="4"/>
        </patternFill>
      </fill>
      <alignment horizontal="general" vertical="center" textRotation="0" wrapText="0" indent="0" justifyLastLine="0" shrinkToFit="0" readingOrder="0"/>
    </dxf>
    <dxf>
      <font>
        <b val="0"/>
        <i val="0"/>
        <strike val="0"/>
        <condense val="0"/>
        <extend val="0"/>
        <outline val="0"/>
        <shadow val="0"/>
        <u val="none"/>
        <vertAlign val="baseline"/>
        <sz val="11"/>
        <color indexed="8"/>
        <name val="Calibri"/>
        <family val="2"/>
        <scheme val="minor"/>
      </font>
      <numFmt numFmtId="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numFmt numFmtId="3" formatCode="#,##0"/>
      <alignment horizontal="center" vertical="top"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minor"/>
      </font>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minor"/>
      </font>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none"/>
      </font>
      <fill>
        <patternFill patternType="solid">
          <fgColor indexed="64"/>
          <bgColor theme="4"/>
        </patternFill>
      </fill>
      <alignment horizontal="general" vertical="center" textRotation="0" wrapText="0" indent="0" justifyLastLine="0" shrinkToFit="0" readingOrder="0"/>
    </dxf>
    <dxf>
      <numFmt numFmtId="169" formatCode="0.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numFmt numFmtId="169" formatCode="0.0"/>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76" formatCode="#,##0_ ;[Red]\-#,##0\ "/>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76" formatCode="#,##0_ ;[Red]\-#,##0\ "/>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176" formatCode="#,##0_ ;[Red]\-#,##0\ "/>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176" formatCode="#,##0_ ;[Red]\-#,##0\ "/>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4" formatCode="0.00%"/>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minor"/>
      </font>
    </dxf>
    <dxf>
      <border outline="0">
        <bottom style="thin">
          <color indexed="64"/>
        </bottom>
      </border>
    </dxf>
    <dxf>
      <font>
        <strike val="0"/>
        <outline val="0"/>
        <shadow val="0"/>
        <vertAlign val="baseline"/>
        <sz val="11"/>
        <name val="Calibri"/>
        <family val="2"/>
        <scheme val="minor"/>
      </font>
      <fill>
        <patternFill patternType="solid">
          <fgColor indexed="64"/>
          <bgColor theme="4"/>
        </patternFill>
      </fill>
    </dxf>
    <dxf>
      <font>
        <b val="0"/>
        <i val="0"/>
        <strike val="0"/>
        <condense val="0"/>
        <extend val="0"/>
        <outline val="0"/>
        <shadow val="0"/>
        <u val="none"/>
        <vertAlign val="baseline"/>
        <sz val="11"/>
        <color auto="1"/>
        <name val="Calibri"/>
        <family val="2"/>
        <scheme val="none"/>
      </font>
      <numFmt numFmtId="165" formatCode="&quot;$&quot;#,##0.00_);[Red]\(&quot;$&quot;#,##0.00\)"/>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none"/>
      </font>
      <numFmt numFmtId="165" formatCode="&quot;$&quot;#,##0.00_);[Red]\(&quot;$&quot;#,##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numFmt numFmtId="165" formatCode="&quot;$&quot;#,##0.00_);[Red]\(&quot;$&quot;#,##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70C0"/>
        <name val="Calibri"/>
        <family val="2"/>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70C0"/>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none"/>
      </font>
      <fill>
        <patternFill patternType="solid">
          <fgColor indexed="64"/>
          <bgColor rgb="FFBFBFBF"/>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172" formatCode="0.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vertAlign val="baseline"/>
        <sz val="11"/>
        <name val="Calibri"/>
        <family val="2"/>
        <scheme val="minor"/>
      </font>
    </dxf>
    <dxf>
      <border>
        <bottom style="thin">
          <color indexed="64"/>
        </bottom>
      </border>
    </dxf>
    <dxf>
      <font>
        <strike val="0"/>
        <outline val="0"/>
        <shadow val="0"/>
        <vertAlign val="baseline"/>
        <sz val="11"/>
        <name val="Calibri"/>
        <family val="2"/>
        <scheme val="minor"/>
      </font>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72" formatCode="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minor"/>
      </font>
    </dxf>
    <dxf>
      <border outline="0">
        <bottom style="thin">
          <color indexed="64"/>
        </bottom>
      </border>
    </dxf>
    <dxf>
      <font>
        <strike val="0"/>
        <outline val="0"/>
        <shadow val="0"/>
        <vertAlign val="baseline"/>
        <sz val="11"/>
        <name val="Calibri"/>
        <family val="2"/>
        <scheme val="minor"/>
      </font>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72" formatCode="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minor"/>
      </font>
    </dxf>
    <dxf>
      <border outline="0">
        <bottom style="thin">
          <color indexed="64"/>
        </bottom>
      </border>
    </dxf>
    <dxf>
      <font>
        <strike val="0"/>
        <outline val="0"/>
        <shadow val="0"/>
        <vertAlign val="baseline"/>
        <sz val="11"/>
        <name val="Calibri"/>
        <family val="2"/>
        <scheme val="minor"/>
      </font>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91" formatCode="#,##0.00_ ;\-#,##0.00\ "/>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minor"/>
      </font>
      <fill>
        <patternFill patternType="none">
          <fgColor indexed="64"/>
          <bgColor auto="1"/>
        </patternFill>
      </fill>
    </dxf>
    <dxf>
      <border outline="0">
        <bottom style="thin">
          <color indexed="64"/>
        </bottom>
      </border>
    </dxf>
    <dxf>
      <font>
        <strike val="0"/>
        <outline val="0"/>
        <shadow val="0"/>
        <vertAlign val="baseline"/>
        <sz val="11"/>
        <name val="Calibri"/>
        <family val="2"/>
        <scheme val="minor"/>
      </font>
    </dxf>
    <dxf>
      <font>
        <b val="0"/>
        <i val="0"/>
        <strike val="0"/>
        <condense val="0"/>
        <extend val="0"/>
        <outline val="0"/>
        <shadow val="0"/>
        <u/>
        <vertAlign val="baseline"/>
        <sz val="11"/>
        <color rgb="FF0070C0"/>
        <name val="Calibri"/>
        <family val="2"/>
        <scheme val="minor"/>
      </font>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89" formatCode="#,##0_ ;\-#,##0\ "/>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minor"/>
      </font>
    </dxf>
    <dxf>
      <border outline="0">
        <bottom style="thin">
          <color indexed="64"/>
        </bottom>
      </border>
    </dxf>
    <dxf>
      <font>
        <strike val="0"/>
        <outline val="0"/>
        <shadow val="0"/>
        <vertAlign val="baseline"/>
        <sz val="11"/>
        <name val="Calibri"/>
        <family val="2"/>
        <scheme val="minor"/>
      </font>
    </dxf>
    <dxf>
      <font>
        <b val="0"/>
        <i val="0"/>
        <strike val="0"/>
        <condense val="0"/>
        <extend val="0"/>
        <outline val="0"/>
        <shadow val="0"/>
        <u val="none"/>
        <vertAlign val="baseline"/>
        <sz val="9"/>
        <color auto="1"/>
        <name val="Calibri"/>
        <family val="2"/>
        <scheme val="none"/>
      </font>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auto="1"/>
        <name val="Calibri"/>
        <family val="2"/>
        <scheme val="none"/>
      </font>
      <numFmt numFmtId="204" formatCode="#,##0.000000"/>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Calibri"/>
        <family val="2"/>
        <scheme val="none"/>
      </font>
      <border diagonalUp="0" diagonalDown="0" outline="0">
        <left/>
        <right style="thin">
          <color indexed="64"/>
        </right>
        <top style="thin">
          <color indexed="64"/>
        </top>
        <bottom/>
      </border>
    </dxf>
    <dxf>
      <font>
        <b val="0"/>
        <i val="0"/>
        <strike val="0"/>
        <condense val="0"/>
        <extend val="0"/>
        <outline val="0"/>
        <shadow val="0"/>
        <u val="none"/>
        <vertAlign val="baseline"/>
        <sz val="11"/>
        <color auto="1"/>
        <name val="Calibri"/>
        <family val="2"/>
        <scheme val="minor"/>
      </font>
      <border diagonalUp="0" diagonalDown="0" outline="0">
        <left/>
        <right style="thin">
          <color indexed="64"/>
        </right>
        <top style="thin">
          <color indexed="64"/>
        </top>
        <bottom/>
      </border>
    </dxf>
    <dxf>
      <font>
        <b val="0"/>
        <i val="0"/>
        <strike val="0"/>
        <condense val="0"/>
        <extend val="0"/>
        <outline val="0"/>
        <shadow val="0"/>
        <u val="none"/>
        <vertAlign val="baseline"/>
        <sz val="9"/>
        <color auto="1"/>
        <name val="Calibri"/>
        <family val="2"/>
        <scheme val="none"/>
      </font>
      <border diagonalUp="0" diagonalDown="0" outline="0">
        <left/>
        <right style="thin">
          <color indexed="64"/>
        </right>
        <top style="thin">
          <color indexed="64"/>
        </top>
        <bottom/>
      </border>
    </dxf>
    <dxf>
      <font>
        <b val="0"/>
        <i val="0"/>
        <strike val="0"/>
        <condense val="0"/>
        <extend val="0"/>
        <outline val="0"/>
        <shadow val="0"/>
        <u val="none"/>
        <vertAlign val="baseline"/>
        <sz val="11"/>
        <color auto="1"/>
        <name val="Calibri"/>
        <family val="2"/>
        <scheme val="minor"/>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minor"/>
      </font>
    </dxf>
    <dxf>
      <border outline="0">
        <bottom style="thin">
          <color indexed="64"/>
        </bottom>
      </border>
    </dxf>
    <dxf>
      <font>
        <strike val="0"/>
        <outline val="0"/>
        <shadow val="0"/>
        <vertAlign val="baseline"/>
        <sz val="11"/>
        <name val="Calibri"/>
        <family val="2"/>
        <scheme val="minor"/>
      </font>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vertAlign val="baseline"/>
        <sz val="11"/>
        <name val="Calibri"/>
        <family val="2"/>
        <scheme val="minor"/>
      </font>
    </dxf>
    <dxf>
      <font>
        <b val="0"/>
        <i val="0"/>
        <strike val="0"/>
        <condense val="0"/>
        <extend val="0"/>
        <outline val="0"/>
        <shadow val="0"/>
        <u val="none"/>
        <vertAlign val="baseline"/>
        <sz val="11"/>
        <color auto="1"/>
        <name val="Calibri"/>
        <family val="2"/>
        <scheme val="minor"/>
      </font>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minor"/>
      </font>
    </dxf>
    <dxf>
      <border outline="0">
        <bottom style="thin">
          <color indexed="64"/>
        </bottom>
      </border>
    </dxf>
    <dxf>
      <font>
        <strike val="0"/>
        <outline val="0"/>
        <shadow val="0"/>
        <vertAlign val="baseline"/>
        <sz val="11"/>
        <name val="Calibri"/>
        <family val="2"/>
        <scheme val="minor"/>
      </font>
    </dxf>
    <dxf>
      <font>
        <b val="0"/>
        <i val="0"/>
        <strike val="0"/>
        <condense val="0"/>
        <extend val="0"/>
        <outline val="0"/>
        <shadow val="0"/>
        <u/>
        <vertAlign val="baseline"/>
        <sz val="11"/>
        <color rgb="FF0070C0"/>
        <name val="Calibri"/>
        <family val="2"/>
        <scheme val="minor"/>
      </font>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rgb="FF000000"/>
        <name val="Calibri"/>
        <family val="2"/>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minor"/>
      </font>
    </dxf>
    <dxf>
      <border outline="0">
        <bottom style="thin">
          <color indexed="64"/>
        </bottom>
      </border>
    </dxf>
    <dxf>
      <font>
        <strike val="0"/>
        <outline val="0"/>
        <shadow val="0"/>
        <vertAlign val="baseline"/>
        <sz val="11"/>
        <name val="Calibri"/>
        <family val="2"/>
        <scheme val="minor"/>
      </font>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4" formatCode="0.00%"/>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minor"/>
      </font>
    </dxf>
    <dxf>
      <border outline="0">
        <bottom style="thin">
          <color indexed="64"/>
        </bottom>
      </border>
    </dxf>
    <dxf>
      <font>
        <strike val="0"/>
        <outline val="0"/>
        <shadow val="0"/>
        <vertAlign val="baseline"/>
        <sz val="11"/>
        <name val="Calibri"/>
        <family val="2"/>
        <scheme val="minor"/>
      </font>
      <fill>
        <patternFill patternType="solid">
          <fgColor indexed="64"/>
          <bgColor theme="4"/>
        </patternFill>
      </fill>
    </dxf>
    <dxf>
      <font>
        <strike val="0"/>
        <outline val="0"/>
        <shadow val="0"/>
        <vertAlign val="baseline"/>
        <sz val="11"/>
        <color auto="1"/>
        <name val="Calibri"/>
        <family val="2"/>
        <scheme val="min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vertAlign val="baseline"/>
        <sz val="11"/>
        <color auto="1"/>
        <name val="Calibri"/>
        <family val="2"/>
        <scheme val="minor"/>
      </font>
      <numFmt numFmtId="200" formatCode="#,##0.000000_ ;[Red]\-#,##0.000000\ "/>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alignment horizontal="left" vertical="center" textRotation="0" wrapText="0" indent="0" justifyLastLine="0" shrinkToFit="0" readingOrder="0"/>
      <border diagonalUp="0" diagonalDown="0" outline="0">
        <left/>
        <right/>
        <top style="thin">
          <color indexed="64"/>
        </top>
        <bottom style="thin">
          <color indexed="64"/>
        </bottom>
      </border>
    </dxf>
    <dxf>
      <border outline="0">
        <top style="thin">
          <color indexed="64"/>
        </top>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auto="1"/>
        <name val="Calibri"/>
        <family val="2"/>
        <scheme val="minor"/>
      </font>
      <alignment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Calibri"/>
        <family val="2"/>
        <scheme val="minor"/>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family val="2"/>
        <scheme val="minor"/>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family val="2"/>
        <scheme val="minor"/>
      </font>
    </dxf>
    <dxf>
      <border>
        <bottom style="thin">
          <color indexed="64"/>
        </bottom>
      </border>
    </dxf>
    <dxf>
      <font>
        <strike val="0"/>
        <outline val="0"/>
        <shadow val="0"/>
        <vertAlign val="baseline"/>
        <sz val="11"/>
        <name val="Calibri"/>
        <family val="2"/>
        <scheme val="minor"/>
      </font>
      <border diagonalUp="0" diagonalDown="0">
        <left style="thin">
          <color indexed="64"/>
        </left>
        <right style="thin">
          <color indexed="64"/>
        </right>
        <top/>
        <bottom/>
        <vertical style="thin">
          <color indexed="64"/>
        </vertical>
        <horizontal style="thin">
          <color indexed="64"/>
        </horizontal>
      </border>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alignment wrapText="0"/>
    </dxf>
    <dxf>
      <alignment wrapText="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sz val="11"/>
      </font>
    </dxf>
    <dxf>
      <font>
        <sz val="11"/>
      </font>
    </dxf>
    <dxf>
      <font>
        <sz val="11"/>
      </font>
    </dxf>
    <dxf>
      <font>
        <sz val="11"/>
      </font>
    </dxf>
    <dxf>
      <font>
        <sz val="11"/>
      </font>
    </dxf>
    <dxf>
      <font>
        <sz val="11"/>
      </font>
    </dxf>
    <dxf>
      <numFmt numFmtId="10" formatCode="&quot;$&quot;#,##0;[Red]\-&quot;$&quot;#,##0"/>
    </dxf>
    <dxf>
      <font>
        <sz val="12"/>
      </font>
      <alignment horizontal="center" vertical="center" wrapText="1"/>
    </dxf>
    <dxf>
      <alignment horizontal="center"/>
    </dxf>
    <dxf>
      <fill>
        <patternFill>
          <bgColor theme="0"/>
        </patternFill>
      </fill>
    </dxf>
    <dxf>
      <fill>
        <patternFill>
          <bgColor theme="0"/>
        </patternFill>
      </fill>
    </dxf>
    <dxf>
      <alignment vertical="center"/>
    </dxf>
    <dxf>
      <alignment vertical="center"/>
    </dxf>
    <dxf>
      <fill>
        <patternFill>
          <bgColor theme="0"/>
        </patternFill>
      </fill>
    </dxf>
    <dxf>
      <fill>
        <patternFill>
          <bgColor theme="0"/>
        </patternFill>
      </fill>
    </dxf>
    <dxf>
      <alignment wrapText="1"/>
    </dxf>
    <dxf>
      <font>
        <sz val="12"/>
      </font>
    </dxf>
    <dxf>
      <fill>
        <patternFill>
          <bgColor theme="0"/>
        </patternFill>
      </fill>
    </dxf>
    <dxf>
      <fill>
        <patternFill>
          <bgColor theme="0"/>
        </patternFill>
      </fill>
    </dxf>
    <dxf>
      <fill>
        <patternFill>
          <bgColor theme="0"/>
        </patternFill>
      </fill>
    </dxf>
    <dxf>
      <font>
        <sz val="12"/>
      </font>
    </dxf>
    <dxf>
      <font>
        <sz val="12"/>
      </font>
    </dxf>
    <dxf>
      <font>
        <sz val="12"/>
      </font>
    </dxf>
    <dxf>
      <numFmt numFmtId="3" formatCode="#,##0"/>
    </dxf>
    <dxf>
      <alignment wrapText="1"/>
    </dxf>
    <dxf>
      <alignment vertical="center"/>
    </dxf>
    <dxf>
      <alignment vertical="center"/>
    </dxf>
    <dxf>
      <alignment wrapText="1"/>
    </dxf>
    <dxf>
      <font>
        <sz val="14"/>
      </font>
    </dxf>
    <dxf>
      <fill>
        <patternFill patternType="solid">
          <bgColor theme="0"/>
        </patternFill>
      </fill>
    </dxf>
    <dxf>
      <fill>
        <patternFill patternType="solid">
          <bgColor theme="0"/>
        </patternFill>
      </fill>
    </dxf>
    <dxf>
      <fill>
        <patternFill patternType="solid">
          <bgColor theme="0"/>
        </patternFill>
      </fill>
    </dxf>
    <dxf>
      <alignment horizontal="center"/>
    </dxf>
    <dxf>
      <alignment wrapText="1"/>
    </dxf>
    <dxf>
      <alignment wrapText="0"/>
    </dxf>
    <dxf>
      <alignment wrapText="0"/>
    </dxf>
    <dxf>
      <numFmt numFmtId="187" formatCode="#,##0.0"/>
    </dxf>
    <dxf>
      <fill>
        <patternFill>
          <bgColor theme="0"/>
        </patternFill>
      </fill>
      <border>
        <left/>
        <right/>
        <top/>
        <bottom/>
      </border>
    </dxf>
    <dxf>
      <fill>
        <patternFill>
          <bgColor theme="0"/>
        </patternFill>
      </fill>
      <border>
        <left/>
        <right/>
        <top/>
        <bottom/>
      </border>
    </dxf>
    <dxf>
      <fill>
        <patternFill>
          <bgColor theme="0"/>
        </patternFill>
      </fill>
      <border>
        <left/>
        <right/>
        <top/>
        <bottom/>
      </border>
    </dxf>
    <dxf>
      <font>
        <b val="0"/>
        <i val="0"/>
      </font>
      <fill>
        <patternFill>
          <bgColor theme="0"/>
        </patternFill>
      </fill>
    </dxf>
    <dxf>
      <font>
        <b val="0"/>
        <i val="0"/>
      </font>
      <fill>
        <patternFill>
          <bgColor theme="0"/>
        </patternFill>
      </fill>
    </dxf>
    <dxf>
      <font>
        <b val="0"/>
        <i val="0"/>
      </font>
    </dxf>
    <dxf>
      <font>
        <b val="0"/>
        <i val="0"/>
      </font>
    </dxf>
    <dxf>
      <border diagonalUp="0" diagonalDown="0">
        <left/>
        <right/>
        <top/>
        <bottom style="thin">
          <color theme="4"/>
        </bottom>
        <vertical/>
        <horizontal/>
      </border>
    </dxf>
    <dxf>
      <font>
        <b/>
        <i val="0"/>
      </font>
      <border diagonalUp="0" diagonalDown="0">
        <left/>
        <right/>
        <top/>
        <bottom style="thin">
          <color theme="8"/>
        </bottom>
        <vertical/>
        <horizontal/>
      </border>
    </dxf>
    <dxf>
      <font>
        <color auto="1"/>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i val="0"/>
      </font>
      <fill>
        <patternFill>
          <bgColor theme="0"/>
        </patternFill>
      </fill>
      <border>
        <bottom style="thin">
          <color theme="4"/>
        </bottom>
      </border>
    </dxf>
    <dxf>
      <fill>
        <patternFill>
          <bgColor theme="0"/>
        </patternFill>
      </fill>
    </dxf>
  </dxfs>
  <tableStyles count="2" defaultTableStyle="TableStyleMedium2" defaultPivotStyle="PivotStyleLight16">
    <tableStyle name="Custom White" table="0" count="25" xr9:uid="{2F6982D5-E55D-456B-867A-CC92FEF4B575}">
      <tableStyleElement type="wholeTable" dxfId="4718"/>
      <tableStyleElement type="headerRow" dxfId="4717"/>
      <tableStyleElement type="totalRow" dxfId="4716"/>
      <tableStyleElement type="firstColumn" dxfId="4715"/>
      <tableStyleElement type="lastColumn" dxfId="4714"/>
      <tableStyleElement type="firstRowStripe" dxfId="4713"/>
      <tableStyleElement type="secondRowStripe" dxfId="4712"/>
      <tableStyleElement type="firstColumnStripe" dxfId="4711"/>
      <tableStyleElement type="secondColumnStripe" dxfId="4710"/>
      <tableStyleElement type="firstHeaderCell" dxfId="4709"/>
      <tableStyleElement type="firstSubtotalColumn" dxfId="4708"/>
      <tableStyleElement type="secondSubtotalColumn" dxfId="4707"/>
      <tableStyleElement type="thirdSubtotalColumn" dxfId="4706"/>
      <tableStyleElement type="firstSubtotalRow" dxfId="4705"/>
      <tableStyleElement type="secondSubtotalRow" dxfId="4704"/>
      <tableStyleElement type="thirdSubtotalRow" dxfId="4703"/>
      <tableStyleElement type="blankRow" dxfId="4702"/>
      <tableStyleElement type="firstColumnSubheading" dxfId="4701"/>
      <tableStyleElement type="secondColumnSubheading" dxfId="4700"/>
      <tableStyleElement type="thirdColumnSubheading" dxfId="4699"/>
      <tableStyleElement type="firstRowSubheading" dxfId="4698"/>
      <tableStyleElement type="secondRowSubheading" dxfId="4697"/>
      <tableStyleElement type="thirdRowSubheading" dxfId="4696"/>
      <tableStyleElement type="pageFieldLabels" dxfId="4695"/>
      <tableStyleElement type="pageFieldValues" dxfId="4694"/>
    </tableStyle>
    <tableStyle name="Default Pivot Style" table="0" count="7" xr9:uid="{D6AAEBC2-0F4E-4AB2-A291-7D6CE435344F}">
      <tableStyleElement type="wholeTable" dxfId="4693"/>
      <tableStyleElement type="headerRow" dxfId="4692"/>
      <tableStyleElement type="firstRowStripe" dxfId="4691"/>
      <tableStyleElement type="firstRowSubheading" dxfId="4690"/>
      <tableStyleElement type="secondRowSubheading" dxfId="4689"/>
      <tableStyleElement type="pageFieldLabels" dxfId="4688"/>
      <tableStyleElement type="pageFieldValues" dxfId="4687"/>
    </tableStyle>
  </tableStyles>
  <colors>
    <mruColors>
      <color rgb="FF1F4E78"/>
      <color rgb="FF123660"/>
      <color rgb="FF21DA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2.xml"/><Relationship Id="rId16" Type="http://schemas.openxmlformats.org/officeDocument/2006/relationships/worksheet" Target="worksheets/sheet16.xml"/><Relationship Id="rId107" Type="http://schemas.openxmlformats.org/officeDocument/2006/relationships/externalLink" Target="externalLinks/externalLink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xml"/><Relationship Id="rId123"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5.xml"/><Relationship Id="rId113" Type="http://schemas.openxmlformats.org/officeDocument/2006/relationships/pivotCacheDefinition" Target="pivotCache/pivotCacheDefinition1.xml"/><Relationship Id="rId118" Type="http://schemas.openxmlformats.org/officeDocument/2006/relationships/sharedStrings" Target="sharedStrings.xml"/><Relationship Id="rId126" Type="http://schemas.openxmlformats.org/officeDocument/2006/relationships/customXml" Target="../customXml/item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3.xml"/><Relationship Id="rId108" Type="http://schemas.openxmlformats.org/officeDocument/2006/relationships/externalLink" Target="externalLinks/externalLink8.xml"/><Relationship Id="rId116" Type="http://schemas.openxmlformats.org/officeDocument/2006/relationships/theme" Target="theme/theme1.xml"/><Relationship Id="rId124"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6.xml"/><Relationship Id="rId114" Type="http://schemas.microsoft.com/office/2007/relationships/slicerCache" Target="slicerCaches/slicerCache1.xml"/><Relationship Id="rId119" Type="http://schemas.openxmlformats.org/officeDocument/2006/relationships/sheetMetadata" Target="metadata.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1.xml"/><Relationship Id="rId12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4.xml"/><Relationship Id="rId120" Type="http://schemas.microsoft.com/office/2017/10/relationships/person" Target="persons/person.xml"/><Relationship Id="rId125"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0.xml"/><Relationship Id="rId115" Type="http://schemas.microsoft.com/office/2007/relationships/slicerCache" Target="slicerCaches/slicerCache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2</xdr:col>
      <xdr:colOff>0</xdr:colOff>
      <xdr:row>11</xdr:row>
      <xdr:rowOff>536948</xdr:rowOff>
    </xdr:to>
    <mc:AlternateContent xmlns:mc="http://schemas.openxmlformats.org/markup-compatibility/2006" xmlns:a14="http://schemas.microsoft.com/office/drawing/2010/main">
      <mc:Choice Requires="a14">
        <xdr:graphicFrame macro="">
          <xdr:nvGraphicFramePr>
            <xdr:cNvPr id="2" name="Sector">
              <a:extLst>
                <a:ext uri="{FF2B5EF4-FFF2-40B4-BE49-F238E27FC236}">
                  <a16:creationId xmlns:a16="http://schemas.microsoft.com/office/drawing/2014/main" id="{91FEFEE0-0256-4AE2-9FDB-4D592C833C6C}"/>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179294" y="1636060"/>
              <a:ext cx="2577353" cy="1210234"/>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0</xdr:colOff>
      <xdr:row>12</xdr:row>
      <xdr:rowOff>361951</xdr:rowOff>
    </xdr:from>
    <xdr:to>
      <xdr:col>2</xdr:col>
      <xdr:colOff>0</xdr:colOff>
      <xdr:row>38</xdr:row>
      <xdr:rowOff>4267</xdr:rowOff>
    </xdr:to>
    <mc:AlternateContent xmlns:mc="http://schemas.openxmlformats.org/markup-compatibility/2006" xmlns:a14="http://schemas.microsoft.com/office/drawing/2010/main">
      <mc:Choice Requires="a14">
        <xdr:graphicFrame macro="">
          <xdr:nvGraphicFramePr>
            <xdr:cNvPr id="4" name="Measure Type">
              <a:extLst>
                <a:ext uri="{FF2B5EF4-FFF2-40B4-BE49-F238E27FC236}">
                  <a16:creationId xmlns:a16="http://schemas.microsoft.com/office/drawing/2014/main" id="{933DA879-C253-4182-AB91-D3F8D59E6D5A}"/>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Measure Type"/>
            </a:graphicData>
          </a:graphic>
        </xdr:graphicFrame>
      </mc:Choice>
      <mc:Fallback xmlns="">
        <xdr:sp macro="" textlink="">
          <xdr:nvSpPr>
            <xdr:cNvPr id="0" name=""/>
            <xdr:cNvSpPr>
              <a:spLocks noTextEdit="1"/>
            </xdr:cNvSpPr>
          </xdr:nvSpPr>
          <xdr:spPr>
            <a:xfrm>
              <a:off x="179294" y="3420597"/>
              <a:ext cx="2577353" cy="3795432"/>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57150</xdr:colOff>
      <xdr:row>117</xdr:row>
      <xdr:rowOff>133350</xdr:rowOff>
    </xdr:from>
    <xdr:to>
      <xdr:col>4</xdr:col>
      <xdr:colOff>608784</xdr:colOff>
      <xdr:row>141</xdr:row>
      <xdr:rowOff>22159</xdr:rowOff>
    </xdr:to>
    <xdr:pic>
      <xdr:nvPicPr>
        <xdr:cNvPr id="2" name="Picture 1">
          <a:extLst>
            <a:ext uri="{FF2B5EF4-FFF2-40B4-BE49-F238E27FC236}">
              <a16:creationId xmlns:a16="http://schemas.microsoft.com/office/drawing/2014/main" id="{966AAC87-874D-4B9F-9202-FA7EAEFC6217}"/>
            </a:ext>
          </a:extLst>
        </xdr:cNvPr>
        <xdr:cNvPicPr>
          <a:picLocks noChangeAspect="1"/>
        </xdr:cNvPicPr>
      </xdr:nvPicPr>
      <xdr:blipFill>
        <a:blip xmlns:r="http://schemas.openxmlformats.org/officeDocument/2006/relationships" r:embed="rId1"/>
        <a:stretch>
          <a:fillRect/>
        </a:stretch>
      </xdr:blipFill>
      <xdr:spPr>
        <a:xfrm>
          <a:off x="224790" y="23532465"/>
          <a:ext cx="6527619" cy="560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nergyefficiencyalberta-my.sharepoint.com/Tepfiler1/acumen/Personal/Deals/Unisource/Springerville%20model/Springerville34_Base%207%2025_v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energyefficiencyalberta-my.sharepoint.com/Boulder-data/webdrive/Common/DSM/DSM%20Incentive%20Analysis/SUMMIT%20BLUE%2006-01-05/Lighting%20100s/Incentive%20analysis%20-%20ligh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ites/int/Data%20Management%20%20Reporting/Methodology/Climate%20Data/ICF%20Climate%20Data%20(ICF,%20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nergyefficiencyalberta-my.sharepoint.com/personal/brendan_gray_efficiencyalberta_ca/Documents/_Data/TRM/EEA_TRM_v4-BG-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pfiler1\acumen\Personal\Deals\Unisource\Springerville%20model\Springerville34_Base%207%2025_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chydro.adroot.bchydro.bc.ca\misc$\CC&amp;C\EP\EP\Forecast\2009%20Forecast\August%202009%20RRA%20Forecast%20and%20Tracking\CompAugust2009Dec2008_gc%20_v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nergyefficiencyalberta-my.sharepoint.com/C:/Excel2000f/ROA%20v.%20Bundled/Templates/Rev%20Credit%20Mode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xcel2000f/ROA%20v.%20Bundled/Templates/Rev%20Credit%20Mode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TSERV\PFLR\EXCEL\2010fcst\POWER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MP\D.Notes.Data\Review%2520Package\SP%2520vs%252004%2520Bud%2520&amp;%252003%2520Fcst%2520Excel%2520Nov%2520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TEMP/D.Notes.Data/Review%20Package/SP%20vs%2004%20Bud%20&amp;%2003%20Fcst%20Excel%20Nov%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oulder-data\webdrive\Common\DSM\DSM%20Incentive%20Analysis\SUMMIT%20BLUE%2006-01-05\Lighting%20100s\Incentive%20analysis%20-%20ligh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Assumptions &amp; Log"/>
      <sheetName val="Inputs"/>
      <sheetName val="Con"/>
      <sheetName val="Summary"/>
      <sheetName val="Ptnr Returns (Lease)"/>
      <sheetName val="UNS Retuns"/>
      <sheetName val="Performance"/>
      <sheetName val="Costs"/>
      <sheetName val="Rev"/>
      <sheetName val="Inc (Lease)"/>
      <sheetName val="Cash (Lease)"/>
      <sheetName val="Bal"/>
      <sheetName val="Depn"/>
      <sheetName val="Property Tax"/>
      <sheetName val="Common Facilities"/>
      <sheetName val="Debt"/>
      <sheetName val="CSFB Debt"/>
      <sheetName val="EPC Calcs"/>
      <sheetName val="50 50 "/>
      <sheetName val="100"/>
      <sheetName val="Cash"/>
      <sheetName val="Inc"/>
      <sheetName val="Ptnr Retur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heetName val="old"/>
      <sheetName val="list"/>
    </sheetNames>
    <sheetDataSet>
      <sheetData sheetId="0" refreshError="1"/>
      <sheetData sheetId="1">
        <row r="5">
          <cell r="V5">
            <v>2</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6">
          <cell r="E6">
            <v>5420.5</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Detailed Review"/>
      <sheetName val="TRM"/>
      <sheetName val="Global"/>
      <sheetName val="References --&gt;"/>
      <sheetName val="Avoided Cost"/>
      <sheetName val="Climate Data"/>
      <sheetName val="Building Data"/>
      <sheetName val="Validation"/>
      <sheetName val="Past Program --&gt;"/>
      <sheetName val="BES Baseline"/>
      <sheetName val="RNC Baseline"/>
      <sheetName val="New Measure Template"/>
      <sheetName val="Residential --&gt;"/>
      <sheetName val="BENV-INSUL-001_NEW"/>
      <sheetName val="BENV-INSUL-002_NEW"/>
      <sheetName val="BENV-INSUL-003_NEW"/>
      <sheetName val="BENV-INSUL-004_NEW"/>
      <sheetName val="BENV-WINDOW-001_NEW"/>
      <sheetName val="HVAC-COOL-001_NEW"/>
      <sheetName val="HVAC-HEAT-008_NEW"/>
      <sheetName val="HVAC-CNTRL-004_NEW"/>
      <sheetName val="HVAC-HEAT-009_NEW"/>
      <sheetName val="HVAC-HEAT-011_NEW"/>
      <sheetName val="HVAC-HEAT-012_NEW"/>
      <sheetName val="HVAC-INSUL-002_NEW"/>
      <sheetName val="LGT-CTRL-008_NEW"/>
      <sheetName val="LGT-IFIX-010_NEW"/>
      <sheetName val="LGT-LAMP-010_NEW"/>
      <sheetName val="LGT-LAMP-035_NEW"/>
      <sheetName val="PLG-PWRBAR-003_NEW"/>
      <sheetName val="PLG-PWRBAR-004_NEW"/>
      <sheetName val="WTR-FLOW-003_NEW"/>
      <sheetName val="WTR-HEAT-004_NEW"/>
      <sheetName val="WTR-HEAT-005_NEW"/>
      <sheetName val="WTR-HEAT-009_NEW"/>
      <sheetName val="WTR-HEAT-010_NEW"/>
      <sheetName val="Commercial --&gt;"/>
      <sheetName val="APL-COMKIT-005_NEW"/>
      <sheetName val="APL-COMKIT-021_NEW"/>
      <sheetName val="RFG-LGT-001_NEW"/>
      <sheetName val="RFG-REFRIG-003_NEW"/>
      <sheetName val="RFG-REFRIG-004_NEW"/>
      <sheetName val="RFG-REFRIG-005_NEW"/>
      <sheetName val="RFG-REFRIG-006_NEW"/>
      <sheetName val="RFG-REFRIG-007_NEW"/>
      <sheetName val="RFG-REFRIG-008_NEW"/>
      <sheetName val="HVAC-CNTRL-007_NEW"/>
      <sheetName val="HVAC-CNTRL-008_NEW"/>
      <sheetName val="HVAC-COOL-002_NEW"/>
      <sheetName val="HVAC-HEAT-002_NEW"/>
      <sheetName val="HVAC-HEAT-004_NEW"/>
      <sheetName val="HVAC-HEAT-010_NEW"/>
      <sheetName val="HVAC-HEAT-013_NEW"/>
      <sheetName val="HVAC-HEAT-014_NEW"/>
      <sheetName val="HVAC-HEAT-015_NEW"/>
      <sheetName val="HVAC-HEAT-016_NEW"/>
      <sheetName val="HVAC-INSUL-001_NEW"/>
      <sheetName val="LGT-CTRL-009_NEW"/>
      <sheetName val="LGT-CTRL-011_NEW"/>
      <sheetName val="LGT-IFIX-025_NEW"/>
      <sheetName val="LGT-LAMP-021_NEW"/>
      <sheetName val="LGT-OFIX-004_NEW"/>
      <sheetName val="LGT-SPC-001_NEW"/>
      <sheetName val="LGT-IFIX-007_NEW"/>
      <sheetName val="LGT-IFIX-021_NEW"/>
      <sheetName val="LGT-LAMP-027_NEW"/>
      <sheetName val="MDR-MOTOR-002_NEW"/>
      <sheetName val="MDR-MOTOR-003_NEW"/>
      <sheetName val="PLG-PWRBAR-007_NEW"/>
      <sheetName val="WTR-HEAT-003_NEW"/>
      <sheetName val="WTR-HEAT-011_NEW"/>
      <sheetName val="WTR-HEAT-012_NEW"/>
      <sheetName val="WTR-HEAT-013_NEW"/>
      <sheetName val="APL-CWASH-001_NEW"/>
      <sheetName val="BENV-INSUL-005_NEW"/>
      <sheetName val="Sources --&gt;"/>
      <sheetName val="Lighting"/>
      <sheetName val="Water_Consumption"/>
      <sheetName val="HDD_CDD"/>
      <sheetName val="Motor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Assumptions &amp; Log"/>
      <sheetName val="Inputs"/>
      <sheetName val="Con"/>
      <sheetName val="Summary"/>
      <sheetName val="Ptnr Returns (Lease)"/>
      <sheetName val="UNS Retuns"/>
      <sheetName val="Performance"/>
      <sheetName val="Costs"/>
      <sheetName val="Rev"/>
      <sheetName val="Inc (Lease)"/>
      <sheetName val="Cash (Lease)"/>
      <sheetName val="Bal"/>
      <sheetName val="Depn"/>
      <sheetName val="Property Tax"/>
      <sheetName val="Common Facilities"/>
      <sheetName val="Debt"/>
      <sheetName val="CSFB Debt"/>
      <sheetName val="EPC Calcs"/>
      <sheetName val="50 50 "/>
      <sheetName val="100"/>
      <sheetName val="Cash"/>
      <sheetName val="Inc"/>
      <sheetName val="Ptnr Retur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rcial dist tracking April"/>
      <sheetName val="Notes "/>
      <sheetName val="Commercial dist tracking hybrid"/>
      <sheetName val="july 2009"/>
      <sheetName val="Industrial dist tracking"/>
      <sheetName val="Transmission tracking"/>
      <sheetName val="August 2009"/>
      <sheetName val="Residential tracking"/>
      <sheetName val="Rate Impact Calculator NON RES"/>
      <sheetName val="RATES"/>
      <sheetName val="Rate Impact Calculator Res"/>
      <sheetName val="RGTBeforeDSMBeforeRates"/>
      <sheetName val="RCIBeforeDSMWithRates"/>
      <sheetName val="RCIBeforeDSMBeforeRates"/>
      <sheetName val="RCIWithDSMWithRates"/>
      <sheetName val="RGTBeforeDSMWithRates"/>
      <sheetName val="RGTWithDSMWithRates"/>
      <sheetName val="VAR REPORT 2008"/>
      <sheetName val="Dec2008"/>
    </sheetNames>
    <sheetDataSet>
      <sheetData sheetId="0" refreshError="1"/>
      <sheetData sheetId="1" refreshError="1"/>
      <sheetData sheetId="2" refreshError="1"/>
      <sheetData sheetId="3"/>
      <sheetData sheetId="4" refreshError="1"/>
      <sheetData sheetId="5" refreshError="1"/>
      <sheetData sheetId="6">
        <row r="1">
          <cell r="A1" t="str">
            <v>MAY 2009 UPDATE OF DEC 2008 REFERENCE FORECAST - PROBABLE - BEFORE RATE IMPACTS BEFORE MAY 2009 POWER SMART PROGRAMS APPLIED</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ow r="61">
          <cell r="A61" t="str">
            <v>DECEMBER 2008 FORECAST - PROBABLE - WITH RATE IMPACTS BEFORE DEC 2008 POWER SMART PROGRAMS APPLIED</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ate Tbl"/>
      <sheetName val="Input"/>
      <sheetName val="Revenue"/>
      <sheetName val="MC"/>
      <sheetName val="PF"/>
      <sheetName val="Max Capital"/>
      <sheetName val="Summary"/>
      <sheetName val="Financials"/>
      <sheetName val="Principal Int."/>
      <sheetName val="Rates"/>
      <sheetName val="Rate Table"/>
      <sheetName val="Forecast Fuel"/>
      <sheetName val="Depreciation"/>
      <sheetName val="Capital Invest"/>
      <sheetName val="Inpu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ate Tbl"/>
      <sheetName val="Input"/>
      <sheetName val="Revenue"/>
      <sheetName val="MC"/>
      <sheetName val="PF"/>
      <sheetName val="Max Capital"/>
      <sheetName val="Summary"/>
      <sheetName val="Financials"/>
      <sheetName val="Principal Int."/>
      <sheetName val="Rates"/>
      <sheetName val="Rate Table"/>
      <sheetName val="Forecast Fuel"/>
      <sheetName val="Depreciation"/>
      <sheetName val="Capital Invest"/>
      <sheetName val="Inpu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irm_Spec"/>
      <sheetName val="Fcst Compare"/>
      <sheetName val="Agrium"/>
      <sheetName val="PCS"/>
      <sheetName val="IMC"/>
      <sheetName val="Potash"/>
      <sheetName val="Pot Drivers"/>
      <sheetName val="Enbridge"/>
      <sheetName val="Cochin-Amoco"/>
      <sheetName val="TCPL"/>
      <sheetName val="Wey"/>
      <sheetName val="Weysoft"/>
      <sheetName val="Weyosb2"/>
      <sheetName val="WeyBigRiv"/>
      <sheetName val="MW"/>
      <sheetName val="Tolko"/>
      <sheetName val="IPSCO"/>
      <sheetName val="Sterling"/>
      <sheetName val="Saskferco"/>
      <sheetName val="Amoco"/>
      <sheetName val="NewGrade"/>
      <sheetName val="Husky"/>
      <sheetName val="PR Coal"/>
      <sheetName val="Est Coal"/>
      <sheetName val="Rabbit"/>
      <sheetName val="Key"/>
      <sheetName val="Cigar"/>
      <sheetName val="Claude"/>
      <sheetName val="McArthur"/>
      <sheetName val="McLean"/>
      <sheetName val="U of S"/>
      <sheetName val="U of R"/>
      <sheetName val="Buff Pnd"/>
      <sheetName val="Praxair"/>
      <sheetName val="Pr Malt"/>
      <sheetName val="Reg Hth"/>
      <sheetName val="SaskTel"/>
      <sheetName val="Regina Ex"/>
      <sheetName val="Spec Load"/>
      <sheetName val="Co Generation"/>
      <sheetName val="Power Rate"/>
      <sheetName val="Canamera"/>
      <sheetName val="Dairywld"/>
      <sheetName val="XLMeats"/>
      <sheetName val="Flexicoil"/>
      <sheetName val="Nexans"/>
      <sheetName val="NorSask"/>
      <sheetName val="Sears"/>
      <sheetName val="NAL"/>
      <sheetName val="RegSew"/>
      <sheetName val="StoonSew"/>
      <sheetName val="CFBMJ"/>
      <sheetName val="SPMC"/>
      <sheetName val="RCMP"/>
      <sheetName val="Cargill"/>
      <sheetName val="SIAST"/>
      <sheetName val="ShawPipe"/>
      <sheetName val="PlainsUnity"/>
      <sheetName val="TCPLBurstall"/>
      <sheetName val="WesternAlfalfa"/>
      <sheetName val="pSpec Load"/>
      <sheetName val="poSpec Load"/>
      <sheetName val="powSpec Load"/>
      <sheetName val="poweSpec Load"/>
      <sheetName val="powerSpec Load"/>
      <sheetName val="power Spec Load"/>
    </sheetNames>
    <sheetDataSet>
      <sheetData sheetId="0" refreshError="1"/>
      <sheetData sheetId="1" refreshError="1"/>
      <sheetData sheetId="2" refreshError="1"/>
      <sheetData sheetId="3" refreshError="1"/>
      <sheetData sheetId="4" refreshError="1"/>
      <sheetData sheetId="5" refreshError="1"/>
      <sheetData sheetId="6" refreshError="1">
        <row r="9">
          <cell r="D9">
            <v>827.7</v>
          </cell>
        </row>
        <row r="10">
          <cell r="D10">
            <v>829</v>
          </cell>
        </row>
        <row r="11">
          <cell r="D11">
            <v>837.5</v>
          </cell>
        </row>
        <row r="12">
          <cell r="D12">
            <v>965.9</v>
          </cell>
        </row>
        <row r="13">
          <cell r="D13">
            <v>954.5</v>
          </cell>
        </row>
        <row r="14">
          <cell r="D14">
            <v>1029.2</v>
          </cell>
        </row>
        <row r="15">
          <cell r="D15">
            <v>1089.8</v>
          </cell>
        </row>
        <row r="16">
          <cell r="D16">
            <v>1104.2</v>
          </cell>
        </row>
        <row r="17">
          <cell r="D17">
            <v>916.5</v>
          </cell>
        </row>
        <row r="18">
          <cell r="D18">
            <v>966.7</v>
          </cell>
        </row>
        <row r="19">
          <cell r="D19">
            <v>1163.2</v>
          </cell>
        </row>
        <row r="20">
          <cell r="D20">
            <v>1073.2</v>
          </cell>
        </row>
        <row r="21">
          <cell r="D21">
            <v>1105</v>
          </cell>
        </row>
        <row r="22">
          <cell r="D22">
            <v>1207.3</v>
          </cell>
        </row>
        <row r="23">
          <cell r="D23">
            <v>1210.0999999999999</v>
          </cell>
        </row>
        <row r="24">
          <cell r="D24">
            <v>1154.9000000000001</v>
          </cell>
        </row>
        <row r="25">
          <cell r="D25">
            <v>1117.8</v>
          </cell>
        </row>
        <row r="26">
          <cell r="D26">
            <v>1138.3</v>
          </cell>
        </row>
        <row r="27">
          <cell r="D27">
            <v>1134.5999999999999</v>
          </cell>
        </row>
        <row r="28">
          <cell r="D28">
            <v>1129.7</v>
          </cell>
        </row>
        <row r="29">
          <cell r="D29">
            <v>1249.4000000000001</v>
          </cell>
        </row>
        <row r="30">
          <cell r="D30">
            <v>1299.4000000000001</v>
          </cell>
          <cell r="K30" t="str">
            <v>1999f</v>
          </cell>
        </row>
        <row r="31">
          <cell r="D31">
            <v>1256.0999999999999</v>
          </cell>
          <cell r="J31" t="str">
            <v>Sales</v>
          </cell>
          <cell r="K31" t="str">
            <v>Prod</v>
          </cell>
        </row>
        <row r="32">
          <cell r="D32">
            <v>1405.9</v>
          </cell>
          <cell r="J32" t="str">
            <v>(GW.h)</v>
          </cell>
          <cell r="K32" t="str">
            <v>10^3 t</v>
          </cell>
        </row>
        <row r="33">
          <cell r="D33">
            <v>1454.2349999999999</v>
          </cell>
          <cell r="J33">
            <v>1405.9</v>
          </cell>
        </row>
        <row r="34">
          <cell r="D34">
            <v>1409.297</v>
          </cell>
          <cell r="J34">
            <v>1430.8547249999999</v>
          </cell>
          <cell r="K34">
            <v>172.03017647216686</v>
          </cell>
        </row>
        <row r="35">
          <cell r="D35">
            <v>1554.7767759999999</v>
          </cell>
          <cell r="J35">
            <v>1469.516975</v>
          </cell>
          <cell r="K35">
            <v>172.03017647216686</v>
          </cell>
        </row>
        <row r="36">
          <cell r="D36">
            <v>1428.5026640000001</v>
          </cell>
          <cell r="J36">
            <v>1509.2336499999999</v>
          </cell>
          <cell r="K36">
            <v>172.03017647216686</v>
          </cell>
        </row>
        <row r="37">
          <cell r="D37">
            <v>1401.9818230000001</v>
          </cell>
          <cell r="K37">
            <v>172.03017647216686</v>
          </cell>
        </row>
        <row r="38">
          <cell r="D38">
            <v>1455.780994</v>
          </cell>
          <cell r="J38">
            <v>1591.830275</v>
          </cell>
          <cell r="K38">
            <v>172.03017647216686</v>
          </cell>
        </row>
        <row r="39">
          <cell r="D39">
            <v>1535.291577</v>
          </cell>
          <cell r="J39">
            <v>1634.710225</v>
          </cell>
          <cell r="K39">
            <v>172.03017647216686</v>
          </cell>
        </row>
        <row r="41">
          <cell r="D41">
            <v>1623.7459998500615</v>
          </cell>
          <cell r="J41">
            <v>1678.8203375000001</v>
          </cell>
          <cell r="K41">
            <v>172.03017647216686</v>
          </cell>
        </row>
        <row r="42">
          <cell r="D42">
            <v>1648.716254267674</v>
          </cell>
          <cell r="J42">
            <v>1724.1606125000001</v>
          </cell>
          <cell r="K42">
            <v>172.03017647216686</v>
          </cell>
        </row>
        <row r="43">
          <cell r="D43">
            <v>1670.459060835391</v>
          </cell>
          <cell r="J43">
            <v>1770.7310500000001</v>
          </cell>
          <cell r="K43">
            <v>172.03017647216686</v>
          </cell>
        </row>
        <row r="44">
          <cell r="D44">
            <v>1705.7911215079314</v>
          </cell>
          <cell r="J44">
            <v>1818.5316499999999</v>
          </cell>
          <cell r="K44">
            <v>172.03017647216686</v>
          </cell>
        </row>
        <row r="45">
          <cell r="D45">
            <v>1748.0876749091935</v>
          </cell>
          <cell r="J45">
            <v>1867.7381499999999</v>
          </cell>
          <cell r="K45">
            <v>172.03017647216686</v>
          </cell>
        </row>
        <row r="46">
          <cell r="D46">
            <v>1790.7239596630764</v>
          </cell>
          <cell r="J46">
            <v>1918.1748124999999</v>
          </cell>
          <cell r="K46">
            <v>172.03017647216686</v>
          </cell>
        </row>
        <row r="47">
          <cell r="D47">
            <v>1815.6942140806891</v>
          </cell>
          <cell r="J47">
            <v>1969.8416374999999</v>
          </cell>
          <cell r="K47">
            <v>172.03017647216686</v>
          </cell>
        </row>
        <row r="48">
          <cell r="D48">
            <v>1851.3660061058499</v>
          </cell>
          <cell r="J48">
            <v>2023.0900999999999</v>
          </cell>
          <cell r="K48">
            <v>172.03017647216686</v>
          </cell>
        </row>
        <row r="49">
          <cell r="D49">
            <v>1899.4379925016619</v>
          </cell>
          <cell r="J49">
            <v>2077.7444624999998</v>
          </cell>
          <cell r="K49">
            <v>172.03017647216686</v>
          </cell>
        </row>
        <row r="50">
          <cell r="D50">
            <v>1925.9370380060673</v>
          </cell>
          <cell r="J50">
            <v>2133.804725</v>
          </cell>
          <cell r="K50">
            <v>172.03017647216686</v>
          </cell>
        </row>
        <row r="51">
          <cell r="D51">
            <v>1952.4360835104724</v>
          </cell>
          <cell r="J51">
            <v>2191.446625</v>
          </cell>
          <cell r="K51">
            <v>172.03017647216686</v>
          </cell>
        </row>
        <row r="52">
          <cell r="D52">
            <v>1987.3377040462287</v>
          </cell>
          <cell r="J52">
            <v>2250.4944249999999</v>
          </cell>
          <cell r="K52">
            <v>172.03017647216686</v>
          </cell>
        </row>
        <row r="53">
          <cell r="D53">
            <v>2017.5324221578981</v>
          </cell>
          <cell r="J53">
            <v>2311.2995999999998</v>
          </cell>
          <cell r="K53">
            <v>172.03017647216686</v>
          </cell>
        </row>
        <row r="54">
          <cell r="D54">
            <v>2049.0222221513482</v>
          </cell>
          <cell r="J54">
            <v>2373.6864125000002</v>
          </cell>
          <cell r="K54">
            <v>172.03017647216686</v>
          </cell>
        </row>
        <row r="55">
          <cell r="D55">
            <v>2082.2679575895809</v>
          </cell>
          <cell r="J55">
            <v>2476.2315005262208</v>
          </cell>
          <cell r="K55">
            <v>172.03017647216686</v>
          </cell>
        </row>
        <row r="56">
          <cell r="D56">
            <v>2114.9085721683946</v>
          </cell>
          <cell r="J56">
            <v>2583.0303447040151</v>
          </cell>
          <cell r="K56">
            <v>172.03017647216686</v>
          </cell>
        </row>
        <row r="57">
          <cell r="D57">
            <v>2148.4007193245857</v>
          </cell>
          <cell r="J57">
            <v>2694.6085910346237</v>
          </cell>
          <cell r="K57">
            <v>172.03017647216686</v>
          </cell>
        </row>
        <row r="58">
          <cell r="D58">
            <v>2182.5866576750554</v>
          </cell>
          <cell r="J58">
            <v>2810.7626799347986</v>
          </cell>
          <cell r="K58">
            <v>172.03017647216686</v>
          </cell>
        </row>
        <row r="59">
          <cell r="D59">
            <v>2217.088976439105</v>
          </cell>
          <cell r="J59">
            <v>2932.2383539815291</v>
          </cell>
          <cell r="K59">
            <v>172.03017647216686</v>
          </cell>
        </row>
        <row r="60">
          <cell r="D60">
            <v>2252.2346256231899</v>
          </cell>
          <cell r="J60">
            <v>3058.8396735062111</v>
          </cell>
          <cell r="K60">
            <v>172.03017647216686</v>
          </cell>
        </row>
        <row r="61">
          <cell r="D61">
            <v>2287.9493799048901</v>
          </cell>
          <cell r="J61">
            <v>3190.7508925301058</v>
          </cell>
          <cell r="K61">
            <v>172.03017647216686</v>
          </cell>
        </row>
        <row r="62">
          <cell r="D62">
            <v>2324.1886899784859</v>
          </cell>
          <cell r="J62">
            <v>3328.5756033182861</v>
          </cell>
          <cell r="K62">
            <v>172.03017647216686</v>
          </cell>
        </row>
        <row r="63">
          <cell r="D63">
            <v>2361.0261856257835</v>
          </cell>
          <cell r="J63">
            <v>3472.113061420016</v>
          </cell>
          <cell r="K63">
            <v>172.03017647216686</v>
          </cell>
        </row>
        <row r="64">
          <cell r="D64">
            <v>2398.4455383665327</v>
          </cell>
          <cell r="J64">
            <v>3616.3263845521919</v>
          </cell>
          <cell r="K64">
            <v>172.03017647216686</v>
          </cell>
        </row>
        <row r="65">
          <cell r="D65">
            <v>2436.4509794480568</v>
          </cell>
        </row>
        <row r="66">
          <cell r="D66">
            <v>2475.064053614567</v>
          </cell>
        </row>
      </sheetData>
      <sheetData sheetId="7" refreshError="1">
        <row r="6">
          <cell r="H6">
            <v>5496</v>
          </cell>
          <cell r="I6">
            <v>5496</v>
          </cell>
          <cell r="J6">
            <v>5496</v>
          </cell>
        </row>
        <row r="7">
          <cell r="H7">
            <v>5433</v>
          </cell>
          <cell r="I7">
            <v>5433</v>
          </cell>
          <cell r="J7">
            <v>5433</v>
          </cell>
        </row>
        <row r="8">
          <cell r="H8">
            <v>4991</v>
          </cell>
          <cell r="I8">
            <v>4991</v>
          </cell>
          <cell r="J8">
            <v>4991</v>
          </cell>
        </row>
        <row r="9">
          <cell r="H9">
            <v>6090</v>
          </cell>
          <cell r="I9">
            <v>6090</v>
          </cell>
          <cell r="J9">
            <v>6090</v>
          </cell>
        </row>
        <row r="10">
          <cell r="H10">
            <v>6453</v>
          </cell>
          <cell r="I10">
            <v>6453</v>
          </cell>
          <cell r="J10">
            <v>6453</v>
          </cell>
        </row>
        <row r="11">
          <cell r="H11">
            <v>7146</v>
          </cell>
          <cell r="I11">
            <v>7146</v>
          </cell>
          <cell r="J11">
            <v>7146</v>
          </cell>
        </row>
        <row r="12">
          <cell r="H12">
            <v>7127</v>
          </cell>
          <cell r="I12">
            <v>7127</v>
          </cell>
          <cell r="J12">
            <v>7127</v>
          </cell>
        </row>
        <row r="13">
          <cell r="H13">
            <v>6357</v>
          </cell>
          <cell r="I13">
            <v>6357</v>
          </cell>
          <cell r="J13">
            <v>6357</v>
          </cell>
        </row>
        <row r="14">
          <cell r="H14">
            <v>5087</v>
          </cell>
          <cell r="I14">
            <v>5087</v>
          </cell>
          <cell r="J14">
            <v>5087</v>
          </cell>
        </row>
        <row r="15">
          <cell r="H15">
            <v>5928</v>
          </cell>
          <cell r="I15">
            <v>5928</v>
          </cell>
          <cell r="J15">
            <v>5928</v>
          </cell>
        </row>
        <row r="16">
          <cell r="H16">
            <v>7650</v>
          </cell>
          <cell r="I16">
            <v>7650</v>
          </cell>
          <cell r="J16">
            <v>7650</v>
          </cell>
        </row>
        <row r="17">
          <cell r="H17">
            <v>6412</v>
          </cell>
          <cell r="I17">
            <v>6412</v>
          </cell>
          <cell r="J17">
            <v>6412</v>
          </cell>
        </row>
        <row r="18">
          <cell r="H18">
            <v>6031</v>
          </cell>
          <cell r="I18">
            <v>6032</v>
          </cell>
          <cell r="J18">
            <v>6032</v>
          </cell>
        </row>
        <row r="19">
          <cell r="H19">
            <v>6449</v>
          </cell>
          <cell r="I19">
            <v>6449</v>
          </cell>
          <cell r="J19">
            <v>6449</v>
          </cell>
        </row>
        <row r="20">
          <cell r="H20">
            <v>7372</v>
          </cell>
          <cell r="I20">
            <v>7372</v>
          </cell>
          <cell r="J20">
            <v>7372</v>
          </cell>
        </row>
        <row r="21">
          <cell r="H21">
            <v>6509</v>
          </cell>
          <cell r="I21">
            <v>6508</v>
          </cell>
          <cell r="J21">
            <v>6508</v>
          </cell>
        </row>
        <row r="22">
          <cell r="H22">
            <v>6015</v>
          </cell>
          <cell r="I22">
            <v>6015</v>
          </cell>
          <cell r="J22">
            <v>6015</v>
          </cell>
        </row>
        <row r="23">
          <cell r="H23">
            <v>6299</v>
          </cell>
          <cell r="I23">
            <v>6299</v>
          </cell>
          <cell r="J23">
            <v>6299</v>
          </cell>
        </row>
        <row r="24">
          <cell r="H24">
            <v>6179</v>
          </cell>
          <cell r="I24">
            <v>6179</v>
          </cell>
          <cell r="J24">
            <v>6179</v>
          </cell>
        </row>
        <row r="25">
          <cell r="H25">
            <v>6000</v>
          </cell>
          <cell r="I25">
            <v>6000</v>
          </cell>
          <cell r="J25">
            <v>6000</v>
          </cell>
        </row>
        <row r="26">
          <cell r="H26">
            <v>7148</v>
          </cell>
          <cell r="I26">
            <v>7148</v>
          </cell>
          <cell r="J26">
            <v>7148</v>
          </cell>
        </row>
        <row r="27">
          <cell r="H27">
            <v>7925</v>
          </cell>
          <cell r="I27">
            <v>7925</v>
          </cell>
          <cell r="J27">
            <v>7925</v>
          </cell>
        </row>
        <row r="28">
          <cell r="H28">
            <v>6969</v>
          </cell>
          <cell r="I28">
            <v>7044</v>
          </cell>
          <cell r="J28">
            <v>7217</v>
          </cell>
        </row>
        <row r="29">
          <cell r="H29">
            <v>8297</v>
          </cell>
          <cell r="I29">
            <v>8160</v>
          </cell>
          <cell r="J29">
            <v>7417</v>
          </cell>
        </row>
        <row r="30">
          <cell r="H30">
            <v>8698</v>
          </cell>
          <cell r="I30">
            <v>8160</v>
          </cell>
          <cell r="J30">
            <v>7417</v>
          </cell>
        </row>
        <row r="31">
          <cell r="H31">
            <v>8145</v>
          </cell>
          <cell r="I31">
            <v>8304.84</v>
          </cell>
          <cell r="J31">
            <v>7617</v>
          </cell>
        </row>
        <row r="32">
          <cell r="H32">
            <v>8308</v>
          </cell>
          <cell r="I32">
            <v>8529.24</v>
          </cell>
          <cell r="J32">
            <v>7840</v>
          </cell>
        </row>
        <row r="33">
          <cell r="H33">
            <v>8492</v>
          </cell>
          <cell r="I33">
            <v>8759.76</v>
          </cell>
          <cell r="J33">
            <v>8087</v>
          </cell>
        </row>
        <row r="34">
          <cell r="H34">
            <v>8676</v>
          </cell>
          <cell r="I34">
            <v>8995.380000000001</v>
          </cell>
          <cell r="J34">
            <v>8345</v>
          </cell>
        </row>
        <row r="35">
          <cell r="H35">
            <v>8871</v>
          </cell>
          <cell r="I35">
            <v>9239.16</v>
          </cell>
          <cell r="J35">
            <v>8616</v>
          </cell>
        </row>
        <row r="36">
          <cell r="H36">
            <v>9066</v>
          </cell>
          <cell r="I36">
            <v>9239.16</v>
          </cell>
          <cell r="J36">
            <v>8886</v>
          </cell>
        </row>
        <row r="38">
          <cell r="H38">
            <v>9261</v>
          </cell>
          <cell r="I38">
            <v>9744.06</v>
          </cell>
          <cell r="J38">
            <v>9180</v>
          </cell>
        </row>
        <row r="39">
          <cell r="H39">
            <v>9467</v>
          </cell>
          <cell r="I39">
            <v>10007.219999999999</v>
          </cell>
          <cell r="J39">
            <v>9474</v>
          </cell>
        </row>
        <row r="40">
          <cell r="H40">
            <v>9672</v>
          </cell>
          <cell r="I40">
            <v>10277.52</v>
          </cell>
          <cell r="J40">
            <v>9768</v>
          </cell>
        </row>
        <row r="41">
          <cell r="H41">
            <v>9889</v>
          </cell>
          <cell r="I41">
            <v>10554.960000000001</v>
          </cell>
          <cell r="J41">
            <v>10085</v>
          </cell>
        </row>
        <row r="42">
          <cell r="H42">
            <v>10106</v>
          </cell>
          <cell r="I42">
            <v>10840.56</v>
          </cell>
          <cell r="J42">
            <v>10402</v>
          </cell>
        </row>
        <row r="43">
          <cell r="H43">
            <v>10322</v>
          </cell>
          <cell r="I43">
            <v>11133.300000000001</v>
          </cell>
          <cell r="J43">
            <v>10743</v>
          </cell>
        </row>
        <row r="44">
          <cell r="H44">
            <v>10550</v>
          </cell>
          <cell r="I44">
            <v>11433.18</v>
          </cell>
          <cell r="J44">
            <v>11084</v>
          </cell>
        </row>
        <row r="45">
          <cell r="H45">
            <v>10788</v>
          </cell>
          <cell r="I45">
            <v>11742.24</v>
          </cell>
          <cell r="J45">
            <v>11437</v>
          </cell>
        </row>
        <row r="46">
          <cell r="H46">
            <v>11026</v>
          </cell>
          <cell r="I46">
            <v>12059.460000000001</v>
          </cell>
          <cell r="J46">
            <v>11801</v>
          </cell>
        </row>
        <row r="47">
          <cell r="H47">
            <v>11265</v>
          </cell>
          <cell r="I47">
            <v>12384.84</v>
          </cell>
          <cell r="J47">
            <v>12177</v>
          </cell>
        </row>
        <row r="48">
          <cell r="H48">
            <v>11514</v>
          </cell>
          <cell r="I48">
            <v>12719.4</v>
          </cell>
          <cell r="J48">
            <v>12577</v>
          </cell>
        </row>
        <row r="49">
          <cell r="H49">
            <v>11763</v>
          </cell>
          <cell r="I49">
            <v>13062.12</v>
          </cell>
          <cell r="J49">
            <v>12862</v>
          </cell>
        </row>
        <row r="50">
          <cell r="H50">
            <v>12023</v>
          </cell>
          <cell r="I50">
            <v>13415.04</v>
          </cell>
          <cell r="J50">
            <v>13154</v>
          </cell>
        </row>
        <row r="51">
          <cell r="H51">
            <v>12294</v>
          </cell>
          <cell r="I51">
            <v>13777.14</v>
          </cell>
          <cell r="J51">
            <v>13453</v>
          </cell>
        </row>
        <row r="52">
          <cell r="H52">
            <v>12564</v>
          </cell>
          <cell r="I52">
            <v>14372.323098580242</v>
          </cell>
          <cell r="J52">
            <v>13759</v>
          </cell>
        </row>
        <row r="53">
          <cell r="H53">
            <v>12835</v>
          </cell>
          <cell r="I53">
            <v>14992.1954710753</v>
          </cell>
          <cell r="J53">
            <v>14071</v>
          </cell>
        </row>
        <row r="54">
          <cell r="H54">
            <v>13124</v>
          </cell>
          <cell r="I54">
            <v>15639.808025352111</v>
          </cell>
          <cell r="J54">
            <v>14391</v>
          </cell>
        </row>
        <row r="55">
          <cell r="H55">
            <v>13418</v>
          </cell>
          <cell r="I55">
            <v>16313.97927894442</v>
          </cell>
          <cell r="J55">
            <v>14717</v>
          </cell>
        </row>
        <row r="56">
          <cell r="H56">
            <v>13720</v>
          </cell>
          <cell r="I56">
            <v>17019.037604729558</v>
          </cell>
          <cell r="J56">
            <v>15052</v>
          </cell>
        </row>
        <row r="57">
          <cell r="H57">
            <v>14028</v>
          </cell>
          <cell r="I57">
            <v>17753.845747073537</v>
          </cell>
          <cell r="J57">
            <v>15394</v>
          </cell>
        </row>
        <row r="58">
          <cell r="H58">
            <v>14343</v>
          </cell>
          <cell r="I58">
            <v>18519.473136813191</v>
          </cell>
          <cell r="J58">
            <v>15743</v>
          </cell>
        </row>
        <row r="59">
          <cell r="H59">
            <v>14665</v>
          </cell>
          <cell r="I59">
            <v>19319.4230906019</v>
          </cell>
          <cell r="J59">
            <v>16101</v>
          </cell>
        </row>
        <row r="60">
          <cell r="H60">
            <v>14995</v>
          </cell>
          <cell r="I60">
            <v>20152.530465315689</v>
          </cell>
          <cell r="J60">
            <v>16466</v>
          </cell>
        </row>
        <row r="61">
          <cell r="H61">
            <v>15331</v>
          </cell>
          <cell r="I61">
            <v>20989.560635853279</v>
          </cell>
        </row>
        <row r="62">
          <cell r="H62">
            <v>15676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Assumptions"/>
      <sheetName val="Variances"/>
      <sheetName val="Risks &amp; Opps"/>
      <sheetName val="ESBU NI (04 Bud vs SP)"/>
      <sheetName val="ESBU NI (04 Bud vs 03 FC)"/>
      <sheetName val="Monthly ESBU NI"/>
      <sheetName val="O&amp;M Bud vs Strat Plan"/>
      <sheetName val="O&amp;M Bud vs Oct Fcst"/>
      <sheetName val="Capital"/>
      <sheetName val="Capital - 12 mo "/>
      <sheetName val="Other O&amp;M Detai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Assumptions"/>
      <sheetName val="Variances"/>
      <sheetName val="Risks &amp; Opps"/>
      <sheetName val="ESBU NI (04 Bud vs SP)"/>
      <sheetName val="ESBU NI (04 Bud vs 03 FC)"/>
      <sheetName val="Monthly ESBU NI"/>
      <sheetName val="O&amp;M Bud vs Strat Plan"/>
      <sheetName val="O&amp;M Bud vs Oct Fcst"/>
      <sheetName val="Capital"/>
      <sheetName val="Capital - 12 mo "/>
      <sheetName val="Other O&amp;M Detai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heetName val="old"/>
      <sheetName val="list"/>
    </sheetNames>
    <sheetDataSet>
      <sheetData sheetId="0" refreshError="1"/>
      <sheetData sheetId="1">
        <row r="5">
          <cell r="V5">
            <v>2</v>
          </cell>
        </row>
      </sheetData>
      <sheetData sheetId="2" refreshError="1"/>
    </sheetDataSet>
  </externalBook>
</externalLink>
</file>

<file path=xl/persons/person.xml><?xml version="1.0" encoding="utf-8"?>
<personList xmlns="http://schemas.microsoft.com/office/spreadsheetml/2018/threadedcomments" xmlns:x="http://schemas.openxmlformats.org/spreadsheetml/2006/main">
  <person displayName="Lee" id="{E9820B51-61E5-45EB-AD7D-89E87D07DE72}" userId="lee.wood@efficiencyalberta.ca" providerId="PeoplePicker"/>
  <person displayName="Brendan Gray" id="{6543B279-7592-4F3A-AD4A-ECED11AE3E48}" userId="Brendan.Gray@efficiencyalberta.ca" providerId="PeoplePicker"/>
  <person displayName="Brendan Gray" id="{B82AAAC1-E13A-4E47-BE7D-91062799BA22}" userId="brendan.gray@efficiencyalberta.ca" providerId="PeoplePicker"/>
  <person displayName="Barend" id="{BD536A9D-4BA6-4D6C-94AB-6EFB8C8137F1}" userId="barend.dronkers@efficiencyalberta.ca" providerId="PeoplePicker"/>
  <person displayName="Lee" id="{42259D99-905D-42E6-BDC3-3E6236179948}" userId="S::lee.wood@efficiencyalberta.ca::b3f6217a-ef8a-4310-935c-ddf480577b16" providerId="AD"/>
  <person displayName="Brendan Gray" id="{BD89C511-A6B8-4357-9CB4-636F52BA451A}" userId="S::Brendan.Gray@efficiencyalberta.ca::3a52c6dd-6258-4602-ae44-cd01549ac198" providerId="AD"/>
  <person displayName="Barend Dronkers" id="{719E5E59-ECB1-422A-9EF9-2248F208BE88}" userId="S::barend.dronkers@efficiencyalberta.ca::d6130320-75ad-4d94-b0b1-bd4e4ecb4c4c"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arend Dronkers" refreshedDate="43937.69297152778" createdVersion="6" refreshedVersion="6" minRefreshableVersion="3" recordCount="69" xr:uid="{11EC5815-F09D-445D-8671-30E809DDA55D}">
  <cacheSource type="worksheet">
    <worksheetSource ref="A2:AD71" sheet="Measure Summary"/>
  </cacheSource>
  <cacheFields count="30">
    <cacheField name="Measure ID" numFmtId="0">
      <sharedItems/>
    </cacheField>
    <cacheField name="Sector" numFmtId="0">
      <sharedItems count="4">
        <s v="Commercial"/>
        <s v="Residential"/>
        <s v="COM" u="1"/>
        <s v="RES" u="1"/>
      </sharedItems>
    </cacheField>
    <cacheField name="Hyperlink" numFmtId="0">
      <sharedItems/>
    </cacheField>
    <cacheField name="Sector and Measure Name" numFmtId="0">
      <sharedItems/>
    </cacheField>
    <cacheField name="Measure Name and Unit" numFmtId="0">
      <sharedItems count="70">
        <s v="Demand control building ventilation, ft^2 of Conditioned Space"/>
        <s v="Small commercial smart thermostat, kBTU/hour of Capacity"/>
        <s v="High-efficiency electric air cooled chiller, Ton of Chiller"/>
        <s v="High-efficiency unitary air conditioner, Ton of Cooling"/>
        <s v="High-efficiency natural gas boiler, kBTU/hour of Heating"/>
        <s v="High-efficiency natural gas unit heater, kBTU/hour of Heating"/>
        <s v="Destratification fan, ft^2 of Conditioned Space"/>
        <s v="High-efficiency heat pump, kBTU/hour of Heating and Cooling"/>
        <s v="High-efficiency natural gas furnace, kBTU/hour of Heating"/>
        <s v="Ventilation heat/energy recovery, CFM of Ventilation"/>
        <s v="High-efficiency natural gas make-up air furnace, CFM of Ventilation"/>
        <s v="Variable speed drive for motors in supply and return fan applications, Horsepower of Motor"/>
        <s v="Variable speed drive for motors in chilled water pumps, Horsepower of Motor"/>
        <s v="Variable speed drive for motors in hot water pumps, Horsepower of Motor"/>
        <s v="Variable speed drive for motors in cooling tower fans, Horsepower of Motor"/>
        <s v="Pipe and duct insulation, Custom"/>
        <s v="Demand control kitchen ventilation, Horsepower of Exhaust Fan"/>
        <s v="High-efficiency pre-rinse spray valve, Valve"/>
        <s v="Indoor lighting control, Sensor"/>
        <s v="Outdoor lighting control, Sensor"/>
        <s v="Downlight fixture and retrofit kit, Fixture"/>
        <s v="Bay fixture and retrofit kit, Fixture"/>
        <s v="Troffer fixture and retrofit kit, Fixture"/>
        <s v="General service and specialty lamp, Lamp"/>
        <s v="Linear LED tube replacing fluorescent tube, Lamp"/>
        <s v="Outdoor LED fixture and retrofit kit, Fixture"/>
        <s v="LED exit sign, Sign"/>
        <s v="Automatic door for walk-in freezer, Door"/>
        <s v="Strip curtain for walk-in freezer, ft^2 of Doorway Area"/>
        <s v="High-efficiency door for reach-in freezer, Door"/>
        <s v="High-efficiency motor for walk/reach-in freezers, Motor"/>
        <s v="Refrigerator and freezer LED case lighting, Fixture"/>
        <s v="Automatic door for walk-in refrigerator, Door"/>
        <s v="Strip curtain for walk-in refrigerator, ft^2 of Doorway Area"/>
        <s v="Evaporator fan control for motors, Horsepower of Motor"/>
        <s v="High-efficiency motor for walk/reach-in refrigerators, Motor"/>
        <s v="Refrigeration economizer, Horsepower of Compressor"/>
        <s v="High-efficiency door for reach-in refrigerator, Door"/>
        <s v="Tankless natural gas water heater, Water Heater"/>
        <s v="High-efficiency natural gas storage water heater, Water Heater"/>
        <s v="Multi-residential hot water demand control, Dwelling Unit"/>
        <s v="Drain water heat recovery, Drain"/>
        <s v="Air curtain for overhead doors, ft^2 of Doorway Area"/>
        <s v="Air infiltration / sealing and pressurization, Custom"/>
        <s v="Building automation system upgrade, Custom"/>
        <s v="Commercial insulation, Custom"/>
        <s v="High-efficiency window, Custom"/>
        <s v="Residential smart thermostat, kBTU/hour of Heating"/>
        <s v="High-efficiency central air conditioner, Ton of Cooling"/>
        <s v="ECM motor for residential furnace, Furnace Motor"/>
        <s v="High-efficiency air source heat pump, kBTU/hour of Heating"/>
        <s v="Air source heat pump replacing natural gas furnace, kBTU/hour of Heating"/>
        <s v="Heat and energy recovery ventilation, Custom"/>
        <s v="Lighting fixture, Fixture"/>
        <s v="Heat pump water heater, Water Heater"/>
        <s v="Attic insulation, ft^2 of Insulation"/>
        <s v="Wall insulation, ft^2 of Insulation"/>
        <s v="Crawlspace insulation, ft^2 of Insulation"/>
        <s v="Rim joist insulation, ft^2 of Insulation"/>
        <s v="Triple pane low-e window, ft^2 of Window"/>
        <s v="Air sealing (infiltration reduction), Custom"/>
        <s v="Window shading device, Custom"/>
        <s v="Central air conditioner, Ton of Cooling" u="1"/>
        <s v="Reach-in refrigerator display with doors, Door" u="1"/>
        <s v="Pre-rinse spray valve, Valve" u="1"/>
        <s v="Reach-in freezer display with doors, Door" u="1"/>
        <s v="Unitary air conditioner, Ton of Cooling" u="1"/>
        <s v="Refrigerator and freezer case lighting, Fixture" u="1"/>
        <s v="Pipe and duct insulation, Foot" u="1"/>
        <s v="Air curtain for overhead doors, ft^2 of Doorway" u="1"/>
      </sharedItems>
    </cacheField>
    <cacheField name="Measure Name" numFmtId="0">
      <sharedItems count="68">
        <s v="Demand control building ventilation"/>
        <s v="Small commercial smart thermostat"/>
        <s v="High-efficiency electric air cooled chiller"/>
        <s v="High-efficiency unitary air conditioner"/>
        <s v="High-efficiency natural gas boiler"/>
        <s v="High-efficiency natural gas unit heater"/>
        <s v="Destratification fan"/>
        <s v="High-efficiency heat pump"/>
        <s v="High-efficiency natural gas furnace"/>
        <s v="Ventilation heat/energy recovery"/>
        <s v="High-efficiency natural gas make-up air furnace"/>
        <s v="Variable speed drive for motors in supply and return fan applications"/>
        <s v="Variable speed drive for motors in chilled water pumps"/>
        <s v="Variable speed drive for motors in hot water pumps"/>
        <s v="Variable speed drive for motors in cooling tower fans"/>
        <s v="Pipe and duct insulation"/>
        <s v="Demand control kitchen ventilation"/>
        <s v="High-efficiency pre-rinse spray valve"/>
        <s v="Indoor lighting control"/>
        <s v="Outdoor lighting control"/>
        <s v="Downlight fixture and retrofit kit"/>
        <s v="Bay fixture and retrofit kit"/>
        <s v="Troffer fixture and retrofit kit"/>
        <s v="General service and specialty lamp"/>
        <s v="Linear LED tube replacing fluorescent tube"/>
        <s v="Outdoor LED fixture and retrofit kit"/>
        <s v="LED exit sign"/>
        <s v="Automatic door for walk-in freezer"/>
        <s v="Strip curtain for walk-in freezer"/>
        <s v="High-efficiency door for reach-in freezer"/>
        <s v="High-efficiency motor for walk/reach-in freezers"/>
        <s v="Refrigerator and freezer LED case lighting"/>
        <s v="Automatic door for walk-in refrigerator"/>
        <s v="Strip curtain for walk-in refrigerator"/>
        <s v="Evaporator fan control for motors"/>
        <s v="High-efficiency motor for walk/reach-in refrigerators"/>
        <s v="Refrigeration economizer"/>
        <s v="High-efficiency door for reach-in refrigerator"/>
        <s v="Tankless natural gas water heater"/>
        <s v="High-efficiency natural gas storage water heater"/>
        <s v="Multi-residential hot water demand control"/>
        <s v="Drain water heat recovery"/>
        <s v="Air curtain for overhead doors"/>
        <s v="Air infiltration / sealing and pressurization"/>
        <s v="Building automation system upgrade"/>
        <s v="Commercial insulation"/>
        <s v="High-efficiency window"/>
        <s v="Residential smart thermostat"/>
        <s v="High-efficiency central air conditioner"/>
        <s v="ECM motor for residential furnace"/>
        <s v="High-efficiency air source heat pump"/>
        <s v="Air source heat pump replacing natural gas furnace"/>
        <s v="Heat and energy recovery ventilation"/>
        <s v="Lighting fixture"/>
        <s v="Heat pump water heater"/>
        <s v="Attic insulation"/>
        <s v="Wall insulation"/>
        <s v="Crawlspace insulation"/>
        <s v="Rim joist insulation"/>
        <s v="Triple pane low-e window"/>
        <s v="Air sealing (infiltration reduction)"/>
        <s v="Window shading device"/>
        <s v="Refrigerator and freezer case lighting" u="1"/>
        <s v="Unitary air conditioner" u="1"/>
        <s v="Reach-in freezer display with doors" u="1"/>
        <s v="Pre-rinse spray valve" u="1"/>
        <s v="Reach-in refrigerator display with doors" u="1"/>
        <s v="Central air conditioner" u="1"/>
      </sharedItems>
    </cacheField>
    <cacheField name="Unit Basis" numFmtId="0">
      <sharedItems/>
    </cacheField>
    <cacheField name="Measure Type" numFmtId="0">
      <sharedItems count="17">
        <s v="HVAC - Control"/>
        <s v="HVAC - Cooling"/>
        <s v="HVAC - Heating"/>
        <s v="Motors and drives"/>
        <s v="Commerical Kitchen - Control"/>
        <s v="Commercial Kitchen - Control"/>
        <s v="Lighting - Control"/>
        <s v="Lighting - Indoor fixture"/>
        <s v="Lighting - Indoor lamp"/>
        <s v="Lighting - Outdoor fixture"/>
        <s v="Lighting - Specialty"/>
        <s v="Refrigeration - Door"/>
        <s v="Refrigeration - Motor"/>
        <s v="Refrigeration - Lighting"/>
        <s v="Refrigeration - Control"/>
        <s v="Water - Heating"/>
        <s v="Whole Building"/>
      </sharedItems>
    </cacheField>
    <cacheField name="Assigned to …" numFmtId="169">
      <sharedItems containsBlank="1"/>
    </cacheField>
    <cacheField name="Structural Review" numFmtId="0">
      <sharedItems/>
    </cacheField>
    <cacheField name="Final Review" numFmtId="0">
      <sharedItems/>
    </cacheField>
    <cacheField name="CEIP Formula required" numFmtId="0">
      <sharedItems containsBlank="1"/>
    </cacheField>
    <cacheField name="Building Type" numFmtId="8">
      <sharedItems/>
    </cacheField>
    <cacheField name="Region" numFmtId="8">
      <sharedItems/>
    </cacheField>
    <cacheField name="Replacement Type" numFmtId="8">
      <sharedItems/>
    </cacheField>
    <cacheField name="Space Heating Fuel" numFmtId="8">
      <sharedItems/>
    </cacheField>
    <cacheField name="Water Heating Fuel" numFmtId="8">
      <sharedItems/>
    </cacheField>
    <cacheField name="Measure Life (yrs)" numFmtId="1">
      <sharedItems containsSemiMixedTypes="0" containsString="0" containsNumber="1" containsInteger="1" minValue="4" maxValue="25"/>
    </cacheField>
    <cacheField name="Electricity Savings (kWh/year)" numFmtId="187">
      <sharedItems containsSemiMixedTypes="0" containsString="0" containsNumber="1" minValue="-323.19101752493845" maxValue="4966"/>
    </cacheField>
    <cacheField name="Natural Gas Savings (GJ/year)" numFmtId="187">
      <sharedItems containsSemiMixedTypes="0" containsString="0" containsNumber="1" minValue="-4.909147789987812" maxValue="125.9069335577301"/>
    </cacheField>
    <cacheField name="GHG Emissions Reductions (tCO2e/year)" numFmtId="187">
      <sharedItems containsSemiMixedTypes="0" containsString="0" containsNumber="1" minValue="-5.1306859273749228E-3" maxValue="9.3257809814426231"/>
    </cacheField>
    <cacheField name="Incremental Cost ($)" numFmtId="6">
      <sharedItems containsSemiMixedTypes="0" containsString="0" containsNumber="1" containsInteger="1" minValue="0" maxValue="0"/>
    </cacheField>
    <cacheField name="Lifetime Electric Savings (kWh)" numFmtId="169">
      <sharedItems containsSemiMixedTypes="0" containsString="0" containsNumber="1" minValue="-5171.0562803990151" maxValue="74490"/>
    </cacheField>
    <cacheField name="Lifetime Natural Gas Savings (GJ)" numFmtId="169">
      <sharedItems containsSemiMixedTypes="0" containsString="0" containsNumber="1" minValue="-73.637216849817179" maxValue="1888.6040033659515"/>
    </cacheField>
    <cacheField name="Lifetime GHG Emissions Reductions (tCO2e)" numFmtId="169">
      <sharedItems containsSemiMixedTypes="0" containsString="0" containsNumber="1" minValue="-8.2090974837998765E-2" maxValue="139.88671472163935"/>
    </cacheField>
    <cacheField name="Cost of Electric Savings (cents/kWh)" numFmtId="169">
      <sharedItems containsMixedTypes="1" containsNumber="1" containsInteger="1" minValue="0" maxValue="0"/>
    </cacheField>
    <cacheField name="Value of Savings ($)" numFmtId="8">
      <sharedItems containsSemiMixedTypes="0" containsString="0" containsNumber="1" minValue="-138.73363669402181" maxValue="16442.062803427078"/>
    </cacheField>
    <cacheField name="Value of Electricity Savings ($)" numFmtId="6">
      <sharedItems containsSemiMixedTypes="0" containsString="0" containsNumber="1" minValue="-338.19876946370306" maxValue="4938.2278531055799"/>
    </cacheField>
    <cacheField name="Value of Natural Savings ($)" numFmtId="6">
      <sharedItems containsSemiMixedTypes="0" containsString="0" containsNumber="1" minValue="-270.05203141104363" maxValue="6926.1355800585352"/>
    </cacheField>
    <cacheField name="Value of GHG Emissions Reductions ($)" numFmtId="6">
      <sharedItems containsSemiMixedTypes="0" containsString="0" containsNumber="1" minValue="-2.6359954035193298" maxValue="4577.6993702629607"/>
    </cacheField>
  </cacheFields>
  <extLst>
    <ext xmlns:x14="http://schemas.microsoft.com/office/spreadsheetml/2009/9/main" uri="{725AE2AE-9491-48be-B2B4-4EB974FC3084}">
      <x14:pivotCacheDefinition pivotCacheId="126682680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
  <r>
    <s v="C-HC-001"/>
    <x v="0"/>
    <s v="Go to C-HC-001"/>
    <s v="CommercialDemand control building ventilation, ft^2 of Conditioned Space"/>
    <x v="0"/>
    <x v="0"/>
    <s v="ft^2 of Conditioned Space"/>
    <x v="0"/>
    <m/>
    <s v="Barend reviewed"/>
    <s v="Barend completed"/>
    <m/>
    <s v="Other"/>
    <s v="Average"/>
    <s v="RET"/>
    <s v="Natural gas"/>
    <s v="Natural gas"/>
    <n v="10"/>
    <n v="0.57748882985131922"/>
    <n v="1.2605187217099485E-2"/>
    <n v="9.7943242598376315E-4"/>
    <n v="0"/>
    <n v="5.7748882985131917"/>
    <n v="0.12605187217099484"/>
    <n v="9.7943242598376307E-3"/>
    <n v="0"/>
    <n v="1.2337327181669544"/>
    <n v="0.40878931117734613"/>
    <n v="0.47433712482312979"/>
    <n v="0.35060628216647843"/>
  </r>
  <r>
    <s v="C-HC-002"/>
    <x v="0"/>
    <s v="Go to C-HC-002"/>
    <s v="CommercialSmall commercial smart thermostat, kBTU/hour of Capacity"/>
    <x v="1"/>
    <x v="1"/>
    <s v="kBTU/hour of Capacity"/>
    <x v="0"/>
    <s v="Barend"/>
    <s v="Revisions needed"/>
    <s v="Barend reviewed. Checked latest IL TRM v8 for algorithm for consistency. Applied Canada energy efficiency ratios for typical heating and cooling equipments."/>
    <s v="Required - NOT STARTED"/>
    <s v="Other"/>
    <s v="Average"/>
    <s v="RET"/>
    <s v="Natural gas"/>
    <s v="Natural gas"/>
    <n v="11"/>
    <n v="1.9839378723073111"/>
    <n v="0.22745766326655475"/>
    <n v="1.2864703062146928E-2"/>
    <n v="0"/>
    <n v="21.823316595380422"/>
    <n v="2.5020342959321025"/>
    <n v="0.14151173368361622"/>
    <n v="0"/>
    <n v="15.893448322315402"/>
    <n v="1.525062472978689"/>
    <n v="9.3871368400522481"/>
    <n v="4.9812490092844648"/>
  </r>
  <r>
    <s v="C-HC-003"/>
    <x v="0"/>
    <s v="Go to C-HC-003"/>
    <s v="CommercialHigh-efficiency electric air cooled chiller, Ton of Chiller"/>
    <x v="2"/>
    <x v="2"/>
    <s v="Ton of Chiller"/>
    <x v="1"/>
    <m/>
    <s v="Barend reviewed"/>
    <s v="Barend completed"/>
    <m/>
    <s v="Other"/>
    <s v="Average"/>
    <s v="RET"/>
    <s v="Natural gas"/>
    <s v="Natural gas"/>
    <n v="23"/>
    <n v="61.331295964938519"/>
    <n v="0"/>
    <n v="3.4958838700014955E-2"/>
    <n v="0"/>
    <n v="1410.619807193586"/>
    <n v="0"/>
    <n v="0.80405329010034399"/>
    <n v="0"/>
    <n v="106.58850484340418"/>
    <n v="83.994230522332998"/>
    <n v="0"/>
    <n v="22.594274321071182"/>
  </r>
  <r>
    <s v="C-HC-004"/>
    <x v="0"/>
    <s v="Go to C-HC-004"/>
    <s v="CommercialHigh-efficiency unitary air conditioner, Ton of Cooling"/>
    <x v="3"/>
    <x v="3"/>
    <s v="Ton of Cooling"/>
    <x v="1"/>
    <m/>
    <s v="Brendan reviewed"/>
    <s v="Brendan completed by spliting HC-HEAT-013 measure into separate AC and HP measures."/>
    <m/>
    <s v="Other"/>
    <s v="Average"/>
    <s v="RET"/>
    <s v="Natural gas"/>
    <s v="Natural gas"/>
    <n v="15"/>
    <n v="18.768046852658802"/>
    <n v="0"/>
    <n v="1.0697786706015518E-2"/>
    <n v="0"/>
    <n v="281.52070278988202"/>
    <n v="0"/>
    <n v="0.16046680059023277"/>
    <n v="0"/>
    <n v="23.914256281027306"/>
    <n v="18.663087337130531"/>
    <n v="0"/>
    <n v="5.2511689438967766"/>
  </r>
  <r>
    <s v="C-HC-005"/>
    <x v="0"/>
    <s v="Go to C-HC-005"/>
    <s v="CommercialHigh-efficiency natural gas boiler, kBTU/hour of Heating"/>
    <x v="4"/>
    <x v="4"/>
    <s v="kBTU/hour of Heating"/>
    <x v="2"/>
    <m/>
    <s v="Brendan reviewed"/>
    <s v="Barend completed"/>
    <m/>
    <s v="Other"/>
    <s v="Average"/>
    <s v="RET"/>
    <s v="Natural gas"/>
    <s v="Natural gas"/>
    <n v="25"/>
    <n v="0"/>
    <n v="17.262411944336716"/>
    <n v="0.89051604497249814"/>
    <n v="0"/>
    <n v="0"/>
    <n v="431.5602986084179"/>
    <n v="22.262901124312453"/>
    <s v=""/>
    <n v="2037.0035398000186"/>
    <n v="0"/>
    <n v="1434.4988045679565"/>
    <n v="602.50473523206222"/>
  </r>
  <r>
    <s v="C-HC-006"/>
    <x v="0"/>
    <s v="Go to C-HC-006"/>
    <s v="CommercialHigh-efficiency natural gas unit heater, kBTU/hour of Heating"/>
    <x v="5"/>
    <x v="5"/>
    <s v="kBTU/hour of Heating"/>
    <x v="2"/>
    <m/>
    <s v="Brendan reviewed"/>
    <s v="Barend completed"/>
    <m/>
    <s v="Other"/>
    <s v="Average"/>
    <s v="RET"/>
    <s v="Natural gas"/>
    <s v="Natural gas"/>
    <n v="12"/>
    <n v="0"/>
    <n v="0.26584114394278574"/>
    <n v="1.3713947092576489E-2"/>
    <n v="0"/>
    <n v="0"/>
    <n v="3.1900937273134291"/>
    <n v="0.16456736511091785"/>
    <s v=""/>
    <n v="17.624104957135678"/>
    <n v="0"/>
    <n v="11.932204339261542"/>
    <n v="5.6919006178741363"/>
  </r>
  <r>
    <s v="C-HC-007"/>
    <x v="0"/>
    <s v="Go to C-HC-007"/>
    <s v="CommercialDestratification fan, ft^2 of Conditioned Space"/>
    <x v="6"/>
    <x v="6"/>
    <s v="ft^2 of Conditioned Space"/>
    <x v="2"/>
    <m/>
    <s v="Barend reviewed"/>
    <s v="Barend reviewed and updated algorithm to reflect the IL TRM volume 2 C&amp;I Destratification Fan algorithm. Using heating hours for Alberta."/>
    <m/>
    <s v="Other"/>
    <s v="Average"/>
    <s v="RET"/>
    <s v="Natural gas"/>
    <s v="Natural gas"/>
    <n v="10"/>
    <n v="0"/>
    <n v="4.1159005733947991E-3"/>
    <n v="2.1232696287971751E-4"/>
    <n v="0"/>
    <n v="0"/>
    <n v="4.1159005733947991E-2"/>
    <n v="2.123269628797175E-3"/>
    <s v=""/>
    <n v="0.23088905680379918"/>
    <n v="0"/>
    <n v="0.15488262176650161"/>
    <n v="7.6006435037297551E-2"/>
  </r>
  <r>
    <s v="C-HC-008"/>
    <x v="0"/>
    <s v="Go to C-HC-008"/>
    <s v="CommercialHigh-efficiency heat pump, kBTU/hour of Heating and Cooling"/>
    <x v="7"/>
    <x v="7"/>
    <s v="kBTU/hour of Heating and Cooling"/>
    <x v="2"/>
    <s v="Barend"/>
    <s v="Brendan reviewed"/>
    <s v="Brendan completed by spliting. AC measure is now HC-COOL-003."/>
    <s v="Required - NOT STARTED"/>
    <s v="Other"/>
    <s v="Average"/>
    <s v="RET"/>
    <s v="Natural gas"/>
    <s v="Natural gas"/>
    <n v="15"/>
    <n v="2160.8821000677308"/>
    <n v="0"/>
    <n v="1.2317027970386065"/>
    <n v="0"/>
    <n v="32413.231501015962"/>
    <n v="0"/>
    <n v="18.475541955579097"/>
    <n v="0"/>
    <n v="2753.3972362597483"/>
    <n v="2148.7974574771947"/>
    <n v="0"/>
    <n v="604.5997787825537"/>
  </r>
  <r>
    <s v="C-HC-009"/>
    <x v="0"/>
    <s v="Go to C-HC-009"/>
    <s v="CommercialHigh-efficiency natural gas furnace, kBTU/hour of Heating"/>
    <x v="8"/>
    <x v="8"/>
    <s v="kBTU/hour of Heating"/>
    <x v="2"/>
    <m/>
    <s v="Brendan reviewed"/>
    <s v="Barend completed. Updated baseline efficiency to global variable"/>
    <m/>
    <s v="Other"/>
    <s v="Average"/>
    <s v="RET"/>
    <s v="Natural gas"/>
    <s v="Natural gas"/>
    <n v="17"/>
    <n v="0"/>
    <n v="0.35741314403356433"/>
    <n v="1.8437871861259482E-2"/>
    <n v="0"/>
    <n v="0"/>
    <n v="6.0760234485705933"/>
    <n v="0.31344382164141121"/>
    <s v=""/>
    <n v="31.789299359823783"/>
    <n v="0"/>
    <n v="21.914244410469284"/>
    <n v="9.8750549493544995"/>
  </r>
  <r>
    <s v="C-HC-010"/>
    <x v="0"/>
    <s v="Go to C-HC-010"/>
    <s v="CommercialVentilation heat/energy recovery, CFM of Ventilation"/>
    <x v="9"/>
    <x v="9"/>
    <s v="CFM of Ventilation"/>
    <x v="2"/>
    <m/>
    <s v="Brendan reviewed"/>
    <s v="Barend completed. Typical configuration selected for deemed savings per CFM."/>
    <m/>
    <s v="Other"/>
    <s v="Average"/>
    <s v="RET"/>
    <s v="Natural gas"/>
    <s v="Natural gas"/>
    <n v="15"/>
    <n v="30.423008572739246"/>
    <n v="70.71784568266807"/>
    <n v="3.6654626201182592"/>
    <n v="0"/>
    <n v="456.34512859108867"/>
    <n v="1060.7676852400211"/>
    <n v="54.981939301773885"/>
    <n v="0"/>
    <n v="5719.6861098601748"/>
    <n v="30.252869172205152"/>
    <n v="3890.1859753675549"/>
    <n v="1799.2472653204152"/>
  </r>
  <r>
    <s v="C-HC-011"/>
    <x v="0"/>
    <s v="Go to C-HC-011"/>
    <s v="CommercialHigh-efficiency natural gas make-up air furnace, CFM of Ventilation"/>
    <x v="10"/>
    <x v="10"/>
    <s v="CFM of Ventilation"/>
    <x v="2"/>
    <m/>
    <s v="Barend reviewed"/>
    <s v="Barend reviewed. Runtime hours and heat load requirements are now correlated using a lookup table. Efficiency of furnance = 96% (as per C&amp;I furnace measure)."/>
    <m/>
    <s v="Other"/>
    <s v="Average"/>
    <s v="RET"/>
    <s v="Natural gas"/>
    <s v="Natural gas"/>
    <n v="15"/>
    <n v="-8.383215962441315E-2"/>
    <n v="2.3350771572655589E-2"/>
    <n v="1.1568119221326684E-3"/>
    <n v="0"/>
    <n v="-1.2574823943661972"/>
    <n v="0.35026157358983384"/>
    <n v="1.7352178831990025E-2"/>
    <s v=""/>
    <n v="1.7690001860987934"/>
    <n v="-8.3363331784790592E-2"/>
    <n v="1.284525047518797"/>
    <n v="0.56783847036478696"/>
  </r>
  <r>
    <s v="C-HC-012"/>
    <x v="0"/>
    <s v="Go to C-HC-012"/>
    <s v="CommercialVariable speed drive for motors in supply and return fan applications, Horsepower of Motor"/>
    <x v="11"/>
    <x v="11"/>
    <s v="Horsepower of Motor"/>
    <x v="3"/>
    <m/>
    <s v="Brendan reviewed"/>
    <s v="Barend reviewed. Brendan split measure for each application (3 types)"/>
    <m/>
    <s v="Other"/>
    <s v="Average"/>
    <s v="RET"/>
    <s v="Natural gas"/>
    <s v="Natural gas"/>
    <n v="15"/>
    <n v="1769.516575065591"/>
    <n v="0"/>
    <n v="1.0086244477873869"/>
    <n v="0"/>
    <n v="26542.748625983866"/>
    <n v="0"/>
    <n v="15.129366716810804"/>
    <n v="0"/>
    <n v="2254.71905531019"/>
    <n v="1759.6206277730353"/>
    <n v="0"/>
    <n v="495.09842753715486"/>
  </r>
  <r>
    <s v="C-HC-013"/>
    <x v="0"/>
    <s v="Go to C-HC-013"/>
    <s v="CommercialVariable speed drive for motors in chilled water pumps, Horsepower of Motor"/>
    <x v="12"/>
    <x v="12"/>
    <s v="Horsepower of Motor"/>
    <x v="3"/>
    <m/>
    <s v="Barend reviewed"/>
    <s v="Barend completed. Pick typical application (dampers/inlet vanes replaced with VSD and no dampers)"/>
    <m/>
    <s v="Other"/>
    <s v="Average"/>
    <s v="RET"/>
    <s v="Natural gas"/>
    <s v="Natural gas"/>
    <n v="15"/>
    <n v="126.15064548387096"/>
    <n v="0"/>
    <n v="7.1905867925806444E-2"/>
    <n v="0"/>
    <n v="1892.2596822580645"/>
    <n v="0"/>
    <n v="1.0785880188870967"/>
    <n v="0"/>
    <n v="160.74122628753622"/>
    <n v="125.44515328548113"/>
    <n v="0"/>
    <n v="35.296073002055088"/>
  </r>
  <r>
    <s v="C-HC-014"/>
    <x v="0"/>
    <s v="Go to C-HC-014"/>
    <s v="CommercialVariable speed drive for motors in hot water pumps, Horsepower of Motor"/>
    <x v="13"/>
    <x v="13"/>
    <s v="Horsepower of Motor"/>
    <x v="3"/>
    <m/>
    <s v="Brendan reviewed"/>
    <s v="Barend reviewed. Brendan split measure for each application (3 types)"/>
    <m/>
    <s v="Other"/>
    <s v="Average"/>
    <s v="RET"/>
    <s v="Natural gas"/>
    <s v="Natural gas"/>
    <n v="15"/>
    <n v="212.7709916129032"/>
    <n v="0"/>
    <n v="0.12127946521935482"/>
    <n v="0"/>
    <n v="3191.5648741935479"/>
    <n v="0"/>
    <n v="1.8191919782903223"/>
    <n v="0"/>
    <n v="271.11292200756861"/>
    <n v="211.58107875870567"/>
    <n v="0"/>
    <n v="59.531843248862913"/>
  </r>
  <r>
    <s v="C-HC-015"/>
    <x v="0"/>
    <s v="Go to C-HC-015"/>
    <s v="CommercialVariable speed drive for motors in cooling tower fans, Horsepower of Motor"/>
    <x v="14"/>
    <x v="14"/>
    <s v="Horsepower of Motor"/>
    <x v="3"/>
    <m/>
    <s v="Brendan reviewed"/>
    <s v="Barend reviewed. Brendan split measure for each application (3 types)"/>
    <m/>
    <s v="Other"/>
    <s v="Average"/>
    <s v="RET"/>
    <s v="Natural gas"/>
    <s v="Natural gas"/>
    <n v="15"/>
    <n v="126.15064548387096"/>
    <n v="0"/>
    <n v="7.1905867925806444E-2"/>
    <n v="0"/>
    <n v="1892.2596822580645"/>
    <n v="0"/>
    <n v="1.0785880188870967"/>
    <n v="0"/>
    <n v="160.74122628753622"/>
    <n v="125.44515328548113"/>
    <n v="0"/>
    <n v="35.296073002055088"/>
  </r>
  <r>
    <s v="C-HC-016"/>
    <x v="0"/>
    <s v="Go to C-HC-016"/>
    <s v="CommercialPipe and duct insulation, Custom"/>
    <x v="15"/>
    <x v="15"/>
    <s v="Custom"/>
    <x v="2"/>
    <s v="Barend"/>
    <s v="Measure is incomplete"/>
    <s v="Measure is characterized but needs a more thorough review."/>
    <m/>
    <s v="Other"/>
    <s v="Average"/>
    <s v="RET"/>
    <s v="Natural gas"/>
    <s v="Natural gas"/>
    <n v="15"/>
    <n v="0"/>
    <n v="4.2207392432048324E-2"/>
    <n v="2.177352753392077E-3"/>
    <n v="0"/>
    <n v="0"/>
    <n v="0.63311088648072489"/>
    <n v="3.2660291300881154E-2"/>
    <s v=""/>
    <n v="3.3906132702137421"/>
    <n v="0"/>
    <n v="2.3218270368808875"/>
    <n v="1.0687862333328548"/>
  </r>
  <r>
    <s v="C-K-001"/>
    <x v="0"/>
    <s v="Go to C-K-001"/>
    <s v="CommercialDemand control kitchen ventilation, Horsepower of Exhaust Fan"/>
    <x v="16"/>
    <x v="16"/>
    <s v="Horsepower of Exhaust Fan"/>
    <x v="4"/>
    <m/>
    <s v="Brendan reviewed"/>
    <s v="Barend completed. Updated savings of annual BTU/CFM of outside air needed using Alberta-based values (scaled by HDD)."/>
    <m/>
    <s v="Other"/>
    <s v="Average"/>
    <s v="RET"/>
    <s v="Natural gas"/>
    <s v="Natural gas"/>
    <n v="15"/>
    <n v="4966"/>
    <n v="125.9069335577301"/>
    <n v="9.3257809814426231"/>
    <n v="0"/>
    <n v="74490"/>
    <n v="1888.6040033659515"/>
    <n v="139.88671472163935"/>
    <n v="0"/>
    <n v="16442.062803427078"/>
    <n v="4938.2278531055799"/>
    <n v="6926.1355800585352"/>
    <n v="4577.6993702629607"/>
  </r>
  <r>
    <s v="C-K-002"/>
    <x v="0"/>
    <s v="Go to C-K-002"/>
    <s v="CommercialHigh-efficiency pre-rinse spray valve, Valve"/>
    <x v="17"/>
    <x v="17"/>
    <s v="Valve"/>
    <x v="5"/>
    <m/>
    <s v="Brendan reviewed"/>
    <s v="Barend completed. Deemed per valve."/>
    <m/>
    <s v="Other"/>
    <s v="Average"/>
    <s v="RET"/>
    <s v="Natural gas"/>
    <s v="Natural gas"/>
    <n v="5"/>
    <n v="0"/>
    <n v="31.484516926909102"/>
    <n v="1.6241917747084598"/>
    <n v="0"/>
    <n v="0"/>
    <n v="157.4225846345455"/>
    <n v="8.1209588735422997"/>
    <s v=""/>
    <n v="901.68128366809515"/>
    <n v="0"/>
    <n v="595.75514817477767"/>
    <n v="305.92613549331742"/>
  </r>
  <r>
    <s v="C-L-001"/>
    <x v="0"/>
    <s v="Go to C-L-001"/>
    <s v="CommercialIndoor lighting control, Sensor"/>
    <x v="18"/>
    <x v="18"/>
    <s v="Sensor"/>
    <x v="6"/>
    <m/>
    <s v="Lee reviewed"/>
    <s v="Complete but needs updated baseline efficiency and cost data"/>
    <m/>
    <s v="Other"/>
    <s v="Average"/>
    <s v="RET"/>
    <s v="Natural gas"/>
    <s v="Natural gas"/>
    <n v="8"/>
    <n v="55.540079999999996"/>
    <n v="0"/>
    <n v="3.1657845599999998E-2"/>
    <n v="0"/>
    <n v="444.32063999999997"/>
    <n v="0"/>
    <n v="0.25326276479999998"/>
    <n v="0"/>
    <n v="41.522844594325214"/>
    <n v="32.182427588125776"/>
    <n v="0"/>
    <n v="9.340417006199436"/>
  </r>
  <r>
    <s v="C-L-002"/>
    <x v="0"/>
    <s v="Go to C-L-002"/>
    <s v="CommercialOutdoor lighting control, Sensor"/>
    <x v="19"/>
    <x v="19"/>
    <s v="Sensor"/>
    <x v="6"/>
    <m/>
    <s v="Lee reviewed"/>
    <s v="Complete but needs updated baseline efficiency and cost data"/>
    <m/>
    <s v="Other"/>
    <s v="Average"/>
    <s v="RET"/>
    <s v="Natural gas"/>
    <s v="Natural gas"/>
    <n v="8"/>
    <n v="100.73781999999999"/>
    <n v="0"/>
    <n v="5.7420557399999989E-2"/>
    <n v="0"/>
    <n v="805.90255999999988"/>
    <n v="0"/>
    <n v="0.45936445919999991"/>
    <n v="0"/>
    <n v="75.313554547114549"/>
    <n v="58.372036870232236"/>
    <n v="0"/>
    <n v="16.941517676882309"/>
  </r>
  <r>
    <s v="C-L-003"/>
    <x v="0"/>
    <s v="Go to C-L-003"/>
    <s v="CommercialDownlight fixture and retrofit kit, Fixture"/>
    <x v="20"/>
    <x v="20"/>
    <s v="Fixture"/>
    <x v="7"/>
    <m/>
    <s v="Barend reviewed"/>
    <s v="Lee completed. (Later: update TRM baseline efficiency , electric heat interactive effect.)"/>
    <s v="Required - DONE"/>
    <s v="Other"/>
    <s v="Average"/>
    <s v="RET"/>
    <s v="Natural gas"/>
    <s v="Natural gas"/>
    <n v="9"/>
    <n v="15.07281713796058"/>
    <n v="-2.3852733120822617E-2"/>
    <n v="7.3610148251336532E-3"/>
    <n v="0"/>
    <n v="135.65535424164523"/>
    <n v="-0.21467459808740355"/>
    <n v="6.624913342620288E-2"/>
    <n v="0"/>
    <n v="11.320410581421811"/>
    <n v="9.7204777069374178"/>
    <n v="-0.8091297813860634"/>
    <n v="2.409062655870458"/>
  </r>
  <r>
    <s v="C-L-004"/>
    <x v="0"/>
    <s v="Go to C-L-004"/>
    <s v="CommercialBay fixture and retrofit kit, Fixture"/>
    <x v="21"/>
    <x v="21"/>
    <s v="Fixture"/>
    <x v="7"/>
    <m/>
    <s v="Lee completed"/>
    <s v="Lee completed. (Later: update TRM baseline efficiency , electric heat interactive effect.)"/>
    <s v="Required - DONE"/>
    <s v="Other"/>
    <s v="Average"/>
    <s v="RET"/>
    <s v="Natural gas"/>
    <s v="Natural gas"/>
    <n v="9"/>
    <n v="269.33996314960604"/>
    <n v="-0.42623049168425153"/>
    <n v="0.13153582662075997"/>
    <n v="0"/>
    <n v="2424.0596683464541"/>
    <n v="-3.8360744251582637"/>
    <n v="1.1838224395868397"/>
    <n v="0"/>
    <n v="202.2872659391335"/>
    <n v="173.69766271425311"/>
    <n v="-14.458543715289718"/>
    <n v="43.048146940170106"/>
  </r>
  <r>
    <s v="C-L-005"/>
    <x v="0"/>
    <s v="Go to C-L-005"/>
    <s v="CommercialTroffer fixture and retrofit kit, Fixture"/>
    <x v="22"/>
    <x v="22"/>
    <s v="Fixture"/>
    <x v="7"/>
    <m/>
    <s v="Barend reviewed"/>
    <s v="Lee completed. (Later: update TRM baseline efficiency , electric heat interactive effect.)"/>
    <s v="Required - DONE"/>
    <s v="Other"/>
    <s v="Average"/>
    <s v="RET"/>
    <s v="Natural gas"/>
    <s v="Natural gas"/>
    <n v="15"/>
    <n v="68.097201511647128"/>
    <n v="-0.10776382139218157"/>
    <n v="3.3256192607480389E-2"/>
    <n v="0"/>
    <n v="1021.458022674707"/>
    <n v="-1.6164573208827235"/>
    <n v="0.49884288911220587"/>
    <n v="0"/>
    <n v="78.112587677086097"/>
    <n v="67.716370765879844"/>
    <n v="-5.9280836765453673"/>
    <n v="16.324300587751623"/>
  </r>
  <r>
    <s v="C-L-006"/>
    <x v="0"/>
    <s v="Go to C-L-006"/>
    <s v="CommercialGeneral service and specialty lamp, Lamp"/>
    <x v="23"/>
    <x v="23"/>
    <s v="Lamp"/>
    <x v="8"/>
    <m/>
    <s v="Lee reviewed"/>
    <s v="Lee completed. (Later: update TRM baseline efficiency , electric heat interactive effect.)"/>
    <s v="Required - DONE"/>
    <s v="Other"/>
    <s v="Average"/>
    <s v="RET"/>
    <s v="Natural gas"/>
    <s v="Natural gas"/>
    <n v="15"/>
    <n v="63.711100000000002"/>
    <n v="-0.10082281575"/>
    <n v="3.1114180403904752E-2"/>
    <n v="0"/>
    <n v="955.66650000000004"/>
    <n v="-1.5123422362500001"/>
    <n v="0.46671270605857129"/>
    <n v="0"/>
    <n v="73.081400913404806"/>
    <n v="63.354798343132288"/>
    <n v="-5.5462592227105185"/>
    <n v="15.272861792983042"/>
  </r>
  <r>
    <s v="C-L-007"/>
    <x v="0"/>
    <s v="Go to C-L-007"/>
    <s v="CommercialLinear LED tube replacing fluorescent tube, Lamp"/>
    <x v="24"/>
    <x v="24"/>
    <s v="Lamp"/>
    <x v="8"/>
    <m/>
    <s v="Lee reviewed"/>
    <s v="Lee completed. (Later: update TRM baseline efficiency , electric heat interactive effect.)"/>
    <s v="Required - DONE"/>
    <s v="Other"/>
    <s v="Average"/>
    <s v="RET"/>
    <s v="Natural gas"/>
    <s v="Natural gas"/>
    <n v="9"/>
    <n v="44.978750807575381"/>
    <n v="-7.1178873152988043E-2"/>
    <n v="2.1965983430974771E-2"/>
    <n v="0"/>
    <n v="404.8087572681784"/>
    <n v="-0.64060985837689244"/>
    <n v="0.19769385087877295"/>
    <n v="0"/>
    <n v="33.781205060788345"/>
    <n v="29.006849914593136"/>
    <n v="-2.4145218823291525"/>
    <n v="7.1888770285243568"/>
  </r>
  <r>
    <s v="C-L-008"/>
    <x v="0"/>
    <s v="Go to C-L-008"/>
    <s v="CommercialOutdoor LED fixture and retrofit kit, Fixture"/>
    <x v="25"/>
    <x v="25"/>
    <s v="Fixture"/>
    <x v="9"/>
    <m/>
    <s v="Barend reviewed"/>
    <s v="Lee completed. (Later: update TRM baseline efficiency , electric heat interactive effect.)"/>
    <s v="Required - DONE"/>
    <s v="Other"/>
    <s v="Average"/>
    <s v="RET"/>
    <s v="Natural gas"/>
    <s v="Natural gas"/>
    <n v="15"/>
    <n v="753.49783304106302"/>
    <n v="-1.1924103207874821"/>
    <n v="0.36798089361494207"/>
    <n v="0"/>
    <n v="11302.467495615945"/>
    <n v="-17.886154811812233"/>
    <n v="5.5197134042241309"/>
    <n v="0"/>
    <n v="864.31841898594882"/>
    <n v="749.28392798591938"/>
    <n v="-65.594445956770258"/>
    <n v="180.62893695679978"/>
  </r>
  <r>
    <s v="C-L-009"/>
    <x v="0"/>
    <s v="Go to C-L-009"/>
    <s v="CommercialLED exit sign, Sign"/>
    <x v="26"/>
    <x v="26"/>
    <s v="Sign"/>
    <x v="10"/>
    <m/>
    <s v="Barend reviewed"/>
    <s v="Complete but needs updated baseline efficiency and cost data"/>
    <m/>
    <s v="Other"/>
    <s v="Average"/>
    <s v="RET"/>
    <s v="Natural gas"/>
    <s v="Natural gas"/>
    <n v="5"/>
    <n v="174.44339999999997"/>
    <n v="-0.27605668049999993"/>
    <n v="8.5191802023046478E-2"/>
    <n v="0"/>
    <n v="872.21699999999987"/>
    <n v="-1.3802834024999997"/>
    <n v="0.42595901011523241"/>
    <n v="0"/>
    <n v="76.82584153345806"/>
    <n v="66.003050703428016"/>
    <n v="-5.2235893908650892"/>
    <n v="16.046380220895134"/>
  </r>
  <r>
    <s v="C-R-001"/>
    <x v="0"/>
    <s v="Go to C-R-001"/>
    <s v="CommercialAutomatic door for walk-in freezer, Door"/>
    <x v="27"/>
    <x v="27"/>
    <s v="Door"/>
    <x v="11"/>
    <m/>
    <s v="Measure is deemed. Split measures between walk-in freezer automatic door and walk-in refrigerator automatic door."/>
    <s v="Brendan completed."/>
    <m/>
    <s v="Other"/>
    <s v="Average"/>
    <s v="RET"/>
    <s v="Natural gas"/>
    <s v="Natural gas"/>
    <n v="8"/>
    <n v="2307"/>
    <n v="0"/>
    <n v="1.3149899999999999"/>
    <n v="0"/>
    <n v="18456"/>
    <n v="0"/>
    <n v="10.519919999999999"/>
    <n v="0"/>
    <n v="1724.7580932384014"/>
    <n v="1336.779861422709"/>
    <n v="0"/>
    <n v="387.97823181569237"/>
  </r>
  <r>
    <s v="C-R-002"/>
    <x v="0"/>
    <s v="Go to C-R-002"/>
    <s v="CommercialStrip curtain for walk-in freezer, ft^2 of Doorway Area"/>
    <x v="28"/>
    <x v="28"/>
    <s v="ft^2 of Doorway Area"/>
    <x v="11"/>
    <m/>
    <s v="Brendan reviewed"/>
    <s v="Barend completed. Split into various different measures/permutations  and fridge/freezer"/>
    <m/>
    <s v="Other"/>
    <s v="Average"/>
    <s v="RET"/>
    <s v="Natural gas"/>
    <s v="Natural gas"/>
    <n v="4"/>
    <n v="53.666666666666664"/>
    <n v="0"/>
    <n v="3.0589999999999999E-2"/>
    <n v="0"/>
    <n v="214.66666666666666"/>
    <n v="0"/>
    <n v="0.12236"/>
    <n v="0"/>
    <n v="21.2433691946508"/>
    <n v="16.679964882661455"/>
    <n v="0"/>
    <n v="4.5634043119893457"/>
  </r>
  <r>
    <s v="C-R-003"/>
    <x v="0"/>
    <s v="Go to C-R-003"/>
    <s v="CommercialHigh-efficiency door for reach-in freezer, Door"/>
    <x v="29"/>
    <x v="29"/>
    <s v="Door"/>
    <x v="11"/>
    <m/>
    <s v="Brendan reviewed"/>
    <s v="Barend reviewed. Brendan updated inputs to represent typical conditions."/>
    <m/>
    <s v="Other"/>
    <s v="Average"/>
    <s v="RET"/>
    <s v="Natural gas"/>
    <s v="Natural gas"/>
    <n v="12"/>
    <n v="3305"/>
    <n v="0"/>
    <n v="1.88385"/>
    <n v="0"/>
    <n v="39660"/>
    <n v="0"/>
    <n v="22.606200000000001"/>
    <n v="0"/>
    <n v="3518.9624866504259"/>
    <n v="2737.0805888570108"/>
    <n v="0"/>
    <n v="781.88189779341508"/>
  </r>
  <r>
    <s v="C-R-004"/>
    <x v="0"/>
    <s v="Go to C-R-004"/>
    <s v="CommercialHigh-efficiency motor for walk/reach-in freezers, Motor"/>
    <x v="30"/>
    <x v="30"/>
    <s v="Motor"/>
    <x v="12"/>
    <m/>
    <s v="Brendan reviewed"/>
    <s v="Barend reviewed. Brendan updated inputs to represent typical conditions."/>
    <m/>
    <s v="Other"/>
    <s v="Average"/>
    <s v="RET"/>
    <s v="Natural gas"/>
    <s v="Natural gas"/>
    <n v="10"/>
    <n v="339.43484999999998"/>
    <n v="0"/>
    <n v="0.19347786449999999"/>
    <n v="0"/>
    <n v="3394.3485000000001"/>
    <n v="0"/>
    <n v="1.9347786449999997"/>
    <n v="0"/>
    <n v="309.53614044915258"/>
    <n v="240.27709515491475"/>
    <n v="0"/>
    <n v="69.259045294237822"/>
  </r>
  <r>
    <s v="C-R-005"/>
    <x v="0"/>
    <s v="Go to C-R-005"/>
    <s v="CommercialRefrigerator and freezer LED case lighting, Fixture"/>
    <x v="31"/>
    <x v="31"/>
    <s v="Fixture"/>
    <x v="13"/>
    <m/>
    <s v="Barend reviewed"/>
    <s v="Barend completed. Use average lighting savings for Refrigerator and Freezer measure."/>
    <m/>
    <s v="Other"/>
    <s v="Average"/>
    <s v="RET"/>
    <s v="Natural gas"/>
    <s v="Natural gas"/>
    <n v="10"/>
    <n v="403.23192499999999"/>
    <n v="0"/>
    <n v="0.22984219724999999"/>
    <n v="0"/>
    <n v="4032.31925"/>
    <n v="0"/>
    <n v="2.2984219724999999"/>
    <n v="0"/>
    <n v="367.71372700941629"/>
    <n v="285.4373839713997"/>
    <n v="0"/>
    <n v="82.276343038016591"/>
  </r>
  <r>
    <s v="C-R-006"/>
    <x v="0"/>
    <s v="Go to C-R-006"/>
    <s v="CommercialAutomatic door for walk-in refrigerator, Door"/>
    <x v="32"/>
    <x v="32"/>
    <s v="Door"/>
    <x v="11"/>
    <m/>
    <s v="Brendan reviewed"/>
    <s v="Barend completed. Brendan split into  fridge/freezer"/>
    <m/>
    <s v="Other"/>
    <s v="Average"/>
    <s v="RET"/>
    <s v="Natural gas"/>
    <s v="Natural gas"/>
    <n v="8"/>
    <n v="943"/>
    <n v="0"/>
    <n v="0.53750999999999993"/>
    <n v="0"/>
    <n v="7544"/>
    <n v="0"/>
    <n v="4.3000799999999995"/>
    <n v="0"/>
    <n v="705.00515037876562"/>
    <n v="546.41673572675097"/>
    <n v="0"/>
    <n v="158.58841465201468"/>
  </r>
  <r>
    <s v="C-R-007"/>
    <x v="0"/>
    <s v="Go to C-R-007"/>
    <s v="CommercialStrip curtain for walk-in refrigerator, ft^2 of Doorway Area"/>
    <x v="33"/>
    <x v="33"/>
    <s v="ft^2 of Doorway Area"/>
    <x v="11"/>
    <m/>
    <s v="Brendan reviewed"/>
    <s v="Barend completed. Split into various different measures/permutations  and fridge/freezer"/>
    <m/>
    <s v="Other"/>
    <s v="Average"/>
    <s v="RET"/>
    <s v="Natural gas"/>
    <s v="Natural gas"/>
    <n v="4"/>
    <n v="128.5"/>
    <n v="0"/>
    <n v="7.3244999999999991E-2"/>
    <n v="0"/>
    <n v="514"/>
    <n v="0"/>
    <n v="0.29297999999999996"/>
    <n v="0"/>
    <n v="50.865334313899901"/>
    <n v="39.938673678670753"/>
    <n v="0"/>
    <n v="10.926660635229146"/>
  </r>
  <r>
    <s v="C-R-008"/>
    <x v="0"/>
    <s v="Go to C-R-008"/>
    <s v="CommercialEvaporator fan control for motors, Horsepower of Motor"/>
    <x v="34"/>
    <x v="34"/>
    <s v="Horsepower of Motor"/>
    <x v="14"/>
    <m/>
    <s v="Brendan reviewed"/>
    <s v="Barend completed. Changed unit basis to Horsepower of Fan Motor. Brendan removed Number of Fans variable."/>
    <m/>
    <s v="Other"/>
    <s v="Average"/>
    <s v="RET"/>
    <s v="Natural gas"/>
    <s v="Natural gas"/>
    <n v="13"/>
    <n v="3444"/>
    <n v="0"/>
    <n v="1.9630799999999999"/>
    <n v="0"/>
    <n v="44772"/>
    <n v="0"/>
    <n v="25.520039999999998"/>
    <n v="0"/>
    <n v="3915.8190485219334"/>
    <n v="3048.9999998324133"/>
    <n v="0"/>
    <n v="866.81904868952017"/>
  </r>
  <r>
    <s v="C-R-009"/>
    <x v="0"/>
    <s v="Go to C-R-009"/>
    <s v="CommercialHigh-efficiency motor for walk/reach-in refrigerators, Motor"/>
    <x v="35"/>
    <x v="35"/>
    <s v="Motor"/>
    <x v="12"/>
    <m/>
    <s v="Brendan reviewed"/>
    <s v="Barend reviewed. Brendan updated inputs to represent typical conditions."/>
    <m/>
    <s v="Other"/>
    <s v="Average"/>
    <s v="RET"/>
    <s v="Natural gas"/>
    <s v="Natural gas"/>
    <n v="10"/>
    <n v="357.01725199999998"/>
    <n v="0"/>
    <n v="0.20349983363999999"/>
    <n v="0"/>
    <n v="3570.1725200000001"/>
    <n v="0"/>
    <n v="2.0349983363999997"/>
    <n v="0"/>
    <n v="325.56981776574355"/>
    <n v="252.7232198778357"/>
    <n v="0"/>
    <n v="72.846597887907848"/>
  </r>
  <r>
    <s v="C-R-010"/>
    <x v="0"/>
    <s v="Go to C-R-010"/>
    <s v="CommercialRefrigeration economizer, Horsepower of Compressor"/>
    <x v="36"/>
    <x v="36"/>
    <s v="Horsepower of Compressor"/>
    <x v="14"/>
    <m/>
    <s v="Brendan reviewed"/>
    <s v="Barend completed. Updated number of annual hours that economizer operates using Alberta-specific estimates (scaled with HDD)."/>
    <m/>
    <s v="Other"/>
    <s v="Average"/>
    <s v="RET"/>
    <s v="Natural gas"/>
    <s v="Natural gas"/>
    <n v="15"/>
    <n v="1407.9882039729982"/>
    <n v="0"/>
    <n v="0.80255327626460893"/>
    <n v="0"/>
    <n v="21119.823059594972"/>
    <n v="0"/>
    <n v="12.038299143969134"/>
    <n v="0"/>
    <n v="1794.05939333019"/>
    <n v="1400.1140889455419"/>
    <n v="0"/>
    <n v="393.94530438464807"/>
  </r>
  <r>
    <s v="C-R-011"/>
    <x v="0"/>
    <s v="Go to C-R-011"/>
    <s v="CommercialHigh-efficiency door for reach-in refrigerator, Door"/>
    <x v="37"/>
    <x v="37"/>
    <s v="Door"/>
    <x v="11"/>
    <m/>
    <s v="Brendan reviewed"/>
    <s v="Barend completed. Split into various different measures/permutations and fridge/freezer"/>
    <m/>
    <s v="Other"/>
    <s v="Average"/>
    <s v="RET"/>
    <s v="Natural gas"/>
    <s v="Natural gas"/>
    <n v="12"/>
    <n v="840"/>
    <n v="0"/>
    <n v="0.4788"/>
    <n v="0"/>
    <n v="10080"/>
    <n v="0"/>
    <n v="5.7455999999999996"/>
    <n v="0"/>
    <n v="894.38078329390544"/>
    <n v="695.65739626017819"/>
    <n v="0"/>
    <n v="198.72338703372728"/>
  </r>
  <r>
    <s v="C-W-001"/>
    <x v="0"/>
    <s v="Go to C-W-001"/>
    <s v="CommercialTankless natural gas water heater, Water Heater"/>
    <x v="38"/>
    <x v="38"/>
    <s v="Water Heater"/>
    <x v="15"/>
    <m/>
    <s v="Brendan reviewed"/>
    <s v="Completed by Barend. Needs formula integrated into CEIP worksheet or use default floor areas."/>
    <m/>
    <s v="Other"/>
    <s v="Average"/>
    <s v="RET"/>
    <s v="Natural gas"/>
    <s v="Natural gas"/>
    <n v="20"/>
    <n v="0"/>
    <n v="3.8230293031526403"/>
    <n v="0.19721861266173527"/>
    <n v="0"/>
    <n v="0"/>
    <n v="76.460586063052801"/>
    <n v="3.9443722532347052"/>
    <s v=""/>
    <n v="385.26306134562458"/>
    <n v="0"/>
    <n v="267.91944557982998"/>
    <n v="117.34361576579457"/>
  </r>
  <r>
    <s v="C-W-002"/>
    <x v="0"/>
    <s v="Go to C-W-002"/>
    <s v="CommercialHigh-efficiency natural gas storage water heater, Water Heater"/>
    <x v="39"/>
    <x v="39"/>
    <s v="Water Heater"/>
    <x v="15"/>
    <m/>
    <s v="Brendan reviewed"/>
    <s v="Barend completed. Electricity algorithm added."/>
    <m/>
    <s v="Other"/>
    <s v="Average"/>
    <s v="RET"/>
    <s v="Natural gas"/>
    <s v="Natural gas"/>
    <n v="15"/>
    <n v="0"/>
    <n v="17.485582334855771"/>
    <n v="0.90202873590820465"/>
    <n v="0"/>
    <n v="0"/>
    <n v="262.28373502283654"/>
    <n v="13.530431038623069"/>
    <s v=""/>
    <n v="1404.6555374731017"/>
    <n v="0"/>
    <n v="961.88121277656285"/>
    <n v="442.77432469653888"/>
  </r>
  <r>
    <s v="C-W-003"/>
    <x v="0"/>
    <s v="Go to C-W-003"/>
    <s v="CommercialMulti-residential hot water demand control, Dwelling Unit"/>
    <x v="40"/>
    <x v="40"/>
    <s v="Dwelling Unit"/>
    <x v="15"/>
    <m/>
    <s v="Brendan reviewed"/>
    <s v="Completed by Barend. Needs formula integrated into CEIP worksheet or use default floor areas."/>
    <m/>
    <s v="Other"/>
    <s v="Average"/>
    <s v="RET"/>
    <s v="Natural gas"/>
    <s v="Natural gas"/>
    <n v="15"/>
    <n v="656"/>
    <n v="5.7550249999999998"/>
    <n v="0.67080447467499993"/>
    <n v="0"/>
    <n v="9840"/>
    <n v="86.325374999999994"/>
    <n v="10.062067120124999"/>
    <n v="0"/>
    <n v="1298.1894822048978"/>
    <n v="652.33134749038675"/>
    <n v="316.58370425128305"/>
    <n v="329.27443046322804"/>
  </r>
  <r>
    <s v="C-W-004"/>
    <x v="0"/>
    <s v="Go to C-W-004"/>
    <s v="CommercialDrain water heat recovery, Drain"/>
    <x v="41"/>
    <x v="41"/>
    <s v="Drain"/>
    <x v="15"/>
    <m/>
    <s v="Brendan reviewed"/>
    <s v="Barend completed. Electricity algorithm added."/>
    <m/>
    <s v="Other"/>
    <s v="Average"/>
    <s v="RET"/>
    <s v="Natural gas"/>
    <s v="Natural gas"/>
    <n v="20"/>
    <n v="0"/>
    <n v="8.5080345969845279"/>
    <n v="0.43890398075464088"/>
    <n v="0"/>
    <n v="0"/>
    <n v="170.16069193969057"/>
    <n v="8.7780796150928175"/>
    <s v=""/>
    <n v="857.39114062392878"/>
    <n v="0"/>
    <n v="596.24651851827446"/>
    <n v="261.14462210565432"/>
  </r>
  <r>
    <s v="C-WB-001"/>
    <x v="0"/>
    <s v="Go to C-WB-001"/>
    <s v="CommercialAir curtain for overhead doors, ft^2 of Doorway Area"/>
    <x v="42"/>
    <x v="42"/>
    <s v="ft^2 of Doorway Area"/>
    <x v="16"/>
    <m/>
    <s v="Barend reviewed"/>
    <s v="Barend reviewed. Needs additional refinement using Alberta weather data. Currently using IL data scaled to Alberta using HDD."/>
    <m/>
    <s v="Other"/>
    <s v="Average"/>
    <s v="RET"/>
    <s v="Natural gas"/>
    <s v="Natural gas"/>
    <n v="15"/>
    <n v="0"/>
    <n v="1.6927418907055651"/>
    <n v="8.7323475915827994E-2"/>
    <n v="0"/>
    <n v="0"/>
    <n v="25.391128360583476"/>
    <n v="1.30985213873742"/>
    <s v=""/>
    <n v="135.98170336898147"/>
    <n v="0"/>
    <n v="93.117666404731224"/>
    <n v="42.864036964250253"/>
  </r>
  <r>
    <s v="C-WB-003"/>
    <x v="0"/>
    <s v="Go to C-WB-003"/>
    <s v="CommercialAir infiltration / sealing and pressurization, Custom"/>
    <x v="43"/>
    <x v="43"/>
    <s v="Custom"/>
    <x v="16"/>
    <m/>
    <s v="Barend reviewed"/>
    <s v="Barend reviewed. Needs additional refinement using Alberta weather data. Currently using IL data scaled to Alberta using HDD."/>
    <m/>
    <s v="Other"/>
    <s v="Average"/>
    <s v="RET"/>
    <s v="Natural gas"/>
    <s v="Natural gas"/>
    <n v="15"/>
    <n v="0"/>
    <n v="0"/>
    <n v="0"/>
    <n v="0"/>
    <n v="0"/>
    <n v="0"/>
    <n v="0"/>
    <s v=""/>
    <n v="0"/>
    <n v="0"/>
    <n v="0"/>
    <n v="0"/>
  </r>
  <r>
    <s v="C-WB-004"/>
    <x v="0"/>
    <s v="Go to C-WB-004"/>
    <s v="CommercialBuilding automation system upgrade, Custom"/>
    <x v="44"/>
    <x v="44"/>
    <s v="Custom"/>
    <x v="16"/>
    <m/>
    <s v="Barend reviewed"/>
    <s v="Barend reviewed. Needs additional refinement using Alberta weather data. Currently using IL data scaled to Alberta using HDD."/>
    <m/>
    <s v="Other"/>
    <s v="Average"/>
    <s v="RET"/>
    <s v="Natural gas"/>
    <s v="Natural gas"/>
    <n v="15"/>
    <n v="0"/>
    <n v="0"/>
    <n v="0"/>
    <n v="0"/>
    <n v="0"/>
    <n v="0"/>
    <n v="0"/>
    <s v=""/>
    <n v="0"/>
    <n v="0"/>
    <n v="0"/>
    <n v="0"/>
  </r>
  <r>
    <s v="C-WB-005"/>
    <x v="0"/>
    <s v="Go to C-WB-005"/>
    <s v="CommercialCommercial insulation, Custom"/>
    <x v="45"/>
    <x v="45"/>
    <s v="Custom"/>
    <x v="16"/>
    <m/>
    <s v="Barend reviewed"/>
    <s v="Barend reviewed. Needs additional refinement using Alberta weather data. Currently using IL data scaled to Alberta using HDD."/>
    <m/>
    <s v="Other"/>
    <s v="Average"/>
    <s v="RET"/>
    <s v="Natural gas"/>
    <s v="Natural gas"/>
    <n v="20"/>
    <n v="0"/>
    <n v="0"/>
    <n v="0"/>
    <n v="0"/>
    <n v="0"/>
    <n v="0"/>
    <n v="0"/>
    <s v=""/>
    <n v="0"/>
    <n v="0"/>
    <n v="0"/>
    <n v="0"/>
  </r>
  <r>
    <s v="C-WB-002"/>
    <x v="0"/>
    <s v="Go to C-WB-002"/>
    <s v="CommercialHigh-efficiency window, Custom"/>
    <x v="46"/>
    <x v="46"/>
    <s v="Custom"/>
    <x v="16"/>
    <m/>
    <s v="Barend reviewed"/>
    <s v="Barend reviewed. Needs additional refinement using Alberta weather data. Currently using IL data scaled to Alberta using HDD."/>
    <m/>
    <s v="Other"/>
    <s v="Average"/>
    <s v="RET"/>
    <s v="Natural gas"/>
    <s v="Natural gas"/>
    <n v="15"/>
    <n v="0"/>
    <n v="0"/>
    <n v="0"/>
    <n v="0"/>
    <n v="0"/>
    <n v="0"/>
    <n v="0"/>
    <s v=""/>
    <n v="0"/>
    <n v="0"/>
    <n v="0"/>
    <n v="0"/>
  </r>
  <r>
    <s v="R-HC-001"/>
    <x v="1"/>
    <s v="Go to R-HC-001"/>
    <s v="ResidentialResidential smart thermostat, kBTU/hour of Heating"/>
    <x v="47"/>
    <x v="47"/>
    <s v="kBTU/hour of Heating"/>
    <x v="0"/>
    <m/>
    <s v="Barend reviewed"/>
    <s v="Barend completed. Algorithm modified to be based on the furnace heating capacity (using part of natural gas furnace savings algorithm)"/>
    <m/>
    <s v="Home - detached"/>
    <s v="Average"/>
    <s v="RET"/>
    <s v="Natural gas"/>
    <s v="Natural gas"/>
    <n v="11"/>
    <n v="0"/>
    <n v="0.27294919591986566"/>
    <n v="1.4080630169918109E-2"/>
    <n v="0"/>
    <n v="0"/>
    <n v="3.0024411551185222"/>
    <n v="0.15488693186909921"/>
    <s v=""/>
    <n v="16.716623594523213"/>
    <n v="0"/>
    <n v="11.264564208062696"/>
    <n v="5.4520593864605171"/>
  </r>
  <r>
    <s v="R-HC-002"/>
    <x v="1"/>
    <s v="Go to R-HC-002"/>
    <s v="ResidentialHigh-efficiency central air conditioner, Ton of Cooling"/>
    <x v="48"/>
    <x v="48"/>
    <s v="Ton of Cooling"/>
    <x v="1"/>
    <m/>
    <s v="Brendan reviewed"/>
    <s v="Barend completed"/>
    <m/>
    <s v="Home - detached"/>
    <s v="Average"/>
    <s v="RET"/>
    <s v="Natural gas"/>
    <s v="Natural gas"/>
    <n v="18"/>
    <n v="21.232933955083517"/>
    <n v="0"/>
    <n v="1.2102772354397605E-2"/>
    <n v="0"/>
    <n v="382.19281119150332"/>
    <n v="0"/>
    <n v="0.21784990237915688"/>
    <n v="0"/>
    <n v="31.058740630506918"/>
    <n v="24.325224880712362"/>
    <n v="0"/>
    <n v="6.7335157497945577"/>
  </r>
  <r>
    <s v="R-HC-003"/>
    <x v="1"/>
    <s v="Go to R-HC-003"/>
    <s v="ResidentialHigh-efficiency natural gas furnace, kBTU/hour of Heating"/>
    <x v="8"/>
    <x v="8"/>
    <s v="kBTU/hour of Heating"/>
    <x v="2"/>
    <m/>
    <s v="Lee reviewed"/>
    <s v="Barend completed"/>
    <m/>
    <s v="Home - detached"/>
    <s v="Average"/>
    <s v="RET"/>
    <s v="Natural gas"/>
    <s v="Natural gas"/>
    <n v="20"/>
    <n v="0"/>
    <n v="0.34715760571818427"/>
    <n v="1.7908819406183971E-2"/>
    <n v="0"/>
    <n v="0"/>
    <n v="6.9431521143636852"/>
    <n v="0.35817638812367941"/>
    <s v=""/>
    <n v="34.984561022880783"/>
    <n v="0"/>
    <n v="24.328945942458962"/>
    <n v="10.655615080421825"/>
  </r>
  <r>
    <s v="R-HC-004"/>
    <x v="1"/>
    <s v="Go to R-HC-004"/>
    <s v="ResidentialECM motor for residential furnace, Furnace Motor"/>
    <x v="49"/>
    <x v="49"/>
    <s v="Furnace Motor"/>
    <x v="2"/>
    <m/>
    <s v="Brendan reviewed"/>
    <s v="Barend completed. Updated multiplier of heating and cooling savings -- dependent on size of the heating system -- using HEP Past Program Analysis Data."/>
    <m/>
    <s v="Home - detached"/>
    <s v="Average"/>
    <s v="RET"/>
    <s v="Natural gas"/>
    <s v="Natural gas"/>
    <n v="6"/>
    <n v="775.2442885616781"/>
    <n v="0"/>
    <n v="0.44188924448015648"/>
    <n v="0"/>
    <n v="4651.4657313700682"/>
    <n v="0"/>
    <n v="2.6513354668809388"/>
    <n v="0"/>
    <n v="443.29848662486336"/>
    <n v="343.57880368359537"/>
    <n v="0"/>
    <n v="99.719682941267976"/>
  </r>
  <r>
    <s v="R-HC-005"/>
    <x v="1"/>
    <s v="Go to R-HC-005"/>
    <s v="ResidentialHigh-efficiency natural gas boiler, kBTU/hour of Heating"/>
    <x v="4"/>
    <x v="4"/>
    <s v="kBTU/hour of Heating"/>
    <x v="2"/>
    <s v="Barend"/>
    <s v="Barend reviewed"/>
    <s v="Updates necessary. Need to examine typical boiler (steam or water) and sizing defaults."/>
    <s v="Required - NOT STARTED"/>
    <s v="Home - detached"/>
    <s v="Average"/>
    <s v="RET"/>
    <s v="Natural gas"/>
    <s v="Natural gas"/>
    <n v="25"/>
    <n v="0"/>
    <n v="0"/>
    <n v="0"/>
    <n v="0"/>
    <n v="0"/>
    <n v="0"/>
    <n v="0"/>
    <s v=""/>
    <n v="0"/>
    <n v="0"/>
    <n v="0"/>
    <n v="0"/>
  </r>
  <r>
    <s v="R-HC-006"/>
    <x v="1"/>
    <s v="Go to R-HC-006"/>
    <s v="ResidentialHigh-efficiency air source heat pump, kBTU/hour of Heating"/>
    <x v="50"/>
    <x v="50"/>
    <s v="kBTU/hour of Heating"/>
    <x v="2"/>
    <s v="Barend"/>
    <s v="Barend reviewed"/>
    <s v="Barend reviewed. Need to assess heating season's energy efficiency derating due to cold climate conditions. Currently only 10% (from Illinois)."/>
    <s v="Required - NOT STARTED"/>
    <s v="Home - detached"/>
    <s v="Average"/>
    <s v="RET"/>
    <s v="Natural gas"/>
    <s v="Natural gas"/>
    <n v="16"/>
    <n v="65.512675789968512"/>
    <n v="0"/>
    <n v="3.7342225200282048E-2"/>
    <n v="0"/>
    <n v="1048.2028126394962"/>
    <n v="0"/>
    <n v="0.59747560320451276"/>
    <n v="0"/>
    <n v="87.740169427199461"/>
    <n v="68.554833318448374"/>
    <n v="0"/>
    <n v="19.185336108751088"/>
  </r>
  <r>
    <s v="R-HC-007"/>
    <x v="1"/>
    <s v="Go to R-HC-007"/>
    <s v="ResidentialAir source heat pump replacing natural gas furnace, kBTU/hour of Heating"/>
    <x v="51"/>
    <x v="51"/>
    <s v="kBTU/hour of Heating"/>
    <x v="2"/>
    <s v="Barend"/>
    <s v="Barend reviewed"/>
    <s v="Barend reviewed. Need to assess heating season's energy efficiency derating due to cold climate conditions. Currently only 10% (from Illinois)."/>
    <s v="Required - NOT STARTED"/>
    <s v="Home - detached"/>
    <s v="Average"/>
    <s v="RET"/>
    <s v="Natural gas"/>
    <s v="Natural gas"/>
    <n v="16"/>
    <n v="-323.19101752493845"/>
    <n v="3.4715760571818479"/>
    <n v="-5.1306859273749228E-3"/>
    <n v="0"/>
    <n v="-5171.0562803990151"/>
    <n v="55.545216914909567"/>
    <n v="-8.2090974837998765E-2"/>
    <s v=""/>
    <n v="-138.73363669402181"/>
    <n v="-338.19876946370306"/>
    <n v="202.10112817320058"/>
    <n v="-2.6359954035193298"/>
  </r>
  <r>
    <s v="R-HC-008"/>
    <x v="1"/>
    <s v="Go to R-HC-008"/>
    <s v="ResidentialHeat and energy recovery ventilation, Custom"/>
    <x v="52"/>
    <x v="52"/>
    <s v="Custom"/>
    <x v="2"/>
    <m/>
    <s v="Barend reviewed"/>
    <s v="Custom measure added"/>
    <m/>
    <s v="Home - detached"/>
    <s v="Average"/>
    <s v="RET"/>
    <s v="Natural gas"/>
    <s v="Natural gas"/>
    <n v="18"/>
    <n v="0"/>
    <n v="0"/>
    <n v="0"/>
    <n v="0"/>
    <n v="0"/>
    <n v="0"/>
    <n v="0"/>
    <s v=""/>
    <n v="0"/>
    <n v="0"/>
    <n v="0"/>
    <n v="0"/>
  </r>
  <r>
    <s v="R-HC-009"/>
    <x v="1"/>
    <s v="Go to R-HC-009"/>
    <s v="ResidentialPipe and duct insulation, Custom"/>
    <x v="15"/>
    <x v="15"/>
    <s v="Custom"/>
    <x v="2"/>
    <m/>
    <s v="Barend reviewed"/>
    <s v="Custom measure added"/>
    <m/>
    <s v="Home - detached"/>
    <s v="Average"/>
    <s v="RET"/>
    <s v="Natural gas"/>
    <s v="Natural gas"/>
    <n v="18"/>
    <n v="0"/>
    <n v="0"/>
    <n v="0"/>
    <n v="0"/>
    <n v="0"/>
    <n v="0"/>
    <n v="0"/>
    <s v=""/>
    <n v="0"/>
    <n v="0"/>
    <n v="0"/>
    <n v="0"/>
  </r>
  <r>
    <s v="R-L-001"/>
    <x v="1"/>
    <s v="Go to R-L-001"/>
    <s v="ResidentialIndoor lighting control, Sensor"/>
    <x v="18"/>
    <x v="18"/>
    <s v="Sensor"/>
    <x v="6"/>
    <m/>
    <s v="Brendan reviewed"/>
    <s v="Lee completed. (Later: update TRM baseline efficiency , electric heat interactive effect.)"/>
    <m/>
    <s v="Home - detached"/>
    <s v="Average"/>
    <s v="RET"/>
    <s v="Natural gas"/>
    <s v="Natural gas"/>
    <n v="10"/>
    <n v="210.11200000000002"/>
    <n v="-0.64271579903999998"/>
    <n v="8.6608060074923526E-2"/>
    <n v="0"/>
    <n v="2101.1200000000003"/>
    <n v="-6.4271579903999996"/>
    <n v="0.86608060074923521"/>
    <n v="0"/>
    <n v="155.55020605591503"/>
    <n v="148.7328157883301"/>
    <n v="-24.185595893528092"/>
    <n v="31.002986161113014"/>
  </r>
  <r>
    <s v="R-L-002"/>
    <x v="1"/>
    <s v="Go to R-L-002"/>
    <s v="ResidentialLighting fixture, Fixture"/>
    <x v="53"/>
    <x v="53"/>
    <s v="Fixture"/>
    <x v="7"/>
    <m/>
    <s v="Lee reviewed"/>
    <s v="Lee completed. Inputs need update but algorithm is good"/>
    <m/>
    <s v="Home - detached"/>
    <s v="Average"/>
    <s v="RET"/>
    <s v="Natural gas"/>
    <s v="Natural gas"/>
    <n v="15"/>
    <n v="37.713846954722761"/>
    <n v="-7.4355227196560916E-2"/>
    <n v="1.7661129658802985E-2"/>
    <n v="0"/>
    <n v="565.70770432084146"/>
    <n v="-1.1153284079484138"/>
    <n v="0.26491694488204476"/>
    <n v="0"/>
    <n v="42.081885852691826"/>
    <n v="37.502933846067862"/>
    <n v="-4.0902781927677117"/>
    <n v="8.6692301993916754"/>
  </r>
  <r>
    <s v="R-L-003"/>
    <x v="1"/>
    <s v="Go to R-L-003"/>
    <s v="ResidentialGeneral service and specialty lamp, Lamp"/>
    <x v="23"/>
    <x v="23"/>
    <s v="Lamp"/>
    <x v="8"/>
    <m/>
    <s v="Lee reviewed"/>
    <s v="Lee completed. Merged general service lighting and specialty lamps."/>
    <m/>
    <s v="Home - detached"/>
    <s v="Average"/>
    <s v="RET"/>
    <s v="Natural gas"/>
    <s v="Natural gas"/>
    <n v="15"/>
    <n v="51.381262881093683"/>
    <n v="-0.10130139945035548"/>
    <n v="2.406148454877791E-2"/>
    <n v="0"/>
    <n v="770.71894321640525"/>
    <n v="-1.5195209917553321"/>
    <n v="0.36092226823166862"/>
    <n v="0"/>
    <n v="57.332269554076063"/>
    <n v="51.093915321618347"/>
    <n v="-5.5725860936889804"/>
    <n v="11.810940326146696"/>
  </r>
  <r>
    <s v="R-W-001"/>
    <x v="1"/>
    <s v="Go to R-W-001"/>
    <s v="ResidentialDrain water heat recovery, Drain"/>
    <x v="41"/>
    <x v="41"/>
    <s v="Drain"/>
    <x v="15"/>
    <m/>
    <s v="Brendan reviewed"/>
    <s v="Barend completed. Added electricity algorithm."/>
    <m/>
    <s v="Home - detached"/>
    <s v="Average"/>
    <s v="RET"/>
    <s v="Natural gas"/>
    <s v="Natural gas"/>
    <n v="20"/>
    <n v="0"/>
    <n v="4.1311895006851058"/>
    <n v="0.21311567277184257"/>
    <n v="0"/>
    <n v="0"/>
    <n v="82.62379001370212"/>
    <n v="4.2623134554368516"/>
    <s v=""/>
    <n v="416.3176862705044"/>
    <n v="0"/>
    <n v="289.51543732506315"/>
    <n v="126.80224894544122"/>
  </r>
  <r>
    <s v="R-W-002"/>
    <x v="1"/>
    <s v="Go to R-W-002"/>
    <s v="ResidentialTankless natural gas water heater, Water Heater"/>
    <x v="38"/>
    <x v="38"/>
    <s v="Water Heater"/>
    <x v="15"/>
    <m/>
    <s v="Brendan reviewed"/>
    <s v="Barend completed. Updated baseline energy efficiency."/>
    <m/>
    <s v="Home - detached"/>
    <s v="Average"/>
    <s v="RET"/>
    <s v="Natural gas"/>
    <s v="Natural gas"/>
    <n v="13"/>
    <n v="0"/>
    <n v="9.2747184381611625"/>
    <n v="0.47845490006941988"/>
    <n v="0"/>
    <n v="0"/>
    <n v="120.57133969609511"/>
    <n v="6.2199137009024588"/>
    <s v=""/>
    <n v="660.16999295320397"/>
    <n v="0"/>
    <n v="448.90309536420409"/>
    <n v="211.26689758899991"/>
  </r>
  <r>
    <s v="R-W-003"/>
    <x v="1"/>
    <s v="Go to R-W-003"/>
    <s v="ResidentialHeat pump water heater, Water Heater"/>
    <x v="54"/>
    <x v="54"/>
    <s v="Water Heater"/>
    <x v="15"/>
    <m/>
    <s v="Brendan reviewed"/>
    <s v="Barend completed. Algorithm updated with Canada ENERGY STAR efficiency inputs. RRP Baseline data used for baseline efficiency."/>
    <m/>
    <s v="Home - detached"/>
    <s v="Average"/>
    <s v="RET"/>
    <s v="Natural gas"/>
    <s v="Natural gas"/>
    <n v="15"/>
    <n v="2751.9600839650352"/>
    <n v="-4.909147789987812"/>
    <n v="1.3153690408179686"/>
    <n v="0"/>
    <n v="41279.401259475526"/>
    <n v="-73.637216849817179"/>
    <n v="19.730535612269527"/>
    <n v="0"/>
    <n v="3112.1864396460128"/>
    <n v="2736.5698625193131"/>
    <n v="-270.05203141104363"/>
    <n v="645.66860853774335"/>
  </r>
  <r>
    <s v="R-WB-001"/>
    <x v="1"/>
    <s v="Go to R-WB-001"/>
    <s v="ResidentialAttic insulation, ft^2 of Insulation"/>
    <x v="55"/>
    <x v="55"/>
    <s v="ft^2 of Insulation"/>
    <x v="16"/>
    <m/>
    <s v="Brendan and Barend reviewed"/>
    <s v="Barend completed. Added electricity algorithm."/>
    <m/>
    <s v="Home - detached"/>
    <s v="Average"/>
    <s v="RET"/>
    <s v="Natural gas"/>
    <s v="Natural gas"/>
    <n v="20"/>
    <n v="0.24843477044367704"/>
    <n v="2.6372745019872024E-2"/>
    <n v="1.502098616493034E-3"/>
    <n v="0"/>
    <n v="4.9686954088735407"/>
    <n v="0.52745490039744047"/>
    <n v="3.0041972329860681E-2"/>
    <n v="0"/>
    <n v="3.0497856641585677"/>
    <n v="0.30783542053006258"/>
    <n v="1.8482126773957983"/>
    <n v="0.89373756623270684"/>
  </r>
  <r>
    <s v="R-WB-002"/>
    <x v="1"/>
    <s v="Go to R-WB-002"/>
    <s v="ResidentialWall insulation, ft^2 of Insulation"/>
    <x v="56"/>
    <x v="56"/>
    <s v="ft^2 of Insulation"/>
    <x v="16"/>
    <m/>
    <s v="Brendan and Barend reviewed"/>
    <s v="Barend completed. Added electricity algorithm."/>
    <m/>
    <s v="Home - detached"/>
    <s v="Average"/>
    <s v="RET"/>
    <s v="Natural gas"/>
    <s v="Natural gas"/>
    <n v="20"/>
    <n v="8.7037661198168025E-4"/>
    <n v="1.5071273189790766E-2"/>
    <n v="7.7797788471056578E-4"/>
    <n v="0"/>
    <n v="1.7407532239633604E-2"/>
    <n v="0.30142546379581531"/>
    <n v="1.5559557694211315E-2"/>
    <n v="0"/>
    <n v="1.5201705137721619"/>
    <n v="1.0784832972068014E-3"/>
    <n v="1.0562009435452342"/>
    <n v="0.46289108692972086"/>
  </r>
  <r>
    <s v="R-WB-003"/>
    <x v="1"/>
    <s v="Go to R-WB-003"/>
    <s v="ResidentialCrawlspace insulation, ft^2 of Insulation"/>
    <x v="57"/>
    <x v="57"/>
    <s v="ft^2 of Insulation"/>
    <x v="16"/>
    <m/>
    <s v="Brendan and Barend reviewed"/>
    <s v="Barend completed. Added electricity algorithm."/>
    <m/>
    <s v="Home - detached"/>
    <s v="Average"/>
    <s v="RET"/>
    <s v="Natural gas"/>
    <s v="Natural gas"/>
    <n v="20"/>
    <n v="1.3410247058680701E-3"/>
    <n v="2.3220924618344293E-2"/>
    <n v="1.1986622223688719E-3"/>
    <n v="0"/>
    <n v="2.6820494117361402E-2"/>
    <n v="0.46441849236688587"/>
    <n v="2.3973244447377438E-2"/>
    <n v="0"/>
    <n v="2.3421886434415531"/>
    <n v="1.6616631542149235E-3"/>
    <n v="1.6273318241289534"/>
    <n v="0.7131951561583848"/>
  </r>
  <r>
    <s v="R-WB-004"/>
    <x v="1"/>
    <s v="Go to R-WB-004"/>
    <s v="ResidentialRim joist insulation, ft^2 of Insulation"/>
    <x v="58"/>
    <x v="58"/>
    <s v="ft^2 of Insulation"/>
    <x v="16"/>
    <m/>
    <s v="Brendan reviewed"/>
    <s v="Barend completed. Added electricity algorithm."/>
    <m/>
    <s v="Home - detached"/>
    <s v="Average"/>
    <s v="RET"/>
    <s v="Natural gas"/>
    <s v="Natural gas"/>
    <n v="20"/>
    <n v="9.7719555981579543E-4"/>
    <n v="1.692092944490145E-2"/>
    <n v="8.7345698874322618E-4"/>
    <n v="0"/>
    <n v="1.9543911196315909E-2"/>
    <n v="0.338418588898029"/>
    <n v="1.7469139774864525E-2"/>
    <n v="0"/>
    <n v="1.7067368950078361"/>
    <n v="1.2108426109549088E-3"/>
    <n v="1.1858256047985127"/>
    <n v="0.51970044759836842"/>
  </r>
  <r>
    <s v="R-WB-005"/>
    <x v="1"/>
    <s v="Go to R-WB-005"/>
    <s v="ResidentialTriple pane low-e window, ft^2 of Window"/>
    <x v="59"/>
    <x v="59"/>
    <s v="ft^2 of Window"/>
    <x v="16"/>
    <m/>
    <s v="Barend reviewed"/>
    <s v="Barend updated baseline and efficient U-factors using RRP past program data."/>
    <m/>
    <s v="Home - detached"/>
    <s v="Average"/>
    <s v="RET"/>
    <s v="Natural gas"/>
    <s v="Natural gas"/>
    <n v="15"/>
    <n v="0"/>
    <n v="6.1934450588564796E-2"/>
    <n v="3.1950125025122923E-3"/>
    <n v="0"/>
    <n v="0"/>
    <n v="0.9290167588284719"/>
    <n v="4.7925187537684384E-2"/>
    <s v=""/>
    <n v="4.9753315224831107"/>
    <n v="0"/>
    <n v="3.4070117485320917"/>
    <n v="1.5683197739510191"/>
  </r>
  <r>
    <s v="R-WB-006"/>
    <x v="1"/>
    <s v="Go to R-WB-006"/>
    <s v="ResidentialAir sealing (infiltration reduction), Custom"/>
    <x v="60"/>
    <x v="60"/>
    <s v="Custom"/>
    <x v="16"/>
    <m/>
    <s v="Barend reviewed"/>
    <s v="Custom measure added"/>
    <m/>
    <s v="Home - detached"/>
    <s v="Average"/>
    <s v="RET"/>
    <s v="Natural gas"/>
    <s v="Natural gas"/>
    <n v="15"/>
    <n v="0"/>
    <n v="0"/>
    <n v="0"/>
    <n v="0"/>
    <n v="0"/>
    <n v="0"/>
    <n v="0"/>
    <s v=""/>
    <n v="0"/>
    <n v="0"/>
    <n v="0"/>
    <n v="0"/>
  </r>
  <r>
    <s v="R-WB-007"/>
    <x v="1"/>
    <s v="Go to R-WB-007"/>
    <s v="ResidentialWindow shading device, Custom"/>
    <x v="61"/>
    <x v="61"/>
    <s v="Custom"/>
    <x v="16"/>
    <m/>
    <s v="Barend reviewed"/>
    <s v="Custom measure added"/>
    <m/>
    <s v="Home - detached"/>
    <s v="Average"/>
    <s v="RET"/>
    <s v="Natural gas"/>
    <s v="Natural gas"/>
    <n v="15"/>
    <n v="0"/>
    <n v="0"/>
    <n v="0"/>
    <n v="0"/>
    <n v="0"/>
    <n v="0"/>
    <n v="0"/>
    <s v=""/>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455F594-8132-4AA4-B700-AC4F9FEDA44E}" name="MeasureDetails" cacheId="0" applyNumberFormats="0" applyBorderFormats="0" applyFontFormats="0" applyPatternFormats="0" applyAlignmentFormats="0" applyWidthHeightFormats="1" dataCaption="Values" updatedVersion="6" minRefreshableVersion="3" showDrill="0" rowGrandTotals="0" colGrandTotals="0" itemPrintTitles="1" createdVersion="6" indent="0" multipleFieldFilters="0" rowHeaderCaption="Measures" fieldListSortAscending="1">
  <location ref="E12:J74" firstHeaderRow="0" firstDataRow="1" firstDataCol="1" rowPageCount="1" colPageCount="1"/>
  <pivotFields count="30">
    <pivotField showAll="0" defaultSubtotal="0"/>
    <pivotField axis="axisPage" multipleItemSelectionAllowed="1" showAll="0" defaultSubtotal="0">
      <items count="4">
        <item m="1" x="2"/>
        <item x="0"/>
        <item m="1" x="3"/>
        <item x="1"/>
      </items>
    </pivotField>
    <pivotField showAll="0" defaultSubtotal="0"/>
    <pivotField subtotalTop="0" showAll="0" defaultSubtotal="0"/>
    <pivotField axis="axisRow" subtotalTop="0" showAll="0" sortType="ascending" defaultSubtotal="0">
      <items count="70">
        <item m="1" x="69"/>
        <item x="42"/>
        <item x="43"/>
        <item x="60"/>
        <item x="51"/>
        <item x="55"/>
        <item x="27"/>
        <item x="32"/>
        <item x="21"/>
        <item x="44"/>
        <item m="1" x="62"/>
        <item x="45"/>
        <item x="57"/>
        <item x="0"/>
        <item x="16"/>
        <item x="6"/>
        <item x="20"/>
        <item x="41"/>
        <item x="49"/>
        <item x="34"/>
        <item x="23"/>
        <item x="52"/>
        <item x="54"/>
        <item x="50"/>
        <item x="48"/>
        <item x="29"/>
        <item x="37"/>
        <item x="2"/>
        <item x="7"/>
        <item x="30"/>
        <item x="35"/>
        <item x="4"/>
        <item x="8"/>
        <item x="10"/>
        <item x="39"/>
        <item x="5"/>
        <item x="17"/>
        <item x="3"/>
        <item x="46"/>
        <item x="18"/>
        <item x="26"/>
        <item x="53"/>
        <item x="24"/>
        <item x="40"/>
        <item x="25"/>
        <item x="19"/>
        <item x="15"/>
        <item m="1" x="68"/>
        <item m="1" x="64"/>
        <item m="1" x="65"/>
        <item m="1" x="63"/>
        <item x="36"/>
        <item m="1" x="67"/>
        <item x="31"/>
        <item x="47"/>
        <item x="58"/>
        <item x="1"/>
        <item x="28"/>
        <item x="33"/>
        <item x="38"/>
        <item x="59"/>
        <item x="22"/>
        <item m="1" x="66"/>
        <item x="12"/>
        <item x="14"/>
        <item x="13"/>
        <item x="11"/>
        <item x="9"/>
        <item x="56"/>
        <item x="61"/>
      </items>
    </pivotField>
    <pivotField showAll="0" defaultSubtotal="0">
      <items count="68">
        <item x="42"/>
        <item x="43"/>
        <item x="60"/>
        <item x="51"/>
        <item x="55"/>
        <item x="27"/>
        <item x="32"/>
        <item x="21"/>
        <item x="44"/>
        <item m="1" x="67"/>
        <item x="45"/>
        <item x="57"/>
        <item x="0"/>
        <item x="16"/>
        <item x="6"/>
        <item x="20"/>
        <item x="41"/>
        <item x="49"/>
        <item x="34"/>
        <item x="23"/>
        <item x="52"/>
        <item x="54"/>
        <item x="50"/>
        <item x="2"/>
        <item x="7"/>
        <item x="30"/>
        <item x="35"/>
        <item x="4"/>
        <item x="8"/>
        <item x="10"/>
        <item x="39"/>
        <item x="5"/>
        <item x="46"/>
        <item x="18"/>
        <item x="26"/>
        <item x="53"/>
        <item x="24"/>
        <item x="40"/>
        <item x="25"/>
        <item x="19"/>
        <item x="15"/>
        <item m="1" x="65"/>
        <item m="1" x="64"/>
        <item m="1" x="66"/>
        <item x="36"/>
        <item m="1" x="62"/>
        <item x="47"/>
        <item x="58"/>
        <item x="1"/>
        <item x="28"/>
        <item x="33"/>
        <item x="38"/>
        <item x="59"/>
        <item x="22"/>
        <item m="1" x="63"/>
        <item x="12"/>
        <item x="14"/>
        <item x="13"/>
        <item x="11"/>
        <item x="9"/>
        <item x="56"/>
        <item x="61"/>
        <item x="3"/>
        <item x="17"/>
        <item x="29"/>
        <item x="31"/>
        <item x="37"/>
        <item x="48"/>
      </items>
    </pivotField>
    <pivotField showAll="0" defaultSubtotal="0"/>
    <pivotField showAll="0" defaultSubtotal="0">
      <items count="17">
        <item x="5"/>
        <item x="4"/>
        <item x="0"/>
        <item x="1"/>
        <item x="2"/>
        <item x="6"/>
        <item x="7"/>
        <item x="8"/>
        <item x="9"/>
        <item x="10"/>
        <item x="3"/>
        <item x="14"/>
        <item x="11"/>
        <item x="13"/>
        <item x="12"/>
        <item x="15"/>
        <item x="1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numFmtId="1" showAll="0" defaultSubtotal="0"/>
    <pivotField numFmtId="187" subtotalTop="0" showAll="0" defaultSubtotal="0"/>
    <pivotField numFmtId="187" subtotalTop="0" showAll="0" defaultSubtotal="0"/>
    <pivotField numFmtId="187" subtotalTop="0" showAll="0" defaultSubtotal="0"/>
    <pivotField numFmtId="6" subtotalTop="0" showAll="0" defaultSubtotal="0"/>
    <pivotField dataField="1" numFmtId="169" subtotalTop="0" showAll="0" defaultSubtotal="0"/>
    <pivotField dataField="1" numFmtId="169" subtotalTop="0" showAll="0" defaultSubtotal="0"/>
    <pivotField dataField="1" numFmtId="169" subtotalTop="0" showAll="0" defaultSubtotal="0"/>
    <pivotField showAll="0" defaultSubtotal="0"/>
    <pivotField dataField="1" numFmtId="8" subtotalTop="0" showAll="0" defaultSubtotal="0"/>
    <pivotField numFmtId="6" subtotalTop="0" showAll="0" defaultSubtotal="0"/>
    <pivotField numFmtId="6" subtotalTop="0" showAll="0" defaultSubtotal="0"/>
    <pivotField numFmtId="6" subtotalTop="0" showAll="0" defaultSubtotal="0"/>
  </pivotFields>
  <rowFields count="1">
    <field x="4"/>
  </rowFields>
  <rowItems count="62">
    <i>
      <x v="1"/>
    </i>
    <i>
      <x v="2"/>
    </i>
    <i>
      <x v="3"/>
    </i>
    <i>
      <x v="4"/>
    </i>
    <i>
      <x v="5"/>
    </i>
    <i>
      <x v="6"/>
    </i>
    <i>
      <x v="7"/>
    </i>
    <i>
      <x v="8"/>
    </i>
    <i>
      <x v="9"/>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51"/>
    </i>
    <i>
      <x v="53"/>
    </i>
    <i>
      <x v="54"/>
    </i>
    <i>
      <x v="55"/>
    </i>
    <i>
      <x v="56"/>
    </i>
    <i>
      <x v="57"/>
    </i>
    <i>
      <x v="58"/>
    </i>
    <i>
      <x v="59"/>
    </i>
    <i>
      <x v="60"/>
    </i>
    <i>
      <x v="61"/>
    </i>
    <i>
      <x v="63"/>
    </i>
    <i>
      <x v="64"/>
    </i>
    <i>
      <x v="65"/>
    </i>
    <i>
      <x v="66"/>
    </i>
    <i>
      <x v="67"/>
    </i>
    <i>
      <x v="68"/>
    </i>
    <i>
      <x v="69"/>
    </i>
  </rowItems>
  <colFields count="1">
    <field x="-2"/>
  </colFields>
  <colItems count="5">
    <i>
      <x/>
    </i>
    <i i="1">
      <x v="1"/>
    </i>
    <i i="2">
      <x v="2"/>
    </i>
    <i i="3">
      <x v="3"/>
    </i>
    <i i="4">
      <x v="4"/>
    </i>
  </colItems>
  <pageFields count="1">
    <pageField fld="1" hier="-1"/>
  </pageFields>
  <dataFields count="5">
    <dataField name="Measure Life (yrs) " fld="17" baseField="0" baseItem="0" numFmtId="3"/>
    <dataField name="Lifetime Electric Savings (kWh) " fld="22" baseField="0" baseItem="0"/>
    <dataField name="Lifetime Natural Gas Savings (GJ) " fld="23" baseField="0" baseItem="0"/>
    <dataField name="Lifetime GHG Emissions Reductions (tCO2e) " fld="24" baseField="0" baseItem="0"/>
    <dataField name="Lifetime Value of Savings ($)" fld="26" baseField="0" baseItem="0" numFmtId="6"/>
  </dataFields>
  <formats count="279">
    <format dxfId="4683">
      <pivotArea outline="0" collapsedLevelsAreSubtotals="1" fieldPosition="0"/>
    </format>
    <format dxfId="4682">
      <pivotArea type="all" dataOnly="0" outline="0" fieldPosition="0"/>
    </format>
    <format dxfId="4681">
      <pivotArea outline="0" collapsedLevelsAreSubtotals="1" fieldPosition="0"/>
    </format>
    <format dxfId="4680">
      <pivotArea field="5" type="button" dataOnly="0" labelOnly="1" outline="0"/>
    </format>
    <format dxfId="4679">
      <pivotArea outline="0" collapsedLevelsAreSubtotals="1" fieldPosition="0"/>
    </format>
    <format dxfId="4678">
      <pivotArea type="all" dataOnly="0" outline="0" fieldPosition="0"/>
    </format>
    <format dxfId="4677">
      <pivotArea outline="0" collapsedLevelsAreSubtotals="1" fieldPosition="0"/>
    </format>
    <format dxfId="4676">
      <pivotArea field="5" type="button" dataOnly="0" labelOnly="1" outline="0"/>
    </format>
    <format dxfId="4675">
      <pivotArea type="all" dataOnly="0" outline="0" fieldPosition="0"/>
    </format>
    <format dxfId="4674">
      <pivotArea dataOnly="0" labelOnly="1" outline="0" fieldPosition="0">
        <references count="1">
          <reference field="4294967294" count="3">
            <x v="1"/>
            <x v="2"/>
            <x v="3"/>
          </reference>
        </references>
      </pivotArea>
    </format>
    <format dxfId="4673">
      <pivotArea dataOnly="0" labelOnly="1" outline="0" fieldPosition="0">
        <references count="1">
          <reference field="4294967294" count="3">
            <x v="1"/>
            <x v="2"/>
            <x v="3"/>
          </reference>
        </references>
      </pivotArea>
    </format>
    <format dxfId="4672">
      <pivotArea dataOnly="0" labelOnly="1" outline="0" fieldPosition="0">
        <references count="1">
          <reference field="4294967294" count="1">
            <x v="0"/>
          </reference>
        </references>
      </pivotArea>
    </format>
    <format dxfId="4671">
      <pivotArea dataOnly="0" labelOnly="1" outline="0" fieldPosition="0">
        <references count="1">
          <reference field="4294967294" count="1">
            <x v="0"/>
          </reference>
        </references>
      </pivotArea>
    </format>
    <format dxfId="4670">
      <pivotArea outline="0" collapsedLevelsAreSubtotals="1" fieldPosition="0">
        <references count="1">
          <reference field="4294967294" count="1" selected="0">
            <x v="0"/>
          </reference>
        </references>
      </pivotArea>
    </format>
    <format dxfId="4669">
      <pivotArea dataOnly="0" labelOnly="1" outline="0" fieldPosition="0">
        <references count="1">
          <reference field="4294967294" count="4">
            <x v="0"/>
            <x v="1"/>
            <x v="2"/>
            <x v="3"/>
          </reference>
        </references>
      </pivotArea>
    </format>
    <format dxfId="4668">
      <pivotArea field="5" type="button" dataOnly="0" labelOnly="1" outline="0"/>
    </format>
    <format dxfId="4667">
      <pivotArea outline="0" collapsedLevelsAreSubtotals="1" fieldPosition="0"/>
    </format>
    <format dxfId="4666">
      <pivotArea type="all" dataOnly="0" outline="0" fieldPosition="0"/>
    </format>
    <format dxfId="4665">
      <pivotArea field="5" type="button" dataOnly="0" labelOnly="1" outline="0"/>
    </format>
    <format dxfId="4664">
      <pivotArea dataOnly="0" labelOnly="1" outline="0" fieldPosition="0">
        <references count="1">
          <reference field="4294967294" count="4">
            <x v="0"/>
            <x v="1"/>
            <x v="2"/>
            <x v="3"/>
          </reference>
        </references>
      </pivotArea>
    </format>
    <format dxfId="4663">
      <pivotArea dataOnly="0" labelOnly="1" fieldPosition="0">
        <references count="1">
          <reference field="4" count="7">
            <x v="4"/>
            <x v="18"/>
            <x v="21"/>
            <x v="23"/>
            <x v="31"/>
            <x v="32"/>
            <x v="46"/>
          </reference>
        </references>
      </pivotArea>
    </format>
    <format dxfId="4662">
      <pivotArea dataOnly="0" labelOnly="1" fieldPosition="0">
        <references count="1">
          <reference field="4" count="7">
            <x v="4"/>
            <x v="18"/>
            <x v="21"/>
            <x v="23"/>
            <x v="31"/>
            <x v="32"/>
            <x v="46"/>
          </reference>
        </references>
      </pivotArea>
    </format>
    <format dxfId="4661">
      <pivotArea outline="0" collapsedLevelsAreSubtotals="1" fieldPosition="0"/>
    </format>
    <format dxfId="4660">
      <pivotArea dataOnly="0" labelOnly="1" fieldPosition="0">
        <references count="1">
          <reference field="4" count="7">
            <x v="4"/>
            <x v="18"/>
            <x v="21"/>
            <x v="23"/>
            <x v="31"/>
            <x v="32"/>
            <x v="46"/>
          </reference>
        </references>
      </pivotArea>
    </format>
    <format dxfId="4659">
      <pivotArea outline="0" collapsedLevelsAreSubtotals="1" fieldPosition="0"/>
    </format>
    <format dxfId="4658">
      <pivotArea dataOnly="0" labelOnly="1" fieldPosition="0">
        <references count="1">
          <reference field="4" count="7">
            <x v="4"/>
            <x v="18"/>
            <x v="21"/>
            <x v="23"/>
            <x v="31"/>
            <x v="32"/>
            <x v="46"/>
          </reference>
        </references>
      </pivotArea>
    </format>
    <format dxfId="4657">
      <pivotArea outline="0" collapsedLevelsAreSubtotals="1" fieldPosition="0"/>
    </format>
    <format dxfId="4656">
      <pivotArea dataOnly="0" labelOnly="1" fieldPosition="0">
        <references count="1">
          <reference field="4" count="1">
            <x v="39"/>
          </reference>
        </references>
      </pivotArea>
    </format>
    <format dxfId="4655">
      <pivotArea dataOnly="0" labelOnly="1" outline="0" fieldPosition="0">
        <references count="1">
          <reference field="4294967294" count="4">
            <x v="0"/>
            <x v="1"/>
            <x v="2"/>
            <x v="3"/>
          </reference>
        </references>
      </pivotArea>
    </format>
    <format dxfId="4654">
      <pivotArea dataOnly="0" labelOnly="1" outline="0" fieldPosition="0">
        <references count="1">
          <reference field="4294967294" count="1">
            <x v="4"/>
          </reference>
        </references>
      </pivotArea>
    </format>
    <format dxfId="4653">
      <pivotArea outline="0" collapsedLevelsAreSubtotals="1" fieldPosition="0">
        <references count="1">
          <reference field="4294967294" count="1" selected="0">
            <x v="4"/>
          </reference>
        </references>
      </pivotArea>
    </format>
    <format dxfId="4652">
      <pivotArea type="all" dataOnly="0" outline="0" fieldPosition="0"/>
    </format>
    <format dxfId="4651">
      <pivotArea outline="0" collapsedLevelsAreSubtotals="1" fieldPosition="0"/>
    </format>
    <format dxfId="4650">
      <pivotArea field="4" type="button" dataOnly="0" labelOnly="1" outline="0" axis="axisRow" fieldPosition="0"/>
    </format>
    <format dxfId="4649">
      <pivotArea dataOnly="0" labelOnly="1" fieldPosition="0">
        <references count="1">
          <reference field="4" count="50">
            <x v="2"/>
            <x v="3"/>
            <x v="4"/>
            <x v="5"/>
            <x v="6"/>
            <x v="7"/>
            <x v="8"/>
            <x v="9"/>
            <x v="11"/>
            <x v="12"/>
            <x v="13"/>
            <x v="14"/>
            <x v="15"/>
            <x v="16"/>
            <x v="17"/>
            <x v="18"/>
            <x v="19"/>
            <x v="20"/>
            <x v="21"/>
            <x v="22"/>
            <x v="23"/>
            <x v="27"/>
            <x v="28"/>
            <x v="29"/>
            <x v="30"/>
            <x v="31"/>
            <x v="32"/>
            <x v="33"/>
            <x v="34"/>
            <x v="35"/>
            <x v="38"/>
            <x v="39"/>
            <x v="40"/>
            <x v="41"/>
            <x v="42"/>
            <x v="43"/>
            <x v="44"/>
            <x v="45"/>
            <x v="46"/>
            <x v="51"/>
            <x v="54"/>
            <x v="55"/>
            <x v="56"/>
            <x v="57"/>
            <x v="58"/>
            <x v="59"/>
            <x v="60"/>
            <x v="61"/>
            <x v="63"/>
            <x v="64"/>
          </reference>
        </references>
      </pivotArea>
    </format>
    <format dxfId="4648">
      <pivotArea dataOnly="0" labelOnly="1" fieldPosition="0">
        <references count="1">
          <reference field="4" count="12">
            <x v="1"/>
            <x v="24"/>
            <x v="25"/>
            <x v="26"/>
            <x v="36"/>
            <x v="37"/>
            <x v="53"/>
            <x v="65"/>
            <x v="66"/>
            <x v="67"/>
            <x v="68"/>
            <x v="69"/>
          </reference>
        </references>
      </pivotArea>
    </format>
    <format dxfId="4647">
      <pivotArea dataOnly="0" labelOnly="1" outline="0" fieldPosition="0">
        <references count="1">
          <reference field="4294967294" count="5">
            <x v="0"/>
            <x v="1"/>
            <x v="2"/>
            <x v="3"/>
            <x v="4"/>
          </reference>
        </references>
      </pivotArea>
    </format>
    <format dxfId="4646">
      <pivotArea type="all" dataOnly="0" outline="0" fieldPosition="0"/>
    </format>
    <format dxfId="4645">
      <pivotArea outline="0" collapsedLevelsAreSubtotals="1" fieldPosition="0"/>
    </format>
    <format dxfId="4644">
      <pivotArea field="4" type="button" dataOnly="0" labelOnly="1" outline="0" axis="axisRow" fieldPosition="0"/>
    </format>
    <format dxfId="4643">
      <pivotArea dataOnly="0" labelOnly="1" fieldPosition="0">
        <references count="1">
          <reference field="4" count="1">
            <x v="14"/>
          </reference>
        </references>
      </pivotArea>
    </format>
    <format dxfId="4642">
      <pivotArea dataOnly="0" labelOnly="1" outline="0" fieldPosition="0">
        <references count="1">
          <reference field="4294967294" count="5">
            <x v="0"/>
            <x v="1"/>
            <x v="2"/>
            <x v="3"/>
            <x v="4"/>
          </reference>
        </references>
      </pivotArea>
    </format>
    <format dxfId="4641">
      <pivotArea field="4" type="button" dataOnly="0" labelOnly="1" outline="0" axis="axisRow" fieldPosition="0"/>
    </format>
    <format dxfId="4640">
      <pivotArea dataOnly="0" labelOnly="1" fieldPosition="0">
        <references count="1">
          <reference field="4" count="7">
            <x v="4"/>
            <x v="18"/>
            <x v="21"/>
            <x v="23"/>
            <x v="31"/>
            <x v="32"/>
            <x v="46"/>
          </reference>
        </references>
      </pivotArea>
    </format>
    <format dxfId="4639">
      <pivotArea type="all" dataOnly="0" outline="0" fieldPosition="0"/>
    </format>
    <format dxfId="4638">
      <pivotArea outline="0" collapsedLevelsAreSubtotals="1" fieldPosition="0"/>
    </format>
    <format dxfId="4637">
      <pivotArea field="4" type="button" dataOnly="0" labelOnly="1" outline="0" axis="axisRow" fieldPosition="0"/>
    </format>
    <format dxfId="4636">
      <pivotArea dataOnly="0" labelOnly="1" fieldPosition="0">
        <references count="1">
          <reference field="4" count="3">
            <x v="24"/>
            <x v="27"/>
            <x v="37"/>
          </reference>
        </references>
      </pivotArea>
    </format>
    <format dxfId="4635">
      <pivotArea dataOnly="0" labelOnly="1" outline="0" fieldPosition="0">
        <references count="1">
          <reference field="4294967294" count="5">
            <x v="0"/>
            <x v="1"/>
            <x v="2"/>
            <x v="3"/>
            <x v="4"/>
          </reference>
        </references>
      </pivotArea>
    </format>
    <format dxfId="4634">
      <pivotArea type="all" dataOnly="0" outline="0" fieldPosition="0"/>
    </format>
    <format dxfId="4633">
      <pivotArea outline="0" collapsedLevelsAreSubtotals="1" fieldPosition="0"/>
    </format>
    <format dxfId="4632">
      <pivotArea field="4" type="button" dataOnly="0" labelOnly="1" outline="0" axis="axisRow" fieldPosition="0"/>
    </format>
    <format dxfId="4631">
      <pivotArea dataOnly="0" labelOnly="1" fieldPosition="0">
        <references count="1">
          <reference field="4" count="2">
            <x v="39"/>
            <x v="45"/>
          </reference>
        </references>
      </pivotArea>
    </format>
    <format dxfId="4630">
      <pivotArea dataOnly="0" labelOnly="1" outline="0" fieldPosition="0">
        <references count="1">
          <reference field="4294967294" count="5">
            <x v="0"/>
            <x v="1"/>
            <x v="2"/>
            <x v="3"/>
            <x v="4"/>
          </reference>
        </references>
      </pivotArea>
    </format>
    <format dxfId="4629">
      <pivotArea type="all" dataOnly="0" outline="0" fieldPosition="0"/>
    </format>
    <format dxfId="4628">
      <pivotArea outline="0" collapsedLevelsAreSubtotals="1" fieldPosition="0"/>
    </format>
    <format dxfId="4627">
      <pivotArea field="4" type="button" dataOnly="0" labelOnly="1" outline="0" axis="axisRow" fieldPosition="0"/>
    </format>
    <format dxfId="4626">
      <pivotArea dataOnly="0" labelOnly="1" fieldPosition="0">
        <references count="1">
          <reference field="4" count="3">
            <x v="13"/>
            <x v="54"/>
            <x v="56"/>
          </reference>
        </references>
      </pivotArea>
    </format>
    <format dxfId="4625">
      <pivotArea dataOnly="0" labelOnly="1" outline="0" fieldPosition="0">
        <references count="1">
          <reference field="4294967294" count="5">
            <x v="0"/>
            <x v="1"/>
            <x v="2"/>
            <x v="3"/>
            <x v="4"/>
          </reference>
        </references>
      </pivotArea>
    </format>
    <format dxfId="4624">
      <pivotArea type="all" dataOnly="0" outline="0" fieldPosition="0"/>
    </format>
    <format dxfId="4623">
      <pivotArea outline="0" collapsedLevelsAreSubtotals="1" fieldPosition="0"/>
    </format>
    <format dxfId="4622">
      <pivotArea field="4" type="button" dataOnly="0" labelOnly="1" outline="0" axis="axisRow" fieldPosition="0"/>
    </format>
    <format dxfId="4621">
      <pivotArea dataOnly="0" labelOnly="1" fieldPosition="0">
        <references count="1">
          <reference field="4" count="2">
            <x v="39"/>
            <x v="45"/>
          </reference>
        </references>
      </pivotArea>
    </format>
    <format dxfId="4620">
      <pivotArea dataOnly="0" labelOnly="1" outline="0" fieldPosition="0">
        <references count="1">
          <reference field="4294967294" count="5">
            <x v="0"/>
            <x v="1"/>
            <x v="2"/>
            <x v="3"/>
            <x v="4"/>
          </reference>
        </references>
      </pivotArea>
    </format>
    <format dxfId="4619">
      <pivotArea type="all" dataOnly="0" outline="0" fieldPosition="0"/>
    </format>
    <format dxfId="4618">
      <pivotArea outline="0" collapsedLevelsAreSubtotals="1" fieldPosition="0"/>
    </format>
    <format dxfId="4617">
      <pivotArea field="4" type="button" dataOnly="0" labelOnly="1" outline="0" axis="axisRow" fieldPosition="0"/>
    </format>
    <format dxfId="4616">
      <pivotArea dataOnly="0" labelOnly="1" fieldPosition="0">
        <references count="1">
          <reference field="4" count="2">
            <x v="39"/>
            <x v="45"/>
          </reference>
        </references>
      </pivotArea>
    </format>
    <format dxfId="4615">
      <pivotArea dataOnly="0" labelOnly="1" outline="0" fieldPosition="0">
        <references count="1">
          <reference field="4294967294" count="5">
            <x v="0"/>
            <x v="1"/>
            <x v="2"/>
            <x v="3"/>
            <x v="4"/>
          </reference>
        </references>
      </pivotArea>
    </format>
    <format dxfId="4614">
      <pivotArea type="all" dataOnly="0" outline="0" fieldPosition="0"/>
    </format>
    <format dxfId="4613">
      <pivotArea outline="0" collapsedLevelsAreSubtotals="1" fieldPosition="0"/>
    </format>
    <format dxfId="4612">
      <pivotArea field="4" type="button" dataOnly="0" labelOnly="1" outline="0" axis="axisRow" fieldPosition="0"/>
    </format>
    <format dxfId="4611">
      <pivotArea dataOnly="0" labelOnly="1" fieldPosition="0">
        <references count="1">
          <reference field="4" count="1">
            <x v="44"/>
          </reference>
        </references>
      </pivotArea>
    </format>
    <format dxfId="4610">
      <pivotArea dataOnly="0" labelOnly="1" outline="0" fieldPosition="0">
        <references count="1">
          <reference field="4294967294" count="5">
            <x v="0"/>
            <x v="1"/>
            <x v="2"/>
            <x v="3"/>
            <x v="4"/>
          </reference>
        </references>
      </pivotArea>
    </format>
    <format dxfId="4609">
      <pivotArea type="all" dataOnly="0" outline="0" fieldPosition="0"/>
    </format>
    <format dxfId="4608">
      <pivotArea outline="0" collapsedLevelsAreSubtotals="1" fieldPosition="0"/>
    </format>
    <format dxfId="4607">
      <pivotArea field="4" type="button" dataOnly="0" labelOnly="1" outline="0" axis="axisRow" fieldPosition="0"/>
    </format>
    <format dxfId="4606">
      <pivotArea dataOnly="0" labelOnly="1" fieldPosition="0">
        <references count="1">
          <reference field="4" count="4">
            <x v="8"/>
            <x v="16"/>
            <x v="41"/>
            <x v="61"/>
          </reference>
        </references>
      </pivotArea>
    </format>
    <format dxfId="4605">
      <pivotArea dataOnly="0" labelOnly="1" outline="0" fieldPosition="0">
        <references count="1">
          <reference field="4294967294" count="5">
            <x v="0"/>
            <x v="1"/>
            <x v="2"/>
            <x v="3"/>
            <x v="4"/>
          </reference>
        </references>
      </pivotArea>
    </format>
    <format dxfId="4604">
      <pivotArea type="all" dataOnly="0" outline="0" fieldPosition="0"/>
    </format>
    <format dxfId="4603">
      <pivotArea outline="0" collapsedLevelsAreSubtotals="1" fieldPosition="0"/>
    </format>
    <format dxfId="4602">
      <pivotArea field="4" type="button" dataOnly="0" labelOnly="1" outline="0" axis="axisRow" fieldPosition="0"/>
    </format>
    <format dxfId="4601">
      <pivotArea dataOnly="0" labelOnly="1" fieldPosition="0">
        <references count="1">
          <reference field="4" count="1">
            <x v="40"/>
          </reference>
        </references>
      </pivotArea>
    </format>
    <format dxfId="4600">
      <pivotArea dataOnly="0" labelOnly="1" outline="0" fieldPosition="0">
        <references count="1">
          <reference field="4294967294" count="5">
            <x v="0"/>
            <x v="1"/>
            <x v="2"/>
            <x v="3"/>
            <x v="4"/>
          </reference>
        </references>
      </pivotArea>
    </format>
    <format dxfId="4599">
      <pivotArea type="all" dataOnly="0" outline="0" fieldPosition="0"/>
    </format>
    <format dxfId="4598">
      <pivotArea outline="0" collapsedLevelsAreSubtotals="1" fieldPosition="0"/>
    </format>
    <format dxfId="4597">
      <pivotArea field="4" type="button" dataOnly="0" labelOnly="1" outline="0" axis="axisRow" fieldPosition="0"/>
    </format>
    <format dxfId="4596">
      <pivotArea dataOnly="0" labelOnly="1" fieldPosition="0">
        <references count="1">
          <reference field="4" count="22">
            <x v="3"/>
            <x v="4"/>
            <x v="5"/>
            <x v="12"/>
            <x v="17"/>
            <x v="18"/>
            <x v="20"/>
            <x v="21"/>
            <x v="22"/>
            <x v="23"/>
            <x v="24"/>
            <x v="31"/>
            <x v="32"/>
            <x v="39"/>
            <x v="41"/>
            <x v="46"/>
            <x v="54"/>
            <x v="55"/>
            <x v="59"/>
            <x v="60"/>
            <x v="68"/>
            <x v="69"/>
          </reference>
        </references>
      </pivotArea>
    </format>
    <format dxfId="4595">
      <pivotArea dataOnly="0" labelOnly="1" outline="0" fieldPosition="0">
        <references count="1">
          <reference field="4294967294" count="5">
            <x v="0"/>
            <x v="1"/>
            <x v="2"/>
            <x v="3"/>
            <x v="4"/>
          </reference>
        </references>
      </pivotArea>
    </format>
    <format dxfId="4594">
      <pivotArea type="all" dataOnly="0" outline="0" fieldPosition="0"/>
    </format>
    <format dxfId="4593">
      <pivotArea outline="0" collapsedLevelsAreSubtotals="1" fieldPosition="0"/>
    </format>
    <format dxfId="4592">
      <pivotArea field="4" type="button" dataOnly="0" labelOnly="1" outline="0" axis="axisRow" fieldPosition="0"/>
    </format>
    <format dxfId="4591">
      <pivotArea dataOnly="0" labelOnly="1" fieldPosition="0">
        <references count="1">
          <reference field="4" count="22">
            <x v="3"/>
            <x v="4"/>
            <x v="5"/>
            <x v="12"/>
            <x v="17"/>
            <x v="18"/>
            <x v="20"/>
            <x v="21"/>
            <x v="22"/>
            <x v="23"/>
            <x v="24"/>
            <x v="31"/>
            <x v="32"/>
            <x v="39"/>
            <x v="41"/>
            <x v="46"/>
            <x v="54"/>
            <x v="55"/>
            <x v="59"/>
            <x v="60"/>
            <x v="68"/>
            <x v="69"/>
          </reference>
        </references>
      </pivotArea>
    </format>
    <format dxfId="4590">
      <pivotArea dataOnly="0" labelOnly="1" outline="0" fieldPosition="0">
        <references count="1">
          <reference field="4294967294" count="5">
            <x v="0"/>
            <x v="1"/>
            <x v="2"/>
            <x v="3"/>
            <x v="4"/>
          </reference>
        </references>
      </pivotArea>
    </format>
    <format dxfId="4589">
      <pivotArea type="all" dataOnly="0" outline="0" fieldPosition="0"/>
    </format>
    <format dxfId="4588">
      <pivotArea outline="0" collapsedLevelsAreSubtotals="1" fieldPosition="0"/>
    </format>
    <format dxfId="4587">
      <pivotArea field="4" type="button" dataOnly="0" labelOnly="1" outline="0" axis="axisRow" fieldPosition="0"/>
    </format>
    <format dxfId="4586">
      <pivotArea dataOnly="0" labelOnly="1" fieldPosition="0">
        <references count="1">
          <reference field="4" count="1">
            <x v="24"/>
          </reference>
        </references>
      </pivotArea>
    </format>
    <format dxfId="4585">
      <pivotArea dataOnly="0" labelOnly="1" outline="0" fieldPosition="0">
        <references count="1">
          <reference field="4294967294" count="5">
            <x v="0"/>
            <x v="1"/>
            <x v="2"/>
            <x v="3"/>
            <x v="4"/>
          </reference>
        </references>
      </pivotArea>
    </format>
    <format dxfId="4584">
      <pivotArea type="all" dataOnly="0" outline="0" fieldPosition="0"/>
    </format>
    <format dxfId="4583">
      <pivotArea outline="0" collapsedLevelsAreSubtotals="1" fieldPosition="0"/>
    </format>
    <format dxfId="4582">
      <pivotArea field="4" type="button" dataOnly="0" labelOnly="1" outline="0" axis="axisRow" fieldPosition="0"/>
    </format>
    <format dxfId="4581">
      <pivotArea dataOnly="0" labelOnly="1" fieldPosition="0">
        <references count="1">
          <reference field="4" count="2">
            <x v="39"/>
            <x v="45"/>
          </reference>
        </references>
      </pivotArea>
    </format>
    <format dxfId="4580">
      <pivotArea dataOnly="0" labelOnly="1" outline="0" fieldPosition="0">
        <references count="1">
          <reference field="4294967294" count="5">
            <x v="0"/>
            <x v="1"/>
            <x v="2"/>
            <x v="3"/>
            <x v="4"/>
          </reference>
        </references>
      </pivotArea>
    </format>
    <format dxfId="4579">
      <pivotArea type="all" dataOnly="0" outline="0" fieldPosition="0"/>
    </format>
    <format dxfId="4578">
      <pivotArea outline="0" collapsedLevelsAreSubtotals="1" fieldPosition="0"/>
    </format>
    <format dxfId="4577">
      <pivotArea field="4" type="button" dataOnly="0" labelOnly="1" outline="0" axis="axisRow" fieldPosition="0"/>
    </format>
    <format dxfId="4576">
      <pivotArea dataOnly="0" labelOnly="1" fieldPosition="0">
        <references count="1">
          <reference field="4" count="3">
            <x v="13"/>
            <x v="54"/>
            <x v="56"/>
          </reference>
        </references>
      </pivotArea>
    </format>
    <format dxfId="4575">
      <pivotArea dataOnly="0" labelOnly="1" outline="0" fieldPosition="0">
        <references count="1">
          <reference field="4294967294" count="5">
            <x v="0"/>
            <x v="1"/>
            <x v="2"/>
            <x v="3"/>
            <x v="4"/>
          </reference>
        </references>
      </pivotArea>
    </format>
    <format dxfId="4574">
      <pivotArea type="all" dataOnly="0" outline="0" fieldPosition="0"/>
    </format>
    <format dxfId="4573">
      <pivotArea outline="0" collapsedLevelsAreSubtotals="1" fieldPosition="0"/>
    </format>
    <format dxfId="4572">
      <pivotArea field="4" type="button" dataOnly="0" labelOnly="1" outline="0" axis="axisRow" fieldPosition="0"/>
    </format>
    <format dxfId="4571">
      <pivotArea dataOnly="0" labelOnly="1" fieldPosition="0">
        <references count="1">
          <reference field="4" count="47">
            <x v="1"/>
            <x v="2"/>
            <x v="6"/>
            <x v="7"/>
            <x v="8"/>
            <x v="9"/>
            <x v="11"/>
            <x v="13"/>
            <x v="14"/>
            <x v="15"/>
            <x v="16"/>
            <x v="17"/>
            <x v="19"/>
            <x v="20"/>
            <x v="25"/>
            <x v="26"/>
            <x v="27"/>
            <x v="28"/>
            <x v="29"/>
            <x v="30"/>
            <x v="31"/>
            <x v="32"/>
            <x v="33"/>
            <x v="34"/>
            <x v="35"/>
            <x v="36"/>
            <x v="37"/>
            <x v="38"/>
            <x v="39"/>
            <x v="40"/>
            <x v="42"/>
            <x v="43"/>
            <x v="44"/>
            <x v="45"/>
            <x v="46"/>
            <x v="51"/>
            <x v="53"/>
            <x v="56"/>
            <x v="57"/>
            <x v="58"/>
            <x v="59"/>
            <x v="61"/>
            <x v="63"/>
            <x v="64"/>
            <x v="65"/>
            <x v="66"/>
            <x v="67"/>
          </reference>
        </references>
      </pivotArea>
    </format>
    <format dxfId="4570">
      <pivotArea dataOnly="0" labelOnly="1" outline="0" fieldPosition="0">
        <references count="1">
          <reference field="4294967294" count="5">
            <x v="0"/>
            <x v="1"/>
            <x v="2"/>
            <x v="3"/>
            <x v="4"/>
          </reference>
        </references>
      </pivotArea>
    </format>
    <format dxfId="4569">
      <pivotArea type="all" dataOnly="0" outline="0" fieldPosition="0"/>
    </format>
    <format dxfId="4568">
      <pivotArea outline="0" collapsedLevelsAreSubtotals="1" fieldPosition="0"/>
    </format>
    <format dxfId="4567">
      <pivotArea field="4" type="button" dataOnly="0" labelOnly="1" outline="0" axis="axisRow" fieldPosition="0"/>
    </format>
    <format dxfId="4566">
      <pivotArea dataOnly="0" labelOnly="1" fieldPosition="0">
        <references count="1">
          <reference field="4" count="22">
            <x v="3"/>
            <x v="4"/>
            <x v="5"/>
            <x v="12"/>
            <x v="17"/>
            <x v="18"/>
            <x v="20"/>
            <x v="21"/>
            <x v="22"/>
            <x v="23"/>
            <x v="24"/>
            <x v="31"/>
            <x v="32"/>
            <x v="39"/>
            <x v="41"/>
            <x v="46"/>
            <x v="54"/>
            <x v="55"/>
            <x v="59"/>
            <x v="60"/>
            <x v="68"/>
            <x v="69"/>
          </reference>
        </references>
      </pivotArea>
    </format>
    <format dxfId="4565">
      <pivotArea dataOnly="0" labelOnly="1" outline="0" fieldPosition="0">
        <references count="1">
          <reference field="4294967294" count="5">
            <x v="0"/>
            <x v="1"/>
            <x v="2"/>
            <x v="3"/>
            <x v="4"/>
          </reference>
        </references>
      </pivotArea>
    </format>
    <format dxfId="4564">
      <pivotArea type="all" dataOnly="0" outline="0" fieldPosition="0"/>
    </format>
    <format dxfId="4563">
      <pivotArea outline="0" collapsedLevelsAreSubtotals="1" fieldPosition="0"/>
    </format>
    <format dxfId="4562">
      <pivotArea field="4" type="button" dataOnly="0" labelOnly="1" outline="0" axis="axisRow" fieldPosition="0"/>
    </format>
    <format dxfId="4561">
      <pivotArea dataOnly="0" labelOnly="1" fieldPosition="0">
        <references count="1">
          <reference field="4" count="3">
            <x v="24"/>
            <x v="27"/>
            <x v="37"/>
          </reference>
        </references>
      </pivotArea>
    </format>
    <format dxfId="4560">
      <pivotArea dataOnly="0" labelOnly="1" outline="0" fieldPosition="0">
        <references count="1">
          <reference field="4294967294" count="5">
            <x v="0"/>
            <x v="1"/>
            <x v="2"/>
            <x v="3"/>
            <x v="4"/>
          </reference>
        </references>
      </pivotArea>
    </format>
    <format dxfId="4559">
      <pivotArea type="all" dataOnly="0" outline="0" fieldPosition="0"/>
    </format>
    <format dxfId="4558">
      <pivotArea outline="0" collapsedLevelsAreSubtotals="1" fieldPosition="0"/>
    </format>
    <format dxfId="4557">
      <pivotArea field="4" type="button" dataOnly="0" labelOnly="1" outline="0" axis="axisRow" fieldPosition="0"/>
    </format>
    <format dxfId="4556">
      <pivotArea dataOnly="0" labelOnly="1" fieldPosition="0">
        <references count="1">
          <reference field="4" count="12">
            <x v="4"/>
            <x v="15"/>
            <x v="18"/>
            <x v="21"/>
            <x v="23"/>
            <x v="28"/>
            <x v="31"/>
            <x v="32"/>
            <x v="33"/>
            <x v="35"/>
            <x v="46"/>
            <x v="67"/>
          </reference>
        </references>
      </pivotArea>
    </format>
    <format dxfId="4555">
      <pivotArea dataOnly="0" labelOnly="1" outline="0" fieldPosition="0">
        <references count="1">
          <reference field="4294967294" count="5">
            <x v="0"/>
            <x v="1"/>
            <x v="2"/>
            <x v="3"/>
            <x v="4"/>
          </reference>
        </references>
      </pivotArea>
    </format>
    <format dxfId="4554">
      <pivotArea type="all" dataOnly="0" outline="0" fieldPosition="0"/>
    </format>
    <format dxfId="4553">
      <pivotArea outline="0" collapsedLevelsAreSubtotals="1" fieldPosition="0"/>
    </format>
    <format dxfId="4552">
      <pivotArea field="4" type="button" dataOnly="0" labelOnly="1" outline="0" axis="axisRow" fieldPosition="0"/>
    </format>
    <format dxfId="4551">
      <pivotArea dataOnly="0" labelOnly="1" fieldPosition="0">
        <references count="1">
          <reference field="4" count="8">
            <x v="15"/>
            <x v="28"/>
            <x v="31"/>
            <x v="32"/>
            <x v="33"/>
            <x v="35"/>
            <x v="46"/>
            <x v="67"/>
          </reference>
        </references>
      </pivotArea>
    </format>
    <format dxfId="4550">
      <pivotArea dataOnly="0" labelOnly="1" outline="0" fieldPosition="0">
        <references count="1">
          <reference field="4294967294" count="5">
            <x v="0"/>
            <x v="1"/>
            <x v="2"/>
            <x v="3"/>
            <x v="4"/>
          </reference>
        </references>
      </pivotArea>
    </format>
    <format dxfId="4549">
      <pivotArea type="all" dataOnly="0" outline="0" fieldPosition="0"/>
    </format>
    <format dxfId="4548">
      <pivotArea outline="0" collapsedLevelsAreSubtotals="1" fieldPosition="0"/>
    </format>
    <format dxfId="4547">
      <pivotArea field="4" type="button" dataOnly="0" labelOnly="1" outline="0" axis="axisRow" fieldPosition="0"/>
    </format>
    <format dxfId="4546">
      <pivotArea dataOnly="0" labelOnly="1" fieldPosition="0">
        <references count="1">
          <reference field="4" count="7">
            <x v="4"/>
            <x v="18"/>
            <x v="21"/>
            <x v="23"/>
            <x v="31"/>
            <x v="32"/>
            <x v="46"/>
          </reference>
        </references>
      </pivotArea>
    </format>
    <format dxfId="4545">
      <pivotArea dataOnly="0" labelOnly="1" outline="0" fieldPosition="0">
        <references count="1">
          <reference field="4294967294" count="5">
            <x v="0"/>
            <x v="1"/>
            <x v="2"/>
            <x v="3"/>
            <x v="4"/>
          </reference>
        </references>
      </pivotArea>
    </format>
    <format dxfId="4544">
      <pivotArea type="all" dataOnly="0" outline="0" fieldPosition="0"/>
    </format>
    <format dxfId="4543">
      <pivotArea outline="0" collapsedLevelsAreSubtotals="1" fieldPosition="0"/>
    </format>
    <format dxfId="4542">
      <pivotArea field="4" type="button" dataOnly="0" labelOnly="1" outline="0" axis="axisRow" fieldPosition="0"/>
    </format>
    <format dxfId="4541">
      <pivotArea dataOnly="0" labelOnly="1" fieldPosition="0">
        <references count="1">
          <reference field="4" count="7">
            <x v="4"/>
            <x v="18"/>
            <x v="21"/>
            <x v="23"/>
            <x v="31"/>
            <x v="32"/>
            <x v="46"/>
          </reference>
        </references>
      </pivotArea>
    </format>
    <format dxfId="4540">
      <pivotArea dataOnly="0" labelOnly="1" outline="0" fieldPosition="0">
        <references count="1">
          <reference field="4294967294" count="5">
            <x v="0"/>
            <x v="1"/>
            <x v="2"/>
            <x v="3"/>
            <x v="4"/>
          </reference>
        </references>
      </pivotArea>
    </format>
    <format dxfId="4539">
      <pivotArea type="all" dataOnly="0" outline="0" fieldPosition="0"/>
    </format>
    <format dxfId="4538">
      <pivotArea outline="0" collapsedLevelsAreSubtotals="1" fieldPosition="0"/>
    </format>
    <format dxfId="4537">
      <pivotArea field="4" type="button" dataOnly="0" labelOnly="1" outline="0" axis="axisRow" fieldPosition="0"/>
    </format>
    <format dxfId="4536">
      <pivotArea dataOnly="0" labelOnly="1" fieldPosition="0">
        <references count="1">
          <reference field="4" count="7">
            <x v="4"/>
            <x v="18"/>
            <x v="21"/>
            <x v="23"/>
            <x v="31"/>
            <x v="32"/>
            <x v="46"/>
          </reference>
        </references>
      </pivotArea>
    </format>
    <format dxfId="4535">
      <pivotArea dataOnly="0" labelOnly="1" outline="0" fieldPosition="0">
        <references count="1">
          <reference field="4294967294" count="5">
            <x v="0"/>
            <x v="1"/>
            <x v="2"/>
            <x v="3"/>
            <x v="4"/>
          </reference>
        </references>
      </pivotArea>
    </format>
    <format dxfId="4534">
      <pivotArea type="all" dataOnly="0" outline="0" fieldPosition="0"/>
    </format>
    <format dxfId="4533">
      <pivotArea outline="0" collapsedLevelsAreSubtotals="1" fieldPosition="0"/>
    </format>
    <format dxfId="4532">
      <pivotArea field="4" type="button" dataOnly="0" labelOnly="1" outline="0" axis="axisRow" fieldPosition="0"/>
    </format>
    <format dxfId="4531">
      <pivotArea dataOnly="0" labelOnly="1" fieldPosition="0">
        <references count="1">
          <reference field="4" count="7">
            <x v="4"/>
            <x v="18"/>
            <x v="21"/>
            <x v="23"/>
            <x v="31"/>
            <x v="32"/>
            <x v="46"/>
          </reference>
        </references>
      </pivotArea>
    </format>
    <format dxfId="4530">
      <pivotArea dataOnly="0" labelOnly="1" outline="0" fieldPosition="0">
        <references count="1">
          <reference field="4294967294" count="5">
            <x v="0"/>
            <x v="1"/>
            <x v="2"/>
            <x v="3"/>
            <x v="4"/>
          </reference>
        </references>
      </pivotArea>
    </format>
    <format dxfId="4529">
      <pivotArea type="all" dataOnly="0" outline="0" fieldPosition="0"/>
    </format>
    <format dxfId="4528">
      <pivotArea outline="0" collapsedLevelsAreSubtotals="1" fieldPosition="0"/>
    </format>
    <format dxfId="4527">
      <pivotArea field="4" type="button" dataOnly="0" labelOnly="1" outline="0" axis="axisRow" fieldPosition="0"/>
    </format>
    <format dxfId="4526">
      <pivotArea dataOnly="0" labelOnly="1" fieldPosition="0">
        <references count="1">
          <reference field="4" count="7">
            <x v="4"/>
            <x v="18"/>
            <x v="21"/>
            <x v="23"/>
            <x v="31"/>
            <x v="32"/>
            <x v="46"/>
          </reference>
        </references>
      </pivotArea>
    </format>
    <format dxfId="4525">
      <pivotArea dataOnly="0" labelOnly="1" outline="0" fieldPosition="0">
        <references count="1">
          <reference field="4294967294" count="5">
            <x v="0"/>
            <x v="1"/>
            <x v="2"/>
            <x v="3"/>
            <x v="4"/>
          </reference>
        </references>
      </pivotArea>
    </format>
    <format dxfId="4524">
      <pivotArea type="all" dataOnly="0" outline="0" fieldPosition="0"/>
    </format>
    <format dxfId="4523">
      <pivotArea outline="0" collapsedLevelsAreSubtotals="1" fieldPosition="0"/>
    </format>
    <format dxfId="4522">
      <pivotArea field="4" type="button" dataOnly="0" labelOnly="1" outline="0" axis="axisRow" fieldPosition="0"/>
    </format>
    <format dxfId="4521">
      <pivotArea dataOnly="0" labelOnly="1" fieldPosition="0">
        <references count="1">
          <reference field="4" count="7">
            <x v="4"/>
            <x v="18"/>
            <x v="21"/>
            <x v="23"/>
            <x v="31"/>
            <x v="32"/>
            <x v="46"/>
          </reference>
        </references>
      </pivotArea>
    </format>
    <format dxfId="4520">
      <pivotArea dataOnly="0" labelOnly="1" outline="0" fieldPosition="0">
        <references count="1">
          <reference field="4294967294" count="5">
            <x v="0"/>
            <x v="1"/>
            <x v="2"/>
            <x v="3"/>
            <x v="4"/>
          </reference>
        </references>
      </pivotArea>
    </format>
    <format dxfId="4519">
      <pivotArea type="all" dataOnly="0" outline="0" fieldPosition="0"/>
    </format>
    <format dxfId="4518">
      <pivotArea outline="0" collapsedLevelsAreSubtotals="1" fieldPosition="0"/>
    </format>
    <format dxfId="4517">
      <pivotArea field="4" type="button" dataOnly="0" labelOnly="1" outline="0" axis="axisRow" fieldPosition="0"/>
    </format>
    <format dxfId="4516">
      <pivotArea dataOnly="0" labelOnly="1" fieldPosition="0">
        <references count="1">
          <reference field="4" count="47">
            <x v="1"/>
            <x v="2"/>
            <x v="6"/>
            <x v="7"/>
            <x v="8"/>
            <x v="9"/>
            <x v="11"/>
            <x v="13"/>
            <x v="14"/>
            <x v="15"/>
            <x v="16"/>
            <x v="17"/>
            <x v="19"/>
            <x v="20"/>
            <x v="25"/>
            <x v="26"/>
            <x v="27"/>
            <x v="28"/>
            <x v="29"/>
            <x v="30"/>
            <x v="31"/>
            <x v="32"/>
            <x v="33"/>
            <x v="34"/>
            <x v="35"/>
            <x v="36"/>
            <x v="37"/>
            <x v="38"/>
            <x v="39"/>
            <x v="40"/>
            <x v="42"/>
            <x v="43"/>
            <x v="44"/>
            <x v="45"/>
            <x v="46"/>
            <x v="51"/>
            <x v="53"/>
            <x v="56"/>
            <x v="57"/>
            <x v="58"/>
            <x v="59"/>
            <x v="61"/>
            <x v="63"/>
            <x v="64"/>
            <x v="65"/>
            <x v="66"/>
            <x v="67"/>
          </reference>
        </references>
      </pivotArea>
    </format>
    <format dxfId="4515">
      <pivotArea dataOnly="0" labelOnly="1" outline="0" fieldPosition="0">
        <references count="1">
          <reference field="4294967294" count="5">
            <x v="0"/>
            <x v="1"/>
            <x v="2"/>
            <x v="3"/>
            <x v="4"/>
          </reference>
        </references>
      </pivotArea>
    </format>
    <format dxfId="4514">
      <pivotArea type="all" dataOnly="0" outline="0" fieldPosition="0"/>
    </format>
    <format dxfId="4513">
      <pivotArea outline="0" collapsedLevelsAreSubtotals="1" fieldPosition="0"/>
    </format>
    <format dxfId="4512">
      <pivotArea field="4" type="button" dataOnly="0" labelOnly="1" outline="0" axis="axisRow" fieldPosition="0"/>
    </format>
    <format dxfId="4511">
      <pivotArea dataOnly="0" labelOnly="1" fieldPosition="0">
        <references count="1">
          <reference field="4" count="22">
            <x v="3"/>
            <x v="4"/>
            <x v="5"/>
            <x v="12"/>
            <x v="17"/>
            <x v="18"/>
            <x v="20"/>
            <x v="21"/>
            <x v="22"/>
            <x v="23"/>
            <x v="24"/>
            <x v="31"/>
            <x v="32"/>
            <x v="39"/>
            <x v="41"/>
            <x v="46"/>
            <x v="54"/>
            <x v="55"/>
            <x v="59"/>
            <x v="60"/>
            <x v="68"/>
            <x v="69"/>
          </reference>
        </references>
      </pivotArea>
    </format>
    <format dxfId="4510">
      <pivotArea dataOnly="0" labelOnly="1" outline="0" fieldPosition="0">
        <references count="1">
          <reference field="4294967294" count="5">
            <x v="0"/>
            <x v="1"/>
            <x v="2"/>
            <x v="3"/>
            <x v="4"/>
          </reference>
        </references>
      </pivotArea>
    </format>
    <format dxfId="4509">
      <pivotArea type="all" dataOnly="0" outline="0" fieldPosition="0"/>
    </format>
    <format dxfId="4508">
      <pivotArea outline="0" collapsedLevelsAreSubtotals="1" fieldPosition="0"/>
    </format>
    <format dxfId="4507">
      <pivotArea field="4" type="button" dataOnly="0" labelOnly="1" outline="0" axis="axisRow" fieldPosition="0"/>
    </format>
    <format dxfId="4506">
      <pivotArea dataOnly="0" labelOnly="1" fieldPosition="0">
        <references count="1">
          <reference field="4" count="7">
            <x v="4"/>
            <x v="18"/>
            <x v="21"/>
            <x v="23"/>
            <x v="31"/>
            <x v="32"/>
            <x v="46"/>
          </reference>
        </references>
      </pivotArea>
    </format>
    <format dxfId="4505">
      <pivotArea dataOnly="0" labelOnly="1" outline="0" fieldPosition="0">
        <references count="1">
          <reference field="4294967294" count="5">
            <x v="0"/>
            <x v="1"/>
            <x v="2"/>
            <x v="3"/>
            <x v="4"/>
          </reference>
        </references>
      </pivotArea>
    </format>
    <format dxfId="4504">
      <pivotArea type="all" dataOnly="0" outline="0" fieldPosition="0"/>
    </format>
    <format dxfId="4503">
      <pivotArea outline="0" collapsedLevelsAreSubtotals="1" fieldPosition="0"/>
    </format>
    <format dxfId="4502">
      <pivotArea field="4" type="button" dataOnly="0" labelOnly="1" outline="0" axis="axisRow" fieldPosition="0"/>
    </format>
    <format dxfId="4501">
      <pivotArea dataOnly="0" labelOnly="1" fieldPosition="0">
        <references count="1">
          <reference field="4" count="8">
            <x v="15"/>
            <x v="28"/>
            <x v="31"/>
            <x v="32"/>
            <x v="33"/>
            <x v="35"/>
            <x v="46"/>
            <x v="67"/>
          </reference>
        </references>
      </pivotArea>
    </format>
    <format dxfId="4500">
      <pivotArea dataOnly="0" labelOnly="1" outline="0" fieldPosition="0">
        <references count="1">
          <reference field="4294967294" count="5">
            <x v="0"/>
            <x v="1"/>
            <x v="2"/>
            <x v="3"/>
            <x v="4"/>
          </reference>
        </references>
      </pivotArea>
    </format>
    <format dxfId="4499">
      <pivotArea type="all" dataOnly="0" outline="0" fieldPosition="0"/>
    </format>
    <format dxfId="4498">
      <pivotArea outline="0" collapsedLevelsAreSubtotals="1" fieldPosition="0"/>
    </format>
    <format dxfId="4497">
      <pivotArea field="4" type="button" dataOnly="0" labelOnly="1" outline="0" axis="axisRow" fieldPosition="0"/>
    </format>
    <format dxfId="4496">
      <pivotArea dataOnly="0" labelOnly="1" fieldPosition="0">
        <references count="1">
          <reference field="4" count="8">
            <x v="15"/>
            <x v="28"/>
            <x v="31"/>
            <x v="32"/>
            <x v="33"/>
            <x v="35"/>
            <x v="46"/>
            <x v="67"/>
          </reference>
        </references>
      </pivotArea>
    </format>
    <format dxfId="4495">
      <pivotArea dataOnly="0" labelOnly="1" outline="0" fieldPosition="0">
        <references count="1">
          <reference field="4294967294" count="5">
            <x v="0"/>
            <x v="1"/>
            <x v="2"/>
            <x v="3"/>
            <x v="4"/>
          </reference>
        </references>
      </pivotArea>
    </format>
    <format dxfId="4494">
      <pivotArea type="all" dataOnly="0" outline="0" fieldPosition="0"/>
    </format>
    <format dxfId="4493">
      <pivotArea outline="0" collapsedLevelsAreSubtotals="1" fieldPosition="0"/>
    </format>
    <format dxfId="4492">
      <pivotArea field="4" type="button" dataOnly="0" labelOnly="1" outline="0" axis="axisRow" fieldPosition="0"/>
    </format>
    <format dxfId="4491">
      <pivotArea dataOnly="0" labelOnly="1" fieldPosition="0">
        <references count="1">
          <reference field="4" count="2">
            <x v="13"/>
            <x v="56"/>
          </reference>
        </references>
      </pivotArea>
    </format>
    <format dxfId="4490">
      <pivotArea dataOnly="0" labelOnly="1" outline="0" fieldPosition="0">
        <references count="1">
          <reference field="4294967294" count="5">
            <x v="0"/>
            <x v="1"/>
            <x v="2"/>
            <x v="3"/>
            <x v="4"/>
          </reference>
        </references>
      </pivotArea>
    </format>
    <format dxfId="4489">
      <pivotArea type="all" dataOnly="0" outline="0" fieldPosition="0"/>
    </format>
    <format dxfId="4488">
      <pivotArea outline="0" collapsedLevelsAreSubtotals="1" fieldPosition="0"/>
    </format>
    <format dxfId="4487">
      <pivotArea field="4" type="button" dataOnly="0" labelOnly="1" outline="0" axis="axisRow" fieldPosition="0"/>
    </format>
    <format dxfId="4486">
      <pivotArea dataOnly="0" labelOnly="1" fieldPosition="0">
        <references count="1">
          <reference field="4" count="10">
            <x v="4"/>
            <x v="18"/>
            <x v="21"/>
            <x v="23"/>
            <x v="24"/>
            <x v="31"/>
            <x v="32"/>
            <x v="39"/>
            <x v="46"/>
            <x v="54"/>
          </reference>
        </references>
      </pivotArea>
    </format>
    <format dxfId="4485">
      <pivotArea dataOnly="0" labelOnly="1" outline="0" fieldPosition="0">
        <references count="1">
          <reference field="4294967294" count="5">
            <x v="0"/>
            <x v="1"/>
            <x v="2"/>
            <x v="3"/>
            <x v="4"/>
          </reference>
        </references>
      </pivotArea>
    </format>
    <format dxfId="4484">
      <pivotArea type="all" dataOnly="0" outline="0" fieldPosition="0"/>
    </format>
    <format dxfId="4483">
      <pivotArea outline="0" collapsedLevelsAreSubtotals="1" fieldPosition="0"/>
    </format>
    <format dxfId="4482">
      <pivotArea field="4" type="button" dataOnly="0" labelOnly="1" outline="0" axis="axisRow" fieldPosition="0"/>
    </format>
    <format dxfId="4481">
      <pivotArea dataOnly="0" labelOnly="1" fieldPosition="0">
        <references count="1">
          <reference field="4" count="5">
            <x v="1"/>
            <x v="2"/>
            <x v="9"/>
            <x v="11"/>
            <x v="38"/>
          </reference>
        </references>
      </pivotArea>
    </format>
    <format dxfId="4480">
      <pivotArea dataOnly="0" labelOnly="1" outline="0" fieldPosition="0">
        <references count="1">
          <reference field="4294967294" count="5">
            <x v="0"/>
            <x v="1"/>
            <x v="2"/>
            <x v="3"/>
            <x v="4"/>
          </reference>
        </references>
      </pivotArea>
    </format>
    <format dxfId="4479">
      <pivotArea type="all" dataOnly="0" outline="0" fieldPosition="0"/>
    </format>
    <format dxfId="4478">
      <pivotArea outline="0" collapsedLevelsAreSubtotals="1" fieldPosition="0"/>
    </format>
    <format dxfId="4477">
      <pivotArea field="4" type="button" dataOnly="0" labelOnly="1" outline="0" axis="axisRow" fieldPosition="0"/>
    </format>
    <format dxfId="4476">
      <pivotArea dataOnly="0" labelOnly="1" fieldPosition="0">
        <references count="1">
          <reference field="4" count="2">
            <x v="27"/>
            <x v="37"/>
          </reference>
        </references>
      </pivotArea>
    </format>
    <format dxfId="4475">
      <pivotArea dataOnly="0" labelOnly="1" outline="0" fieldPosition="0">
        <references count="1">
          <reference field="4294967294" count="5">
            <x v="0"/>
            <x v="1"/>
            <x v="2"/>
            <x v="3"/>
            <x v="4"/>
          </reference>
        </references>
      </pivotArea>
    </format>
    <format dxfId="4474">
      <pivotArea type="all" dataOnly="0" outline="0" fieldPosition="0"/>
    </format>
    <format dxfId="4473">
      <pivotArea outline="0" collapsedLevelsAreSubtotals="1" fieldPosition="0"/>
    </format>
    <format dxfId="4472">
      <pivotArea field="4" type="button" dataOnly="0" labelOnly="1" outline="0" axis="axisRow" fieldPosition="0"/>
    </format>
    <format dxfId="4471">
      <pivotArea dataOnly="0" labelOnly="1" fieldPosition="0">
        <references count="1">
          <reference field="4" count="1">
            <x v="39"/>
          </reference>
        </references>
      </pivotArea>
    </format>
    <format dxfId="4470">
      <pivotArea dataOnly="0" labelOnly="1" outline="0" fieldPosition="0">
        <references count="1">
          <reference field="4294967294" count="5">
            <x v="0"/>
            <x v="1"/>
            <x v="2"/>
            <x v="3"/>
            <x v="4"/>
          </reference>
        </references>
      </pivotArea>
    </format>
    <format dxfId="4469">
      <pivotArea type="all" dataOnly="0" outline="0" fieldPosition="0"/>
    </format>
    <format dxfId="4468">
      <pivotArea outline="0" collapsedLevelsAreSubtotals="1" fieldPosition="0"/>
    </format>
    <format dxfId="4467">
      <pivotArea field="4" type="button" dataOnly="0" labelOnly="1" outline="0" axis="axisRow" fieldPosition="0"/>
    </format>
    <format dxfId="4466">
      <pivotArea dataOnly="0" labelOnly="1" fieldPosition="0">
        <references count="1">
          <reference field="4" count="1">
            <x v="24"/>
          </reference>
        </references>
      </pivotArea>
    </format>
    <format dxfId="4465">
      <pivotArea dataOnly="0" labelOnly="1" outline="0" fieldPosition="0">
        <references count="1">
          <reference field="4294967294" count="5">
            <x v="0"/>
            <x v="1"/>
            <x v="2"/>
            <x v="3"/>
            <x v="4"/>
          </reference>
        </references>
      </pivotArea>
    </format>
    <format dxfId="4464">
      <pivotArea type="all" dataOnly="0" outline="0" fieldPosition="0"/>
    </format>
    <format dxfId="4463">
      <pivotArea outline="0" collapsedLevelsAreSubtotals="1" fieldPosition="0"/>
    </format>
    <format dxfId="4462">
      <pivotArea field="4" type="button" dataOnly="0" labelOnly="1" outline="0" axis="axisRow" fieldPosition="0"/>
    </format>
    <format dxfId="4461">
      <pivotArea dataOnly="0" labelOnly="1" fieldPosition="0">
        <references count="1">
          <reference field="4" count="1">
            <x v="39"/>
          </reference>
        </references>
      </pivotArea>
    </format>
    <format dxfId="4460">
      <pivotArea dataOnly="0" labelOnly="1" outline="0" fieldPosition="0">
        <references count="1">
          <reference field="4294967294" count="5">
            <x v="0"/>
            <x v="1"/>
            <x v="2"/>
            <x v="3"/>
            <x v="4"/>
          </reference>
        </references>
      </pivotArea>
    </format>
    <format dxfId="4459">
      <pivotArea type="all" dataOnly="0" outline="0" fieldPosition="0"/>
    </format>
    <format dxfId="4458">
      <pivotArea outline="0" collapsedLevelsAreSubtotals="1" fieldPosition="0"/>
    </format>
    <format dxfId="4457">
      <pivotArea field="4" type="button" dataOnly="0" labelOnly="1" outline="0" axis="axisRow" fieldPosition="0"/>
    </format>
    <format dxfId="4456">
      <pivotArea dataOnly="0" labelOnly="1" fieldPosition="0">
        <references count="1">
          <reference field="4" count="47">
            <x v="1"/>
            <x v="2"/>
            <x v="6"/>
            <x v="7"/>
            <x v="8"/>
            <x v="9"/>
            <x v="11"/>
            <x v="13"/>
            <x v="14"/>
            <x v="15"/>
            <x v="16"/>
            <x v="17"/>
            <x v="19"/>
            <x v="20"/>
            <x v="25"/>
            <x v="26"/>
            <x v="27"/>
            <x v="28"/>
            <x v="29"/>
            <x v="30"/>
            <x v="31"/>
            <x v="32"/>
            <x v="33"/>
            <x v="34"/>
            <x v="35"/>
            <x v="36"/>
            <x v="37"/>
            <x v="38"/>
            <x v="39"/>
            <x v="40"/>
            <x v="42"/>
            <x v="43"/>
            <x v="44"/>
            <x v="45"/>
            <x v="46"/>
            <x v="51"/>
            <x v="53"/>
            <x v="56"/>
            <x v="57"/>
            <x v="58"/>
            <x v="59"/>
            <x v="61"/>
            <x v="63"/>
            <x v="64"/>
            <x v="65"/>
            <x v="66"/>
            <x v="67"/>
          </reference>
        </references>
      </pivotArea>
    </format>
    <format dxfId="4455">
      <pivotArea dataOnly="0" labelOnly="1" outline="0" fieldPosition="0">
        <references count="1">
          <reference field="4294967294" count="5">
            <x v="0"/>
            <x v="1"/>
            <x v="2"/>
            <x v="3"/>
            <x v="4"/>
          </reference>
        </references>
      </pivotArea>
    </format>
    <format dxfId="4454">
      <pivotArea type="all" dataOnly="0" outline="0" fieldPosition="0"/>
    </format>
    <format dxfId="4453">
      <pivotArea outline="0" collapsedLevelsAreSubtotals="1" fieldPosition="0"/>
    </format>
    <format dxfId="4452">
      <pivotArea field="4" type="button" dataOnly="0" labelOnly="1" outline="0" axis="axisRow" fieldPosition="0"/>
    </format>
    <format dxfId="4451">
      <pivotArea dataOnly="0" labelOnly="1" fieldPosition="0">
        <references count="1">
          <reference field="4" count="22">
            <x v="3"/>
            <x v="4"/>
            <x v="5"/>
            <x v="12"/>
            <x v="17"/>
            <x v="18"/>
            <x v="20"/>
            <x v="21"/>
            <x v="22"/>
            <x v="23"/>
            <x v="24"/>
            <x v="31"/>
            <x v="32"/>
            <x v="39"/>
            <x v="41"/>
            <x v="46"/>
            <x v="54"/>
            <x v="55"/>
            <x v="59"/>
            <x v="60"/>
            <x v="68"/>
            <x v="69"/>
          </reference>
        </references>
      </pivotArea>
    </format>
    <format dxfId="4450">
      <pivotArea dataOnly="0" labelOnly="1" outline="0" fieldPosition="0">
        <references count="1">
          <reference field="4294967294" count="5">
            <x v="0"/>
            <x v="1"/>
            <x v="2"/>
            <x v="3"/>
            <x v="4"/>
          </reference>
        </references>
      </pivotArea>
    </format>
    <format dxfId="4449">
      <pivotArea type="all" dataOnly="0" outline="0" fieldPosition="0"/>
    </format>
    <format dxfId="4448">
      <pivotArea outline="0" collapsedLevelsAreSubtotals="1" fieldPosition="0"/>
    </format>
    <format dxfId="4447">
      <pivotArea field="4" type="button" dataOnly="0" labelOnly="1" outline="0" axis="axisRow" fieldPosition="0"/>
    </format>
    <format dxfId="4446">
      <pivotArea dataOnly="0" labelOnly="1" fieldPosition="0">
        <references count="1">
          <reference field="4" count="1">
            <x v="54"/>
          </reference>
        </references>
      </pivotArea>
    </format>
    <format dxfId="4445">
      <pivotArea dataOnly="0" labelOnly="1" outline="0" fieldPosition="0">
        <references count="1">
          <reference field="4294967294" count="5">
            <x v="0"/>
            <x v="1"/>
            <x v="2"/>
            <x v="3"/>
            <x v="4"/>
          </reference>
        </references>
      </pivotArea>
    </format>
    <format dxfId="4444">
      <pivotArea type="all" dataOnly="0" outline="0" fieldPosition="0"/>
    </format>
    <format dxfId="4443">
      <pivotArea outline="0" collapsedLevelsAreSubtotals="1" fieldPosition="0"/>
    </format>
    <format dxfId="4442">
      <pivotArea field="4" type="button" dataOnly="0" labelOnly="1" outline="0" axis="axisRow" fieldPosition="0"/>
    </format>
    <format dxfId="4441">
      <pivotArea dataOnly="0" labelOnly="1" fieldPosition="0">
        <references count="1">
          <reference field="4" count="8">
            <x v="15"/>
            <x v="28"/>
            <x v="31"/>
            <x v="32"/>
            <x v="33"/>
            <x v="35"/>
            <x v="46"/>
            <x v="67"/>
          </reference>
        </references>
      </pivotArea>
    </format>
    <format dxfId="4440">
      <pivotArea dataOnly="0" labelOnly="1" outline="0" fieldPosition="0">
        <references count="1">
          <reference field="4294967294" count="5">
            <x v="0"/>
            <x v="1"/>
            <x v="2"/>
            <x v="3"/>
            <x v="4"/>
          </reference>
        </references>
      </pivotArea>
    </format>
    <format dxfId="4439">
      <pivotArea type="all" dataOnly="0" outline="0" fieldPosition="0"/>
    </format>
    <format dxfId="4438">
      <pivotArea outline="0" collapsedLevelsAreSubtotals="1" fieldPosition="0"/>
    </format>
    <format dxfId="4437">
      <pivotArea field="4" type="button" dataOnly="0" labelOnly="1" outline="0" axis="axisRow" fieldPosition="0"/>
    </format>
    <format dxfId="4436">
      <pivotArea dataOnly="0" labelOnly="1" fieldPosition="0">
        <references count="1">
          <reference field="4" count="2">
            <x v="27"/>
            <x v="37"/>
          </reference>
        </references>
      </pivotArea>
    </format>
    <format dxfId="4435">
      <pivotArea dataOnly="0" labelOnly="1" outline="0" fieldPosition="0">
        <references count="1">
          <reference field="4294967294" count="5">
            <x v="0"/>
            <x v="1"/>
            <x v="2"/>
            <x v="3"/>
            <x v="4"/>
          </reference>
        </references>
      </pivotArea>
    </format>
    <format dxfId="4434">
      <pivotArea type="all" dataOnly="0" outline="0" fieldPosition="0"/>
    </format>
    <format dxfId="4433">
      <pivotArea outline="0" collapsedLevelsAreSubtotals="1" fieldPosition="0"/>
    </format>
    <format dxfId="4432">
      <pivotArea field="4" type="button" dataOnly="0" labelOnly="1" outline="0" axis="axisRow" fieldPosition="0"/>
    </format>
    <format dxfId="4431">
      <pivotArea dataOnly="0" labelOnly="1" fieldPosition="0">
        <references count="1">
          <reference field="4" count="1">
            <x v="24"/>
          </reference>
        </references>
      </pivotArea>
    </format>
    <format dxfId="4430">
      <pivotArea dataOnly="0" labelOnly="1" outline="0" fieldPosition="0">
        <references count="1">
          <reference field="4294967294" count="5">
            <x v="0"/>
            <x v="1"/>
            <x v="2"/>
            <x v="3"/>
            <x v="4"/>
          </reference>
        </references>
      </pivotArea>
    </format>
    <format dxfId="4429">
      <pivotArea type="all" dataOnly="0" outline="0" fieldPosition="0"/>
    </format>
    <format dxfId="4428">
      <pivotArea outline="0" collapsedLevelsAreSubtotals="1" fieldPosition="0"/>
    </format>
    <format dxfId="4427">
      <pivotArea field="4" type="button" dataOnly="0" labelOnly="1" outline="0" axis="axisRow" fieldPosition="0"/>
    </format>
    <format dxfId="4426">
      <pivotArea dataOnly="0" labelOnly="1" fieldPosition="0">
        <references count="1">
          <reference field="4" count="1">
            <x v="39"/>
          </reference>
        </references>
      </pivotArea>
    </format>
    <format dxfId="4425">
      <pivotArea dataOnly="0" labelOnly="1" outline="0" fieldPosition="0">
        <references count="1">
          <reference field="4294967294" count="5">
            <x v="0"/>
            <x v="1"/>
            <x v="2"/>
            <x v="3"/>
            <x v="4"/>
          </reference>
        </references>
      </pivotArea>
    </format>
    <format dxfId="4424">
      <pivotArea type="all" dataOnly="0" outline="0" fieldPosition="0"/>
    </format>
    <format dxfId="4423">
      <pivotArea outline="0" collapsedLevelsAreSubtotals="1" fieldPosition="0"/>
    </format>
    <format dxfId="4422">
      <pivotArea field="4" type="button" dataOnly="0" labelOnly="1" outline="0" axis="axisRow" fieldPosition="0"/>
    </format>
    <format dxfId="4421">
      <pivotArea dataOnly="0" labelOnly="1" fieldPosition="0">
        <references count="1">
          <reference field="4" count="7">
            <x v="4"/>
            <x v="18"/>
            <x v="21"/>
            <x v="23"/>
            <x v="31"/>
            <x v="32"/>
            <x v="46"/>
          </reference>
        </references>
      </pivotArea>
    </format>
    <format dxfId="4420">
      <pivotArea dataOnly="0" labelOnly="1" outline="0" fieldPosition="0">
        <references count="1">
          <reference field="4294967294" count="5">
            <x v="0"/>
            <x v="1"/>
            <x v="2"/>
            <x v="3"/>
            <x v="4"/>
          </reference>
        </references>
      </pivotArea>
    </format>
    <format dxfId="4419">
      <pivotArea type="all" dataOnly="0" outline="0" fieldPosition="0"/>
    </format>
    <format dxfId="4418">
      <pivotArea outline="0" collapsedLevelsAreSubtotals="1" fieldPosition="0"/>
    </format>
    <format dxfId="4417">
      <pivotArea field="4" type="button" dataOnly="0" labelOnly="1" outline="0" axis="axisRow" fieldPosition="0"/>
    </format>
    <format dxfId="4416">
      <pivotArea dataOnly="0" labelOnly="1" fieldPosition="0">
        <references count="1">
          <reference field="4" count="1">
            <x v="41"/>
          </reference>
        </references>
      </pivotArea>
    </format>
    <format dxfId="4415">
      <pivotArea dataOnly="0" labelOnly="1" outline="0" fieldPosition="0">
        <references count="1">
          <reference field="4294967294" count="5">
            <x v="0"/>
            <x v="1"/>
            <x v="2"/>
            <x v="3"/>
            <x v="4"/>
          </reference>
        </references>
      </pivotArea>
    </format>
    <format dxfId="4414">
      <pivotArea type="all" dataOnly="0" outline="0" fieldPosition="0"/>
    </format>
    <format dxfId="4413">
      <pivotArea outline="0" collapsedLevelsAreSubtotals="1" fieldPosition="0"/>
    </format>
    <format dxfId="4412">
      <pivotArea field="4" type="button" dataOnly="0" labelOnly="1" outline="0" axis="axisRow" fieldPosition="0"/>
    </format>
    <format dxfId="4411">
      <pivotArea dataOnly="0" labelOnly="1" fieldPosition="0">
        <references count="1">
          <reference field="4" count="2">
            <x v="13"/>
            <x v="56"/>
          </reference>
        </references>
      </pivotArea>
    </format>
    <format dxfId="4410">
      <pivotArea dataOnly="0" labelOnly="1" outline="0" fieldPosition="0">
        <references count="1">
          <reference field="4294967294" count="5">
            <x v="0"/>
            <x v="1"/>
            <x v="2"/>
            <x v="3"/>
            <x v="4"/>
          </reference>
        </references>
      </pivotArea>
    </format>
    <format dxfId="4409">
      <pivotArea type="all" dataOnly="0" outline="0" fieldPosition="0"/>
    </format>
    <format dxfId="4408">
      <pivotArea outline="0" collapsedLevelsAreSubtotals="1" fieldPosition="0"/>
    </format>
    <format dxfId="4407">
      <pivotArea field="4" type="button" dataOnly="0" labelOnly="1" outline="0" axis="axisRow" fieldPosition="0"/>
    </format>
    <format dxfId="4406">
      <pivotArea dataOnly="0" labelOnly="1" fieldPosition="0">
        <references count="1">
          <reference field="4" count="1">
            <x v="54"/>
          </reference>
        </references>
      </pivotArea>
    </format>
    <format dxfId="4405">
      <pivotArea dataOnly="0" labelOnly="1" outline="0" fieldPosition="0">
        <references count="1">
          <reference field="4294967294" count="5">
            <x v="0"/>
            <x v="1"/>
            <x v="2"/>
            <x v="3"/>
            <x v="4"/>
          </reference>
        </references>
      </pivotArea>
    </format>
  </formats>
  <pivotTableStyleInfo name="Custom White"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Sector" xr10:uid="{23CDA62A-BB1B-4383-9855-CBDB6583DDC3}" sourceName="Sector">
  <pivotTables>
    <pivotTable tabId="607" name="MeasureDetails"/>
  </pivotTables>
  <data>
    <tabular pivotCacheId="1266826809">
      <items count="4">
        <i x="0" s="1"/>
        <i x="1" s="1"/>
        <i x="2" s="1" nd="1"/>
        <i x="3"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MeasureType" xr10:uid="{7187D665-AB03-4065-AF92-4F28B608EDB9}" sourceName="Measure Type">
  <pivotTables>
    <pivotTable tabId="607" name="MeasureDetails"/>
  </pivotTables>
  <data>
    <tabular pivotCacheId="1266826809" showMissing="0">
      <items count="17">
        <i x="5" s="1"/>
        <i x="4" s="1"/>
        <i x="0" s="1"/>
        <i x="1" s="1"/>
        <i x="2" s="1"/>
        <i x="6" s="1"/>
        <i x="7" s="1"/>
        <i x="8" s="1"/>
        <i x="9" s="1"/>
        <i x="10" s="1"/>
        <i x="3" s="1"/>
        <i x="14" s="1"/>
        <i x="11" s="1"/>
        <i x="13" s="1"/>
        <i x="12" s="1"/>
        <i x="15" s="1"/>
        <i x="16"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or" xr10:uid="{5670A7A3-88ED-4F97-992A-CE34F646F044}" cache="SlicerSector" caption="Sector" lockedPosition="1" rowHeight="241300"/>
  <slicer name="Measure Type" xr10:uid="{5D0A5D37-56BE-4772-ADA8-6C9D68ECCAA4}" cache="SlicerMeasureType" caption="Measure Type" lockedPosition="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0A0EA5C-7937-49F2-B490-8B2BB0222CCC}" name="ElectricityGHG" displayName="ElectricityGHG" ref="B30:E32" totalsRowShown="0" headerRowDxfId="1298" dataDxfId="1296" headerRowBorderDxfId="1297" tableBorderDxfId="1295" totalsRowBorderDxfId="1294">
  <autoFilter ref="B30:E32" xr:uid="{AA7D2099-5B92-496F-86FA-EA124572AC8C}"/>
  <tableColumns count="4">
    <tableColumn id="1" xr3:uid="{A4B46BB4-E82B-4250-B373-DA09EEB9E901}" name="Electricity GHG Factors" dataDxfId="1293"/>
    <tableColumn id="4" xr3:uid="{29D634A1-C103-447F-8C68-9081C56D7903}" name="Variable Name" dataDxfId="1292"/>
    <tableColumn id="2" xr3:uid="{105BA39C-82B4-42B9-ABEC-265B5B1DB57D}" name="Value" dataDxfId="1291"/>
    <tableColumn id="3" xr3:uid="{BA1CFDA2-5CFF-4F9E-AACF-7E48175536AC}" name="Source" dataDxfId="1290"/>
  </tableColumns>
  <tableStyleInfo name="TableStyleLight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E0EE18D-D5D2-4AF2-A39A-3A4B98DF1335}" name="CommercialDefaults" displayName="CommercialDefaults" ref="B103:E105" totalsRowShown="0" headerRowDxfId="1215" dataDxfId="1213" headerRowBorderDxfId="1214" tableBorderDxfId="1212" totalsRowBorderDxfId="1211">
  <autoFilter ref="B103:E105" xr:uid="{BEC639EB-A88D-487C-9E31-9209169936E0}"/>
  <tableColumns count="4">
    <tableColumn id="1" xr3:uid="{3B228914-D6AE-4636-BB6E-B7F04597C158}" name="Commercial Defaults" dataDxfId="1210"/>
    <tableColumn id="4" xr3:uid="{8CD7FE77-880A-4EB1-8A84-807DEC5032D7}" name="Variable Name" dataDxfId="1209"/>
    <tableColumn id="2" xr3:uid="{1A2AF0CF-F24E-4EC7-9943-FA90D233FBE1}" name="Value" dataDxfId="1208" dataCellStyle="Percent"/>
    <tableColumn id="3" xr3:uid="{CDBFF311-C91D-46B7-BB0E-56FCD3ED6851}" name="Source" dataDxfId="1207"/>
  </tableColumns>
  <tableStyleInfo name="TableStyleLight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7FE170C-DEE6-4442-855C-579292BF235D}" name="ResidentialBaseline" displayName="ResidentialBaseline" ref="B88:E100" totalsRowShown="0" headerRowDxfId="1206" dataDxfId="1204" headerRowBorderDxfId="1205" tableBorderDxfId="1203" totalsRowBorderDxfId="1202">
  <autoFilter ref="B88:E100" xr:uid="{7244C5DB-EF99-4405-89FF-A24EBF8D03CE}"/>
  <tableColumns count="4">
    <tableColumn id="1" xr3:uid="{6293B176-1B16-49BD-BEB3-63D41F3A2540}" name="Residential Baseline Conditions" dataDxfId="1201"/>
    <tableColumn id="4" xr3:uid="{B2C94C4F-213F-4C87-B937-D2952B96DCC9}" name="Variable Name" dataDxfId="1200"/>
    <tableColumn id="2" xr3:uid="{8AF96596-0066-458B-89E6-576ABD2BFB32}" name="Value" dataDxfId="1199" dataCellStyle="Percent"/>
    <tableColumn id="3" xr3:uid="{8235C81E-1146-4777-BF95-F962892F116F}" name="Source" dataDxfId="119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D34949B4-56CB-4F8B-A6BD-C4217D2881D2}" name="CommercialBaseline" displayName="CommercialBaseline" ref="B107:E116" totalsRowShown="0" headerRowDxfId="1197" headerRowBorderDxfId="1196" tableBorderDxfId="1195" totalsRowBorderDxfId="1194">
  <autoFilter ref="B107:E116" xr:uid="{92AF0D61-75E3-4615-9CE7-99FED957C020}"/>
  <tableColumns count="4">
    <tableColumn id="1" xr3:uid="{0089ADC2-9B32-4EF6-99B6-568B856A3C79}" name="Commercial Baseline Conditions" dataDxfId="1193"/>
    <tableColumn id="2" xr3:uid="{25DDCA28-9BB4-4ED9-AABA-2865CFB6C685}" name="Variable Name" dataDxfId="1192"/>
    <tableColumn id="3" xr3:uid="{A74F5935-AB68-4723-AE54-C23FE94E824E}" name="Value" dataDxfId="1191"/>
    <tableColumn id="4" xr3:uid="{10C981D3-1709-4FB9-A4D7-7DBF67E56789}" name="Source" dataDxfId="1190" dataCellStyle="Hyperlink"/>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1724D3F-CCCE-4BA5-9104-5BDA231C4881}" name="AvoidedCost" displayName="AvoidedCost" ref="B10:G100" totalsRowShown="0" headerRowDxfId="1189" headerRowBorderDxfId="1188" tableBorderDxfId="1187" totalsRowBorderDxfId="1186">
  <autoFilter ref="B10:G100" xr:uid="{D301BB5B-C95E-444F-83BF-9E9668B6A39B}"/>
  <tableColumns count="6">
    <tableColumn id="1" xr3:uid="{6CADB31B-8A81-4D78-853C-A4A4F153F2AD}" name="INDEX" dataDxfId="1185">
      <calculatedColumnFormula>C11&amp;D11</calculatedColumnFormula>
    </tableColumn>
    <tableColumn id="2" xr3:uid="{CB71A4A5-3019-44CC-9614-79AD63BF5445}" name="SECTOR" dataDxfId="1184"/>
    <tableColumn id="3" xr3:uid="{01F48A86-8C22-4C7C-9B4D-811FC478CC1B}" name="LIFETIME" dataDxfId="1183"/>
    <tableColumn id="4" xr3:uid="{98D2DB1E-EF33-4AC0-8DF3-64510BE297AF}" name="ELECTRICITY" dataDxfId="1182" dataCellStyle="Normal 2 13">
      <calculatedColumnFormula array="1">_xlfn.XLOOKUP($D$5&amp;AvoidedCost[[#This Row],[INDEX]],INDIRECT($D$6&amp;"!E:E"),INDIRECT($D$6&amp;"!F:F"),0,0,1)</calculatedColumnFormula>
    </tableColumn>
    <tableColumn id="5" xr3:uid="{C0981F68-C76B-46B4-82D3-C5F85769179C}" name="NG" dataDxfId="1181" dataCellStyle="Normal 2 13">
      <calculatedColumnFormula array="1">_xlfn.XLOOKUP($D$5&amp;AvoidedCost[[#This Row],[INDEX]],INDIRECT($D$6&amp;"!E:E"),INDIRECT($D$6&amp;"!G:G"),0,0,1)</calculatedColumnFormula>
    </tableColumn>
    <tableColumn id="6" xr3:uid="{F351A03E-AA72-4075-9D5F-D067B6023654}" name="GHG" dataDxfId="1180" dataCellStyle="Normal 2 13">
      <calculatedColumnFormula array="1">_xlfn.XLOOKUP($D$5&amp;AvoidedCost[[#This Row],[INDEX]],INDIRECT($D$6&amp;"!E:E"),INDIRECT($D$6&amp;"!H:H"),0,0,1)</calculatedColumnFormula>
    </tableColumn>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41FFA74-68FE-437D-AD65-8EEC9CF53067}" name="DiscountRate26" displayName="DiscountRate26" ref="B4:E6" totalsRowShown="0" headerRowDxfId="1179" dataDxfId="1177" headerRowBorderDxfId="1178" tableBorderDxfId="1176" totalsRowBorderDxfId="1175">
  <autoFilter ref="B4:E6" xr:uid="{0D9088AB-F970-4611-8DA9-909608526D09}"/>
  <tableColumns count="4">
    <tableColumn id="1" xr3:uid="{520F2038-5913-4596-963C-75949D919BAE}" name="Discount Rate" dataDxfId="1174"/>
    <tableColumn id="5" xr3:uid="{393802C8-983E-44DD-826D-200CA70A26F5}" name="Variable Name" dataDxfId="1173"/>
    <tableColumn id="2" xr3:uid="{6CAC1E4A-492F-4F53-9DC7-185E70936284}" name="Value" dataDxfId="1172"/>
    <tableColumn id="3" xr3:uid="{3325B3EB-1EF9-4BB0-B16E-790C3A972DEB}" name="Source" dataDxfId="1171"/>
  </tableColumns>
  <tableStyleInfo name="TableStyleLight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DEC379E-18E9-43BB-81FE-D01E501F8726}" name="ClimateData" displayName="ClimateData" ref="B5:G17" totalsRowShown="0" headerRowDxfId="1170" headerRowBorderDxfId="1169" tableBorderDxfId="1168" totalsRowBorderDxfId="1167">
  <autoFilter ref="B5:G17" xr:uid="{92BF3C4B-DDA8-48D9-8ACD-41A31F7B4657}"/>
  <sortState xmlns:xlrd2="http://schemas.microsoft.com/office/spreadsheetml/2017/richdata2" ref="B6:F17">
    <sortCondition ref="B5:B17"/>
  </sortState>
  <tableColumns count="6">
    <tableColumn id="1" xr3:uid="{A8AAC92F-496C-4661-8EC6-D5626236CC97}" name="Region" dataDxfId="1166"/>
    <tableColumn id="2" xr3:uid="{EE82B673-7F3A-46AE-85F7-87597F2896BF}" name="CLIMATE_ZONE" dataDxfId="1165"/>
    <tableColumn id="3" xr3:uid="{FA60B3A8-3F01-4695-8B7B-60EA81BB6131}" name="HDD" dataDxfId="1164" dataCellStyle="Comma"/>
    <tableColumn id="4" xr3:uid="{F69DF570-FA10-46B6-B539-C02AC3219470}" name="CDD" dataDxfId="1163" dataCellStyle="Comma"/>
    <tableColumn id="5" xr3:uid="{19269CBC-A0E1-48A8-B0E5-83E57F960B78}" name="WATER_SUPPLY" dataDxfId="1162"/>
    <tableColumn id="6" xr3:uid="{7414BD0C-A615-4F93-9175-8019ADB2BE88}" name="COLD_AIR" dataDxfId="1161"/>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2DCF319-13B7-4011-B145-E818F0AA5EED}" name="EFLC" displayName="EFLC" ref="B22:N57" totalsRowShown="0" headerRowDxfId="1160" dataDxfId="1158" headerRowBorderDxfId="1159" tableBorderDxfId="1157" totalsRowBorderDxfId="1156">
  <autoFilter ref="B22:N57" xr:uid="{0625E892-DCEE-421D-A324-C46A9C7ED862}"/>
  <tableColumns count="13">
    <tableColumn id="1" xr3:uid="{F08310FD-119D-4586-BB54-229AF27D3FD8}" name="EFLC" dataDxfId="1155"/>
    <tableColumn id="2" xr3:uid="{3F4912A1-7841-4DA0-8922-7F7E8DCA537A}" name="Calgary Area" dataDxfId="1154"/>
    <tableColumn id="3" xr3:uid="{FAB31A0F-9FFA-4473-9AC0-D7EF63F0A36E}" name="Central" dataDxfId="1153"/>
    <tableColumn id="4" xr3:uid="{414DEE6D-F28C-4B60-984B-C5ACC948D03E}" name="East" dataDxfId="1152"/>
    <tableColumn id="5" xr3:uid="{2DFD7E24-6132-41DC-A3E2-2F67D93CCF0D}" name="Edmonton Area" dataDxfId="1151"/>
    <tableColumn id="6" xr3:uid="{08747349-26F0-4625-BB49-6669C6587311}" name="North Central" dataDxfId="1150"/>
    <tableColumn id="7" xr3:uid="{41D1E5C5-7C5A-4C0D-8029-E8D99D754429}" name="North East" dataDxfId="1149"/>
    <tableColumn id="8" xr3:uid="{097F5F18-34E9-450C-8F5F-B9F9A7715518}" name="North West" dataDxfId="1148"/>
    <tableColumn id="9" xr3:uid="{A831B85A-5D19-4DD9-AFEC-446B796DAFBA}" name="South" dataDxfId="1147"/>
    <tableColumn id="10" xr3:uid="{05FC85C0-30D9-426F-883C-4BCFB2C86896}" name="South East" dataDxfId="1146"/>
    <tableColumn id="11" xr3:uid="{9F23EDBC-4B43-4FC6-938C-39EFECD2B7FD}" name="South West" dataDxfId="1145"/>
    <tableColumn id="12" xr3:uid="{DE40818B-6994-4868-AE20-E377198B112C}" name="West" dataDxfId="1144"/>
    <tableColumn id="13" xr3:uid="{10BAB7A5-8787-4801-AC61-C8A7269C2850}" name="Average" dataDxfId="1143"/>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979BCF1-2AD4-4172-8FFE-BE073AEA8603}" name="EFLH" displayName="EFLH" ref="B61:N96" totalsRowShown="0" headerRowDxfId="1142" dataDxfId="1140" headerRowBorderDxfId="1141" tableBorderDxfId="1139" totalsRowBorderDxfId="1138">
  <autoFilter ref="B61:N96" xr:uid="{290BF915-D160-4027-B983-71C07EF03761}"/>
  <tableColumns count="13">
    <tableColumn id="1" xr3:uid="{0E447C85-FA8B-40B6-9A27-91ABEDA67D6C}" name="EFLH" dataDxfId="1137"/>
    <tableColumn id="2" xr3:uid="{3EBD89BC-F75B-45D6-B45D-D5BD0432C511}" name="Calgary Area" dataDxfId="1136"/>
    <tableColumn id="3" xr3:uid="{B566FED6-DEB9-4B3B-8CC9-55895AF2DB9F}" name="Central" dataDxfId="1135"/>
    <tableColumn id="4" xr3:uid="{0C4D4DCE-EFBA-49E1-A730-4BAACA078865}" name="East" dataDxfId="1134"/>
    <tableColumn id="5" xr3:uid="{4895D54F-D64A-4D6D-9C69-A7DA4A135AF6}" name="Edmonton Area" dataDxfId="1133"/>
    <tableColumn id="6" xr3:uid="{83CCE908-69FC-4235-80EA-F29920D13A14}" name="North Central" dataDxfId="1132"/>
    <tableColumn id="7" xr3:uid="{A8B32170-B7A9-447B-AB21-08576B46B24F}" name="North East" dataDxfId="1131"/>
    <tableColumn id="8" xr3:uid="{CDC0E777-BA30-449C-9C67-32776B0BF787}" name="North West" dataDxfId="1130"/>
    <tableColumn id="9" xr3:uid="{149A001E-4D26-40D2-8F6E-4F14820D3779}" name="South" dataDxfId="1129"/>
    <tableColumn id="10" xr3:uid="{E2A53283-38AD-4DC9-B9F9-B5F6691E6977}" name="South East" dataDxfId="1128"/>
    <tableColumn id="11" xr3:uid="{27F99398-8308-49BB-864E-0AA64F2A23E5}" name="South West" dataDxfId="1127"/>
    <tableColumn id="12" xr3:uid="{A12B5A39-3E21-40DC-8EBE-F22FAE508413}" name="West" dataDxfId="1126"/>
    <tableColumn id="13" xr3:uid="{96789621-9E39-4627-9461-60840D745FC3}" name="Average" dataDxfId="1125"/>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69EBB08E-569E-4D3C-9524-8DFF6455D605}" name="DCV_Cooling_SF" displayName="DCV_Cooling_SF" ref="B100:N135" totalsRowShown="0" headerRowDxfId="1124" dataDxfId="1122" headerRowBorderDxfId="1123" tableBorderDxfId="1121" totalsRowBorderDxfId="1120">
  <autoFilter ref="B100:N135" xr:uid="{F431D294-8AA4-40F8-9FD4-CBC78F41E58B}"/>
  <tableColumns count="13">
    <tableColumn id="1" xr3:uid="{515E883F-CCE3-4D7E-85A2-FCF8627CD873}" name="DCV_Cooling_SF" dataDxfId="1119"/>
    <tableColumn id="2" xr3:uid="{80582F80-1BB4-408F-BF01-1E55676B4E96}" name="Calgary Area" dataDxfId="1118"/>
    <tableColumn id="3" xr3:uid="{83B6535A-F635-4635-9D83-150DEA24C366}" name="Central" dataDxfId="1117"/>
    <tableColumn id="4" xr3:uid="{222AC163-C3AD-482C-80BB-322EF21D8DC2}" name="East" dataDxfId="1116"/>
    <tableColumn id="5" xr3:uid="{9CA1D137-E040-4080-ABD3-8DE87AD62D21}" name="Edmonton Area" dataDxfId="1115"/>
    <tableColumn id="6" xr3:uid="{28F0EFCA-F111-49C9-8965-B5088F8F30A7}" name="North Central" dataDxfId="1114"/>
    <tableColumn id="7" xr3:uid="{5F495B5D-8269-4356-986B-D7D6BD117539}" name="North East" dataDxfId="1113"/>
    <tableColumn id="8" xr3:uid="{9A292DBA-B1D4-407C-A907-F24D9B0D9468}" name="North West" dataDxfId="1112"/>
    <tableColumn id="9" xr3:uid="{3A406958-9DF7-49CD-BE73-D44791B7B720}" name="South" dataDxfId="1111"/>
    <tableColumn id="10" xr3:uid="{4962B663-B0BA-4733-83AA-FC51D902A1FA}" name="South East" dataDxfId="1110"/>
    <tableColumn id="11" xr3:uid="{200F995C-D757-428B-8FA9-D7A4C5E2D898}" name="South West" dataDxfId="1109"/>
    <tableColumn id="12" xr3:uid="{2A30208A-32CE-47D3-B9DD-33B544DFAA94}" name="West" dataDxfId="1108"/>
    <tableColumn id="13" xr3:uid="{2DBAA2E6-2FD5-4EBE-B051-705CBC782C04}" name="Average" dataDxfId="1107"/>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D13A6123-5D3B-4C5D-B5C7-68E28C7DB154}" name="DCV_Heating_HP_SF" displayName="DCV_Heating_HP_SF" ref="B139:N174" totalsRowShown="0" headerRowDxfId="1106" dataDxfId="1104" headerRowBorderDxfId="1105" tableBorderDxfId="1103" totalsRowBorderDxfId="1102">
  <autoFilter ref="B139:N174" xr:uid="{DA6520AA-A8D0-4673-858F-8749E1A5BB09}"/>
  <tableColumns count="13">
    <tableColumn id="1" xr3:uid="{9C41437C-C52D-47ED-825B-CDE2A58BC238}" name="DCV_Heating_HP_SF" dataDxfId="1101"/>
    <tableColumn id="2" xr3:uid="{7F07E1DE-20CF-4546-9FCA-3F886DE61A1F}" name="Calgary Area" dataDxfId="1100"/>
    <tableColumn id="3" xr3:uid="{60EDCF20-B88B-434C-8654-81595F05C5C6}" name="Central" dataDxfId="1099"/>
    <tableColumn id="4" xr3:uid="{D99D319A-48CA-4150-801B-720E1C8AFC92}" name="East" dataDxfId="1098"/>
    <tableColumn id="5" xr3:uid="{29C4E140-38F7-49B0-8143-1D875F527885}" name="Edmonton Area" dataDxfId="1097"/>
    <tableColumn id="6" xr3:uid="{DF7C5D9E-6C7C-483D-8A79-8A1DCE2D00FC}" name="North Central" dataDxfId="1096"/>
    <tableColumn id="7" xr3:uid="{3365D903-AFFE-4242-9774-FBC14141DADB}" name="North East" dataDxfId="1095"/>
    <tableColumn id="8" xr3:uid="{58423999-7EBF-4A5F-BF9A-6AFDEC37DB20}" name="North West" dataDxfId="1094"/>
    <tableColumn id="9" xr3:uid="{2592386F-BE34-45C6-9C52-11621ACD9356}" name="South" dataDxfId="1093"/>
    <tableColumn id="10" xr3:uid="{99878D9C-36E4-4B78-8CCD-D82C4DA5C9E7}" name="South East" dataDxfId="1092"/>
    <tableColumn id="11" xr3:uid="{84317B44-2207-4AE1-BD6A-0DA257808059}" name="South West" dataDxfId="1091"/>
    <tableColumn id="12" xr3:uid="{CFC22BDB-FCC8-4065-9D95-7F821B0E76F4}" name="West" dataDxfId="1090"/>
    <tableColumn id="13" xr3:uid="{36685052-0079-43FF-85FC-AABBE9C5790D}" name="Average" dataDxfId="1089"/>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4223B24-B571-4058-A282-11B51595525E}" name="FuelGHG" displayName="FuelGHG" ref="B27:E28" totalsRowShown="0" headerRowBorderDxfId="1289" tableBorderDxfId="1288" totalsRowBorderDxfId="1287">
  <autoFilter ref="B27:E28" xr:uid="{E774B21B-B5BB-4257-A724-942DB5CFED76}"/>
  <tableColumns count="4">
    <tableColumn id="1" xr3:uid="{E849044D-873E-49BD-A5D2-C4FABDE740FF}" name="     " dataDxfId="1286"/>
    <tableColumn id="4" xr3:uid="{22449E6F-5A84-4D6A-B0C8-0F1CB35FAA31}" name="Variable Name" dataDxfId="1285"/>
    <tableColumn id="2" xr3:uid="{0E6F91F6-2DDB-4FCC-8E4C-238B640BA01F}" name="Value" dataDxfId="1284" dataCellStyle="Percent"/>
    <tableColumn id="3" xr3:uid="{72D77F15-0746-45CC-AEDA-3F66A756750F}" name="Source" dataDxfId="1283"/>
  </tableColumns>
  <tableStyleInfo name="TableStyleLight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19242E8-D49C-48AA-B298-C5A6FEB0F776}" name="DCV_Heating_ER_SF" displayName="DCV_Heating_ER_SF" ref="B178:N213" totalsRowShown="0" headerRowDxfId="1088" dataDxfId="1086" headerRowBorderDxfId="1087" tableBorderDxfId="1085" totalsRowBorderDxfId="1084">
  <autoFilter ref="B178:N213" xr:uid="{5DA75433-583C-4F76-9EE2-EAE54CCD3E75}"/>
  <tableColumns count="13">
    <tableColumn id="1" xr3:uid="{B8C5C995-D63A-4F4D-9BF8-BAF5ACC13337}" name="DCV_Heating_ER_SF" dataDxfId="1083"/>
    <tableColumn id="2" xr3:uid="{ADF5C7F3-BECF-41BE-9C9A-4B2BBC52867A}" name="Calgary Area" dataDxfId="1082"/>
    <tableColumn id="3" xr3:uid="{43B1237F-914B-4EA0-A33D-B46987F8759F}" name="Central" dataDxfId="1081"/>
    <tableColumn id="4" xr3:uid="{C2D90074-36E3-4AAE-9B2C-21E62AB592B4}" name="East" dataDxfId="1080"/>
    <tableColumn id="5" xr3:uid="{17A71197-36F7-44F5-8EE7-A004DA19E711}" name="Edmonton Area" dataDxfId="1079"/>
    <tableColumn id="6" xr3:uid="{F3CD1083-ADA8-4D07-AEE3-1F6FBD8C3CD9}" name="North Central" dataDxfId="1078"/>
    <tableColumn id="7" xr3:uid="{32E8EDAF-7395-4843-9026-6FFA29FFE4D9}" name="North East" dataDxfId="1077"/>
    <tableColumn id="8" xr3:uid="{6A50A6D4-EE43-4373-9D99-F28517B48A00}" name="North West" dataDxfId="1076"/>
    <tableColumn id="9" xr3:uid="{A06BBD6D-5FC3-43CE-8DFF-4652E63140F8}" name="South" dataDxfId="1075"/>
    <tableColumn id="10" xr3:uid="{0C58202A-6CF6-485C-A901-695348C8DC5E}" name="South East" dataDxfId="1074"/>
    <tableColumn id="11" xr3:uid="{451E38CB-5C67-42BF-87DF-CC63DA86D127}" name="South West" dataDxfId="1073"/>
    <tableColumn id="12" xr3:uid="{912EA8F1-E707-48A3-BEA9-935539C0A557}" name="West" dataDxfId="1072"/>
    <tableColumn id="13" xr3:uid="{C765A99C-55B8-48CE-863D-A1326D56C1B6}" name="Average" dataDxfId="1071"/>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47016014-F469-48FC-8BAD-BBABFE17EE86}" name="DCV_Heating_NG_SF" displayName="DCV_Heating_NG_SF" ref="B217:N252" totalsRowShown="0" headerRowDxfId="1070" dataDxfId="1068" headerRowBorderDxfId="1069" tableBorderDxfId="1067" totalsRowBorderDxfId="1066">
  <autoFilter ref="B217:N252" xr:uid="{FBD6AB11-E8E8-47A1-A2AE-FC5340FC1F49}"/>
  <tableColumns count="13">
    <tableColumn id="1" xr3:uid="{FB1155E1-2C68-4131-BD65-5FF1CF582179}" name="DCV_Heating_NG_SF" dataDxfId="1065"/>
    <tableColumn id="2" xr3:uid="{B4312E37-194B-4CCB-8703-35CDAF4948CF}" name="Calgary Area" dataDxfId="1064"/>
    <tableColumn id="3" xr3:uid="{D470D423-A9F6-44D1-B4BE-A79C900215BD}" name="Central" dataDxfId="1063"/>
    <tableColumn id="4" xr3:uid="{F8C325AA-DDB9-4B7A-8967-B4F090559D3E}" name="East" dataDxfId="1062"/>
    <tableColumn id="5" xr3:uid="{FF8081E7-00B8-45E4-931C-FE7306D53CE9}" name="Edmonton Area" dataDxfId="1061"/>
    <tableColumn id="6" xr3:uid="{0F428F38-5041-4C65-AC16-04FBED6FA23C}" name="North Central" dataDxfId="1060"/>
    <tableColumn id="7" xr3:uid="{CFBBF981-4A00-45C2-A73B-B4A2E7FA49A0}" name="North East" dataDxfId="1059"/>
    <tableColumn id="8" xr3:uid="{B04CD8FD-A4B5-4284-B9BC-82E7FDC43CD8}" name="North West" dataDxfId="1058"/>
    <tableColumn id="9" xr3:uid="{B7247108-5D38-4F83-99AA-47E6DFDC32E9}" name="South" dataDxfId="1057"/>
    <tableColumn id="10" xr3:uid="{CA12BF82-35AF-445F-A50F-47F490F1479A}" name="South East" dataDxfId="1056"/>
    <tableColumn id="11" xr3:uid="{B3AE8873-86A2-4CB7-B73D-9B09698D881A}" name="South West" dataDxfId="1055"/>
    <tableColumn id="12" xr3:uid="{2B75E505-5A81-4644-902C-E5EBE7287AD9}" name="West" dataDxfId="1054"/>
    <tableColumn id="13" xr3:uid="{5C5BEBCA-E47D-4BB1-BFCB-4E7164D17265}" name="Average" dataDxfId="1053"/>
  </tableColumns>
  <tableStyleInfo name="TableStyleLight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A94E932-DF4F-4023-809B-934E69509766}" name="HeatLoadCFM" displayName="HeatLoadCFM" ref="B257:O261" totalsRowShown="0" headerRowDxfId="1052" dataDxfId="1051" tableBorderDxfId="1050">
  <autoFilter ref="B257:O261" xr:uid="{9DDE191D-67C3-4386-B089-7167FB96C80A}"/>
  <tableColumns count="14">
    <tableColumn id="1" xr3:uid="{6C6FD98D-87C1-4A37-9C50-8DA742FD59D9}" name="Degrees C" dataDxfId="1049"/>
    <tableColumn id="3" xr3:uid="{A7F2874E-1932-4D35-9C68-73939648B567}" name="Calgary Area" dataDxfId="1048" dataCellStyle="Comma">
      <calculatedColumnFormula>C$256/$O$256*$O258</calculatedColumnFormula>
    </tableColumn>
    <tableColumn id="4" xr3:uid="{4F5FAD86-654A-407E-896E-2A5410C65AC9}" name="Central" dataDxfId="1047" dataCellStyle="Comma">
      <calculatedColumnFormula>D$256/$O$256*$O258</calculatedColumnFormula>
    </tableColumn>
    <tableColumn id="5" xr3:uid="{8CDFB5D5-4612-4AFB-AEA8-C27FFC29CFCF}" name="East" dataDxfId="1046" dataCellStyle="Comma">
      <calculatedColumnFormula>E$256/$O$256*$O258</calculatedColumnFormula>
    </tableColumn>
    <tableColumn id="6" xr3:uid="{C62759B9-8861-4C39-8235-CE21543B813A}" name="Edmonton Area" dataDxfId="1045" dataCellStyle="Comma">
      <calculatedColumnFormula>F$256/$O$256*$O258</calculatedColumnFormula>
    </tableColumn>
    <tableColumn id="7" xr3:uid="{77BFA017-3112-4B2B-8A0E-3C978741408A}" name="North Central" dataDxfId="1044" dataCellStyle="Comma">
      <calculatedColumnFormula>G$256/$O$256*$O258</calculatedColumnFormula>
    </tableColumn>
    <tableColumn id="8" xr3:uid="{D111E1F9-1F4C-469F-8FA4-8C35301CA25E}" name="North East" dataDxfId="1043" dataCellStyle="Comma">
      <calculatedColumnFormula>H$256/$O$256*$O258</calculatedColumnFormula>
    </tableColumn>
    <tableColumn id="9" xr3:uid="{786D2023-EECF-42D6-A472-BC9DEF671511}" name="North West" dataDxfId="1042" dataCellStyle="Comma">
      <calculatedColumnFormula>I$256/$O$256*$O258</calculatedColumnFormula>
    </tableColumn>
    <tableColumn id="10" xr3:uid="{24967F7D-8A61-4672-970F-491498084446}" name="South" dataDxfId="1041" dataCellStyle="Comma">
      <calculatedColumnFormula>J$256/$O$256*$O258</calculatedColumnFormula>
    </tableColumn>
    <tableColumn id="11" xr3:uid="{BBD74736-54C7-46C4-9DFC-3F21648BEDAD}" name="South East" dataDxfId="1040" dataCellStyle="Comma">
      <calculatedColumnFormula>K$256/$O$256*$O258</calculatedColumnFormula>
    </tableColumn>
    <tableColumn id="12" xr3:uid="{BD2AC8E2-48DF-4D92-A64D-DA25C0FE083F}" name="South West" dataDxfId="1039" dataCellStyle="Comma">
      <calculatedColumnFormula>L$256/$O$256*$O258</calculatedColumnFormula>
    </tableColumn>
    <tableColumn id="13" xr3:uid="{BCE344C0-DB7A-42D6-95D4-F1B1982B2214}" name="West" dataDxfId="1038" dataCellStyle="Comma">
      <calculatedColumnFormula>M$256/$O$256*$O258</calculatedColumnFormula>
    </tableColumn>
    <tableColumn id="14" xr3:uid="{3C049E47-457A-4480-991D-A04729613785}" name="Average" dataDxfId="1037" dataCellStyle="Comma">
      <calculatedColumnFormula>IFERROR(AVERAGE(HeatLoadCFM[[#This Row],[Calgary Area]:[West]]),"")</calculatedColumnFormula>
    </tableColumn>
    <tableColumn id="2" xr3:uid="{5B80C7E8-5A2D-4113-928F-D3A316811CF8}" name="Zone 1 (Rockford)" dataDxfId="1036" dataCellStyle="Comma"/>
  </tableColumns>
  <tableStyleInfo name="TableStyleMedium20"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476AFF91-F6B4-4834-A1B4-A03C4BEE2357}" name="kWhSavings_Ton" displayName="kWhSavings_Ton" ref="B266:O268" totalsRowShown="0" headerRowDxfId="1035" dataDxfId="1034" tableBorderDxfId="1033">
  <autoFilter ref="B266:O268" xr:uid="{CBF5E6FE-8B4E-48E9-ADF4-F16502CEABA2}"/>
  <tableColumns count="14">
    <tableColumn id="1" xr3:uid="{6A58C337-94D1-4AF9-B991-E31FBD1515B8}" name="kWhSavingsPerTon" dataDxfId="1032"/>
    <tableColumn id="3" xr3:uid="{D7DA0C9F-A948-4FD2-87D5-12E30851C8C7}" name="Calgary Area" dataDxfId="1031">
      <calculatedColumnFormula>C$265/$O$265*$O267</calculatedColumnFormula>
    </tableColumn>
    <tableColumn id="4" xr3:uid="{E5F7EE40-32E5-459A-BCF3-FA4DEC32FFF6}" name="Central" dataDxfId="1030">
      <calculatedColumnFormula>D$265/$O$265*$O267</calculatedColumnFormula>
    </tableColumn>
    <tableColumn id="5" xr3:uid="{EC08A2D2-E9E8-44F1-BA44-1347590464B7}" name="East" dataDxfId="1029">
      <calculatedColumnFormula>E$265/$O$265*$O267</calculatedColumnFormula>
    </tableColumn>
    <tableColumn id="6" xr3:uid="{33518EAC-7714-450D-8D14-54FF6B59B890}" name="Edmonton Area" dataDxfId="1028">
      <calculatedColumnFormula>F$265/$O$265*$O267</calculatedColumnFormula>
    </tableColumn>
    <tableColumn id="7" xr3:uid="{A274C7B6-E898-4FB4-A2CD-9B6B0269744F}" name="North Central" dataDxfId="1027">
      <calculatedColumnFormula>G$265/$O$265*$O267</calculatedColumnFormula>
    </tableColumn>
    <tableColumn id="8" xr3:uid="{0B1772E7-766D-4EA4-AC52-8E7EAE4E37E7}" name="North East" dataDxfId="1026">
      <calculatedColumnFormula>H$265/$O$265*$O267</calculatedColumnFormula>
    </tableColumn>
    <tableColumn id="9" xr3:uid="{149E44C1-A79D-4999-AA5F-DC744549FD55}" name="North West" dataDxfId="1025">
      <calculatedColumnFormula>I$265/$O$265*$O267</calculatedColumnFormula>
    </tableColumn>
    <tableColumn id="10" xr3:uid="{71302FB4-A23C-462A-8848-2E67B613FEEC}" name="South" dataDxfId="1024">
      <calculatedColumnFormula>J$265/$O$265*$O267</calculatedColumnFormula>
    </tableColumn>
    <tableColumn id="11" xr3:uid="{59E37BD8-C442-4B19-9DFD-3A8A4D56CB58}" name="South East" dataDxfId="1023">
      <calculatedColumnFormula>K$265/$O$265*$O267</calculatedColumnFormula>
    </tableColumn>
    <tableColumn id="12" xr3:uid="{9DD8FC70-7E82-4843-8018-6DC5CEEE46A2}" name="South West" dataDxfId="1022">
      <calculatedColumnFormula>L$265/$O$265*$O267</calculatedColumnFormula>
    </tableColumn>
    <tableColumn id="13" xr3:uid="{5459643B-10BD-4F42-AB69-5C6F291435E2}" name="West" dataDxfId="1021">
      <calculatedColumnFormula>M$265/$O$265*$O267</calculatedColumnFormula>
    </tableColumn>
    <tableColumn id="14" xr3:uid="{9AA2E80C-0EA3-48B5-AED8-F102EF9478BD}" name="Average" dataDxfId="1020">
      <calculatedColumnFormula>IFERROR(AVERAGE(kWhSavings_Ton[[#This Row],[Calgary Area]:[West]]),"")</calculatedColumnFormula>
    </tableColumn>
    <tableColumn id="2" xr3:uid="{262B101A-6420-4268-BEA2-B770019F7F16}" name="Zone 1 (Rockford)" dataDxfId="1019"/>
  </tableColumns>
  <tableStyleInfo name="TableStyleMedium20"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A40282FA-2E6B-4AE5-9C50-CB3CC67B549D}" name="KitchenVentilationHeatLoad" displayName="KitchenVentilationHeatLoad" ref="B273:O274" totalsRowShown="0" headerRowDxfId="1018" dataDxfId="1017" tableBorderDxfId="1016">
  <autoFilter ref="B273:O274" xr:uid="{28BECEF7-0A58-4D69-9238-DC5A572A985A}"/>
  <tableColumns count="14">
    <tableColumn id="1" xr3:uid="{E75CEB53-3FD6-4F8A-B597-8197D50CB6EF}" name="Annual Heating Load" dataDxfId="1015"/>
    <tableColumn id="3" xr3:uid="{3BD2C96E-8A8B-44D2-B1B9-32AE734CED54}" name="Calgary Area" dataDxfId="1014">
      <calculatedColumnFormula>C$272/$O$272*$O274</calculatedColumnFormula>
    </tableColumn>
    <tableColumn id="4" xr3:uid="{813D1732-B92C-4AA0-9714-C0C24ECE086E}" name="Central" dataDxfId="1013">
      <calculatedColumnFormula>D$272/$O$272*$O274</calculatedColumnFormula>
    </tableColumn>
    <tableColumn id="5" xr3:uid="{93A5FA34-6897-4671-B23B-25AA0A2877E4}" name="East" dataDxfId="1012">
      <calculatedColumnFormula>E$272/$O$272*$O274</calculatedColumnFormula>
    </tableColumn>
    <tableColumn id="6" xr3:uid="{F6EAA090-A2AA-4CA2-8B2F-7164258D19D1}" name="Edmonton Area" dataDxfId="1011">
      <calculatedColumnFormula>F$272/$O$272*$O274</calculatedColumnFormula>
    </tableColumn>
    <tableColumn id="7" xr3:uid="{6CB37AA7-88E0-425B-8D1D-E60CE77432DE}" name="North Central" dataDxfId="1010">
      <calculatedColumnFormula>G$272/$O$272*$O274</calculatedColumnFormula>
    </tableColumn>
    <tableColumn id="8" xr3:uid="{93B459D7-13FC-41EC-8859-7B8118A1D109}" name="North East" dataDxfId="1009">
      <calculatedColumnFormula>H$272/$O$272*$O274</calculatedColumnFormula>
    </tableColumn>
    <tableColumn id="9" xr3:uid="{E2ED8C4D-8E92-412F-B9FD-E6F584B65F5A}" name="North West" dataDxfId="1008">
      <calculatedColumnFormula>I$272/$O$272*$O274</calculatedColumnFormula>
    </tableColumn>
    <tableColumn id="10" xr3:uid="{939A9E85-A850-46D4-BD6B-3FE80DFA9CAE}" name="South" dataDxfId="1007">
      <calculatedColumnFormula>J$272/$O$272*$O274</calculatedColumnFormula>
    </tableColumn>
    <tableColumn id="11" xr3:uid="{8AFCC502-5650-4774-81C8-EA7FF9893460}" name="South East" dataDxfId="1006">
      <calculatedColumnFormula>K$272/$O$272*$O274</calculatedColumnFormula>
    </tableColumn>
    <tableColumn id="12" xr3:uid="{BC6A5C06-2B00-425C-9316-F4C213326170}" name="South West" dataDxfId="1005">
      <calculatedColumnFormula>L$272/$O$272*$O274</calculatedColumnFormula>
    </tableColumn>
    <tableColumn id="13" xr3:uid="{84118B30-F3E4-49F0-9AA7-5DE45EACBA31}" name="West" dataDxfId="1004">
      <calculatedColumnFormula>M$272/$O$272*$O274</calculatedColumnFormula>
    </tableColumn>
    <tableColumn id="14" xr3:uid="{FDF95D3C-EEDA-4B82-923C-9969CDB9B4CF}" name="Average" dataDxfId="1003">
      <calculatedColumnFormula>IFERROR(AVERAGE(KitchenVentilationHeatLoad[[#This Row],[Calgary Area]:[West]]),"")</calculatedColumnFormula>
    </tableColumn>
    <tableColumn id="2" xr3:uid="{FD1D70CD-C904-41C4-84D8-9933EFAB358D}" name="Zone 1 (Rockford)" dataDxfId="1002"/>
  </tableColumns>
  <tableStyleInfo name="TableStyleMedium20"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49DCA6-BE68-468A-9A30-E9D4FC830F62}" name="RefrigerationEconomizerHours" displayName="RefrigerationEconomizerHours" ref="B279:O280" totalsRowShown="0" headerRowDxfId="1001" dataDxfId="1000" tableBorderDxfId="999">
  <autoFilter ref="B279:O280" xr:uid="{5B08300B-24E0-47D5-8723-208375402007}"/>
  <tableColumns count="14">
    <tableColumn id="1" xr3:uid="{982FFC4B-8E19-46DB-930B-F94666BDC460}" name="Annual Runtime Hours" dataDxfId="998"/>
    <tableColumn id="3" xr3:uid="{DEC38BA0-5EB8-4E3E-8BC4-B20DACBFF4AA}" name="Calgary Area" dataDxfId="997">
      <calculatedColumnFormula>C$272/$O$272*$O280</calculatedColumnFormula>
    </tableColumn>
    <tableColumn id="4" xr3:uid="{C9AF3394-C411-41BA-9D0D-86C2290AB9C2}" name="Central" dataDxfId="996">
      <calculatedColumnFormula>D$272/$O$272*$O280</calculatedColumnFormula>
    </tableColumn>
    <tableColumn id="5" xr3:uid="{5F321B84-F05F-4587-B1D5-FB6513A89713}" name="East" dataDxfId="995">
      <calculatedColumnFormula>E$272/$O$272*$O280</calculatedColumnFormula>
    </tableColumn>
    <tableColumn id="6" xr3:uid="{27940EFF-4713-45BB-AE56-B93E9126739A}" name="Edmonton Area" dataDxfId="994">
      <calculatedColumnFormula>F$272/$O$272*$O280</calculatedColumnFormula>
    </tableColumn>
    <tableColumn id="7" xr3:uid="{EC2E8734-0631-4EE8-AB18-F94CE486F919}" name="North Central" dataDxfId="993">
      <calculatedColumnFormula>G$272/$O$272*$O280</calculatedColumnFormula>
    </tableColumn>
    <tableColumn id="8" xr3:uid="{39060D62-1AE5-4D4C-B570-B6CB1FBAA76C}" name="North East" dataDxfId="992">
      <calculatedColumnFormula>H$272/$O$272*$O280</calculatedColumnFormula>
    </tableColumn>
    <tableColumn id="9" xr3:uid="{8119B88D-CC16-432F-B46C-0BE6EA1DBCCB}" name="North West" dataDxfId="991">
      <calculatedColumnFormula>I$272/$O$272*$O280</calculatedColumnFormula>
    </tableColumn>
    <tableColumn id="10" xr3:uid="{8421EE24-A56E-4007-8DE1-F0DB7BD6442C}" name="South" dataDxfId="990">
      <calculatedColumnFormula>J$272/$O$272*$O280</calculatedColumnFormula>
    </tableColumn>
    <tableColumn id="11" xr3:uid="{93A90479-D284-40EE-8355-A47B1FFB74D7}" name="South East" dataDxfId="989">
      <calculatedColumnFormula>K$272/$O$272*$O280</calculatedColumnFormula>
    </tableColumn>
    <tableColumn id="12" xr3:uid="{54F2249C-0AB8-4D0E-8B45-5BCC0399208F}" name="South West" dataDxfId="988">
      <calculatedColumnFormula>L$272/$O$272*$O280</calculatedColumnFormula>
    </tableColumn>
    <tableColumn id="13" xr3:uid="{4326FED8-A487-4BC3-85E7-5DB6CBAF2B2D}" name="West" dataDxfId="987">
      <calculatedColumnFormula>M$272/$O$272*$O280</calculatedColumnFormula>
    </tableColumn>
    <tableColumn id="14" xr3:uid="{DB0C72C2-B553-4F71-AF7C-D08269383A8F}" name="Average" dataDxfId="986">
      <calculatedColumnFormula>IFERROR(AVERAGE(RefrigerationEconomizerHours[[#This Row],[Calgary Area]:[West]]),"")</calculatedColumnFormula>
    </tableColumn>
    <tableColumn id="2" xr3:uid="{7F4570E3-5854-4A77-8B2A-B2A26E49FC18}" name="Zone 1 (Rockford)" dataDxfId="985"/>
  </tableColumns>
  <tableStyleInfo name="TableStyleMedium20"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FE23B1DE-D194-4DB0-85D6-43840C82BE2A}" name="HeatingDays" displayName="HeatingDays" ref="B285:O291" totalsRowShown="0" headerRowDxfId="984" dataDxfId="983" tableBorderDxfId="982">
  <autoFilter ref="B285:O291" xr:uid="{4E78337E-93AD-4AB0-90AB-96F18CF4BE30}"/>
  <tableColumns count="14">
    <tableColumn id="1" xr3:uid="{D558960D-F058-4547-9A4D-E6F629DE0137}" name="Indoor Setpoint" dataDxfId="981"/>
    <tableColumn id="3" xr3:uid="{3F523E6B-8848-449B-98C5-BD7C1636311A}" name="Calgary Area" dataDxfId="980">
      <calculatedColumnFormula>C$272/$O$272*$O286</calculatedColumnFormula>
    </tableColumn>
    <tableColumn id="4" xr3:uid="{47805EC3-D5CD-401F-8E2A-13127ABFA4A6}" name="Central" dataDxfId="979">
      <calculatedColumnFormula>D$272/$O$272*$O286</calculatedColumnFormula>
    </tableColumn>
    <tableColumn id="5" xr3:uid="{A0F9691A-157F-4C72-82D7-52AFF7F25086}" name="East" dataDxfId="978">
      <calculatedColumnFormula>E$272/$O$272*$O286</calculatedColumnFormula>
    </tableColumn>
    <tableColumn id="6" xr3:uid="{47F84F80-DB8C-4DB2-A2B4-E0F20FE58B26}" name="Edmonton Area" dataDxfId="977">
      <calculatedColumnFormula>F$272/$O$272*$O286</calculatedColumnFormula>
    </tableColumn>
    <tableColumn id="7" xr3:uid="{BAE794EA-A184-4F55-BEBF-E6C105FAA959}" name="North Central" dataDxfId="976">
      <calculatedColumnFormula>G$272/$O$272*$O286</calculatedColumnFormula>
    </tableColumn>
    <tableColumn id="8" xr3:uid="{ADCC94D2-AF97-4C18-B083-72342A44E9D9}" name="North East" dataDxfId="975">
      <calculatedColumnFormula>H$272/$O$272*$O286</calculatedColumnFormula>
    </tableColumn>
    <tableColumn id="9" xr3:uid="{2FE288D8-B5DD-40A7-835E-9A48386A06D4}" name="North West" dataDxfId="974">
      <calculatedColumnFormula>I$272/$O$272*$O286</calculatedColumnFormula>
    </tableColumn>
    <tableColumn id="10" xr3:uid="{9A711B69-A94B-4475-98D1-58DB2EACA3DB}" name="South" dataDxfId="973">
      <calculatedColumnFormula>J$272/$O$272*$O286</calculatedColumnFormula>
    </tableColumn>
    <tableColumn id="11" xr3:uid="{46560443-DFE1-465C-8826-11B77C510B30}" name="South East" dataDxfId="972">
      <calculatedColumnFormula>K$272/$O$272*$O286</calculatedColumnFormula>
    </tableColumn>
    <tableColumn id="12" xr3:uid="{474063F1-B1F4-491C-B8D9-5759BE3CB1B5}" name="South West" dataDxfId="971">
      <calculatedColumnFormula>L$272/$O$272*$O286</calculatedColumnFormula>
    </tableColumn>
    <tableColumn id="13" xr3:uid="{28710E3A-48FD-497A-AD69-4D5E3D61E4D9}" name="West" dataDxfId="970">
      <calculatedColumnFormula>M$272/$O$272*$O286</calculatedColumnFormula>
    </tableColumn>
    <tableColumn id="14" xr3:uid="{29903419-4FDB-4AE5-9E21-2FF824A6257B}" name="Average" dataDxfId="969">
      <calculatedColumnFormula>IFERROR(AVERAGE(HeatingDays[[#This Row],[Calgary Area]:[West]]),"")</calculatedColumnFormula>
    </tableColumn>
    <tableColumn id="2" xr3:uid="{0CEB42D4-ED04-42C6-96AE-AF34DEAD1236}" name="Zone 1 (Rockford)" dataDxfId="968"/>
  </tableColumns>
  <tableStyleInfo name="TableStyleMedium20"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402B36AA-5E42-4BE9-907F-792993D34949}" name="OutdoorTemperature" displayName="OutdoorTemperature" ref="B296:O302" totalsRowShown="0" headerRowDxfId="967" dataDxfId="966" tableBorderDxfId="965">
  <autoFilter ref="B296:O302" xr:uid="{62BCB0B3-46F6-41D6-93AA-9DE2BB352F46}"/>
  <tableColumns count="14">
    <tableColumn id="1" xr3:uid="{7B0E2E79-26F7-4D5C-B3FB-0638229BC5A9}" name="Indoor Setpoint" dataDxfId="964"/>
    <tableColumn id="3" xr3:uid="{A0819986-7C02-41F5-9325-AD07F10FA9EF}" name="Calgary Area" dataDxfId="963">
      <calculatedColumnFormula>C$295/$O$295*($O297)*'Setpoint Temperature'!$H$12+$O297</calculatedColumnFormula>
    </tableColumn>
    <tableColumn id="4" xr3:uid="{B505317E-D95D-40BA-A9F6-1D96BFDC28DB}" name="Central" dataDxfId="962">
      <calculatedColumnFormula>D$295/$O$295*($O297)*'Setpoint Temperature'!$H$12+$O297</calculatedColumnFormula>
    </tableColumn>
    <tableColumn id="5" xr3:uid="{3CC98C0D-05DD-4B97-B484-23127175BCC4}" name="East" dataDxfId="961">
      <calculatedColumnFormula>E$295/$O$295*($O297)*'Setpoint Temperature'!$H$12+$O297</calculatedColumnFormula>
    </tableColumn>
    <tableColumn id="6" xr3:uid="{57DB6E05-1117-4439-A06D-5CD560243833}" name="Edmonton Area" dataDxfId="960">
      <calculatedColumnFormula>F$295/$O$295*($O297)*'Setpoint Temperature'!$H$12+$O297</calculatedColumnFormula>
    </tableColumn>
    <tableColumn id="7" xr3:uid="{1CDF4D2C-23F0-41DE-93C9-7E6B4A4EFA67}" name="North Central" dataDxfId="959">
      <calculatedColumnFormula>G$295/$O$295*($O297)*'Setpoint Temperature'!$H$12+$O297</calculatedColumnFormula>
    </tableColumn>
    <tableColumn id="8" xr3:uid="{96D53598-573C-4960-B313-F3C073C3F76B}" name="North East" dataDxfId="958">
      <calculatedColumnFormula>H$295/$O$295*($O297)*'Setpoint Temperature'!$H$12+$O297</calculatedColumnFormula>
    </tableColumn>
    <tableColumn id="9" xr3:uid="{6B3DCC08-6E23-4331-AA0F-DCA1705D2E3F}" name="North West" dataDxfId="957">
      <calculatedColumnFormula>I$295/$O$295*($O297)*'Setpoint Temperature'!$H$12+$O297</calculatedColumnFormula>
    </tableColumn>
    <tableColumn id="10" xr3:uid="{DDF788B1-097E-43CA-86B3-473F6B56E0E9}" name="South" dataDxfId="956">
      <calculatedColumnFormula>J$295/$O$295*($O297)*'Setpoint Temperature'!$H$12+$O297</calculatedColumnFormula>
    </tableColumn>
    <tableColumn id="11" xr3:uid="{360D74C9-A44D-48D4-8C2E-83B4F69D1C2B}" name="South East" dataDxfId="955">
      <calculatedColumnFormula>K$295/$O$295*($O297)*'Setpoint Temperature'!$H$12+$O297</calculatedColumnFormula>
    </tableColumn>
    <tableColumn id="12" xr3:uid="{97CDEA35-F247-4697-AD15-93B5F72AC18B}" name="South West" dataDxfId="954">
      <calculatedColumnFormula>L$295/$O$295*($O297)*'Setpoint Temperature'!$H$12+$O297</calculatedColumnFormula>
    </tableColumn>
    <tableColumn id="13" xr3:uid="{8D91E174-7AAE-4525-93D0-2DCE3818C285}" name="West" dataDxfId="953">
      <calculatedColumnFormula>M$295/$O$295*($O297)*'Setpoint Temperature'!$H$12+$O297</calculatedColumnFormula>
    </tableColumn>
    <tableColumn id="14" xr3:uid="{CE60528C-CB7D-4B9A-BF0D-EF4AD63FCD94}" name="Average" dataDxfId="952">
      <calculatedColumnFormula>IFERROR(AVERAGE(OutdoorTemperature[[#This Row],[Calgary Area]:[West]]),"")</calculatedColumnFormula>
    </tableColumn>
    <tableColumn id="2" xr3:uid="{1479E01B-A73F-46D6-AA32-16F95356427F}" name="Zone 1 (Rockford)" dataDxfId="951"/>
  </tableColumns>
  <tableStyleInfo name="TableStyleMedium20"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FDB7651-C16A-4BC8-B259-6C39E91DDDE2}" name="WindspeedMPH" displayName="WindspeedMPH" ref="B307:O312" totalsRowShown="0" headerRowDxfId="950" dataDxfId="949" tableBorderDxfId="948">
  <autoFilter ref="B307:O312" xr:uid="{E1D3E84A-8E3B-4E45-A217-402A70EC032E}"/>
  <tableColumns count="14">
    <tableColumn id="1" xr3:uid="{B2825824-9956-456B-8C23-D27E43383D4B}" name="Entryway Orientation" dataDxfId="947"/>
    <tableColumn id="3" xr3:uid="{16E8B1A9-C4E4-422E-8D76-C9E32F3D11EF}" name="Calgary Area" dataDxfId="946">
      <calculatedColumnFormula>C$272/$O$272*$O308</calculatedColumnFormula>
    </tableColumn>
    <tableColumn id="4" xr3:uid="{AE752916-0AC3-4323-9B2C-49762257BACB}" name="Central" dataDxfId="945">
      <calculatedColumnFormula>D$272/$O$272*$O308</calculatedColumnFormula>
    </tableColumn>
    <tableColumn id="5" xr3:uid="{5596BDB2-3A0E-445D-AC7B-51D8B69E49A6}" name="East" dataDxfId="944">
      <calculatedColumnFormula>E$272/$O$272*$O308</calculatedColumnFormula>
    </tableColumn>
    <tableColumn id="6" xr3:uid="{11C85564-31F5-4C59-8ED8-7B6F0CD498C7}" name="Edmonton Area" dataDxfId="943">
      <calculatedColumnFormula>F$272/$O$272*$O308</calculatedColumnFormula>
    </tableColumn>
    <tableColumn id="7" xr3:uid="{2E1F116E-EC61-4716-A60F-D312A2B4508B}" name="North Central" dataDxfId="942">
      <calculatedColumnFormula>G$272/$O$272*$O308</calculatedColumnFormula>
    </tableColumn>
    <tableColumn id="8" xr3:uid="{62FDD3BA-471E-498E-9ACA-F85C39166681}" name="North East" dataDxfId="941">
      <calculatedColumnFormula>H$272/$O$272*$O308</calculatedColumnFormula>
    </tableColumn>
    <tableColumn id="9" xr3:uid="{16FFB507-A9CF-4DD4-941B-E961FDB386B9}" name="North West" dataDxfId="940">
      <calculatedColumnFormula>I$272/$O$272*$O308</calculatedColumnFormula>
    </tableColumn>
    <tableColumn id="10" xr3:uid="{9A3C7264-ABB7-4ACB-8095-E4986FC8B8E7}" name="South" dataDxfId="939">
      <calculatedColumnFormula>J$272/$O$272*$O308</calculatedColumnFormula>
    </tableColumn>
    <tableColumn id="11" xr3:uid="{B3201C84-2A12-4C4C-B836-77414BE3CF19}" name="South East" dataDxfId="938">
      <calculatedColumnFormula>K$272/$O$272*$O308</calculatedColumnFormula>
    </tableColumn>
    <tableColumn id="12" xr3:uid="{E6F50199-55DE-4F60-917C-1C6F15D9E88E}" name="South West" dataDxfId="937">
      <calculatedColumnFormula>L$272/$O$272*$O308</calculatedColumnFormula>
    </tableColumn>
    <tableColumn id="13" xr3:uid="{087EBCEB-80BB-4A3E-810E-240860D8423E}" name="West" dataDxfId="936">
      <calculatedColumnFormula>M$272/$O$272*$O308</calculatedColumnFormula>
    </tableColumn>
    <tableColumn id="14" xr3:uid="{6AE41C75-06DE-477F-87ED-B2DAA0A6E6A6}" name="Average" dataDxfId="935">
      <calculatedColumnFormula>IFERROR(AVERAGE(WindspeedMPH[[#This Row],[Calgary Area]:[West]]),"")</calculatedColumnFormula>
    </tableColumn>
    <tableColumn id="2" xr3:uid="{1242EE6E-FE51-4ED2-86DC-8AB7500C09D6}" name="Zone 1 (Rockford)" dataDxfId="934"/>
  </tableColumns>
  <tableStyleInfo name="TableStyleMedium20"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4169DA6B-2C92-458C-B389-4D7520CBA773}" name="WindspeedCF" displayName="WindspeedCF" ref="B317:O322" totalsRowShown="0" headerRowDxfId="933" dataDxfId="932" tableBorderDxfId="931">
  <autoFilter ref="B317:O322" xr:uid="{AB7F0C38-B9C6-4F3F-8027-532B2286FA87}"/>
  <tableColumns count="14">
    <tableColumn id="1" xr3:uid="{31CCE9F5-3681-4008-94D5-86912A19A2C1}" name="Entryway Orientation" dataDxfId="930"/>
    <tableColumn id="3" xr3:uid="{0686958A-0988-4230-82AD-593B0F532B16}" name="Calgary Area" dataDxfId="929" dataCellStyle="Percent">
      <calculatedColumnFormula>C$272/$O$272*$O318</calculatedColumnFormula>
    </tableColumn>
    <tableColumn id="4" xr3:uid="{27406BBA-7BD7-441E-84EC-AABBB3B27D27}" name="Central" dataDxfId="928" dataCellStyle="Percent">
      <calculatedColumnFormula>D$272/$O$272*$O318</calculatedColumnFormula>
    </tableColumn>
    <tableColumn id="5" xr3:uid="{5611792B-B40E-4564-B3B7-7D78E9FFA9EF}" name="East" dataDxfId="927" dataCellStyle="Percent">
      <calculatedColumnFormula>E$272/$O$272*$O318</calculatedColumnFormula>
    </tableColumn>
    <tableColumn id="6" xr3:uid="{E272BAAB-9BE5-4F69-AA72-FDDA14626AD7}" name="Edmonton Area" dataDxfId="926" dataCellStyle="Percent">
      <calculatedColumnFormula>F$272/$O$272*$O318</calculatedColumnFormula>
    </tableColumn>
    <tableColumn id="7" xr3:uid="{2F636002-9FB2-4284-8419-BC0515F0E1F6}" name="North Central" dataDxfId="925" dataCellStyle="Percent">
      <calculatedColumnFormula>G$272/$O$272*$O318</calculatedColumnFormula>
    </tableColumn>
    <tableColumn id="8" xr3:uid="{ADFFFD04-1E06-4D8D-BABE-C44936FF48E0}" name="North East" dataDxfId="924" dataCellStyle="Percent">
      <calculatedColumnFormula>H$272/$O$272*$O318</calculatedColumnFormula>
    </tableColumn>
    <tableColumn id="9" xr3:uid="{E4E38F84-1AB0-48AE-B02A-CBD9A07C21B2}" name="North West" dataDxfId="923" dataCellStyle="Percent">
      <calculatedColumnFormula>I$272/$O$272*$O318</calculatedColumnFormula>
    </tableColumn>
    <tableColumn id="10" xr3:uid="{6B7482D1-F6DC-4DFA-99B6-AE43165AAFB6}" name="South" dataDxfId="922" dataCellStyle="Percent">
      <calculatedColumnFormula>J$272/$O$272*$O318</calculatedColumnFormula>
    </tableColumn>
    <tableColumn id="11" xr3:uid="{C258CC8A-3DBE-4597-97C3-53D9BA47D0C9}" name="South East" dataDxfId="921" dataCellStyle="Percent">
      <calculatedColumnFormula>K$272/$O$272*$O318</calculatedColumnFormula>
    </tableColumn>
    <tableColumn id="12" xr3:uid="{C252E9F4-E077-49CF-823A-E5F40DDF1233}" name="South West" dataDxfId="920" dataCellStyle="Percent">
      <calculatedColumnFormula>L$272/$O$272*$O318</calculatedColumnFormula>
    </tableColumn>
    <tableColumn id="13" xr3:uid="{5F0E6783-6C04-4B43-B7FD-28B398DDF198}" name="West" dataDxfId="919" dataCellStyle="Percent">
      <calculatedColumnFormula>M$272/$O$272*$O318</calculatedColumnFormula>
    </tableColumn>
    <tableColumn id="14" xr3:uid="{9C6A64CA-27AC-49D8-BF7D-27C499E91EA6}" name="Average" dataDxfId="918" dataCellStyle="Percent">
      <calculatedColumnFormula>IFERROR(AVERAGE(WindspeedCF[[#This Row],[Calgary Area]:[West]]),"")</calculatedColumnFormula>
    </tableColumn>
    <tableColumn id="2" xr3:uid="{72B8D4F7-DDD9-4600-8AE6-590A3D29B512}" name="Zone 1 (Rockford)" dataDxfId="917" dataCellStyle="Percent"/>
  </tableColumns>
  <tableStyleInfo name="TableStyleMedium2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70B0746-7C4C-4DBA-A93F-30B6AF1EE6FA}" name="DiscountRate" displayName="DiscountRate" ref="B4:E7" totalsRowShown="0" headerRowDxfId="1282" dataDxfId="1280" headerRowBorderDxfId="1281" tableBorderDxfId="1279" totalsRowBorderDxfId="1278">
  <autoFilter ref="B4:E7" xr:uid="{4A9F80F2-BD1D-483F-A390-6DEB1D762542}"/>
  <tableColumns count="4">
    <tableColumn id="1" xr3:uid="{1EF95DF5-6F08-4840-947C-CCCFFD1CCB32}" name="Discount Rate" dataDxfId="1277"/>
    <tableColumn id="5" xr3:uid="{F96A7CA6-7543-4901-AA94-A23918AE184C}" name="Variable Name" dataDxfId="1276"/>
    <tableColumn id="2" xr3:uid="{326DED21-CD8A-434E-8F29-1027CBF16E1D}" name="Value" dataDxfId="1275"/>
    <tableColumn id="3" xr3:uid="{3373F299-6712-4E4B-9164-D57CA602F1D3}" name="Source" dataDxfId="1274"/>
  </tableColumns>
  <tableStyleInfo name="TableStyleLight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98FCA61-6095-440F-ACEF-44A3898DB7B5}" name="BuildingType" displayName="BuildingType" ref="B5:AI40" totalsRowShown="0" headerRowDxfId="916" dataDxfId="915" tableBorderDxfId="914">
  <autoFilter ref="B5:AI40" xr:uid="{CEAC5DD0-FECE-4DD5-9F57-EB973768D69B}"/>
  <tableColumns count="34">
    <tableColumn id="1" xr3:uid="{186D8CAC-804A-4942-AA39-8ED148AD3662}" name="Building" dataDxfId="913"/>
    <tableColumn id="27" xr3:uid="{964EA0B0-BE76-40CF-ABF8-E01A1538DFE9}" name="Building Category" dataDxfId="912"/>
    <tableColumn id="29" xr3:uid="{94FC73AF-892C-4000-A417-F6B26BBA16E8}" name="EOrbit Building Type" dataDxfId="911">
      <calculatedColumnFormula>VLOOKUP(BuildingType[[#This Row],[Building]],#REF!,2,FALSE)</calculatedColumnFormula>
    </tableColumn>
    <tableColumn id="2" xr3:uid="{8642FE20-9B51-469D-B632-0018FE4B9EF0}" name="HOU" dataDxfId="910" dataCellStyle="Comma"/>
    <tableColumn id="6" xr3:uid="{B4884C5B-988D-446A-B304-2054311D19E4}" name="OPERATING_HOURS" dataDxfId="909" dataCellStyle="Comma"/>
    <tableColumn id="33" xr3:uid="{8F8C3204-3D91-483F-B5A8-B33BFD7529C6}" name="PERCENT_HOURS" dataDxfId="908" dataCellStyle="Comma"/>
    <tableColumn id="3" xr3:uid="{0FAB9C2C-695C-4B58-BBB0-2F2BD3DAA5A5}" name="FLOOR_AREA" dataDxfId="907" dataCellStyle="Comma"/>
    <tableColumn id="16" xr3:uid="{737D2D6E-F9F4-4313-ACD4-DF064EF8DBE9}" name="HEATING_DRIVE" dataDxfId="906" dataCellStyle="Comma"/>
    <tableColumn id="26" xr3:uid="{5B61F6DE-1DBC-453B-8CCC-5A3749184193}" name="COOLING_DRIVE" dataDxfId="905" dataCellStyle="Comma"/>
    <tableColumn id="15" xr3:uid="{B99AAB6A-FA29-47EC-BEDB-13DEA8010E44}" name="FAN_DRIVE" dataDxfId="904" dataCellStyle="Comma"/>
    <tableColumn id="5" xr3:uid="{08020ED1-BEE7-407E-B49C-3297A8B71796}" name="EFLH" dataDxfId="903" dataCellStyle="Comma"/>
    <tableColumn id="8" xr3:uid="{E95C9ABE-6D90-4E78-8C1B-41C241A33625}" name="EFLC" dataDxfId="902" dataCellStyle="Comma"/>
    <tableColumn id="9" xr3:uid="{545FF691-6A32-46F5-8B92-35469CCF603A}" name="IE_HEAT" dataDxfId="901" dataCellStyle="Percent"/>
    <tableColumn id="10" xr3:uid="{328D565D-700A-4FC6-BB09-B3231C9CE8B4}" name="IE_COOL" dataDxfId="900"/>
    <tableColumn id="11" xr3:uid="{CBF2F6D2-357D-4EE4-B0F0-F25254BDDDC8}" name="WHF" dataDxfId="899"/>
    <tableColumn id="12" xr3:uid="{8D63D73F-CB35-4C8B-A14C-06DCE109A491}" name="C_STOCK" dataDxfId="898" dataCellStyle="Percent"/>
    <tableColumn id="13" xr3:uid="{2557F93A-546A-42DA-B6AF-88535F4D1931}" name="R_STOCK" dataDxfId="897" dataCellStyle="Percent"/>
    <tableColumn id="30" xr3:uid="{56FD99D8-D593-4584-B901-39D17C891A37}" name="WATER_HEAT_CAP" dataDxfId="896" dataCellStyle="Percent"/>
    <tableColumn id="14" xr3:uid="{5D9834E4-EEAC-4ADB-ACBD-0B5BEE41985D}" name="WATER" dataDxfId="895" dataCellStyle="Percent">
      <calculatedColumnFormula>#REF!*#REF!</calculatedColumnFormula>
    </tableColumn>
    <tableColumn id="17" xr3:uid="{A0969A85-32B0-451E-9308-6169223A743C}" name="PEOPLE" dataDxfId="894" dataCellStyle="Percent"/>
    <tableColumn id="7" xr3:uid="{42590AD7-871C-4455-A3B0-1E0531D89A68}" name="OPERATING_HOURS_SOURCE" dataDxfId="893" dataCellStyle="Percent"/>
    <tableColumn id="4" xr3:uid="{E1485EBC-8102-458A-A8F1-E5FA78923501}" name="FLOOR_AREA_SOURCE" dataDxfId="892" dataCellStyle="Percent"/>
    <tableColumn id="31" xr3:uid="{559585A5-C647-485A-9157-D9683A35F204}" name="COOLING_DRIVE_SOURCE" dataDxfId="891" dataCellStyle="Percent"/>
    <tableColumn id="34" xr3:uid="{08F702AA-B5AD-4B57-B810-FE42585FD6A9}" name="FAN_DRIVE_SOURCE" dataDxfId="890" dataCellStyle="Percent"/>
    <tableColumn id="18" xr3:uid="{267AF662-42C8-4846-83D9-8DB0B5E76F15}" name="HOU_SOURCE" dataDxfId="889"/>
    <tableColumn id="19" xr3:uid="{BA108B7E-CC0D-42FF-995D-1FF9EA21B953}" name="EFLH_SOURCE" dataDxfId="888"/>
    <tableColumn id="20" xr3:uid="{334ADBA4-1861-438B-AAC1-436EFF419626}" name="EFLC_SOURCE" dataDxfId="887"/>
    <tableColumn id="21" xr3:uid="{F9ABCA5A-61A9-417C-BBF5-FE043D82ADF6}" name="IE_HEAT_SOURCE" dataDxfId="886"/>
    <tableColumn id="22" xr3:uid="{01A53906-2335-4A3D-B0A1-A1CC9B57752B}" name="IE_COOL_SOURCE" dataDxfId="885"/>
    <tableColumn id="28" xr3:uid="{35C3D80A-6A13-4405-B3E2-286459E7E52B}" name="DRIVE_SOURCE" dataDxfId="884"/>
    <tableColumn id="23" xr3:uid="{031933DC-EE15-44E3-A52F-C522D39D12E6}" name="WATER_SOURCE" dataDxfId="883"/>
    <tableColumn id="24" xr3:uid="{695B03B9-92AC-4418-9C1C-8B377E8AB1AB}" name="PEOPLE_SOURCE" dataDxfId="882"/>
    <tableColumn id="25" xr3:uid="{95E6F298-9515-43B1-A61E-C8D1AFFA4E3B}" name="R_STOCK_SOURCE" dataDxfId="881" dataCellStyle="Percent"/>
    <tableColumn id="32" xr3:uid="{1B6227F3-162A-486E-BDCF-55F63738E6BC}" name="WATER_HEAT_CAP_SOURCE" dataDxfId="880"/>
  </tableColumns>
  <tableStyleInfo name="TableStyleLight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118D463-D58C-4C53-BA67-39504D035F14}" name="RegionList" displayName="RegionList" ref="B4:B16" totalsRowShown="0" headerRowDxfId="879">
  <autoFilter ref="B4:B16" xr:uid="{7785211B-14F5-4AC8-9336-6120AC657EB3}"/>
  <tableColumns count="1">
    <tableColumn id="1" xr3:uid="{9361501B-90A5-44D0-83C2-C423D895B5AF}" name="Index"/>
  </tableColumns>
  <tableStyleInfo name="TableStyleLight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27D959F-2509-4DAC-9A01-D5C4FFEA6E11}" name="ReplacementTypeList" displayName="ReplacementTypeList" ref="B19:B21" totalsRowShown="0" headerRowDxfId="878">
  <autoFilter ref="B19:B21" xr:uid="{5B6689AB-B0FE-40F3-BD8B-7D83A463E22D}"/>
  <tableColumns count="1">
    <tableColumn id="1" xr3:uid="{682D10B5-24AE-4521-89CA-AA52F5E8B789}" name="Index"/>
  </tableColumns>
  <tableStyleInfo name="TableStyleLight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42140CF-0E06-415F-B0D0-2B8939B8A15D}" name="MeasureTypeList" displayName="MeasureTypeList" ref="B24:B43" totalsRowShown="0" headerRowDxfId="877">
  <autoFilter ref="B24:B43" xr:uid="{93B247B2-58C1-4990-A98F-B6B05BDD12C8}"/>
  <tableColumns count="1">
    <tableColumn id="1" xr3:uid="{2A938C96-C377-4BD2-9CC7-48730A13BAE7}" name="Index"/>
  </tableColumns>
  <tableStyleInfo name="TableStyleLight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507FBED6-4025-4CFF-9F4A-B97A6B55824C}" name="SpaceHeatingTypeList" displayName="SpaceHeatingTypeList" ref="B100:B103" totalsRowShown="0" headerRowDxfId="876" headerRowBorderDxfId="875" tableBorderDxfId="874">
  <autoFilter ref="B100:B103" xr:uid="{B62C2FEE-FCF1-4134-AAD3-023122A424B3}"/>
  <sortState xmlns:xlrd2="http://schemas.microsoft.com/office/spreadsheetml/2017/richdata2" ref="B101:B103">
    <sortCondition ref="B100:B103"/>
  </sortState>
  <tableColumns count="1">
    <tableColumn id="1" xr3:uid="{97239FAD-3284-47B4-9759-7C7090E28865}" name="Fuel Type"/>
  </tableColumns>
  <tableStyleInfo name="TableStyleMedium16"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62483FEF-D738-4329-9B6C-DA098EA34246}" name="ResponseList" displayName="ResponseList" ref="B84:B86" totalsRowShown="0" headerRowDxfId="873" headerRowBorderDxfId="872" tableBorderDxfId="871" totalsRowBorderDxfId="870">
  <autoFilter ref="B84:B86" xr:uid="{F83E52B4-792C-42A7-AD31-E65A3AA4D181}"/>
  <tableColumns count="1">
    <tableColumn id="1" xr3:uid="{5BF432EA-6ECC-42AB-9537-FE4FD019E0EC}" name="Response"/>
  </tableColumns>
  <tableStyleInfo name="TableStyleMedium16"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4304278-0885-418D-8417-226D4714DC26}" name="FanTempList" displayName="FanTempList" ref="B89:B91" totalsRowShown="0" headerRowDxfId="869" headerRowBorderDxfId="868" tableBorderDxfId="867" totalsRowBorderDxfId="866">
  <autoFilter ref="B89:B91" xr:uid="{A929063B-C2D2-40C0-963C-C8A51F09E975}"/>
  <tableColumns count="1">
    <tableColumn id="1" xr3:uid="{F3BED00E-B7F4-4B31-B277-91C5EF3E06DB}" name="Fan Temperature"/>
  </tableColumns>
  <tableStyleInfo name="TableStyleMedium16"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6E2229E9-6844-4D49-847E-B85E59BEFFD1}" name="HVACTypeList" displayName="HVACTypeList" ref="B94:B97" totalsRowShown="0" headerRowDxfId="865" dataDxfId="863" headerRowBorderDxfId="864" tableBorderDxfId="862" totalsRowBorderDxfId="861">
  <autoFilter ref="B94:B97" xr:uid="{6DA566F3-E0A5-44E5-B757-E3430862C24C}"/>
  <tableColumns count="1">
    <tableColumn id="1" xr3:uid="{C43F44C4-D278-45CF-8810-BCCFB0027C39}" name="System Type" dataDxfId="860"/>
  </tableColumns>
  <tableStyleInfo name="TableStyleMedium16"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29F8CB0-8735-459B-92ED-72969392EDF4}" name="FuelTypeList" displayName="FuelTypeList" ref="B47:B49" totalsRowShown="0" headerRowDxfId="859" dataDxfId="857" headerRowBorderDxfId="858" tableBorderDxfId="856" totalsRowBorderDxfId="855">
  <autoFilter ref="B47:B49" xr:uid="{0FE2521F-F360-4A67-A7C3-E6143C81B842}"/>
  <tableColumns count="1">
    <tableColumn id="1" xr3:uid="{8F584D00-F049-4CDC-8996-5ECA73C396C4}" name="Index" dataDxfId="854"/>
  </tableColumns>
  <tableStyleInfo name="TableStyleMedium16"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E45875E0-C20F-4BE7-8BD2-363458A5012F}" name="ResidentialBuildingList" displayName="ResidentialBuildingList" ref="D53:D59" totalsRowShown="0" headerRowDxfId="853" headerRowBorderDxfId="852" tableBorderDxfId="851" totalsRowBorderDxfId="850">
  <autoFilter ref="D53:D59" xr:uid="{A9748333-5796-40D0-A8C6-0291558ED546}"/>
  <sortState xmlns:xlrd2="http://schemas.microsoft.com/office/spreadsheetml/2017/richdata2" ref="D54:D90">
    <sortCondition ref="D54:D91"/>
  </sortState>
  <tableColumns count="1">
    <tableColumn id="1" xr3:uid="{C08DA3FA-1F5F-4578-B9EE-41F459F0EDE2}" name="Building"/>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C4AB996-D913-49DB-8723-C7615A738ED9}" name="EEJobsGDP" displayName="EEJobsGDP" ref="B9:E17" totalsRowShown="0" headerRowDxfId="1273" dataDxfId="1271" headerRowBorderDxfId="1272" tableBorderDxfId="1270" totalsRowBorderDxfId="1269">
  <autoFilter ref="B9:E17" xr:uid="{DC87D348-51E0-4B37-A82C-6655604577C3}"/>
  <tableColumns count="4">
    <tableColumn id="1" xr3:uid="{50A8C268-2E6E-4A4C-9177-17B0A58D6300}" name="EE Jobs and GDP" dataDxfId="1268"/>
    <tableColumn id="4" xr3:uid="{EE8BF8FF-50CB-4A40-A51C-806C7F004B74}" name="Variable Name" dataDxfId="1267"/>
    <tableColumn id="2" xr3:uid="{7944B5E7-0386-443C-97C4-EA63A50DA044}" name="Value" dataDxfId="1266"/>
    <tableColumn id="3" xr3:uid="{EB441CF6-FAFA-4789-B52D-189090084002}" name="Source" dataDxfId="1265"/>
  </tableColumns>
  <tableStyleInfo name="TableStyleLight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643D30B2-63C8-4C4E-95BA-E62F1365F042}" name="CommercialBuildingList" displayName="CommercialBuildingList" ref="B53:B81" totalsRowShown="0" headerRowDxfId="849" headerRowBorderDxfId="848" tableBorderDxfId="847" totalsRowBorderDxfId="846">
  <autoFilter ref="B53:B81" xr:uid="{26D89370-8AA9-4B58-B08A-793B1D2D0DB7}"/>
  <tableColumns count="1">
    <tableColumn id="1" xr3:uid="{1545E2EF-125F-4276-B709-D958193D61C8}" name="Building" dataDxfId="845"/>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2AC98B8-506B-4984-A451-F01F91C56E25}" name="FanRuntimeList" displayName="FanRuntimeList" ref="B106:B110" totalsRowShown="0" headerRowDxfId="844" dataDxfId="842" headerRowBorderDxfId="843" tableBorderDxfId="841" totalsRowBorderDxfId="840" dataCellStyle="Percent">
  <autoFilter ref="B106:B110" xr:uid="{D1DEA195-020A-43BA-B07D-C1902B06F4BF}"/>
  <tableColumns count="1">
    <tableColumn id="1" xr3:uid="{3303C661-DE42-4337-8C51-38B084530818}" name="Runtime" dataDxfId="839" dataCellStyle="Percent"/>
  </tableColumns>
  <tableStyleInfo name="TableStyleMedium16"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5415214E-1AAD-4F78-ADD8-378250358334}" name="CurtainTypeList" displayName="CurtainTypeList" ref="B113:B115" totalsRowShown="0" headerRowDxfId="838" headerRowBorderDxfId="837">
  <autoFilter ref="B113:B115" xr:uid="{0219E614-847E-44EB-AD9C-83F1A477806C}"/>
  <tableColumns count="1">
    <tableColumn id="1" xr3:uid="{790C5E2E-46DF-44A0-8081-E0405929D808}" name="Curtain Type"/>
  </tableColumns>
  <tableStyleInfo name="TableStyleMedium2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475E5C8-A0A9-478E-B5BA-44BC54D77C75}" name="TDLosses" displayName="TDLosses" ref="B23:E25" totalsRowShown="0" headerRowDxfId="1264" dataDxfId="1262" headerRowBorderDxfId="1263" tableBorderDxfId="1261" totalsRowBorderDxfId="1260">
  <autoFilter ref="B23:E25" xr:uid="{4D72548A-D23D-49BE-9224-4BC3BD8DCF2E}"/>
  <tableColumns count="4">
    <tableColumn id="1" xr3:uid="{B978C6AC-E1C0-4352-B5A9-40F3EA8D7A95}" name="T&amp;D Losses" dataDxfId="1259"/>
    <tableColumn id="4" xr3:uid="{0BA30982-4929-48AA-8F8A-19F8D4366409}" name="Variable Name" dataDxfId="1258"/>
    <tableColumn id="2" xr3:uid="{31A0679E-0C41-4F6A-8A37-938822B327C8}" name="Value" dataDxfId="1257"/>
    <tableColumn id="3" xr3:uid="{1FE4ACC1-E3CC-4095-BD40-CC1E53BEC6CE}" name="Source" dataDxfId="1256"/>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D707B5C-01E3-44FC-A064-174B6F1EFFFA}" name="ConversionFactors" displayName="ConversionFactors" ref="B35:E55" totalsRowShown="0" headerRowDxfId="1255" dataDxfId="1253" headerRowBorderDxfId="1254" tableBorderDxfId="1252" totalsRowBorderDxfId="1251">
  <autoFilter ref="B35:E55" xr:uid="{29F1D81A-5979-4A47-B7EA-395610E15AC0}"/>
  <tableColumns count="4">
    <tableColumn id="1" xr3:uid="{EA615415-295B-4409-8544-DE1CA1ADD468}" name="Conversion Factors" dataDxfId="1250" totalsRowDxfId="1249"/>
    <tableColumn id="4" xr3:uid="{287EE743-0E44-44A5-BF5B-C7FD65F0CBC6}" name="Variable Name" dataDxfId="1248" totalsRowDxfId="1247"/>
    <tableColumn id="2" xr3:uid="{49A137E9-1102-48D6-8A68-1F956A6FA0C6}" name="Value" dataDxfId="1246" totalsRowDxfId="1245"/>
    <tableColumn id="3" xr3:uid="{3A26D8A5-78F3-4F26-956D-74D894C33921}" name="Source" dataDxfId="1244" totalsRowDxfId="1243"/>
  </tableColumns>
  <tableStyleInfo name="TableStyleLight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76CA6F0-ADC9-4280-9010-E39A77C23F1F}" name="EquivalencyFactors" displayName="EquivalencyFactors" ref="B58:E63" totalsRowShown="0" headerRowDxfId="1242" dataDxfId="1240" headerRowBorderDxfId="1241" tableBorderDxfId="1239" totalsRowBorderDxfId="1238">
  <autoFilter ref="B58:E63" xr:uid="{4F953CA4-0D2A-4468-86DC-60BD78D8BFD1}"/>
  <tableColumns count="4">
    <tableColumn id="1" xr3:uid="{A409498F-6163-4438-97EB-59CFAD73A542}" name="Equivalency Factors" dataDxfId="1237"/>
    <tableColumn id="4" xr3:uid="{6D7CE071-DD8F-49C8-BD7B-E7F66A0DE9F4}" name="Variable Name" dataDxfId="1236"/>
    <tableColumn id="2" xr3:uid="{FE21D432-DC3C-478B-B115-4EA97975C824}" name="Value" dataDxfId="1235"/>
    <tableColumn id="3" xr3:uid="{12BF7E7B-8869-4935-912C-7D5A4D3DA42A}" name="Source" dataDxfId="1234"/>
  </tableColumns>
  <tableStyleInfo name="TableStyleLight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4BF1CE2-8951-4D35-BDD0-1A24E79B7BEE}" name="Constants" displayName="Constants" ref="B65:E76" totalsRowShown="0" headerRowDxfId="1233" dataDxfId="1231" headerRowBorderDxfId="1232" tableBorderDxfId="1230" totalsRowBorderDxfId="1229">
  <autoFilter ref="B65:E76" xr:uid="{B48F7360-F3E7-4E20-BA0A-067AD107ADA4}"/>
  <tableColumns count="4">
    <tableColumn id="1" xr3:uid="{38EE5170-451A-4A12-8347-DB9A1929E284}" name="Constants" dataDxfId="1228"/>
    <tableColumn id="4" xr3:uid="{781E45AC-C311-4EC3-B18C-25D39F31B423}" name="Variable Name" dataDxfId="1227"/>
    <tableColumn id="2" xr3:uid="{ECB9E8CF-8B9F-420E-A402-6008603A5A0B}" name="Value" dataDxfId="1226"/>
    <tableColumn id="3" xr3:uid="{B0EEF60A-32AA-4E43-A32E-553CE4DAE4AA}" name="Source" dataDxfId="1225"/>
  </tableColumns>
  <tableStyleInfo name="TableStyleLight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F48BF66-6197-44D2-9BBF-CEB0A2AA580A}" name="ResidentialDefaults" displayName="ResidentialDefaults" ref="B79:E86" totalsRowShown="0" headerRowDxfId="1224" dataDxfId="1222" headerRowBorderDxfId="1223" tableBorderDxfId="1221" totalsRowBorderDxfId="1220">
  <autoFilter ref="B79:E86" xr:uid="{BA784910-3B87-458E-8D73-060EFD07AD79}"/>
  <tableColumns count="4">
    <tableColumn id="1" xr3:uid="{1739D264-A16C-41B5-A5EE-D4DE5A093958}" name="Residential Defaults" dataDxfId="1219"/>
    <tableColumn id="4" xr3:uid="{8F0892B6-F895-421D-881C-DF8E94A70894}" name="Variable Name" dataDxfId="1218"/>
    <tableColumn id="2" xr3:uid="{40A7EC2D-C7D3-482F-85D5-0BC123C7151B}" name="Value" dataDxfId="1217" dataCellStyle="Percent"/>
    <tableColumn id="3" xr3:uid="{C652516D-886D-46C3-A362-B797BE4F6192}" name="Source" dataDxfId="1216"/>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37" dT="2020-04-02T01:17:26.59" personId="{719E5E59-ECB1-422A-9EF9-2248F208BE88}" id="{3A796DDC-D965-46D3-B7D1-FE2C87EC465E}">
    <text>@Brendan Gray and @Lee Wood, we may need to split this one into steam and water boilers. Though we could also just limit the boiler upgrade to water-only. Lets check-in on this.</text>
    <mentions>
      <mention mentionpersonId="{6543B279-7592-4F3A-AD4A-ECED11AE3E48}" mentionId="{D08132C9-2904-4666-A740-39D014A36FE1}" startIndex="0" length="13"/>
      <mention mentionpersonId="{E9820B51-61E5-45EB-AD7D-89E87D07DE72}" mentionId="{BFBC1655-EFEA-488C-9290-5B4CAD8A0FC4}" startIndex="18" length="9"/>
    </mentions>
  </threadedComment>
</ThreadedComments>
</file>

<file path=xl/threadedComments/threadedComment10.xml><?xml version="1.0" encoding="utf-8"?>
<ThreadedComments xmlns="http://schemas.microsoft.com/office/spreadsheetml/2018/threadedcomments" xmlns:x="http://schemas.openxmlformats.org/spreadsheetml/2006/main">
  <threadedComment ref="P4" dT="2020-01-20T19:13:04.85" personId="{42259D99-905D-42E6-BDC3-3E6236179948}" id="{1C79E07F-EA23-4759-8CB6-89A70F3593A8}">
    <text>Updated: IL TRM v8</text>
  </threadedComment>
  <threadedComment ref="Q4" dT="2020-01-20T19:10:46.86" personId="{42259D99-905D-42E6-BDC3-3E6236179948}" id="{03420084-CC2C-4970-9EC1-8B68AFAB634A}">
    <text>Updated with BES Actuals from Past Program Data Analysis</text>
  </threadedComment>
  <threadedComment ref="D5" dT="2020-01-27T16:10:37.96" personId="{719E5E59-ECB1-422A-9EF9-2248F208BE88}" id="{A03B7622-E2BC-4557-B811-E84EE5C349EE}">
    <text>@Lee Wood we really shouldn't have 2 different lists. (Not a priority to fix, but should eventually standardize to the list in column B and C.)</text>
    <mentions>
      <mention mentionpersonId="{E9820B51-61E5-45EB-AD7D-89E87D07DE72}" mentionId="{C848C942-00C8-4677-B7CC-9B8221369AF5}" startIndex="0" length="9"/>
    </mentions>
  </threadedComment>
  <threadedComment ref="D5" dT="2020-01-27T16:41:19.38" personId="{42259D99-905D-42E6-BDC3-3E6236179948}" id="{0A3F33BF-1682-4A4F-B6EC-8156EFFEDCDF}" parentId="{A03B7622-E2BC-4557-B811-E84EE5C349EE}">
    <text>I agree. But for now we do, so I want to have them mapped for later on when we standardize on a single list.</text>
  </threadedComment>
  <threadedComment ref="L5" dT="2019-12-10T15:52:27.08" personId="{719E5E59-ECB1-422A-9EF9-2248F208BE88}" id="{15C33696-CEAD-48E9-B534-F33ACA0F2FB3}">
    <text>We will need to replace these. The "Climate Data" tab shows the different values per building type and climate zone.</text>
  </threadedComment>
  <threadedComment ref="M5" dT="2019-11-08T02:57:30.67" personId="{BD89C511-A6B8-4357-9CB4-636F52BA451A}" id="{571FB9AF-9572-4ACC-87E6-03A8DDA896E5}">
    <text>IL TRM v7 p. 722 of 1092</text>
  </threadedComment>
  <threadedComment ref="M5" dT="2019-11-08T15:29:39.57" personId="{BD89C511-A6B8-4357-9CB4-636F52BA451A}" id="{9C2E41F4-5314-4BAD-B192-B628A9A2760D}" parentId="{571FB9AF-9572-4ACC-87E6-03A8DDA896E5}">
    <text>Need to scale using AB CDD and IL values.</text>
  </threadedComment>
  <threadedComment ref="M5" dT="2019-11-08T15:42:40.98" personId="{BD89C511-A6B8-4357-9CB4-636F52BA451A}" id="{88BE413E-7A9D-4E0E-971F-80597223539F}" parentId="{571FB9AF-9572-4ACC-87E6-03A8DDA896E5}">
    <text>Rockford IL used as it is northern most city</text>
  </threadedComment>
  <threadedComment ref="M5" dT="2019-12-10T15:52:16.56" personId="{719E5E59-ECB1-422A-9EF9-2248F208BE88}" id="{7FD83CA3-FC65-4ACC-B6B5-9017E1F4E743}" parentId="{571FB9AF-9572-4ACC-87E6-03A8DDA896E5}">
    <text>We will need to replace these. The "Climate Data" tab shows the different values per building type and climate zone.</text>
  </threadedComment>
  <threadedComment ref="B20" dT="2020-01-28T20:34:52.43" personId="{BD89C511-A6B8-4357-9CB4-636F52BA451A}" id="{60C277D5-3679-4DD2-8A95-910890CDFF96}">
    <text>For Heating and Cooling Drives, Hospital - VAV econ was used, but other building types exist as well.</text>
  </threadedComment>
  <threadedComment ref="B23" dT="2020-01-28T20:41:03.72" personId="{BD89C511-A6B8-4357-9CB4-636F52BA451A}" id="{D3004E51-BEFA-4B9B-A26E-AC8848A8162A}">
    <text>Used Office - High Rise - VAV econ but other permutations exist (i.e. CAV econ, CAV no econ, FCU)</text>
  </threadedComment>
</ThreadedComments>
</file>

<file path=xl/threadedComments/threadedComment11.xml><?xml version="1.0" encoding="utf-8"?>
<ThreadedComments xmlns="http://schemas.microsoft.com/office/spreadsheetml/2018/threadedcomments" xmlns:x="http://schemas.openxmlformats.org/spreadsheetml/2006/main">
  <threadedComment ref="D57" dT="2019-11-13T23:23:15.68" personId="{BD89C511-A6B8-4357-9CB4-636F52BA451A}" id="{73BB5194-110C-4D73-87EB-27E0115C8CDB}">
    <text>Multifamily</text>
  </threadedComment>
  <threadedComment ref="D58" dT="2019-11-13T23:22:54.57" personId="{BD89C511-A6B8-4357-9CB4-636F52BA451A}" id="{64FC77A7-AE48-4E8B-9617-77345A81291F}">
    <text>Single family</text>
  </threadedComment>
</ThreadedComments>
</file>

<file path=xl/threadedComments/threadedComment12.xml><?xml version="1.0" encoding="utf-8"?>
<ThreadedComments xmlns="http://schemas.microsoft.com/office/spreadsheetml/2018/threadedcomments" xmlns:x="http://schemas.openxmlformats.org/spreadsheetml/2006/main">
  <threadedComment ref="B41" dT="2020-01-17T22:03:43.17" personId="{42259D99-905D-42E6-BDC3-3E6236179948}" id="{1B10B42F-0AB5-493B-9469-35E604BEBE03}">
    <text>CAV no econ</text>
  </threadedComment>
  <threadedComment ref="B54" dT="2020-01-17T22:05:54.54" personId="{42259D99-905D-42E6-BDC3-3E6236179948}" id="{C00CA8D8-C6B8-4E24-8452-4F2AABD6862B}">
    <text>CAV no econ</text>
  </threadedComment>
  <threadedComment ref="B82" dT="2020-01-17T22:03:43.17" personId="{42259D99-905D-42E6-BDC3-3E6236179948}" id="{4C9D563D-5B37-4971-9ABF-A81AA716C41D}">
    <text>CAV no econ</text>
  </threadedComment>
  <threadedComment ref="B95" dT="2020-01-17T22:05:54.54" personId="{42259D99-905D-42E6-BDC3-3E6236179948}" id="{5B4B04FB-585F-49C3-AB35-265AA1688EDC}">
    <text>CAV no econ</text>
  </threadedComment>
  <threadedComment ref="B123" dT="2020-01-17T22:03:43.17" personId="{42259D99-905D-42E6-BDC3-3E6236179948}" id="{158EB81B-32C5-4FE1-A54F-D8D82324C103}">
    <text>CAV no econ</text>
  </threadedComment>
  <threadedComment ref="B136" dT="2020-01-17T22:05:54.54" personId="{42259D99-905D-42E6-BDC3-3E6236179948}" id="{32CCC9AD-5449-4FAF-9811-85D6DC91B60D}">
    <text>CAV no econ</text>
  </threadedComment>
  <threadedComment ref="B164" dT="2020-01-17T22:03:43.17" personId="{42259D99-905D-42E6-BDC3-3E6236179948}" id="{B50BFD51-BE1A-4257-A212-76ACB12EE9BF}">
    <text>CAV no econ</text>
  </threadedComment>
  <threadedComment ref="B177" dT="2020-01-17T22:05:54.54" personId="{42259D99-905D-42E6-BDC3-3E6236179948}" id="{A2286AA8-1762-40CB-AF09-BAB67436F84D}">
    <text>CAV no econ</text>
  </threadedComment>
  <threadedComment ref="B205" dT="2020-01-17T22:03:43.17" personId="{42259D99-905D-42E6-BDC3-3E6236179948}" id="{8F71C8CB-31F7-4CE0-9720-523F368C7EB0}">
    <text>CAV no econ</text>
  </threadedComment>
  <threadedComment ref="B218" dT="2020-01-17T22:05:54.54" personId="{42259D99-905D-42E6-BDC3-3E6236179948}" id="{9B6E7584-E411-4FF2-968C-487AE73050B8}">
    <text>CAV no econ</text>
  </threadedComment>
  <threadedComment ref="B246" dT="2020-01-17T22:03:43.17" personId="{42259D99-905D-42E6-BDC3-3E6236179948}" id="{B3D9DF3E-D70F-44E8-8374-C8E74F011587}">
    <text>CAV no econ</text>
  </threadedComment>
  <threadedComment ref="B259" dT="2020-01-17T22:05:54.54" personId="{42259D99-905D-42E6-BDC3-3E6236179948}" id="{93A197B7-8E8B-4CBD-B0D1-013C26115F33}">
    <text>CAV no econ</text>
  </threadedComment>
</ThreadedComments>
</file>

<file path=xl/threadedComments/threadedComment2.xml><?xml version="1.0" encoding="utf-8"?>
<ThreadedComments xmlns="http://schemas.microsoft.com/office/spreadsheetml/2018/threadedcomments" xmlns:x="http://schemas.openxmlformats.org/spreadsheetml/2006/main">
  <threadedComment ref="C56" dT="2020-07-07T15:30:18.75" personId="{BD89C511-A6B8-4357-9CB4-636F52BA451A}" id="{952D947B-BCB4-494F-88AD-8AC95AED403F}">
    <text>@Barend, I think this should say "deltaGJ_interactive="</text>
    <mentions>
      <mention mentionpersonId="{BD536A9D-4BA6-4D6C-94AB-6EFB8C8137F1}" mentionId="{EEC1FCE3-91BC-4F86-A034-3D3F348F52A0}" startIndex="0" length="7"/>
    </mentions>
  </threadedComment>
  <threadedComment ref="C56" dT="2020-07-07T15:33:13.43" personId="{719E5E59-ECB1-422A-9EF9-2248F208BE88}" id="{E93B1745-41B1-4AB3-B6B3-C1AFD19903B0}" parentId="{952D947B-BCB4-494F-88AD-8AC95AED403F}">
    <text>Yep. I hope this isn't the case in every tab :( Might be worth doing a spot check.</text>
  </threadedComment>
</ThreadedComments>
</file>

<file path=xl/threadedComments/threadedComment3.xml><?xml version="1.0" encoding="utf-8"?>
<ThreadedComments xmlns="http://schemas.microsoft.com/office/spreadsheetml/2018/threadedcomments" xmlns:x="http://schemas.openxmlformats.org/spreadsheetml/2006/main">
  <threadedComment ref="N49" dT="2019-11-08T15:15:06.76" personId="{BD89C511-A6B8-4357-9CB4-636F52BA451A}" id="{361BA1B3-6BF7-4A10-A150-830163C5FE5F}">
    <text>Algorithm checks out using example1 in IL TRM. Just need to adjust variables to fit AB context (e.g. Capacity and FLHcool variables)</text>
  </threadedComment>
</ThreadedComments>
</file>

<file path=xl/threadedComments/threadedComment4.xml><?xml version="1.0" encoding="utf-8"?>
<ThreadedComments xmlns="http://schemas.microsoft.com/office/spreadsheetml/2018/threadedcomments" xmlns:x="http://schemas.openxmlformats.org/spreadsheetml/2006/main">
  <threadedComment ref="C5" dT="2020-01-23T21:29:41.45" personId="{719E5E59-ECB1-422A-9EF9-2248F208BE88}" id="{20198A5F-F727-4564-A7CC-A9D717B836EE}">
    <text>This measure only characterizes replacing an ineficient heat pump with an efficient model. It does not include replacing a furnace/electric resistance heater.</text>
  </threadedComment>
</ThreadedComments>
</file>

<file path=xl/threadedComments/threadedComment5.xml><?xml version="1.0" encoding="utf-8"?>
<ThreadedComments xmlns="http://schemas.microsoft.com/office/spreadsheetml/2018/threadedcomments" xmlns:x="http://schemas.openxmlformats.org/spreadsheetml/2006/main">
  <threadedComment ref="N49" dT="2019-11-14T16:48:29.56" personId="{BD89C511-A6B8-4357-9CB4-636F52BA451A}" id="{2070815B-A7E8-4EA5-A1EB-2DC6FDF19A00}">
    <text>Using example values from IL TRM v7, the result is off by 2 kWh</text>
  </threadedComment>
  <threadedComment ref="N56" dT="2019-11-15T23:06:05.12" personId="{BD89C511-A6B8-4357-9CB4-636F52BA451A}" id="{C21DCEE2-0166-4944-914B-AC9674C0EAA1}">
    <text>Using values in the example from IL TRM v7, the result is off by -0.1 therms.</text>
  </threadedComment>
</ThreadedComments>
</file>

<file path=xl/threadedComments/threadedComment6.xml><?xml version="1.0" encoding="utf-8"?>
<ThreadedComments xmlns="http://schemas.microsoft.com/office/spreadsheetml/2018/threadedcomments" xmlns:x="http://schemas.openxmlformats.org/spreadsheetml/2006/main">
  <threadedComment ref="H63" dT="2019-11-08T15:53:38.93" personId="{BD89C511-A6B8-4357-9CB4-636F52BA451A}" id="{8AB9EF6D-3DEF-4AB5-B1DD-078FA08824A9}">
    <text>Must integrate option for if size of AC unit is known. Formula only accounts for unknown AC unit size and therefore value is dependent on building type.</text>
  </threadedComment>
  <threadedComment ref="H63" dT="2019-11-14T16:57:28.44" personId="{719E5E59-ECB1-422A-9EF9-2248F208BE88}" id="{167CF1F4-F2EE-44B8-A579-85524604AB11}" parentId="{8AB9EF6D-3DEF-4AB5-B1DD-078FA08824A9}">
    <text>I thinkwe should have a drop-down for size of AC based on tons of capacity. But Lee can also chime in.</text>
  </threadedComment>
  <threadedComment ref="H64" dT="2019-11-08T15:53:38.93" personId="{BD89C511-A6B8-4357-9CB4-636F52BA451A}" id="{8CD621BA-1E63-4A1E-A192-9DDAAAC7CA47}">
    <text>Must integrate option for if size of AC unit is known. Formula only accounts for unknown AC unit size and therefore value is dependent on building type.</text>
  </threadedComment>
  <threadedComment ref="H64" dT="2019-11-14T16:57:28.44" personId="{719E5E59-ECB1-422A-9EF9-2248F208BE88}" id="{A6D9C61D-3CD6-4D9F-AC63-3A26D068FBFB}" parentId="{8CD621BA-1E63-4A1E-A192-9DDAAAC7CA47}">
    <text>I thinkwe should have a drop-down for size of AC based on tons of capacity. But Lee can also chime in.</text>
  </threadedComment>
</ThreadedComments>
</file>

<file path=xl/threadedComments/threadedComment7.xml><?xml version="1.0" encoding="utf-8"?>
<ThreadedComments xmlns="http://schemas.microsoft.com/office/spreadsheetml/2018/threadedcomments" xmlns:x="http://schemas.openxmlformats.org/spreadsheetml/2006/main">
  <threadedComment ref="D123" dT="2020-01-21T01:07:17.73" personId="{42259D99-905D-42E6-BDC3-3E6236179948}" id="{91EDA570-9F47-4492-A667-591F6E41F02D}">
    <text>Looks like these are just deemed values, not actual</text>
  </threadedComment>
</ThreadedComments>
</file>

<file path=xl/threadedComments/threadedComment8.xml><?xml version="1.0" encoding="utf-8"?>
<ThreadedComments xmlns="http://schemas.microsoft.com/office/spreadsheetml/2018/threadedcomments" xmlns:x="http://schemas.openxmlformats.org/spreadsheetml/2006/main">
  <threadedComment ref="C22" dT="2020-02-25T20:34:44.47" personId="{719E5E59-ECB1-422A-9EF9-2248F208BE88}" id="{1A32B551-5888-4F79-AEB7-9DED7BD04542}">
    <text>@Brendan Gray, do you which of these baselines applies for the current measure configurations you've made? Can you please simplify and after remove the TRM reference?</text>
    <mentions>
      <mention mentionpersonId="{B82AAAC1-E13A-4E47-BE7D-91062799BA22}" mentionId="{425D8229-164E-4FC2-ACA6-9E66EDFE58ED}" startIndex="0" length="13"/>
    </mentions>
  </threadedComment>
</ThreadedComments>
</file>

<file path=xl/threadedComments/threadedComment9.xml><?xml version="1.0" encoding="utf-8"?>
<ThreadedComments xmlns="http://schemas.microsoft.com/office/spreadsheetml/2018/threadedcomments" xmlns:x="http://schemas.openxmlformats.org/spreadsheetml/2006/main">
  <threadedComment ref="C22" dT="2020-02-25T20:34:44.47" personId="{719E5E59-ECB1-422A-9EF9-2248F208BE88}" id="{A6288B86-BB4E-4108-8796-51D544291916}">
    <text>@Brendan Gray, do you which of these baselines applies for the current measure configurations you've made? Can you please simplify and after remove the TRM reference?</text>
    <mentions>
      <mention mentionpersonId="{B82AAAC1-E13A-4E47-BE7D-91062799BA22}" mentionId="{A534FEA9-BF00-4EBD-A41C-AED7A681BBC3}" startIndex="0" length="13"/>
    </mentions>
  </threadedComment>
</ThreadedComments>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89" row="5">
    <wetp:webextensionref xmlns:r="http://schemas.openxmlformats.org/officeDocument/2006/relationships" r:id="rId1"/>
  </wetp:taskpane>
</wetp:taskpanes>
</file>

<file path=xl/webextensions/webextension1.xml><?xml version="1.0" encoding="utf-8"?>
<we:webextension xmlns:we="http://schemas.microsoft.com/office/webextensions/webextension/2010/11" id="{5B7BE202-0D6E-4B97-A0B4-F2CDEB022CEB}">
  <we:reference id="wa104381514" version="1.0.0.10" store="en-US" storeType="OMEX"/>
  <we:alternateReferences>
    <we:reference id="wa104381514" version="1.0.0.10" store="WA104381514" storeType="OMEX"/>
  </we:alternateReferences>
  <we:properties/>
  <we:bindings/>
  <we:snapshot xmlns:r="http://schemas.openxmlformats.org/officeDocument/2006/relationships"/>
  <we:extLst>
    <a:ext xmlns:a="http://schemas.openxmlformats.org/drawingml/2006/main" uri="{D87F86FE-615C-45B5-9D79-34F1136793EB}">
      <we:containsCustomFunctions/>
    </a:ext>
  </we:extLst>
</we:webextension>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8.bin"/><Relationship Id="rId4" Type="http://schemas.openxmlformats.org/officeDocument/2006/relationships/hyperlink" Target="https://www.engineeringtoolbox.com/unit-converter-d_185.html"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9.bin"/><Relationship Id="rId4" Type="http://schemas.openxmlformats.org/officeDocument/2006/relationships/hyperlink" Target="https://www.engineeringtoolbox.com/unit-converter-d_185.html"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 Id="rId4" Type="http://schemas.microsoft.com/office/2017/10/relationships/threadedComment" Target="../threadedComments/threadedComment4.xml"/></Relationships>
</file>

<file path=xl/worksheets/_rels/sheet17.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12.bin"/><Relationship Id="rId4" Type="http://schemas.openxmlformats.org/officeDocument/2006/relationships/hyperlink" Target="https://www.engineeringtoolbox.com/unit-converter-d_185.html"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13.bin"/><Relationship Id="rId4" Type="http://schemas.openxmlformats.org/officeDocument/2006/relationships/hyperlink" Target="https://www.engineeringtoolbox.com/unit-converter-d_185.html"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14.bin"/><Relationship Id="rId4" Type="http://schemas.openxmlformats.org/officeDocument/2006/relationships/hyperlink" Target="https://www.engineeringtoolbox.com/unit-converter-d_185.html" TargetMode="Externa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15.bin"/><Relationship Id="rId4" Type="http://schemas.openxmlformats.org/officeDocument/2006/relationships/hyperlink" Target="https://www.engineeringtoolbox.com/unit-converter-d_185.html"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6" Type="http://schemas.openxmlformats.org/officeDocument/2006/relationships/drawing" Target="../drawings/drawing2.xml"/><Relationship Id="rId5" Type="http://schemas.openxmlformats.org/officeDocument/2006/relationships/printerSettings" Target="../printerSettings/printerSettings16.bin"/><Relationship Id="rId4" Type="http://schemas.openxmlformats.org/officeDocument/2006/relationships/hyperlink" Target="https://www.engineeringtoolbox.com/unit-converter-d_185.html" TargetMode="External"/></Relationships>
</file>

<file path=xl/worksheets/_rels/sheet22.xml.rels><?xml version="1.0" encoding="UTF-8" standalone="yes"?>
<Relationships xmlns="http://schemas.openxmlformats.org/package/2006/relationships"><Relationship Id="rId8" Type="http://schemas.microsoft.com/office/2017/10/relationships/threadedComment" Target="../threadedComments/threadedComment5.xml"/><Relationship Id="rId3" Type="http://schemas.openxmlformats.org/officeDocument/2006/relationships/hyperlink" Target="https://www.engineeringtoolbox.com/unit-converter-d_185.html" TargetMode="External"/><Relationship Id="rId7" Type="http://schemas.openxmlformats.org/officeDocument/2006/relationships/comments" Target="../comments5.xm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6" Type="http://schemas.openxmlformats.org/officeDocument/2006/relationships/vmlDrawing" Target="../drawings/vmlDrawing5.vml"/><Relationship Id="rId5" Type="http://schemas.openxmlformats.org/officeDocument/2006/relationships/printerSettings" Target="../printerSettings/printerSettings17.bin"/><Relationship Id="rId4" Type="http://schemas.openxmlformats.org/officeDocument/2006/relationships/hyperlink" Target="https://www.engineeringtoolbox.com/unit-converter-d_185.html"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18.bin"/><Relationship Id="rId4" Type="http://schemas.openxmlformats.org/officeDocument/2006/relationships/hyperlink" Target="https://www.engineeringtoolbox.com/unit-converter-d_185.html"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19.bin"/><Relationship Id="rId4" Type="http://schemas.openxmlformats.org/officeDocument/2006/relationships/hyperlink" Target="https://www.engineeringtoolbox.com/unit-converter-d_185.html"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20.bin"/><Relationship Id="rId4" Type="http://schemas.openxmlformats.org/officeDocument/2006/relationships/hyperlink" Target="https://www.engineeringtoolbox.com/unit-converter-d_185.html"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21.bin"/><Relationship Id="rId4" Type="http://schemas.openxmlformats.org/officeDocument/2006/relationships/hyperlink" Target="https://www.engineeringtoolbox.com/unit-converter-d_185.html"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6" Type="http://schemas.openxmlformats.org/officeDocument/2006/relationships/printerSettings" Target="../printerSettings/printerSettings22.bin"/><Relationship Id="rId5" Type="http://schemas.openxmlformats.org/officeDocument/2006/relationships/hyperlink" Target="https://betterhomesbc.ca/faqs/how-can-i-convert-an-imperial-u-factor-to-a-metric-u-factor/" TargetMode="External"/><Relationship Id="rId4" Type="http://schemas.openxmlformats.org/officeDocument/2006/relationships/hyperlink" Target="https://www.engineeringtoolbox.com/unit-converter-d_185.html"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6" Type="http://schemas.openxmlformats.org/officeDocument/2006/relationships/printerSettings" Target="../printerSettings/printerSettings23.bin"/><Relationship Id="rId5" Type="http://schemas.openxmlformats.org/officeDocument/2006/relationships/hyperlink" Target="https://betterhomesbc.ca/faqs/how-can-i-convert-an-imperial-u-factor-to-a-metric-u-factor/" TargetMode="External"/><Relationship Id="rId4" Type="http://schemas.openxmlformats.org/officeDocument/2006/relationships/hyperlink" Target="https://www.engineeringtoolbox.com/unit-converter-d_185.html"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6" Type="http://schemas.openxmlformats.org/officeDocument/2006/relationships/printerSettings" Target="../printerSettings/printerSettings24.bin"/><Relationship Id="rId5" Type="http://schemas.openxmlformats.org/officeDocument/2006/relationships/hyperlink" Target="https://betterhomesbc.ca/faqs/how-can-i-convert-an-imperial-u-factor-to-a-metric-u-factor/" TargetMode="External"/><Relationship Id="rId4" Type="http://schemas.openxmlformats.org/officeDocument/2006/relationships/hyperlink" Target="https://www.engineeringtoolbox.com/unit-converter-d_185.html"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8" Type="http://schemas.microsoft.com/office/2017/10/relationships/threadedComment" Target="../threadedComments/threadedComment6.xml"/><Relationship Id="rId3" Type="http://schemas.openxmlformats.org/officeDocument/2006/relationships/hyperlink" Target="https://www.engineeringtoolbox.com/unit-converter-d_185.html" TargetMode="External"/><Relationship Id="rId7" Type="http://schemas.openxmlformats.org/officeDocument/2006/relationships/comments" Target="../comments6.xm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6" Type="http://schemas.openxmlformats.org/officeDocument/2006/relationships/vmlDrawing" Target="../drawings/vmlDrawing6.vml"/><Relationship Id="rId5" Type="http://schemas.openxmlformats.org/officeDocument/2006/relationships/printerSettings" Target="../printerSettings/printerSettings29.bin"/><Relationship Id="rId4" Type="http://schemas.openxmlformats.org/officeDocument/2006/relationships/hyperlink" Target="https://www.engineeringtoolbox.com/unit-converter-d_185.html"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30.bin"/><Relationship Id="rId4" Type="http://schemas.openxmlformats.org/officeDocument/2006/relationships/hyperlink" Target="https://www.engineeringtoolbox.com/unit-converter-d_185.html"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6" Type="http://schemas.openxmlformats.org/officeDocument/2006/relationships/printerSettings" Target="../printerSettings/printerSettings31.bin"/><Relationship Id="rId5" Type="http://schemas.openxmlformats.org/officeDocument/2006/relationships/hyperlink" Target="https://www.energystar.gov/productfinder/product/certified-boilers/results" TargetMode="External"/><Relationship Id="rId4" Type="http://schemas.openxmlformats.org/officeDocument/2006/relationships/hyperlink" Target="https://www.engineeringtoolbox.com/unit-converter-d_185.html"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bankofcanada.ca/rates/exchange/annual-average-exchange-rates/" TargetMode="External"/><Relationship Id="rId6" Type="http://schemas.openxmlformats.org/officeDocument/2006/relationships/printerSettings" Target="../printerSettings/printerSettings33.bin"/><Relationship Id="rId5" Type="http://schemas.openxmlformats.org/officeDocument/2006/relationships/hyperlink" Target="https://www.engineeringtoolbox.com/unit-converter-d_185.html" TargetMode="External"/><Relationship Id="rId4" Type="http://schemas.openxmlformats.org/officeDocument/2006/relationships/hyperlink" Target="https://www.engineeringtoolbox.com/unit-converter-d_185.html"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40.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34.bin"/><Relationship Id="rId4" Type="http://schemas.openxmlformats.org/officeDocument/2006/relationships/hyperlink" Target="https://www.engineeringtoolbox.com/unit-converter-d_185.html"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35.bin"/><Relationship Id="rId4" Type="http://schemas.openxmlformats.org/officeDocument/2006/relationships/hyperlink" Target="https://www.engineeringtoolbox.com/unit-converter-d_185.html"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7" Type="http://schemas.openxmlformats.org/officeDocument/2006/relationships/comments" Target="../comments7.xm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6" Type="http://schemas.openxmlformats.org/officeDocument/2006/relationships/vmlDrawing" Target="../drawings/vmlDrawing7.vml"/><Relationship Id="rId5" Type="http://schemas.openxmlformats.org/officeDocument/2006/relationships/printerSettings" Target="../printerSettings/printerSettings36.bin"/><Relationship Id="rId4" Type="http://schemas.openxmlformats.org/officeDocument/2006/relationships/hyperlink" Target="https://www.engineeringtoolbox.com/unit-converter-d_185.html"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37.bin"/><Relationship Id="rId4" Type="http://schemas.openxmlformats.org/officeDocument/2006/relationships/hyperlink" Target="https://www.engineeringtoolbox.com/unit-converter-d_185.html"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38.bin"/><Relationship Id="rId4" Type="http://schemas.openxmlformats.org/officeDocument/2006/relationships/hyperlink" Target="https://www.engineeringtoolbox.com/unit-converter-d_185.html"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40.bin"/><Relationship Id="rId4" Type="http://schemas.openxmlformats.org/officeDocument/2006/relationships/hyperlink" Target="https://www.engineeringtoolbox.com/unit-converter-d_185.html"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41.bin"/><Relationship Id="rId4" Type="http://schemas.openxmlformats.org/officeDocument/2006/relationships/hyperlink" Target="https://www.engineeringtoolbox.com/unit-converter-d_185.html"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42.bin"/><Relationship Id="rId4" Type="http://schemas.openxmlformats.org/officeDocument/2006/relationships/hyperlink" Target="https://www.engineeringtoolbox.com/unit-converter-d_185.html"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43.bin"/><Relationship Id="rId4" Type="http://schemas.openxmlformats.org/officeDocument/2006/relationships/hyperlink" Target="https://www.engineeringtoolbox.com/unit-converter-d_185.html"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44.bin"/><Relationship Id="rId4" Type="http://schemas.openxmlformats.org/officeDocument/2006/relationships/hyperlink" Target="https://www.engineeringtoolbox.com/unit-converter-d_185.html" TargetMode="External"/></Relationships>
</file>

<file path=xl/worksheets/_rels/sheet51.xml.rels><?xml version="1.0" encoding="UTF-8" standalone="yes"?>
<Relationships xmlns="http://schemas.openxmlformats.org/package/2006/relationships"><Relationship Id="rId8" Type="http://schemas.microsoft.com/office/2017/10/relationships/threadedComment" Target="../threadedComments/threadedComment7.xml"/><Relationship Id="rId3" Type="http://schemas.openxmlformats.org/officeDocument/2006/relationships/hyperlink" Target="https://www.engineeringtoolbox.com/unit-converter-d_185.html" TargetMode="External"/><Relationship Id="rId7" Type="http://schemas.openxmlformats.org/officeDocument/2006/relationships/comments" Target="../comments8.xm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6" Type="http://schemas.openxmlformats.org/officeDocument/2006/relationships/vmlDrawing" Target="../drawings/vmlDrawing8.vml"/><Relationship Id="rId5" Type="http://schemas.openxmlformats.org/officeDocument/2006/relationships/printerSettings" Target="../printerSettings/printerSettings45.bin"/><Relationship Id="rId4" Type="http://schemas.openxmlformats.org/officeDocument/2006/relationships/hyperlink" Target="https://www.engineeringtoolbox.com/unit-converter-d_185.html"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46.bin"/><Relationship Id="rId4" Type="http://schemas.openxmlformats.org/officeDocument/2006/relationships/hyperlink" Target="https://www.engineeringtoolbox.com/unit-converter-d_185.html"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47.bin"/><Relationship Id="rId4" Type="http://schemas.openxmlformats.org/officeDocument/2006/relationships/hyperlink" Target="https://www.engineeringtoolbox.com/unit-converter-d_185.html"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48.bin"/><Relationship Id="rId4" Type="http://schemas.openxmlformats.org/officeDocument/2006/relationships/hyperlink" Target="https://www.engineeringtoolbox.com/unit-converter-d_185.html" TargetMode="External"/></Relationships>
</file>

<file path=xl/worksheets/_rels/sheet55.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49.bin"/><Relationship Id="rId4" Type="http://schemas.openxmlformats.org/officeDocument/2006/relationships/hyperlink" Target="https://www.engineeringtoolbox.com/unit-converter-d_185.html" TargetMode="External"/></Relationships>
</file>

<file path=xl/worksheets/_rels/sheet56.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50.bin"/><Relationship Id="rId4" Type="http://schemas.openxmlformats.org/officeDocument/2006/relationships/hyperlink" Target="https://www.engineeringtoolbox.com/unit-converter-d_185.html" TargetMode="External"/></Relationships>
</file>

<file path=xl/worksheets/_rels/sheet57.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51.bin"/><Relationship Id="rId4" Type="http://schemas.openxmlformats.org/officeDocument/2006/relationships/hyperlink" Target="https://www.engineeringtoolbox.com/unit-converter-d_185.html"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52.bin"/><Relationship Id="rId4" Type="http://schemas.openxmlformats.org/officeDocument/2006/relationships/hyperlink" Target="https://www.engineeringtoolbox.com/unit-converter-d_185.html"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53.bin"/><Relationship Id="rId4" Type="http://schemas.openxmlformats.org/officeDocument/2006/relationships/hyperlink" Target="https://www.engineeringtoolbox.com/unit-converter-d_185.html"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2.bin"/><Relationship Id="rId4" Type="http://schemas.openxmlformats.org/officeDocument/2006/relationships/hyperlink" Target="https://www.engineeringtoolbox.com/unit-converter-d_185.html"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54.bin"/><Relationship Id="rId4" Type="http://schemas.openxmlformats.org/officeDocument/2006/relationships/hyperlink" Target="https://www.engineeringtoolbox.com/unit-converter-d_185.html" TargetMode="External"/></Relationships>
</file>

<file path=xl/worksheets/_rels/sheet61.xml.rels><?xml version="1.0" encoding="UTF-8" standalone="yes"?>
<Relationships xmlns="http://schemas.openxmlformats.org/package/2006/relationships"><Relationship Id="rId8" Type="http://schemas.microsoft.com/office/2017/10/relationships/threadedComment" Target="../threadedComments/threadedComment8.xml"/><Relationship Id="rId3" Type="http://schemas.openxmlformats.org/officeDocument/2006/relationships/hyperlink" Target="https://www.engineeringtoolbox.com/unit-converter-d_185.html" TargetMode="External"/><Relationship Id="rId7" Type="http://schemas.openxmlformats.org/officeDocument/2006/relationships/comments" Target="../comments9.xm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6" Type="http://schemas.openxmlformats.org/officeDocument/2006/relationships/vmlDrawing" Target="../drawings/vmlDrawing9.vml"/><Relationship Id="rId5" Type="http://schemas.openxmlformats.org/officeDocument/2006/relationships/printerSettings" Target="../printerSettings/printerSettings55.bin"/><Relationship Id="rId4" Type="http://schemas.openxmlformats.org/officeDocument/2006/relationships/hyperlink" Target="https://www.engineeringtoolbox.com/unit-converter-d_185.html" TargetMode="External"/></Relationships>
</file>

<file path=xl/worksheets/_rels/sheet62.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56.bin"/><Relationship Id="rId4" Type="http://schemas.openxmlformats.org/officeDocument/2006/relationships/hyperlink" Target="https://www.engineeringtoolbox.com/unit-converter-d_185.html" TargetMode="External"/></Relationships>
</file>

<file path=xl/worksheets/_rels/sheet63.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57.bin"/><Relationship Id="rId4" Type="http://schemas.openxmlformats.org/officeDocument/2006/relationships/hyperlink" Target="https://www.engineeringtoolbox.com/unit-converter-d_185.html" TargetMode="External"/></Relationships>
</file>

<file path=xl/worksheets/_rels/sheet64.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58.bin"/><Relationship Id="rId4" Type="http://schemas.openxmlformats.org/officeDocument/2006/relationships/hyperlink" Target="https://www.engineeringtoolbox.com/unit-converter-d_185.html"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59.bin"/><Relationship Id="rId4" Type="http://schemas.openxmlformats.org/officeDocument/2006/relationships/hyperlink" Target="https://www.engineeringtoolbox.com/unit-converter-d_185.html" TargetMode="External"/></Relationships>
</file>

<file path=xl/worksheets/_rels/sheet66.xml.rels><?xml version="1.0" encoding="UTF-8" standalone="yes"?>
<Relationships xmlns="http://schemas.openxmlformats.org/package/2006/relationships"><Relationship Id="rId8" Type="http://schemas.microsoft.com/office/2017/10/relationships/threadedComment" Target="../threadedComments/threadedComment9.xml"/><Relationship Id="rId3" Type="http://schemas.openxmlformats.org/officeDocument/2006/relationships/hyperlink" Target="https://www.engineeringtoolbox.com/unit-converter-d_185.html" TargetMode="External"/><Relationship Id="rId7" Type="http://schemas.openxmlformats.org/officeDocument/2006/relationships/comments" Target="../comments10.xm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6" Type="http://schemas.openxmlformats.org/officeDocument/2006/relationships/vmlDrawing" Target="../drawings/vmlDrawing10.vml"/><Relationship Id="rId5" Type="http://schemas.openxmlformats.org/officeDocument/2006/relationships/printerSettings" Target="../printerSettings/printerSettings60.bin"/><Relationship Id="rId4" Type="http://schemas.openxmlformats.org/officeDocument/2006/relationships/hyperlink" Target="https://www.engineeringtoolbox.com/unit-converter-d_185.html"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61.bin"/><Relationship Id="rId4" Type="http://schemas.openxmlformats.org/officeDocument/2006/relationships/hyperlink" Target="https://www.engineeringtoolbox.com/unit-converter-d_185.html"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62.bin"/><Relationship Id="rId4" Type="http://schemas.openxmlformats.org/officeDocument/2006/relationships/hyperlink" Target="https://www.engineeringtoolbox.com/unit-converter-d_185.html" TargetMode="External"/></Relationships>
</file>

<file path=xl/worksheets/_rels/sheet69.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63.bin"/><Relationship Id="rId4" Type="http://schemas.openxmlformats.org/officeDocument/2006/relationships/hyperlink" Target="https://www.engineeringtoolbox.com/unit-converter-d_185.html"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64.bin"/><Relationship Id="rId4" Type="http://schemas.openxmlformats.org/officeDocument/2006/relationships/hyperlink" Target="https://www.engineeringtoolbox.com/unit-converter-d_185.html" TargetMode="External"/></Relationships>
</file>

<file path=xl/worksheets/_rels/sheet71.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65.bin"/><Relationship Id="rId4" Type="http://schemas.openxmlformats.org/officeDocument/2006/relationships/hyperlink" Target="https://www.engineeringtoolbox.com/unit-converter-d_185.html" TargetMode="External"/></Relationships>
</file>

<file path=xl/worksheets/_rels/sheet72.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66.bin"/><Relationship Id="rId4" Type="http://schemas.openxmlformats.org/officeDocument/2006/relationships/hyperlink" Target="https://www.engineeringtoolbox.com/unit-converter-d_185.html"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3" Type="http://schemas.openxmlformats.org/officeDocument/2006/relationships/hyperlink" Target="https://www.engineeringtoolbox.com/unit-converter-d_185.html" TargetMode="External"/><Relationship Id="rId2" Type="http://schemas.openxmlformats.org/officeDocument/2006/relationships/hyperlink" Target="https://www.engineeringtoolbox.com/unit-converter-d_185.html" TargetMode="External"/><Relationship Id="rId1" Type="http://schemas.openxmlformats.org/officeDocument/2006/relationships/hyperlink" Target="https://www.engineeringtoolbox.com/unit-converter-d_185.html" TargetMode="External"/><Relationship Id="rId5" Type="http://schemas.openxmlformats.org/officeDocument/2006/relationships/printerSettings" Target="../printerSettings/printerSettings68.bin"/><Relationship Id="rId4" Type="http://schemas.openxmlformats.org/officeDocument/2006/relationships/hyperlink" Target="https://www.engineeringtoolbox.com/unit-converter-d_185.html" TargetMode="Externa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aceee.org/sites/default/files/publications/researchreports/u1507.pdf" TargetMode="External"/><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8" Type="http://schemas.openxmlformats.org/officeDocument/2006/relationships/hyperlink" Target="http://oee.nrcan.gc.ca/corporate/statistics/neud/dpa/menus/trends/comprehensive_tables/list.cfm" TargetMode="External"/><Relationship Id="rId13" Type="http://schemas.openxmlformats.org/officeDocument/2006/relationships/hyperlink" Target="https://www.nrcan.gc.ca/energy-efficiency/energy-efficiency-regulations/guide-canadas-energy-efficiency-regulations/6861" TargetMode="External"/><Relationship Id="rId18" Type="http://schemas.openxmlformats.org/officeDocument/2006/relationships/table" Target="../tables/table1.xml"/><Relationship Id="rId26" Type="http://schemas.openxmlformats.org/officeDocument/2006/relationships/table" Target="../tables/table9.xml"/><Relationship Id="rId3" Type="http://schemas.openxmlformats.org/officeDocument/2006/relationships/hyperlink" Target="https://acadiacenter.org/wp-content/uploads/2014/11/ENEAcadiaCenter_EnergyEfficiencyEngineofEconomicGrowthinCanada_EN_FINAL_2014_1114.pdf" TargetMode="External"/><Relationship Id="rId21" Type="http://schemas.openxmlformats.org/officeDocument/2006/relationships/table" Target="../tables/table4.xml"/><Relationship Id="rId7" Type="http://schemas.openxmlformats.org/officeDocument/2006/relationships/hyperlink" Target="https://www.fina.org/sites/default/files/finafacilities_rules.pdf" TargetMode="External"/><Relationship Id="rId12" Type="http://schemas.openxmlformats.org/officeDocument/2006/relationships/hyperlink" Target="https://www.bankofcanada.ca/rates/exchange/annual-average-exchange-rates/" TargetMode="External"/><Relationship Id="rId17" Type="http://schemas.openxmlformats.org/officeDocument/2006/relationships/printerSettings" Target="../printerSettings/printerSettings76.bin"/><Relationship Id="rId25" Type="http://schemas.openxmlformats.org/officeDocument/2006/relationships/table" Target="../tables/table8.xml"/><Relationship Id="rId2" Type="http://schemas.openxmlformats.org/officeDocument/2006/relationships/hyperlink" Target="https://acadiacenter.org/wp-content/uploads/2014/11/ENEAcadiaCenter_EnergyEfficiencyEngineofEconomicGrowthinCanada_EN_FINAL_2014_1114.pdf" TargetMode="External"/><Relationship Id="rId16" Type="http://schemas.openxmlformats.org/officeDocument/2006/relationships/hyperlink" Target="https://www.nrcan.gc.ca/energy-efficiency/energy-efficiency-regulations/guide-canadas-energy-efficiency-regulations/6861" TargetMode="External"/><Relationship Id="rId20" Type="http://schemas.openxmlformats.org/officeDocument/2006/relationships/table" Target="../tables/table3.xml"/><Relationship Id="rId29" Type="http://schemas.openxmlformats.org/officeDocument/2006/relationships/table" Target="../tables/table12.xml"/><Relationship Id="rId1" Type="http://schemas.openxmlformats.org/officeDocument/2006/relationships/hyperlink" Target="https://acadiacenter.org/wp-content/uploads/2014/11/ENEAcadiaCenter_EnergyEfficiencyEngineofEconomicGrowthinCanada_EN_FINAL_2014_1114.pdf" TargetMode="External"/><Relationship Id="rId6" Type="http://schemas.openxmlformats.org/officeDocument/2006/relationships/hyperlink" Target="https://www.epa.gov/energy/greenhouse-gas-equivalencies-calculator" TargetMode="External"/><Relationship Id="rId11" Type="http://schemas.openxmlformats.org/officeDocument/2006/relationships/hyperlink" Target="http://www.finance.alberta.ca/publications/tax_rebates/rates/carbon-levy-rates.html" TargetMode="External"/><Relationship Id="rId24" Type="http://schemas.openxmlformats.org/officeDocument/2006/relationships/table" Target="../tables/table7.xml"/><Relationship Id="rId5" Type="http://schemas.openxmlformats.org/officeDocument/2006/relationships/hyperlink" Target="https://www.energy.alberta.ca/AU/electricity/AboutElec/Pages/ElecFAQs.aspx" TargetMode="External"/><Relationship Id="rId15" Type="http://schemas.openxmlformats.org/officeDocument/2006/relationships/hyperlink" Target="https://www.ontarioenergyreport.ca/pdfs/COMPLETE%20FINAL_MOE%20Ontario%20Market%20Assessment_July%2020,%202017.pdf" TargetMode="External"/><Relationship Id="rId23" Type="http://schemas.openxmlformats.org/officeDocument/2006/relationships/table" Target="../tables/table6.xml"/><Relationship Id="rId28" Type="http://schemas.openxmlformats.org/officeDocument/2006/relationships/table" Target="../tables/table11.xml"/><Relationship Id="rId10" Type="http://schemas.openxmlformats.org/officeDocument/2006/relationships/hyperlink" Target="https://www.pembina.org/reports/job-growth-in-clean-energy.pdf" TargetMode="External"/><Relationship Id="rId19" Type="http://schemas.openxmlformats.org/officeDocument/2006/relationships/table" Target="../tables/table2.xml"/><Relationship Id="rId4" Type="http://schemas.openxmlformats.org/officeDocument/2006/relationships/hyperlink" Target="https://acadiacenter.org/wp-content/uploads/2014/11/ENEAcadiaCenter_EnergyEfficiencyEngineofEconomicGrowthinCanada_EN_FINAL_2014_1114.pdf" TargetMode="External"/><Relationship Id="rId9" Type="http://schemas.openxmlformats.org/officeDocument/2006/relationships/hyperlink" Target="https://www.pembina.org/reports/job-growth-in-clean-energy.pdf" TargetMode="External"/><Relationship Id="rId14" Type="http://schemas.openxmlformats.org/officeDocument/2006/relationships/hyperlink" Target="https://www.nrcan.gc.ca/energy-efficiency/energy-efficiency-regulations/guide-canadas-energy-efficiency-regulations/6861" TargetMode="External"/><Relationship Id="rId22" Type="http://schemas.openxmlformats.org/officeDocument/2006/relationships/table" Target="../tables/table5.xml"/><Relationship Id="rId27" Type="http://schemas.openxmlformats.org/officeDocument/2006/relationships/table" Target="../tables/table10.xml"/></Relationships>
</file>

<file path=xl/worksheets/_rels/sheet84.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table" Target="../tables/table13.xml"/></Relationships>
</file>

<file path=xl/worksheets/_rels/sheet85.xml.rels><?xml version="1.0" encoding="UTF-8" standalone="yes"?>
<Relationships xmlns="http://schemas.openxmlformats.org/package/2006/relationships"><Relationship Id="rId8" Type="http://schemas.openxmlformats.org/officeDocument/2006/relationships/table" Target="../tables/table20.xml"/><Relationship Id="rId13" Type="http://schemas.openxmlformats.org/officeDocument/2006/relationships/table" Target="../tables/table25.xml"/><Relationship Id="rId3" Type="http://schemas.openxmlformats.org/officeDocument/2006/relationships/table" Target="../tables/table15.xml"/><Relationship Id="rId7" Type="http://schemas.openxmlformats.org/officeDocument/2006/relationships/table" Target="../tables/table19.xml"/><Relationship Id="rId12" Type="http://schemas.openxmlformats.org/officeDocument/2006/relationships/table" Target="../tables/table24.xml"/><Relationship Id="rId17" Type="http://schemas.openxmlformats.org/officeDocument/2006/relationships/table" Target="../tables/table29.xml"/><Relationship Id="rId2" Type="http://schemas.openxmlformats.org/officeDocument/2006/relationships/printerSettings" Target="../printerSettings/printerSettings77.bin"/><Relationship Id="rId16" Type="http://schemas.openxmlformats.org/officeDocument/2006/relationships/table" Target="../tables/table28.xml"/><Relationship Id="rId1" Type="http://schemas.openxmlformats.org/officeDocument/2006/relationships/hyperlink" Target="http://cms.ashrae.biz/weatherdata/STATIONS/StnList_s.pdf" TargetMode="External"/><Relationship Id="rId6" Type="http://schemas.openxmlformats.org/officeDocument/2006/relationships/table" Target="../tables/table18.xml"/><Relationship Id="rId11" Type="http://schemas.openxmlformats.org/officeDocument/2006/relationships/table" Target="../tables/table23.xml"/><Relationship Id="rId5" Type="http://schemas.openxmlformats.org/officeDocument/2006/relationships/table" Target="../tables/table17.xml"/><Relationship Id="rId15" Type="http://schemas.openxmlformats.org/officeDocument/2006/relationships/table" Target="../tables/table27.xml"/><Relationship Id="rId10" Type="http://schemas.openxmlformats.org/officeDocument/2006/relationships/table" Target="../tables/table22.xml"/><Relationship Id="rId4" Type="http://schemas.openxmlformats.org/officeDocument/2006/relationships/table" Target="../tables/table16.xml"/><Relationship Id="rId9" Type="http://schemas.openxmlformats.org/officeDocument/2006/relationships/table" Target="../tables/table21.xml"/><Relationship Id="rId14" Type="http://schemas.openxmlformats.org/officeDocument/2006/relationships/table" Target="../tables/table26.xml"/></Relationships>
</file>

<file path=xl/worksheets/_rels/sheet86.xml.rels><?xml version="1.0" encoding="UTF-8" standalone="yes"?>
<Relationships xmlns="http://schemas.openxmlformats.org/package/2006/relationships"><Relationship Id="rId8" Type="http://schemas.microsoft.com/office/2017/10/relationships/threadedComment" Target="../threadedComments/threadedComment10.xml"/><Relationship Id="rId3" Type="http://schemas.openxmlformats.org/officeDocument/2006/relationships/hyperlink" Target="http://oee.nrcan.gc.ca/corporate/statistics/neud/dpa/menus/trends/comprehensive_tables/list.cfm" TargetMode="External"/><Relationship Id="rId7" Type="http://schemas.openxmlformats.org/officeDocument/2006/relationships/comments" Target="../comments11.xml"/><Relationship Id="rId2" Type="http://schemas.openxmlformats.org/officeDocument/2006/relationships/hyperlink" Target="http://oee.nrcan.gc.ca/corporate/statistics/neud/dpa/menus/trends/comprehensive_tables/list.cfm" TargetMode="External"/><Relationship Id="rId1" Type="http://schemas.openxmlformats.org/officeDocument/2006/relationships/hyperlink" Target="http://oee.nrcan.gc.ca/corporate/statistics/neud/dpa/menus/trends/comprehensive_tables/list.cfm" TargetMode="External"/><Relationship Id="rId6" Type="http://schemas.openxmlformats.org/officeDocument/2006/relationships/table" Target="../tables/table30.xml"/><Relationship Id="rId5" Type="http://schemas.openxmlformats.org/officeDocument/2006/relationships/vmlDrawing" Target="../drawings/vmlDrawing11.vml"/><Relationship Id="rId4" Type="http://schemas.openxmlformats.org/officeDocument/2006/relationships/printerSettings" Target="../printerSettings/printerSettings78.bin"/></Relationships>
</file>

<file path=xl/worksheets/_rels/sheet87.xml.rels><?xml version="1.0" encoding="UTF-8" standalone="yes"?>
<Relationships xmlns="http://schemas.openxmlformats.org/package/2006/relationships"><Relationship Id="rId8" Type="http://schemas.openxmlformats.org/officeDocument/2006/relationships/table" Target="../tables/table37.xml"/><Relationship Id="rId13" Type="http://schemas.openxmlformats.org/officeDocument/2006/relationships/table" Target="../tables/table42.xml"/><Relationship Id="rId3" Type="http://schemas.openxmlformats.org/officeDocument/2006/relationships/table" Target="../tables/table32.xml"/><Relationship Id="rId7" Type="http://schemas.openxmlformats.org/officeDocument/2006/relationships/table" Target="../tables/table36.xml"/><Relationship Id="rId12" Type="http://schemas.openxmlformats.org/officeDocument/2006/relationships/table" Target="../tables/table41.xml"/><Relationship Id="rId2" Type="http://schemas.openxmlformats.org/officeDocument/2006/relationships/table" Target="../tables/table31.xml"/><Relationship Id="rId1" Type="http://schemas.openxmlformats.org/officeDocument/2006/relationships/vmlDrawing" Target="../drawings/vmlDrawing12.vml"/><Relationship Id="rId6" Type="http://schemas.openxmlformats.org/officeDocument/2006/relationships/table" Target="../tables/table35.xml"/><Relationship Id="rId11" Type="http://schemas.openxmlformats.org/officeDocument/2006/relationships/table" Target="../tables/table40.xml"/><Relationship Id="rId5" Type="http://schemas.openxmlformats.org/officeDocument/2006/relationships/table" Target="../tables/table34.xml"/><Relationship Id="rId15" Type="http://schemas.microsoft.com/office/2017/10/relationships/threadedComment" Target="../threadedComments/threadedComment11.xml"/><Relationship Id="rId10" Type="http://schemas.openxmlformats.org/officeDocument/2006/relationships/table" Target="../tables/table39.xml"/><Relationship Id="rId4" Type="http://schemas.openxmlformats.org/officeDocument/2006/relationships/table" Target="../tables/table33.xml"/><Relationship Id="rId9" Type="http://schemas.openxmlformats.org/officeDocument/2006/relationships/table" Target="../tables/table38.xml"/><Relationship Id="rId14" Type="http://schemas.openxmlformats.org/officeDocument/2006/relationships/comments" Target="../comments1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3.xml"/></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80.bin"/></Relationships>
</file>

<file path=xl/worksheets/_rels/sheet9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81.bin"/><Relationship Id="rId4" Type="http://schemas.microsoft.com/office/2017/10/relationships/threadedComment" Target="../threadedComments/threadedComment12.xm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E80EB-7353-4A72-9322-A5897EF1A3C6}">
  <sheetPr codeName="Sheet63"/>
  <dimension ref="A1:XFD180"/>
  <sheetViews>
    <sheetView tabSelected="1" workbookViewId="0"/>
  </sheetViews>
  <sheetFormatPr defaultColWidth="12.36328125" defaultRowHeight="14.5" x14ac:dyDescent="0.35"/>
  <cols>
    <col min="1" max="1" width="2.7265625" style="1113" customWidth="1"/>
    <col min="2" max="2" width="38.7265625" style="1259" customWidth="1"/>
    <col min="3" max="3" width="3" style="1114" customWidth="1"/>
    <col min="4" max="4" width="58.6328125" style="469" customWidth="1"/>
    <col min="5" max="5" width="15.36328125" style="469" customWidth="1"/>
    <col min="6" max="6" width="15.26953125" style="469" customWidth="1"/>
    <col min="7" max="7" width="15.26953125" style="347" customWidth="1"/>
    <col min="8" max="8" width="16.81640625" style="347" customWidth="1"/>
    <col min="9" max="9" width="13.7265625" style="347" customWidth="1"/>
    <col min="10" max="10" width="21.08984375" style="1109" hidden="1" customWidth="1"/>
    <col min="11" max="11" width="16.36328125" style="347" customWidth="1"/>
    <col min="12" max="12" width="2.7265625" style="347" customWidth="1"/>
    <col min="13" max="13" width="9.36328125" style="1115" customWidth="1"/>
    <col min="14" max="16384" width="12.36328125" style="1115"/>
  </cols>
  <sheetData>
    <row r="1" spans="1:16384" x14ac:dyDescent="0.35">
      <c r="B1" s="1342" t="s">
        <v>0</v>
      </c>
      <c r="D1" s="1117"/>
      <c r="E1" s="1117"/>
      <c r="F1" s="1117"/>
      <c r="G1" s="1113"/>
      <c r="H1" s="1113"/>
      <c r="I1" s="1113"/>
      <c r="J1" s="1118"/>
      <c r="K1" s="1113"/>
      <c r="L1" s="1113"/>
      <c r="M1" s="1113"/>
      <c r="N1" s="1113"/>
      <c r="O1" s="1113"/>
      <c r="P1" s="1113"/>
      <c r="Q1" s="1113"/>
      <c r="R1" s="1113"/>
      <c r="S1" s="1113"/>
      <c r="T1" s="1113"/>
      <c r="U1" s="1113"/>
      <c r="V1" s="1113"/>
      <c r="W1" s="1113"/>
      <c r="X1" s="1113"/>
      <c r="Y1" s="1113"/>
      <c r="Z1" s="1113"/>
      <c r="AA1" s="1113"/>
      <c r="AB1" s="1113"/>
      <c r="AC1" s="1113"/>
      <c r="AD1" s="1113"/>
      <c r="AE1" s="1113"/>
      <c r="AF1" s="1113"/>
      <c r="AG1" s="1113"/>
      <c r="AH1" s="1113"/>
      <c r="AI1" s="1113"/>
      <c r="AJ1" s="1113"/>
      <c r="AK1" s="1113"/>
      <c r="AL1" s="1113"/>
      <c r="AM1" s="1113"/>
      <c r="AN1" s="1113"/>
      <c r="AO1" s="1113"/>
      <c r="AP1" s="1113"/>
      <c r="AQ1" s="1113"/>
      <c r="AR1" s="1113"/>
      <c r="AS1" s="1113"/>
      <c r="AT1" s="1113"/>
      <c r="AU1" s="1113"/>
      <c r="AV1" s="1113"/>
      <c r="AW1" s="1113"/>
      <c r="AX1" s="1113"/>
      <c r="AY1" s="1113"/>
      <c r="AZ1" s="1113"/>
      <c r="BA1" s="1113"/>
      <c r="BB1" s="1113"/>
      <c r="BC1" s="1113"/>
      <c r="BD1" s="1113"/>
      <c r="BE1" s="1113"/>
      <c r="BF1" s="1113"/>
      <c r="BG1" s="1113"/>
      <c r="BH1" s="1113"/>
      <c r="BI1" s="1113"/>
      <c r="BJ1" s="1113"/>
      <c r="BK1" s="1113"/>
      <c r="BL1" s="1113"/>
      <c r="BM1" s="1113"/>
      <c r="BN1" s="1113"/>
      <c r="BO1" s="1113"/>
      <c r="BP1" s="1113"/>
      <c r="BQ1" s="1113"/>
      <c r="BR1" s="1113"/>
      <c r="BS1" s="1113"/>
      <c r="BT1" s="1113"/>
      <c r="BU1" s="1113"/>
      <c r="BV1" s="1113"/>
      <c r="BW1" s="1113"/>
      <c r="BX1" s="1113"/>
      <c r="BY1" s="1113"/>
      <c r="BZ1" s="1113"/>
      <c r="CA1" s="1113"/>
      <c r="CB1" s="1113"/>
      <c r="CC1" s="1113"/>
      <c r="CD1" s="1113"/>
      <c r="CE1" s="1113"/>
      <c r="CF1" s="1113"/>
      <c r="CG1" s="1113"/>
      <c r="CH1" s="1113"/>
      <c r="CI1" s="1113"/>
      <c r="CJ1" s="1113"/>
      <c r="CK1" s="1113"/>
      <c r="CL1" s="1113"/>
      <c r="CM1" s="1113"/>
      <c r="CN1" s="1113"/>
      <c r="CO1" s="1113"/>
      <c r="CP1" s="1113"/>
      <c r="CQ1" s="1113"/>
      <c r="CR1" s="1113"/>
      <c r="CS1" s="1113"/>
      <c r="CT1" s="1113"/>
      <c r="CU1" s="1113"/>
      <c r="CV1" s="1113"/>
      <c r="CW1" s="1113"/>
      <c r="CX1" s="1113"/>
      <c r="CY1" s="1113"/>
      <c r="CZ1" s="1113"/>
      <c r="DA1" s="1113"/>
      <c r="DB1" s="1113"/>
      <c r="DC1" s="1113"/>
      <c r="DD1" s="1113"/>
      <c r="DE1" s="1113"/>
      <c r="DF1" s="1113"/>
      <c r="DG1" s="1113"/>
      <c r="DH1" s="1113"/>
      <c r="DI1" s="1113"/>
      <c r="DJ1" s="1113"/>
      <c r="DK1" s="1113"/>
      <c r="DL1" s="1113"/>
      <c r="DM1" s="1113"/>
      <c r="DN1" s="1113"/>
      <c r="DO1" s="1113"/>
      <c r="DP1" s="1113"/>
      <c r="DQ1" s="1113"/>
      <c r="DR1" s="1113"/>
      <c r="DS1" s="1113"/>
      <c r="DT1" s="1113"/>
      <c r="DU1" s="1113"/>
      <c r="DV1" s="1113"/>
      <c r="DW1" s="1113"/>
      <c r="DX1" s="1113"/>
      <c r="DY1" s="1113"/>
      <c r="DZ1" s="1113"/>
      <c r="EA1" s="1113"/>
      <c r="EB1" s="1113"/>
      <c r="EC1" s="1113"/>
      <c r="ED1" s="1113"/>
      <c r="EE1" s="1113"/>
      <c r="EF1" s="1113"/>
      <c r="EG1" s="1113"/>
      <c r="EH1" s="1113"/>
      <c r="EI1" s="1113"/>
      <c r="EJ1" s="1113"/>
      <c r="EK1" s="1113"/>
      <c r="EL1" s="1113"/>
      <c r="EM1" s="1113"/>
      <c r="EN1" s="1113"/>
      <c r="EO1" s="1113"/>
      <c r="EP1" s="1113"/>
      <c r="EQ1" s="1113"/>
      <c r="ER1" s="1113"/>
      <c r="ES1" s="1113"/>
      <c r="ET1" s="1113"/>
      <c r="EU1" s="1113"/>
      <c r="EV1" s="1113"/>
      <c r="EW1" s="1113"/>
      <c r="EX1" s="1113"/>
      <c r="EY1" s="1113"/>
      <c r="EZ1" s="1113"/>
      <c r="FA1" s="1113"/>
      <c r="FB1" s="1113"/>
      <c r="FC1" s="1113"/>
      <c r="FD1" s="1113"/>
      <c r="FE1" s="1113"/>
      <c r="FF1" s="1113"/>
      <c r="FG1" s="1113"/>
      <c r="FH1" s="1113"/>
      <c r="FI1" s="1113"/>
      <c r="FJ1" s="1113"/>
      <c r="FK1" s="1113"/>
      <c r="FL1" s="1113"/>
      <c r="FM1" s="1113"/>
      <c r="FN1" s="1113"/>
      <c r="FO1" s="1113"/>
      <c r="FP1" s="1113"/>
      <c r="FQ1" s="1113"/>
      <c r="FR1" s="1113"/>
      <c r="FS1" s="1113"/>
      <c r="FT1" s="1113"/>
      <c r="FU1" s="1113"/>
      <c r="FV1" s="1113"/>
      <c r="FW1" s="1113"/>
      <c r="FX1" s="1113"/>
      <c r="FY1" s="1113"/>
      <c r="FZ1" s="1113"/>
      <c r="GA1" s="1113"/>
      <c r="GB1" s="1113"/>
      <c r="GC1" s="1113"/>
      <c r="GD1" s="1113"/>
      <c r="GE1" s="1113"/>
      <c r="GF1" s="1113"/>
      <c r="GG1" s="1113"/>
      <c r="GH1" s="1113"/>
      <c r="GI1" s="1113"/>
      <c r="GJ1" s="1113"/>
      <c r="GK1" s="1113"/>
      <c r="GL1" s="1113"/>
      <c r="GM1" s="1113"/>
      <c r="GN1" s="1113"/>
      <c r="GO1" s="1113"/>
      <c r="GP1" s="1113"/>
      <c r="GQ1" s="1113"/>
      <c r="GR1" s="1113"/>
      <c r="GS1" s="1113"/>
      <c r="GT1" s="1113"/>
      <c r="GU1" s="1113"/>
      <c r="GV1" s="1113"/>
      <c r="GW1" s="1113"/>
      <c r="GX1" s="1113"/>
      <c r="GY1" s="1113"/>
      <c r="GZ1" s="1113"/>
      <c r="HA1" s="1113"/>
      <c r="HB1" s="1113"/>
      <c r="HC1" s="1113"/>
      <c r="HD1" s="1113"/>
      <c r="HE1" s="1113"/>
      <c r="HF1" s="1113"/>
      <c r="HG1" s="1113"/>
      <c r="HH1" s="1113"/>
      <c r="HI1" s="1113"/>
      <c r="HJ1" s="1113"/>
      <c r="HK1" s="1113"/>
      <c r="HL1" s="1113"/>
      <c r="HM1" s="1113"/>
      <c r="HN1" s="1113"/>
      <c r="HO1" s="1113"/>
      <c r="HP1" s="1113"/>
      <c r="HQ1" s="1113"/>
      <c r="HR1" s="1113"/>
      <c r="HS1" s="1113"/>
      <c r="HT1" s="1113"/>
      <c r="HU1" s="1113"/>
      <c r="HV1" s="1113"/>
      <c r="HW1" s="1113"/>
      <c r="HX1" s="1113"/>
      <c r="HY1" s="1113"/>
      <c r="HZ1" s="1113"/>
      <c r="IA1" s="1113"/>
      <c r="IB1" s="1113"/>
      <c r="IC1" s="1113"/>
      <c r="ID1" s="1113"/>
      <c r="IE1" s="1113"/>
      <c r="IF1" s="1113"/>
      <c r="IG1" s="1113"/>
      <c r="IH1" s="1113"/>
      <c r="II1" s="1113"/>
      <c r="IJ1" s="1113"/>
      <c r="IK1" s="1113"/>
      <c r="IL1" s="1113"/>
      <c r="IM1" s="1113"/>
      <c r="IN1" s="1113"/>
      <c r="IO1" s="1113"/>
      <c r="IP1" s="1113"/>
      <c r="IQ1" s="1113"/>
      <c r="IR1" s="1113"/>
      <c r="IS1" s="1113"/>
      <c r="IT1" s="1113"/>
      <c r="IU1" s="1113"/>
      <c r="IV1" s="1113"/>
      <c r="IW1" s="1113"/>
      <c r="IX1" s="1113"/>
      <c r="IY1" s="1113"/>
      <c r="IZ1" s="1113"/>
      <c r="JA1" s="1113"/>
      <c r="JB1" s="1113"/>
      <c r="JC1" s="1113"/>
      <c r="JD1" s="1113"/>
      <c r="JE1" s="1113"/>
      <c r="JF1" s="1113"/>
      <c r="JG1" s="1113"/>
      <c r="JH1" s="1113"/>
      <c r="JI1" s="1113"/>
      <c r="JJ1" s="1113"/>
      <c r="JK1" s="1113"/>
      <c r="JL1" s="1113"/>
      <c r="JM1" s="1113"/>
      <c r="JN1" s="1113"/>
      <c r="JO1" s="1113"/>
      <c r="JP1" s="1113"/>
      <c r="JQ1" s="1113"/>
      <c r="JR1" s="1113"/>
      <c r="JS1" s="1113"/>
      <c r="JT1" s="1113"/>
      <c r="JU1" s="1113"/>
      <c r="JV1" s="1113"/>
      <c r="JW1" s="1113"/>
      <c r="JX1" s="1113"/>
      <c r="JY1" s="1113"/>
      <c r="JZ1" s="1113"/>
      <c r="KA1" s="1113"/>
      <c r="KB1" s="1113"/>
      <c r="KC1" s="1113"/>
      <c r="KD1" s="1113"/>
      <c r="KE1" s="1113"/>
      <c r="KF1" s="1113"/>
      <c r="KG1" s="1113"/>
      <c r="KH1" s="1113"/>
      <c r="KI1" s="1113"/>
      <c r="KJ1" s="1113"/>
      <c r="KK1" s="1113"/>
      <c r="KL1" s="1113"/>
      <c r="KM1" s="1113"/>
      <c r="KN1" s="1113"/>
      <c r="KO1" s="1113"/>
      <c r="KP1" s="1113"/>
      <c r="KQ1" s="1113"/>
      <c r="KR1" s="1113"/>
      <c r="KS1" s="1113"/>
      <c r="KT1" s="1113"/>
      <c r="KU1" s="1113"/>
      <c r="KV1" s="1113"/>
      <c r="KW1" s="1113"/>
      <c r="KX1" s="1113"/>
      <c r="KY1" s="1113"/>
      <c r="KZ1" s="1113"/>
      <c r="LA1" s="1113"/>
      <c r="LB1" s="1113"/>
      <c r="LC1" s="1113"/>
      <c r="LD1" s="1113"/>
      <c r="LE1" s="1113"/>
      <c r="LF1" s="1113"/>
      <c r="LG1" s="1113"/>
      <c r="LH1" s="1113"/>
      <c r="LI1" s="1113"/>
      <c r="LJ1" s="1113"/>
      <c r="LK1" s="1113"/>
      <c r="LL1" s="1113"/>
      <c r="LM1" s="1113"/>
      <c r="LN1" s="1113"/>
      <c r="LO1" s="1113"/>
      <c r="LP1" s="1113"/>
      <c r="LQ1" s="1113"/>
      <c r="LR1" s="1113"/>
      <c r="LS1" s="1113"/>
      <c r="LT1" s="1113"/>
      <c r="LU1" s="1113"/>
      <c r="LV1" s="1113"/>
      <c r="LW1" s="1113"/>
      <c r="LX1" s="1113"/>
      <c r="LY1" s="1113"/>
      <c r="LZ1" s="1113"/>
      <c r="MA1" s="1113"/>
      <c r="MB1" s="1113"/>
      <c r="MC1" s="1113"/>
      <c r="MD1" s="1113"/>
      <c r="ME1" s="1113"/>
      <c r="MF1" s="1113"/>
      <c r="MG1" s="1113"/>
      <c r="MH1" s="1113"/>
      <c r="MI1" s="1113"/>
      <c r="MJ1" s="1113"/>
      <c r="MK1" s="1113"/>
      <c r="ML1" s="1113"/>
      <c r="MM1" s="1113"/>
      <c r="MN1" s="1113"/>
      <c r="MO1" s="1113"/>
      <c r="MP1" s="1113"/>
      <c r="MQ1" s="1113"/>
      <c r="MR1" s="1113"/>
      <c r="MS1" s="1113"/>
      <c r="MT1" s="1113"/>
      <c r="MU1" s="1113"/>
      <c r="MV1" s="1113"/>
      <c r="MW1" s="1113"/>
      <c r="MX1" s="1113"/>
      <c r="MY1" s="1113"/>
      <c r="MZ1" s="1113"/>
      <c r="NA1" s="1113"/>
      <c r="NB1" s="1113"/>
      <c r="NC1" s="1113"/>
      <c r="ND1" s="1113"/>
      <c r="NE1" s="1113"/>
      <c r="NF1" s="1113"/>
      <c r="NG1" s="1113"/>
      <c r="NH1" s="1113"/>
      <c r="NI1" s="1113"/>
      <c r="NJ1" s="1113"/>
      <c r="NK1" s="1113"/>
      <c r="NL1" s="1113"/>
      <c r="NM1" s="1113"/>
      <c r="NN1" s="1113"/>
      <c r="NO1" s="1113"/>
      <c r="NP1" s="1113"/>
      <c r="NQ1" s="1113"/>
      <c r="NR1" s="1113"/>
      <c r="NS1" s="1113"/>
      <c r="NT1" s="1113"/>
      <c r="NU1" s="1113"/>
      <c r="NV1" s="1113"/>
      <c r="NW1" s="1113"/>
      <c r="NX1" s="1113"/>
      <c r="NY1" s="1113"/>
      <c r="NZ1" s="1113"/>
      <c r="OA1" s="1113"/>
      <c r="OB1" s="1113"/>
      <c r="OC1" s="1113"/>
      <c r="OD1" s="1113"/>
      <c r="OE1" s="1113"/>
      <c r="OF1" s="1113"/>
      <c r="OG1" s="1113"/>
      <c r="OH1" s="1113"/>
      <c r="OI1" s="1113"/>
      <c r="OJ1" s="1113"/>
      <c r="OK1" s="1113"/>
      <c r="OL1" s="1113"/>
      <c r="OM1" s="1113"/>
      <c r="ON1" s="1113"/>
      <c r="OO1" s="1113"/>
      <c r="OP1" s="1113"/>
      <c r="OQ1" s="1113"/>
      <c r="OR1" s="1113"/>
      <c r="OS1" s="1113"/>
      <c r="OT1" s="1113"/>
      <c r="OU1" s="1113"/>
      <c r="OV1" s="1113"/>
      <c r="OW1" s="1113"/>
      <c r="OX1" s="1113"/>
      <c r="OY1" s="1113"/>
      <c r="OZ1" s="1113"/>
      <c r="PA1" s="1113"/>
      <c r="PB1" s="1113"/>
      <c r="PC1" s="1113"/>
      <c r="PD1" s="1113"/>
      <c r="PE1" s="1113"/>
      <c r="PF1" s="1113"/>
      <c r="PG1" s="1113"/>
      <c r="PH1" s="1113"/>
      <c r="PI1" s="1113"/>
      <c r="PJ1" s="1113"/>
      <c r="PK1" s="1113"/>
      <c r="PL1" s="1113"/>
      <c r="PM1" s="1113"/>
      <c r="PN1" s="1113"/>
      <c r="PO1" s="1113"/>
      <c r="PP1" s="1113"/>
      <c r="PQ1" s="1113"/>
      <c r="PR1" s="1113"/>
      <c r="PS1" s="1113"/>
      <c r="PT1" s="1113"/>
      <c r="PU1" s="1113"/>
      <c r="PV1" s="1113"/>
      <c r="PW1" s="1113"/>
      <c r="PX1" s="1113"/>
      <c r="PY1" s="1113"/>
      <c r="PZ1" s="1113"/>
      <c r="QA1" s="1113"/>
      <c r="QB1" s="1113"/>
      <c r="QC1" s="1113"/>
      <c r="QD1" s="1113"/>
      <c r="QE1" s="1113"/>
      <c r="QF1" s="1113"/>
      <c r="QG1" s="1113"/>
      <c r="QH1" s="1113"/>
      <c r="QI1" s="1113"/>
      <c r="QJ1" s="1113"/>
      <c r="QK1" s="1113"/>
      <c r="QL1" s="1113"/>
      <c r="QM1" s="1113"/>
      <c r="QN1" s="1113"/>
      <c r="QO1" s="1113"/>
      <c r="QP1" s="1113"/>
      <c r="QQ1" s="1113"/>
      <c r="QR1" s="1113"/>
      <c r="QS1" s="1113"/>
      <c r="QT1" s="1113"/>
      <c r="QU1" s="1113"/>
      <c r="QV1" s="1113"/>
      <c r="QW1" s="1113"/>
      <c r="QX1" s="1113"/>
      <c r="QY1" s="1113"/>
      <c r="QZ1" s="1113"/>
      <c r="RA1" s="1113"/>
      <c r="RB1" s="1113"/>
      <c r="RC1" s="1113"/>
      <c r="RD1" s="1113"/>
      <c r="RE1" s="1113"/>
      <c r="RF1" s="1113"/>
      <c r="RG1" s="1113"/>
      <c r="RH1" s="1113"/>
      <c r="RI1" s="1113"/>
      <c r="RJ1" s="1113"/>
      <c r="RK1" s="1113"/>
      <c r="RL1" s="1113"/>
      <c r="RM1" s="1113"/>
      <c r="RN1" s="1113"/>
      <c r="RO1" s="1113"/>
      <c r="RP1" s="1113"/>
      <c r="RQ1" s="1113"/>
      <c r="RR1" s="1113"/>
      <c r="RS1" s="1113"/>
      <c r="RT1" s="1113"/>
      <c r="RU1" s="1113"/>
      <c r="RV1" s="1113"/>
      <c r="RW1" s="1113"/>
      <c r="RX1" s="1113"/>
      <c r="RY1" s="1113"/>
      <c r="RZ1" s="1113"/>
      <c r="SA1" s="1113"/>
      <c r="SB1" s="1113"/>
      <c r="SC1" s="1113"/>
      <c r="SD1" s="1113"/>
      <c r="SE1" s="1113"/>
      <c r="SF1" s="1113"/>
      <c r="SG1" s="1113"/>
      <c r="SH1" s="1113"/>
      <c r="SI1" s="1113"/>
      <c r="SJ1" s="1113"/>
      <c r="SK1" s="1113"/>
      <c r="SL1" s="1113"/>
      <c r="SM1" s="1113"/>
      <c r="SN1" s="1113"/>
      <c r="SO1" s="1113"/>
      <c r="SP1" s="1113"/>
      <c r="SQ1" s="1113"/>
      <c r="SR1" s="1113"/>
      <c r="SS1" s="1113"/>
      <c r="ST1" s="1113"/>
      <c r="SU1" s="1113"/>
      <c r="SV1" s="1113"/>
      <c r="SW1" s="1113"/>
      <c r="SX1" s="1113"/>
      <c r="SY1" s="1113"/>
      <c r="SZ1" s="1113"/>
      <c r="TA1" s="1113"/>
      <c r="TB1" s="1113"/>
      <c r="TC1" s="1113"/>
      <c r="TD1" s="1113"/>
      <c r="TE1" s="1113"/>
      <c r="TF1" s="1113"/>
      <c r="TG1" s="1113"/>
      <c r="TH1" s="1113"/>
      <c r="TI1" s="1113"/>
      <c r="TJ1" s="1113"/>
      <c r="TK1" s="1113"/>
      <c r="TL1" s="1113"/>
      <c r="TM1" s="1113"/>
      <c r="TN1" s="1113"/>
      <c r="TO1" s="1113"/>
      <c r="TP1" s="1113"/>
      <c r="TQ1" s="1113"/>
      <c r="TR1" s="1113"/>
      <c r="TS1" s="1113"/>
      <c r="TT1" s="1113"/>
      <c r="TU1" s="1113"/>
      <c r="TV1" s="1113"/>
      <c r="TW1" s="1113"/>
      <c r="TX1" s="1113"/>
      <c r="TY1" s="1113"/>
      <c r="TZ1" s="1113"/>
      <c r="UA1" s="1113"/>
      <c r="UB1" s="1113"/>
      <c r="UC1" s="1113"/>
      <c r="UD1" s="1113"/>
      <c r="UE1" s="1113"/>
      <c r="UF1" s="1113"/>
      <c r="UG1" s="1113"/>
      <c r="UH1" s="1113"/>
      <c r="UI1" s="1113"/>
      <c r="UJ1" s="1113"/>
      <c r="UK1" s="1113"/>
      <c r="UL1" s="1113"/>
      <c r="UM1" s="1113"/>
      <c r="UN1" s="1113"/>
      <c r="UO1" s="1113"/>
      <c r="UP1" s="1113"/>
      <c r="UQ1" s="1113"/>
      <c r="UR1" s="1113"/>
      <c r="US1" s="1113"/>
      <c r="UT1" s="1113"/>
      <c r="UU1" s="1113"/>
      <c r="UV1" s="1113"/>
      <c r="UW1" s="1113"/>
      <c r="UX1" s="1113"/>
      <c r="UY1" s="1113"/>
      <c r="UZ1" s="1113"/>
      <c r="VA1" s="1113"/>
      <c r="VB1" s="1113"/>
      <c r="VC1" s="1113"/>
      <c r="VD1" s="1113"/>
      <c r="VE1" s="1113"/>
      <c r="VF1" s="1113"/>
      <c r="VG1" s="1113"/>
      <c r="VH1" s="1113"/>
      <c r="VI1" s="1113"/>
      <c r="VJ1" s="1113"/>
      <c r="VK1" s="1113"/>
      <c r="VL1" s="1113"/>
      <c r="VM1" s="1113"/>
      <c r="VN1" s="1113"/>
      <c r="VO1" s="1113"/>
      <c r="VP1" s="1113"/>
      <c r="VQ1" s="1113"/>
      <c r="VR1" s="1113"/>
      <c r="VS1" s="1113"/>
      <c r="VT1" s="1113"/>
      <c r="VU1" s="1113"/>
      <c r="VV1" s="1113"/>
      <c r="VW1" s="1113"/>
      <c r="VX1" s="1113"/>
      <c r="VY1" s="1113"/>
      <c r="VZ1" s="1113"/>
      <c r="WA1" s="1113"/>
      <c r="WB1" s="1113"/>
      <c r="WC1" s="1113"/>
      <c r="WD1" s="1113"/>
      <c r="WE1" s="1113"/>
      <c r="WF1" s="1113"/>
      <c r="WG1" s="1113"/>
      <c r="WH1" s="1113"/>
      <c r="WI1" s="1113"/>
      <c r="WJ1" s="1113"/>
      <c r="WK1" s="1113"/>
      <c r="WL1" s="1113"/>
      <c r="WM1" s="1113"/>
      <c r="WN1" s="1113"/>
      <c r="WO1" s="1113"/>
      <c r="WP1" s="1113"/>
      <c r="WQ1" s="1113"/>
      <c r="WR1" s="1113"/>
      <c r="WS1" s="1113"/>
      <c r="WT1" s="1113"/>
      <c r="WU1" s="1113"/>
      <c r="WV1" s="1113"/>
      <c r="WW1" s="1113"/>
      <c r="WX1" s="1113"/>
      <c r="WY1" s="1113"/>
      <c r="WZ1" s="1113"/>
      <c r="XA1" s="1113"/>
      <c r="XB1" s="1113"/>
      <c r="XC1" s="1113"/>
      <c r="XD1" s="1113"/>
      <c r="XE1" s="1113"/>
      <c r="XF1" s="1113"/>
      <c r="XG1" s="1113"/>
      <c r="XH1" s="1113"/>
      <c r="XI1" s="1113"/>
      <c r="XJ1" s="1113"/>
      <c r="XK1" s="1113"/>
      <c r="XL1" s="1113"/>
      <c r="XM1" s="1113"/>
      <c r="XN1" s="1113"/>
      <c r="XO1" s="1113"/>
      <c r="XP1" s="1113"/>
      <c r="XQ1" s="1113"/>
      <c r="XR1" s="1113"/>
      <c r="XS1" s="1113"/>
      <c r="XT1" s="1113"/>
      <c r="XU1" s="1113"/>
      <c r="XV1" s="1113"/>
      <c r="XW1" s="1113"/>
      <c r="XX1" s="1113"/>
      <c r="XY1" s="1113"/>
      <c r="XZ1" s="1113"/>
      <c r="YA1" s="1113"/>
      <c r="YB1" s="1113"/>
      <c r="YC1" s="1113"/>
      <c r="YD1" s="1113"/>
      <c r="YE1" s="1113"/>
      <c r="YF1" s="1113"/>
      <c r="YG1" s="1113"/>
      <c r="YH1" s="1113"/>
      <c r="YI1" s="1113"/>
      <c r="YJ1" s="1113"/>
      <c r="YK1" s="1113"/>
      <c r="YL1" s="1113"/>
      <c r="YM1" s="1113"/>
      <c r="YN1" s="1113"/>
      <c r="YO1" s="1113"/>
      <c r="YP1" s="1113"/>
      <c r="YQ1" s="1113"/>
      <c r="YR1" s="1113"/>
      <c r="YS1" s="1113"/>
      <c r="YT1" s="1113"/>
      <c r="YU1" s="1113"/>
      <c r="YV1" s="1113"/>
      <c r="YW1" s="1113"/>
      <c r="YX1" s="1113"/>
      <c r="YY1" s="1113"/>
      <c r="YZ1" s="1113"/>
      <c r="ZA1" s="1113"/>
      <c r="ZB1" s="1113"/>
      <c r="ZC1" s="1113"/>
      <c r="ZD1" s="1113"/>
      <c r="ZE1" s="1113"/>
      <c r="ZF1" s="1113"/>
      <c r="ZG1" s="1113"/>
      <c r="ZH1" s="1113"/>
      <c r="ZI1" s="1113"/>
      <c r="ZJ1" s="1113"/>
      <c r="ZK1" s="1113"/>
      <c r="ZL1" s="1113"/>
      <c r="ZM1" s="1113"/>
      <c r="ZN1" s="1113"/>
      <c r="ZO1" s="1113"/>
      <c r="ZP1" s="1113"/>
      <c r="ZQ1" s="1113"/>
      <c r="ZR1" s="1113"/>
      <c r="ZS1" s="1113"/>
      <c r="ZT1" s="1113"/>
      <c r="ZU1" s="1113"/>
      <c r="ZV1" s="1113"/>
      <c r="ZW1" s="1113"/>
      <c r="ZX1" s="1113"/>
      <c r="ZY1" s="1113"/>
      <c r="ZZ1" s="1113"/>
      <c r="AAA1" s="1113"/>
      <c r="AAB1" s="1113"/>
      <c r="AAC1" s="1113"/>
      <c r="AAD1" s="1113"/>
      <c r="AAE1" s="1113"/>
      <c r="AAF1" s="1113"/>
      <c r="AAG1" s="1113"/>
      <c r="AAH1" s="1113"/>
      <c r="AAI1" s="1113"/>
      <c r="AAJ1" s="1113"/>
      <c r="AAK1" s="1113"/>
      <c r="AAL1" s="1113"/>
      <c r="AAM1" s="1113"/>
      <c r="AAN1" s="1113"/>
      <c r="AAO1" s="1113"/>
      <c r="AAP1" s="1113"/>
      <c r="AAQ1" s="1113"/>
      <c r="AAR1" s="1113"/>
      <c r="AAS1" s="1113"/>
      <c r="AAT1" s="1113"/>
      <c r="AAU1" s="1113"/>
      <c r="AAV1" s="1113"/>
      <c r="AAW1" s="1113"/>
      <c r="AAX1" s="1113"/>
      <c r="AAY1" s="1113"/>
      <c r="AAZ1" s="1113"/>
      <c r="ABA1" s="1113"/>
      <c r="ABB1" s="1113"/>
      <c r="ABC1" s="1113"/>
      <c r="ABD1" s="1113"/>
      <c r="ABE1" s="1113"/>
      <c r="ABF1" s="1113"/>
      <c r="ABG1" s="1113"/>
      <c r="ABH1" s="1113"/>
      <c r="ABI1" s="1113"/>
      <c r="ABJ1" s="1113"/>
      <c r="ABK1" s="1113"/>
      <c r="ABL1" s="1113"/>
      <c r="ABM1" s="1113"/>
      <c r="ABN1" s="1113"/>
      <c r="ABO1" s="1113"/>
      <c r="ABP1" s="1113"/>
      <c r="ABQ1" s="1113"/>
      <c r="ABR1" s="1113"/>
      <c r="ABS1" s="1113"/>
      <c r="ABT1" s="1113"/>
      <c r="ABU1" s="1113"/>
      <c r="ABV1" s="1113"/>
      <c r="ABW1" s="1113"/>
      <c r="ABX1" s="1113"/>
      <c r="ABY1" s="1113"/>
      <c r="ABZ1" s="1113"/>
      <c r="ACA1" s="1113"/>
      <c r="ACB1" s="1113"/>
      <c r="ACC1" s="1113"/>
      <c r="ACD1" s="1113"/>
      <c r="ACE1" s="1113"/>
      <c r="ACF1" s="1113"/>
      <c r="ACG1" s="1113"/>
      <c r="ACH1" s="1113"/>
      <c r="ACI1" s="1113"/>
      <c r="ACJ1" s="1113"/>
      <c r="ACK1" s="1113"/>
      <c r="ACL1" s="1113"/>
      <c r="ACM1" s="1113"/>
      <c r="ACN1" s="1113"/>
      <c r="ACO1" s="1113"/>
      <c r="ACP1" s="1113"/>
      <c r="ACQ1" s="1113"/>
      <c r="ACR1" s="1113"/>
      <c r="ACS1" s="1113"/>
      <c r="ACT1" s="1113"/>
      <c r="ACU1" s="1113"/>
      <c r="ACV1" s="1113"/>
      <c r="ACW1" s="1113"/>
      <c r="ACX1" s="1113"/>
      <c r="ACY1" s="1113"/>
      <c r="ACZ1" s="1113"/>
      <c r="ADA1" s="1113"/>
      <c r="ADB1" s="1113"/>
      <c r="ADC1" s="1113"/>
      <c r="ADD1" s="1113"/>
      <c r="ADE1" s="1113"/>
      <c r="ADF1" s="1113"/>
      <c r="ADG1" s="1113"/>
      <c r="ADH1" s="1113"/>
      <c r="ADI1" s="1113"/>
      <c r="ADJ1" s="1113"/>
      <c r="ADK1" s="1113"/>
      <c r="ADL1" s="1113"/>
      <c r="ADM1" s="1113"/>
      <c r="ADN1" s="1113"/>
      <c r="ADO1" s="1113"/>
      <c r="ADP1" s="1113"/>
      <c r="ADQ1" s="1113"/>
      <c r="ADR1" s="1113"/>
      <c r="ADS1" s="1113"/>
      <c r="ADT1" s="1113"/>
      <c r="ADU1" s="1113"/>
      <c r="ADV1" s="1113"/>
      <c r="ADW1" s="1113"/>
      <c r="ADX1" s="1113"/>
      <c r="ADY1" s="1113"/>
      <c r="ADZ1" s="1113"/>
      <c r="AEA1" s="1113"/>
      <c r="AEB1" s="1113"/>
      <c r="AEC1" s="1113"/>
      <c r="AED1" s="1113"/>
      <c r="AEE1" s="1113"/>
      <c r="AEF1" s="1113"/>
      <c r="AEG1" s="1113"/>
      <c r="AEH1" s="1113"/>
      <c r="AEI1" s="1113"/>
      <c r="AEJ1" s="1113"/>
      <c r="AEK1" s="1113"/>
      <c r="AEL1" s="1113"/>
      <c r="AEM1" s="1113"/>
      <c r="AEN1" s="1113"/>
      <c r="AEO1" s="1113"/>
      <c r="AEP1" s="1113"/>
      <c r="AEQ1" s="1113"/>
      <c r="AER1" s="1113"/>
      <c r="AES1" s="1113"/>
      <c r="AET1" s="1113"/>
      <c r="AEU1" s="1113"/>
      <c r="AEV1" s="1113"/>
      <c r="AEW1" s="1113"/>
      <c r="AEX1" s="1113"/>
      <c r="AEY1" s="1113"/>
      <c r="AEZ1" s="1113"/>
      <c r="AFA1" s="1113"/>
      <c r="AFB1" s="1113"/>
      <c r="AFC1" s="1113"/>
      <c r="AFD1" s="1113"/>
      <c r="AFE1" s="1113"/>
      <c r="AFF1" s="1113"/>
      <c r="AFG1" s="1113"/>
      <c r="AFH1" s="1113"/>
      <c r="AFI1" s="1113"/>
      <c r="AFJ1" s="1113"/>
      <c r="AFK1" s="1113"/>
      <c r="AFL1" s="1113"/>
      <c r="AFM1" s="1113"/>
      <c r="AFN1" s="1113"/>
      <c r="AFO1" s="1113"/>
      <c r="AFP1" s="1113"/>
      <c r="AFQ1" s="1113"/>
      <c r="AFR1" s="1113"/>
      <c r="AFS1" s="1113"/>
      <c r="AFT1" s="1113"/>
      <c r="AFU1" s="1113"/>
      <c r="AFV1" s="1113"/>
      <c r="AFW1" s="1113"/>
      <c r="AFX1" s="1113"/>
      <c r="AFY1" s="1113"/>
      <c r="AFZ1" s="1113"/>
      <c r="AGA1" s="1113"/>
      <c r="AGB1" s="1113"/>
      <c r="AGC1" s="1113"/>
      <c r="AGD1" s="1113"/>
      <c r="AGE1" s="1113"/>
      <c r="AGF1" s="1113"/>
      <c r="AGG1" s="1113"/>
      <c r="AGH1" s="1113"/>
      <c r="AGI1" s="1113"/>
      <c r="AGJ1" s="1113"/>
      <c r="AGK1" s="1113"/>
      <c r="AGL1" s="1113"/>
      <c r="AGM1" s="1113"/>
      <c r="AGN1" s="1113"/>
      <c r="AGO1" s="1113"/>
      <c r="AGP1" s="1113"/>
      <c r="AGQ1" s="1113"/>
      <c r="AGR1" s="1113"/>
      <c r="AGS1" s="1113"/>
      <c r="AGT1" s="1113"/>
      <c r="AGU1" s="1113"/>
      <c r="AGV1" s="1113"/>
      <c r="AGW1" s="1113"/>
      <c r="AGX1" s="1113"/>
      <c r="AGY1" s="1113"/>
      <c r="AGZ1" s="1113"/>
      <c r="AHA1" s="1113"/>
      <c r="AHB1" s="1113"/>
      <c r="AHC1" s="1113"/>
      <c r="AHD1" s="1113"/>
      <c r="AHE1" s="1113"/>
      <c r="AHF1" s="1113"/>
      <c r="AHG1" s="1113"/>
      <c r="AHH1" s="1113"/>
      <c r="AHI1" s="1113"/>
      <c r="AHJ1" s="1113"/>
      <c r="AHK1" s="1113"/>
      <c r="AHL1" s="1113"/>
      <c r="AHM1" s="1113"/>
      <c r="AHN1" s="1113"/>
      <c r="AHO1" s="1113"/>
      <c r="AHP1" s="1113"/>
      <c r="AHQ1" s="1113"/>
      <c r="AHR1" s="1113"/>
      <c r="AHS1" s="1113"/>
      <c r="AHT1" s="1113"/>
      <c r="AHU1" s="1113"/>
      <c r="AHV1" s="1113"/>
      <c r="AHW1" s="1113"/>
      <c r="AHX1" s="1113"/>
      <c r="AHY1" s="1113"/>
      <c r="AHZ1" s="1113"/>
      <c r="AIA1" s="1113"/>
      <c r="AIB1" s="1113"/>
      <c r="AIC1" s="1113"/>
      <c r="AID1" s="1113"/>
      <c r="AIE1" s="1113"/>
      <c r="AIF1" s="1113"/>
      <c r="AIG1" s="1113"/>
      <c r="AIH1" s="1113"/>
      <c r="AII1" s="1113"/>
      <c r="AIJ1" s="1113"/>
      <c r="AIK1" s="1113"/>
      <c r="AIL1" s="1113"/>
      <c r="AIM1" s="1113"/>
      <c r="AIN1" s="1113"/>
      <c r="AIO1" s="1113"/>
      <c r="AIP1" s="1113"/>
      <c r="AIQ1" s="1113"/>
      <c r="AIR1" s="1113"/>
      <c r="AIS1" s="1113"/>
      <c r="AIT1" s="1113"/>
      <c r="AIU1" s="1113"/>
      <c r="AIV1" s="1113"/>
      <c r="AIW1" s="1113"/>
      <c r="AIX1" s="1113"/>
      <c r="AIY1" s="1113"/>
      <c r="AIZ1" s="1113"/>
      <c r="AJA1" s="1113"/>
      <c r="AJB1" s="1113"/>
      <c r="AJC1" s="1113"/>
      <c r="AJD1" s="1113"/>
      <c r="AJE1" s="1113"/>
      <c r="AJF1" s="1113"/>
      <c r="AJG1" s="1113"/>
      <c r="AJH1" s="1113"/>
      <c r="AJI1" s="1113"/>
      <c r="AJJ1" s="1113"/>
      <c r="AJK1" s="1113"/>
      <c r="AJL1" s="1113"/>
      <c r="AJM1" s="1113"/>
      <c r="AJN1" s="1113"/>
      <c r="AJO1" s="1113"/>
      <c r="AJP1" s="1113"/>
      <c r="AJQ1" s="1113"/>
      <c r="AJR1" s="1113"/>
      <c r="AJS1" s="1113"/>
      <c r="AJT1" s="1113"/>
      <c r="AJU1" s="1113"/>
      <c r="AJV1" s="1113"/>
      <c r="AJW1" s="1113"/>
      <c r="AJX1" s="1113"/>
      <c r="AJY1" s="1113"/>
      <c r="AJZ1" s="1113"/>
      <c r="AKA1" s="1113"/>
      <c r="AKB1" s="1113"/>
      <c r="AKC1" s="1113"/>
      <c r="AKD1" s="1113"/>
      <c r="AKE1" s="1113"/>
      <c r="AKF1" s="1113"/>
      <c r="AKG1" s="1113"/>
      <c r="AKH1" s="1113"/>
      <c r="AKI1" s="1113"/>
      <c r="AKJ1" s="1113"/>
      <c r="AKK1" s="1113"/>
      <c r="AKL1" s="1113"/>
      <c r="AKM1" s="1113"/>
      <c r="AKN1" s="1113"/>
      <c r="AKO1" s="1113"/>
      <c r="AKP1" s="1113"/>
      <c r="AKQ1" s="1113"/>
      <c r="AKR1" s="1113"/>
      <c r="AKS1" s="1113"/>
      <c r="AKT1" s="1113"/>
      <c r="AKU1" s="1113"/>
      <c r="AKV1" s="1113"/>
      <c r="AKW1" s="1113"/>
      <c r="AKX1" s="1113"/>
      <c r="AKY1" s="1113"/>
      <c r="AKZ1" s="1113"/>
      <c r="ALA1" s="1113"/>
      <c r="ALB1" s="1113"/>
      <c r="ALC1" s="1113"/>
      <c r="ALD1" s="1113"/>
      <c r="ALE1" s="1113"/>
      <c r="ALF1" s="1113"/>
      <c r="ALG1" s="1113"/>
      <c r="ALH1" s="1113"/>
      <c r="ALI1" s="1113"/>
      <c r="ALJ1" s="1113"/>
      <c r="ALK1" s="1113"/>
      <c r="ALL1" s="1113"/>
      <c r="ALM1" s="1113"/>
      <c r="ALN1" s="1113"/>
      <c r="ALO1" s="1113"/>
      <c r="ALP1" s="1113"/>
      <c r="ALQ1" s="1113"/>
      <c r="ALR1" s="1113"/>
      <c r="ALS1" s="1113"/>
      <c r="ALT1" s="1113"/>
      <c r="ALU1" s="1113"/>
      <c r="ALV1" s="1113"/>
      <c r="ALW1" s="1113"/>
      <c r="ALX1" s="1113"/>
      <c r="ALY1" s="1113"/>
      <c r="ALZ1" s="1113"/>
      <c r="AMA1" s="1113"/>
      <c r="AMB1" s="1113"/>
      <c r="AMC1" s="1113"/>
      <c r="AMD1" s="1113"/>
      <c r="AME1" s="1113"/>
      <c r="AMF1" s="1113"/>
      <c r="AMG1" s="1113"/>
      <c r="AMH1" s="1113"/>
      <c r="AMI1" s="1113"/>
      <c r="AMJ1" s="1113"/>
      <c r="AMK1" s="1113"/>
      <c r="AML1" s="1113"/>
      <c r="AMM1" s="1113"/>
      <c r="AMN1" s="1113"/>
      <c r="AMO1" s="1113"/>
      <c r="AMP1" s="1113"/>
      <c r="AMQ1" s="1113"/>
      <c r="AMR1" s="1113"/>
      <c r="AMS1" s="1113"/>
      <c r="AMT1" s="1113"/>
      <c r="AMU1" s="1113"/>
      <c r="AMV1" s="1113"/>
      <c r="AMW1" s="1113"/>
      <c r="AMX1" s="1113"/>
      <c r="AMY1" s="1113"/>
      <c r="AMZ1" s="1113"/>
      <c r="ANA1" s="1113"/>
      <c r="ANB1" s="1113"/>
      <c r="ANC1" s="1113"/>
      <c r="AND1" s="1113"/>
      <c r="ANE1" s="1113"/>
      <c r="ANF1" s="1113"/>
      <c r="ANG1" s="1113"/>
      <c r="ANH1" s="1113"/>
      <c r="ANI1" s="1113"/>
      <c r="ANJ1" s="1113"/>
      <c r="ANK1" s="1113"/>
      <c r="ANL1" s="1113"/>
      <c r="ANM1" s="1113"/>
      <c r="ANN1" s="1113"/>
      <c r="ANO1" s="1113"/>
      <c r="ANP1" s="1113"/>
      <c r="ANQ1" s="1113"/>
      <c r="ANR1" s="1113"/>
      <c r="ANS1" s="1113"/>
      <c r="ANT1" s="1113"/>
      <c r="ANU1" s="1113"/>
      <c r="ANV1" s="1113"/>
      <c r="ANW1" s="1113"/>
      <c r="ANX1" s="1113"/>
      <c r="ANY1" s="1113"/>
      <c r="ANZ1" s="1113"/>
      <c r="AOA1" s="1113"/>
      <c r="AOB1" s="1113"/>
      <c r="AOC1" s="1113"/>
      <c r="AOD1" s="1113"/>
      <c r="AOE1" s="1113"/>
      <c r="AOF1" s="1113"/>
      <c r="AOG1" s="1113"/>
      <c r="AOH1" s="1113"/>
      <c r="AOI1" s="1113"/>
      <c r="AOJ1" s="1113"/>
      <c r="AOK1" s="1113"/>
      <c r="AOL1" s="1113"/>
      <c r="AOM1" s="1113"/>
      <c r="AON1" s="1113"/>
      <c r="AOO1" s="1113"/>
      <c r="AOP1" s="1113"/>
      <c r="AOQ1" s="1113"/>
      <c r="AOR1" s="1113"/>
      <c r="AOS1" s="1113"/>
      <c r="AOT1" s="1113"/>
      <c r="AOU1" s="1113"/>
      <c r="AOV1" s="1113"/>
      <c r="AOW1" s="1113"/>
      <c r="AOX1" s="1113"/>
      <c r="AOY1" s="1113"/>
      <c r="AOZ1" s="1113"/>
      <c r="APA1" s="1113"/>
      <c r="APB1" s="1113"/>
      <c r="APC1" s="1113"/>
      <c r="APD1" s="1113"/>
      <c r="APE1" s="1113"/>
      <c r="APF1" s="1113"/>
      <c r="APG1" s="1113"/>
      <c r="APH1" s="1113"/>
      <c r="API1" s="1113"/>
      <c r="APJ1" s="1113"/>
      <c r="APK1" s="1113"/>
      <c r="APL1" s="1113"/>
      <c r="APM1" s="1113"/>
      <c r="APN1" s="1113"/>
      <c r="APO1" s="1113"/>
      <c r="APP1" s="1113"/>
      <c r="APQ1" s="1113"/>
      <c r="APR1" s="1113"/>
      <c r="APS1" s="1113"/>
      <c r="APT1" s="1113"/>
      <c r="APU1" s="1113"/>
      <c r="APV1" s="1113"/>
      <c r="APW1" s="1113"/>
      <c r="APX1" s="1113"/>
      <c r="APY1" s="1113"/>
      <c r="APZ1" s="1113"/>
      <c r="AQA1" s="1113"/>
      <c r="AQB1" s="1113"/>
      <c r="AQC1" s="1113"/>
      <c r="AQD1" s="1113"/>
      <c r="AQE1" s="1113"/>
      <c r="AQF1" s="1113"/>
      <c r="AQG1" s="1113"/>
      <c r="AQH1" s="1113"/>
      <c r="AQI1" s="1113"/>
      <c r="AQJ1" s="1113"/>
      <c r="AQK1" s="1113"/>
      <c r="AQL1" s="1113"/>
      <c r="AQM1" s="1113"/>
      <c r="AQN1" s="1113"/>
      <c r="AQO1" s="1113"/>
      <c r="AQP1" s="1113"/>
      <c r="AQQ1" s="1113"/>
      <c r="AQR1" s="1113"/>
      <c r="AQS1" s="1113"/>
      <c r="AQT1" s="1113"/>
      <c r="AQU1" s="1113"/>
      <c r="AQV1" s="1113"/>
      <c r="AQW1" s="1113"/>
      <c r="AQX1" s="1113"/>
      <c r="AQY1" s="1113"/>
      <c r="AQZ1" s="1113"/>
      <c r="ARA1" s="1113"/>
      <c r="ARB1" s="1113"/>
      <c r="ARC1" s="1113"/>
      <c r="ARD1" s="1113"/>
      <c r="ARE1" s="1113"/>
      <c r="ARF1" s="1113"/>
      <c r="ARG1" s="1113"/>
      <c r="ARH1" s="1113"/>
      <c r="ARI1" s="1113"/>
      <c r="ARJ1" s="1113"/>
      <c r="ARK1" s="1113"/>
      <c r="ARL1" s="1113"/>
      <c r="ARM1" s="1113"/>
      <c r="ARN1" s="1113"/>
      <c r="ARO1" s="1113"/>
      <c r="ARP1" s="1113"/>
      <c r="ARQ1" s="1113"/>
      <c r="ARR1" s="1113"/>
      <c r="ARS1" s="1113"/>
      <c r="ART1" s="1113"/>
      <c r="ARU1" s="1113"/>
      <c r="ARV1" s="1113"/>
      <c r="ARW1" s="1113"/>
      <c r="ARX1" s="1113"/>
      <c r="ARY1" s="1113"/>
      <c r="ARZ1" s="1113"/>
      <c r="ASA1" s="1113"/>
      <c r="ASB1" s="1113"/>
      <c r="ASC1" s="1113"/>
      <c r="ASD1" s="1113"/>
      <c r="ASE1" s="1113"/>
      <c r="ASF1" s="1113"/>
      <c r="ASG1" s="1113"/>
      <c r="ASH1" s="1113"/>
      <c r="ASI1" s="1113"/>
      <c r="ASJ1" s="1113"/>
      <c r="ASK1" s="1113"/>
      <c r="ASL1" s="1113"/>
      <c r="ASM1" s="1113"/>
      <c r="ASN1" s="1113"/>
      <c r="ASO1" s="1113"/>
      <c r="ASP1" s="1113"/>
      <c r="ASQ1" s="1113"/>
      <c r="ASR1" s="1113"/>
      <c r="ASS1" s="1113"/>
      <c r="AST1" s="1113"/>
      <c r="ASU1" s="1113"/>
      <c r="ASV1" s="1113"/>
      <c r="ASW1" s="1113"/>
      <c r="ASX1" s="1113"/>
      <c r="ASY1" s="1113"/>
      <c r="ASZ1" s="1113"/>
      <c r="ATA1" s="1113"/>
      <c r="ATB1" s="1113"/>
      <c r="ATC1" s="1113"/>
      <c r="ATD1" s="1113"/>
      <c r="ATE1" s="1113"/>
      <c r="ATF1" s="1113"/>
      <c r="ATG1" s="1113"/>
      <c r="ATH1" s="1113"/>
      <c r="ATI1" s="1113"/>
      <c r="ATJ1" s="1113"/>
      <c r="ATK1" s="1113"/>
      <c r="ATL1" s="1113"/>
      <c r="ATM1" s="1113"/>
      <c r="ATN1" s="1113"/>
      <c r="ATO1" s="1113"/>
      <c r="ATP1" s="1113"/>
      <c r="ATQ1" s="1113"/>
      <c r="ATR1" s="1113"/>
      <c r="ATS1" s="1113"/>
      <c r="ATT1" s="1113"/>
      <c r="ATU1" s="1113"/>
      <c r="ATV1" s="1113"/>
      <c r="ATW1" s="1113"/>
      <c r="ATX1" s="1113"/>
      <c r="ATY1" s="1113"/>
      <c r="ATZ1" s="1113"/>
      <c r="AUA1" s="1113"/>
      <c r="AUB1" s="1113"/>
      <c r="AUC1" s="1113"/>
      <c r="AUD1" s="1113"/>
      <c r="AUE1" s="1113"/>
      <c r="AUF1" s="1113"/>
      <c r="AUG1" s="1113"/>
      <c r="AUH1" s="1113"/>
      <c r="AUI1" s="1113"/>
      <c r="AUJ1" s="1113"/>
      <c r="AUK1" s="1113"/>
      <c r="AUL1" s="1113"/>
      <c r="AUM1" s="1113"/>
      <c r="AUN1" s="1113"/>
      <c r="AUO1" s="1113"/>
      <c r="AUP1" s="1113"/>
      <c r="AUQ1" s="1113"/>
      <c r="AUR1" s="1113"/>
      <c r="AUS1" s="1113"/>
      <c r="AUT1" s="1113"/>
      <c r="AUU1" s="1113"/>
      <c r="AUV1" s="1113"/>
      <c r="AUW1" s="1113"/>
      <c r="AUX1" s="1113"/>
      <c r="AUY1" s="1113"/>
      <c r="AUZ1" s="1113"/>
      <c r="AVA1" s="1113"/>
      <c r="AVB1" s="1113"/>
      <c r="AVC1" s="1113"/>
      <c r="AVD1" s="1113"/>
      <c r="AVE1" s="1113"/>
      <c r="AVF1" s="1113"/>
      <c r="AVG1" s="1113"/>
      <c r="AVH1" s="1113"/>
      <c r="AVI1" s="1113"/>
      <c r="AVJ1" s="1113"/>
      <c r="AVK1" s="1113"/>
      <c r="AVL1" s="1113"/>
      <c r="AVM1" s="1113"/>
      <c r="AVN1" s="1113"/>
      <c r="AVO1" s="1113"/>
      <c r="AVP1" s="1113"/>
      <c r="AVQ1" s="1113"/>
      <c r="AVR1" s="1113"/>
      <c r="AVS1" s="1113"/>
      <c r="AVT1" s="1113"/>
      <c r="AVU1" s="1113"/>
      <c r="AVV1" s="1113"/>
      <c r="AVW1" s="1113"/>
      <c r="AVX1" s="1113"/>
      <c r="AVY1" s="1113"/>
      <c r="AVZ1" s="1113"/>
      <c r="AWA1" s="1113"/>
      <c r="AWB1" s="1113"/>
      <c r="AWC1" s="1113"/>
      <c r="AWD1" s="1113"/>
      <c r="AWE1" s="1113"/>
      <c r="AWF1" s="1113"/>
      <c r="AWG1" s="1113"/>
      <c r="AWH1" s="1113"/>
      <c r="AWI1" s="1113"/>
      <c r="AWJ1" s="1113"/>
      <c r="AWK1" s="1113"/>
      <c r="AWL1" s="1113"/>
      <c r="AWM1" s="1113"/>
      <c r="AWN1" s="1113"/>
      <c r="AWO1" s="1113"/>
      <c r="AWP1" s="1113"/>
      <c r="AWQ1" s="1113"/>
      <c r="AWR1" s="1113"/>
      <c r="AWS1" s="1113"/>
      <c r="AWT1" s="1113"/>
      <c r="AWU1" s="1113"/>
      <c r="AWV1" s="1113"/>
      <c r="AWW1" s="1113"/>
      <c r="AWX1" s="1113"/>
      <c r="AWY1" s="1113"/>
      <c r="AWZ1" s="1113"/>
      <c r="AXA1" s="1113"/>
      <c r="AXB1" s="1113"/>
      <c r="AXC1" s="1113"/>
      <c r="AXD1" s="1113"/>
      <c r="AXE1" s="1113"/>
      <c r="AXF1" s="1113"/>
      <c r="AXG1" s="1113"/>
      <c r="AXH1" s="1113"/>
      <c r="AXI1" s="1113"/>
      <c r="AXJ1" s="1113"/>
      <c r="AXK1" s="1113"/>
      <c r="AXL1" s="1113"/>
      <c r="AXM1" s="1113"/>
      <c r="AXN1" s="1113"/>
      <c r="AXO1" s="1113"/>
      <c r="AXP1" s="1113"/>
      <c r="AXQ1" s="1113"/>
      <c r="AXR1" s="1113"/>
      <c r="AXS1" s="1113"/>
      <c r="AXT1" s="1113"/>
      <c r="AXU1" s="1113"/>
      <c r="AXV1" s="1113"/>
      <c r="AXW1" s="1113"/>
      <c r="AXX1" s="1113"/>
      <c r="AXY1" s="1113"/>
      <c r="AXZ1" s="1113"/>
      <c r="AYA1" s="1113"/>
      <c r="AYB1" s="1113"/>
      <c r="AYC1" s="1113"/>
      <c r="AYD1" s="1113"/>
      <c r="AYE1" s="1113"/>
      <c r="AYF1" s="1113"/>
      <c r="AYG1" s="1113"/>
      <c r="AYH1" s="1113"/>
      <c r="AYI1" s="1113"/>
      <c r="AYJ1" s="1113"/>
      <c r="AYK1" s="1113"/>
      <c r="AYL1" s="1113"/>
      <c r="AYM1" s="1113"/>
      <c r="AYN1" s="1113"/>
      <c r="AYO1" s="1113"/>
      <c r="AYP1" s="1113"/>
      <c r="AYQ1" s="1113"/>
      <c r="AYR1" s="1113"/>
      <c r="AYS1" s="1113"/>
      <c r="AYT1" s="1113"/>
      <c r="AYU1" s="1113"/>
      <c r="AYV1" s="1113"/>
      <c r="AYW1" s="1113"/>
      <c r="AYX1" s="1113"/>
      <c r="AYY1" s="1113"/>
      <c r="AYZ1" s="1113"/>
      <c r="AZA1" s="1113"/>
      <c r="AZB1" s="1113"/>
      <c r="AZC1" s="1113"/>
      <c r="AZD1" s="1113"/>
      <c r="AZE1" s="1113"/>
      <c r="AZF1" s="1113"/>
      <c r="AZG1" s="1113"/>
      <c r="AZH1" s="1113"/>
      <c r="AZI1" s="1113"/>
      <c r="AZJ1" s="1113"/>
      <c r="AZK1" s="1113"/>
      <c r="AZL1" s="1113"/>
      <c r="AZM1" s="1113"/>
      <c r="AZN1" s="1113"/>
      <c r="AZO1" s="1113"/>
      <c r="AZP1" s="1113"/>
      <c r="AZQ1" s="1113"/>
      <c r="AZR1" s="1113"/>
      <c r="AZS1" s="1113"/>
      <c r="AZT1" s="1113"/>
      <c r="AZU1" s="1113"/>
      <c r="AZV1" s="1113"/>
      <c r="AZW1" s="1113"/>
      <c r="AZX1" s="1113"/>
      <c r="AZY1" s="1113"/>
      <c r="AZZ1" s="1113"/>
      <c r="BAA1" s="1113"/>
      <c r="BAB1" s="1113"/>
      <c r="BAC1" s="1113"/>
      <c r="BAD1" s="1113"/>
      <c r="BAE1" s="1113"/>
      <c r="BAF1" s="1113"/>
      <c r="BAG1" s="1113"/>
      <c r="BAH1" s="1113"/>
      <c r="BAI1" s="1113"/>
      <c r="BAJ1" s="1113"/>
      <c r="BAK1" s="1113"/>
      <c r="BAL1" s="1113"/>
      <c r="BAM1" s="1113"/>
      <c r="BAN1" s="1113"/>
      <c r="BAO1" s="1113"/>
      <c r="BAP1" s="1113"/>
      <c r="BAQ1" s="1113"/>
      <c r="BAR1" s="1113"/>
      <c r="BAS1" s="1113"/>
      <c r="BAT1" s="1113"/>
      <c r="BAU1" s="1113"/>
      <c r="BAV1" s="1113"/>
      <c r="BAW1" s="1113"/>
      <c r="BAX1" s="1113"/>
      <c r="BAY1" s="1113"/>
      <c r="BAZ1" s="1113"/>
      <c r="BBA1" s="1113"/>
      <c r="BBB1" s="1113"/>
      <c r="BBC1" s="1113"/>
      <c r="BBD1" s="1113"/>
      <c r="BBE1" s="1113"/>
      <c r="BBF1" s="1113"/>
      <c r="BBG1" s="1113"/>
      <c r="BBH1" s="1113"/>
      <c r="BBI1" s="1113"/>
      <c r="BBJ1" s="1113"/>
      <c r="BBK1" s="1113"/>
      <c r="BBL1" s="1113"/>
      <c r="BBM1" s="1113"/>
      <c r="BBN1" s="1113"/>
      <c r="BBO1" s="1113"/>
      <c r="BBP1" s="1113"/>
      <c r="BBQ1" s="1113"/>
      <c r="BBR1" s="1113"/>
      <c r="BBS1" s="1113"/>
      <c r="BBT1" s="1113"/>
      <c r="BBU1" s="1113"/>
      <c r="BBV1" s="1113"/>
      <c r="BBW1" s="1113"/>
      <c r="BBX1" s="1113"/>
      <c r="BBY1" s="1113"/>
      <c r="BBZ1" s="1113"/>
      <c r="BCA1" s="1113"/>
      <c r="BCB1" s="1113"/>
      <c r="BCC1" s="1113"/>
      <c r="BCD1" s="1113"/>
      <c r="BCE1" s="1113"/>
      <c r="BCF1" s="1113"/>
      <c r="BCG1" s="1113"/>
      <c r="BCH1" s="1113"/>
      <c r="BCI1" s="1113"/>
      <c r="BCJ1" s="1113"/>
      <c r="BCK1" s="1113"/>
      <c r="BCL1" s="1113"/>
      <c r="BCM1" s="1113"/>
      <c r="BCN1" s="1113"/>
      <c r="BCO1" s="1113"/>
      <c r="BCP1" s="1113"/>
      <c r="BCQ1" s="1113"/>
      <c r="BCR1" s="1113"/>
      <c r="BCS1" s="1113"/>
      <c r="BCT1" s="1113"/>
      <c r="BCU1" s="1113"/>
      <c r="BCV1" s="1113"/>
      <c r="BCW1" s="1113"/>
      <c r="BCX1" s="1113"/>
      <c r="BCY1" s="1113"/>
      <c r="BCZ1" s="1113"/>
      <c r="BDA1" s="1113"/>
      <c r="BDB1" s="1113"/>
      <c r="BDC1" s="1113"/>
      <c r="BDD1" s="1113"/>
      <c r="BDE1" s="1113"/>
      <c r="BDF1" s="1113"/>
      <c r="BDG1" s="1113"/>
      <c r="BDH1" s="1113"/>
      <c r="BDI1" s="1113"/>
      <c r="BDJ1" s="1113"/>
      <c r="BDK1" s="1113"/>
      <c r="BDL1" s="1113"/>
      <c r="BDM1" s="1113"/>
      <c r="BDN1" s="1113"/>
      <c r="BDO1" s="1113"/>
      <c r="BDP1" s="1113"/>
      <c r="BDQ1" s="1113"/>
      <c r="BDR1" s="1113"/>
      <c r="BDS1" s="1113"/>
      <c r="BDT1" s="1113"/>
      <c r="BDU1" s="1113"/>
      <c r="BDV1" s="1113"/>
      <c r="BDW1" s="1113"/>
      <c r="BDX1" s="1113"/>
      <c r="BDY1" s="1113"/>
      <c r="BDZ1" s="1113"/>
      <c r="BEA1" s="1113"/>
      <c r="BEB1" s="1113"/>
      <c r="BEC1" s="1113"/>
      <c r="BED1" s="1113"/>
      <c r="BEE1" s="1113"/>
      <c r="BEF1" s="1113"/>
      <c r="BEG1" s="1113"/>
      <c r="BEH1" s="1113"/>
      <c r="BEI1" s="1113"/>
      <c r="BEJ1" s="1113"/>
      <c r="BEK1" s="1113"/>
      <c r="BEL1" s="1113"/>
      <c r="BEM1" s="1113"/>
      <c r="BEN1" s="1113"/>
      <c r="BEO1" s="1113"/>
      <c r="BEP1" s="1113"/>
      <c r="BEQ1" s="1113"/>
      <c r="BER1" s="1113"/>
      <c r="BES1" s="1113"/>
      <c r="BET1" s="1113"/>
      <c r="BEU1" s="1113"/>
      <c r="BEV1" s="1113"/>
      <c r="BEW1" s="1113"/>
      <c r="BEX1" s="1113"/>
      <c r="BEY1" s="1113"/>
      <c r="BEZ1" s="1113"/>
      <c r="BFA1" s="1113"/>
      <c r="BFB1" s="1113"/>
      <c r="BFC1" s="1113"/>
      <c r="BFD1" s="1113"/>
      <c r="BFE1" s="1113"/>
      <c r="BFF1" s="1113"/>
      <c r="BFG1" s="1113"/>
      <c r="BFH1" s="1113"/>
      <c r="BFI1" s="1113"/>
      <c r="BFJ1" s="1113"/>
      <c r="BFK1" s="1113"/>
      <c r="BFL1" s="1113"/>
      <c r="BFM1" s="1113"/>
      <c r="BFN1" s="1113"/>
      <c r="BFO1" s="1113"/>
      <c r="BFP1" s="1113"/>
      <c r="BFQ1" s="1113"/>
      <c r="BFR1" s="1113"/>
      <c r="BFS1" s="1113"/>
      <c r="BFT1" s="1113"/>
      <c r="BFU1" s="1113"/>
      <c r="BFV1" s="1113"/>
      <c r="BFW1" s="1113"/>
      <c r="BFX1" s="1113"/>
      <c r="BFY1" s="1113"/>
      <c r="BFZ1" s="1113"/>
      <c r="BGA1" s="1113"/>
      <c r="BGB1" s="1113"/>
      <c r="BGC1" s="1113"/>
      <c r="BGD1" s="1113"/>
      <c r="BGE1" s="1113"/>
      <c r="BGF1" s="1113"/>
      <c r="BGG1" s="1113"/>
      <c r="BGH1" s="1113"/>
      <c r="BGI1" s="1113"/>
      <c r="BGJ1" s="1113"/>
      <c r="BGK1" s="1113"/>
      <c r="BGL1" s="1113"/>
      <c r="BGM1" s="1113"/>
      <c r="BGN1" s="1113"/>
      <c r="BGO1" s="1113"/>
      <c r="BGP1" s="1113"/>
      <c r="BGQ1" s="1113"/>
      <c r="BGR1" s="1113"/>
      <c r="BGS1" s="1113"/>
      <c r="BGT1" s="1113"/>
      <c r="BGU1" s="1113"/>
      <c r="BGV1" s="1113"/>
      <c r="BGW1" s="1113"/>
      <c r="BGX1" s="1113"/>
      <c r="BGY1" s="1113"/>
      <c r="BGZ1" s="1113"/>
      <c r="BHA1" s="1113"/>
      <c r="BHB1" s="1113"/>
      <c r="BHC1" s="1113"/>
      <c r="BHD1" s="1113"/>
      <c r="BHE1" s="1113"/>
      <c r="BHF1" s="1113"/>
      <c r="BHG1" s="1113"/>
      <c r="BHH1" s="1113"/>
      <c r="BHI1" s="1113"/>
      <c r="BHJ1" s="1113"/>
      <c r="BHK1" s="1113"/>
      <c r="BHL1" s="1113"/>
      <c r="BHM1" s="1113"/>
      <c r="BHN1" s="1113"/>
      <c r="BHO1" s="1113"/>
      <c r="BHP1" s="1113"/>
      <c r="BHQ1" s="1113"/>
      <c r="BHR1" s="1113"/>
      <c r="BHS1" s="1113"/>
      <c r="BHT1" s="1113"/>
      <c r="BHU1" s="1113"/>
      <c r="BHV1" s="1113"/>
      <c r="BHW1" s="1113"/>
      <c r="BHX1" s="1113"/>
      <c r="BHY1" s="1113"/>
      <c r="BHZ1" s="1113"/>
      <c r="BIA1" s="1113"/>
      <c r="BIB1" s="1113"/>
      <c r="BIC1" s="1113"/>
      <c r="BID1" s="1113"/>
      <c r="BIE1" s="1113"/>
      <c r="BIF1" s="1113"/>
      <c r="BIG1" s="1113"/>
      <c r="BIH1" s="1113"/>
      <c r="BII1" s="1113"/>
      <c r="BIJ1" s="1113"/>
      <c r="BIK1" s="1113"/>
      <c r="BIL1" s="1113"/>
      <c r="BIM1" s="1113"/>
      <c r="BIN1" s="1113"/>
      <c r="BIO1" s="1113"/>
      <c r="BIP1" s="1113"/>
      <c r="BIQ1" s="1113"/>
      <c r="BIR1" s="1113"/>
      <c r="BIS1" s="1113"/>
      <c r="BIT1" s="1113"/>
      <c r="BIU1" s="1113"/>
      <c r="BIV1" s="1113"/>
      <c r="BIW1" s="1113"/>
      <c r="BIX1" s="1113"/>
      <c r="BIY1" s="1113"/>
      <c r="BIZ1" s="1113"/>
      <c r="BJA1" s="1113"/>
      <c r="BJB1" s="1113"/>
      <c r="BJC1" s="1113"/>
      <c r="BJD1" s="1113"/>
      <c r="BJE1" s="1113"/>
      <c r="BJF1" s="1113"/>
      <c r="BJG1" s="1113"/>
      <c r="BJH1" s="1113"/>
      <c r="BJI1" s="1113"/>
      <c r="BJJ1" s="1113"/>
      <c r="BJK1" s="1113"/>
      <c r="BJL1" s="1113"/>
      <c r="BJM1" s="1113"/>
      <c r="BJN1" s="1113"/>
      <c r="BJO1" s="1113"/>
      <c r="BJP1" s="1113"/>
      <c r="BJQ1" s="1113"/>
      <c r="BJR1" s="1113"/>
      <c r="BJS1" s="1113"/>
      <c r="BJT1" s="1113"/>
      <c r="BJU1" s="1113"/>
      <c r="BJV1" s="1113"/>
      <c r="BJW1" s="1113"/>
      <c r="BJX1" s="1113"/>
      <c r="BJY1" s="1113"/>
      <c r="BJZ1" s="1113"/>
      <c r="BKA1" s="1113"/>
      <c r="BKB1" s="1113"/>
      <c r="BKC1" s="1113"/>
      <c r="BKD1" s="1113"/>
      <c r="BKE1" s="1113"/>
      <c r="BKF1" s="1113"/>
      <c r="BKG1" s="1113"/>
      <c r="BKH1" s="1113"/>
      <c r="BKI1" s="1113"/>
      <c r="BKJ1" s="1113"/>
      <c r="BKK1" s="1113"/>
      <c r="BKL1" s="1113"/>
      <c r="BKM1" s="1113"/>
      <c r="BKN1" s="1113"/>
      <c r="BKO1" s="1113"/>
      <c r="BKP1" s="1113"/>
      <c r="BKQ1" s="1113"/>
      <c r="BKR1" s="1113"/>
      <c r="BKS1" s="1113"/>
      <c r="BKT1" s="1113"/>
      <c r="BKU1" s="1113"/>
      <c r="BKV1" s="1113"/>
      <c r="BKW1" s="1113"/>
      <c r="BKX1" s="1113"/>
      <c r="BKY1" s="1113"/>
      <c r="BKZ1" s="1113"/>
      <c r="BLA1" s="1113"/>
      <c r="BLB1" s="1113"/>
      <c r="BLC1" s="1113"/>
      <c r="BLD1" s="1113"/>
      <c r="BLE1" s="1113"/>
      <c r="BLF1" s="1113"/>
      <c r="BLG1" s="1113"/>
      <c r="BLH1" s="1113"/>
      <c r="BLI1" s="1113"/>
      <c r="BLJ1" s="1113"/>
      <c r="BLK1" s="1113"/>
      <c r="BLL1" s="1113"/>
      <c r="BLM1" s="1113"/>
      <c r="BLN1" s="1113"/>
      <c r="BLO1" s="1113"/>
      <c r="BLP1" s="1113"/>
      <c r="BLQ1" s="1113"/>
      <c r="BLR1" s="1113"/>
      <c r="BLS1" s="1113"/>
      <c r="BLT1" s="1113"/>
      <c r="BLU1" s="1113"/>
      <c r="BLV1" s="1113"/>
      <c r="BLW1" s="1113"/>
      <c r="BLX1" s="1113"/>
      <c r="BLY1" s="1113"/>
      <c r="BLZ1" s="1113"/>
      <c r="BMA1" s="1113"/>
      <c r="BMB1" s="1113"/>
      <c r="BMC1" s="1113"/>
      <c r="BMD1" s="1113"/>
      <c r="BME1" s="1113"/>
      <c r="BMF1" s="1113"/>
      <c r="BMG1" s="1113"/>
      <c r="BMH1" s="1113"/>
      <c r="BMI1" s="1113"/>
      <c r="BMJ1" s="1113"/>
      <c r="BMK1" s="1113"/>
      <c r="BML1" s="1113"/>
      <c r="BMM1" s="1113"/>
      <c r="BMN1" s="1113"/>
      <c r="BMO1" s="1113"/>
      <c r="BMP1" s="1113"/>
      <c r="BMQ1" s="1113"/>
      <c r="BMR1" s="1113"/>
      <c r="BMS1" s="1113"/>
      <c r="BMT1" s="1113"/>
      <c r="BMU1" s="1113"/>
      <c r="BMV1" s="1113"/>
      <c r="BMW1" s="1113"/>
      <c r="BMX1" s="1113"/>
      <c r="BMY1" s="1113"/>
      <c r="BMZ1" s="1113"/>
      <c r="BNA1" s="1113"/>
      <c r="BNB1" s="1113"/>
      <c r="BNC1" s="1113"/>
      <c r="BND1" s="1113"/>
      <c r="BNE1" s="1113"/>
      <c r="BNF1" s="1113"/>
      <c r="BNG1" s="1113"/>
      <c r="BNH1" s="1113"/>
      <c r="BNI1" s="1113"/>
      <c r="BNJ1" s="1113"/>
      <c r="BNK1" s="1113"/>
      <c r="BNL1" s="1113"/>
      <c r="BNM1" s="1113"/>
      <c r="BNN1" s="1113"/>
      <c r="BNO1" s="1113"/>
      <c r="BNP1" s="1113"/>
      <c r="BNQ1" s="1113"/>
      <c r="BNR1" s="1113"/>
      <c r="BNS1" s="1113"/>
      <c r="BNT1" s="1113"/>
      <c r="BNU1" s="1113"/>
      <c r="BNV1" s="1113"/>
      <c r="BNW1" s="1113"/>
      <c r="BNX1" s="1113"/>
      <c r="BNY1" s="1113"/>
      <c r="BNZ1" s="1113"/>
      <c r="BOA1" s="1113"/>
      <c r="BOB1" s="1113"/>
      <c r="BOC1" s="1113"/>
      <c r="BOD1" s="1113"/>
      <c r="BOE1" s="1113"/>
      <c r="BOF1" s="1113"/>
      <c r="BOG1" s="1113"/>
      <c r="BOH1" s="1113"/>
      <c r="BOI1" s="1113"/>
      <c r="BOJ1" s="1113"/>
      <c r="BOK1" s="1113"/>
      <c r="BOL1" s="1113"/>
      <c r="BOM1" s="1113"/>
      <c r="BON1" s="1113"/>
      <c r="BOO1" s="1113"/>
      <c r="BOP1" s="1113"/>
      <c r="BOQ1" s="1113"/>
      <c r="BOR1" s="1113"/>
      <c r="BOS1" s="1113"/>
      <c r="BOT1" s="1113"/>
      <c r="BOU1" s="1113"/>
      <c r="BOV1" s="1113"/>
      <c r="BOW1" s="1113"/>
      <c r="BOX1" s="1113"/>
      <c r="BOY1" s="1113"/>
      <c r="BOZ1" s="1113"/>
      <c r="BPA1" s="1113"/>
      <c r="BPB1" s="1113"/>
      <c r="BPC1" s="1113"/>
      <c r="BPD1" s="1113"/>
      <c r="BPE1" s="1113"/>
      <c r="BPF1" s="1113"/>
      <c r="BPG1" s="1113"/>
      <c r="BPH1" s="1113"/>
      <c r="BPI1" s="1113"/>
      <c r="BPJ1" s="1113"/>
      <c r="BPK1" s="1113"/>
      <c r="BPL1" s="1113"/>
      <c r="BPM1" s="1113"/>
      <c r="BPN1" s="1113"/>
      <c r="BPO1" s="1113"/>
      <c r="BPP1" s="1113"/>
      <c r="BPQ1" s="1113"/>
      <c r="BPR1" s="1113"/>
      <c r="BPS1" s="1113"/>
      <c r="BPT1" s="1113"/>
      <c r="BPU1" s="1113"/>
      <c r="BPV1" s="1113"/>
      <c r="BPW1" s="1113"/>
      <c r="BPX1" s="1113"/>
      <c r="BPY1" s="1113"/>
      <c r="BPZ1" s="1113"/>
      <c r="BQA1" s="1113"/>
      <c r="BQB1" s="1113"/>
      <c r="BQC1" s="1113"/>
      <c r="BQD1" s="1113"/>
      <c r="BQE1" s="1113"/>
      <c r="BQF1" s="1113"/>
      <c r="BQG1" s="1113"/>
      <c r="BQH1" s="1113"/>
      <c r="BQI1" s="1113"/>
      <c r="BQJ1" s="1113"/>
      <c r="BQK1" s="1113"/>
      <c r="BQL1" s="1113"/>
      <c r="BQM1" s="1113"/>
      <c r="BQN1" s="1113"/>
      <c r="BQO1" s="1113"/>
      <c r="BQP1" s="1113"/>
      <c r="BQQ1" s="1113"/>
      <c r="BQR1" s="1113"/>
      <c r="BQS1" s="1113"/>
      <c r="BQT1" s="1113"/>
      <c r="BQU1" s="1113"/>
      <c r="BQV1" s="1113"/>
      <c r="BQW1" s="1113"/>
      <c r="BQX1" s="1113"/>
      <c r="BQY1" s="1113"/>
      <c r="BQZ1" s="1113"/>
      <c r="BRA1" s="1113"/>
      <c r="BRB1" s="1113"/>
      <c r="BRC1" s="1113"/>
      <c r="BRD1" s="1113"/>
      <c r="BRE1" s="1113"/>
      <c r="BRF1" s="1113"/>
      <c r="BRG1" s="1113"/>
      <c r="BRH1" s="1113"/>
      <c r="BRI1" s="1113"/>
      <c r="BRJ1" s="1113"/>
      <c r="BRK1" s="1113"/>
      <c r="BRL1" s="1113"/>
      <c r="BRM1" s="1113"/>
      <c r="BRN1" s="1113"/>
      <c r="BRO1" s="1113"/>
      <c r="BRP1" s="1113"/>
      <c r="BRQ1" s="1113"/>
      <c r="BRR1" s="1113"/>
      <c r="BRS1" s="1113"/>
      <c r="BRT1" s="1113"/>
      <c r="BRU1" s="1113"/>
      <c r="BRV1" s="1113"/>
      <c r="BRW1" s="1113"/>
      <c r="BRX1" s="1113"/>
      <c r="BRY1" s="1113"/>
      <c r="BRZ1" s="1113"/>
      <c r="BSA1" s="1113"/>
      <c r="BSB1" s="1113"/>
      <c r="BSC1" s="1113"/>
      <c r="BSD1" s="1113"/>
      <c r="BSE1" s="1113"/>
      <c r="BSF1" s="1113"/>
      <c r="BSG1" s="1113"/>
      <c r="BSH1" s="1113"/>
      <c r="BSI1" s="1113"/>
      <c r="BSJ1" s="1113"/>
      <c r="BSK1" s="1113"/>
      <c r="BSL1" s="1113"/>
      <c r="BSM1" s="1113"/>
      <c r="BSN1" s="1113"/>
      <c r="BSO1" s="1113"/>
      <c r="BSP1" s="1113"/>
      <c r="BSQ1" s="1113"/>
      <c r="BSR1" s="1113"/>
      <c r="BSS1" s="1113"/>
      <c r="BST1" s="1113"/>
      <c r="BSU1" s="1113"/>
      <c r="BSV1" s="1113"/>
      <c r="BSW1" s="1113"/>
      <c r="BSX1" s="1113"/>
      <c r="BSY1" s="1113"/>
      <c r="BSZ1" s="1113"/>
      <c r="BTA1" s="1113"/>
      <c r="BTB1" s="1113"/>
      <c r="BTC1" s="1113"/>
      <c r="BTD1" s="1113"/>
      <c r="BTE1" s="1113"/>
      <c r="BTF1" s="1113"/>
      <c r="BTG1" s="1113"/>
      <c r="BTH1" s="1113"/>
      <c r="BTI1" s="1113"/>
      <c r="BTJ1" s="1113"/>
      <c r="BTK1" s="1113"/>
      <c r="BTL1" s="1113"/>
      <c r="BTM1" s="1113"/>
      <c r="BTN1" s="1113"/>
      <c r="BTO1" s="1113"/>
      <c r="BTP1" s="1113"/>
      <c r="BTQ1" s="1113"/>
      <c r="BTR1" s="1113"/>
      <c r="BTS1" s="1113"/>
      <c r="BTT1" s="1113"/>
      <c r="BTU1" s="1113"/>
      <c r="BTV1" s="1113"/>
      <c r="BTW1" s="1113"/>
      <c r="BTX1" s="1113"/>
      <c r="BTY1" s="1113"/>
      <c r="BTZ1" s="1113"/>
      <c r="BUA1" s="1113"/>
      <c r="BUB1" s="1113"/>
      <c r="BUC1" s="1113"/>
      <c r="BUD1" s="1113"/>
      <c r="BUE1" s="1113"/>
      <c r="BUF1" s="1113"/>
      <c r="BUG1" s="1113"/>
      <c r="BUH1" s="1113"/>
      <c r="BUI1" s="1113"/>
      <c r="BUJ1" s="1113"/>
      <c r="BUK1" s="1113"/>
      <c r="BUL1" s="1113"/>
      <c r="BUM1" s="1113"/>
      <c r="BUN1" s="1113"/>
      <c r="BUO1" s="1113"/>
      <c r="BUP1" s="1113"/>
      <c r="BUQ1" s="1113"/>
      <c r="BUR1" s="1113"/>
      <c r="BUS1" s="1113"/>
      <c r="BUT1" s="1113"/>
      <c r="BUU1" s="1113"/>
      <c r="BUV1" s="1113"/>
      <c r="BUW1" s="1113"/>
      <c r="BUX1" s="1113"/>
      <c r="BUY1" s="1113"/>
      <c r="BUZ1" s="1113"/>
      <c r="BVA1" s="1113"/>
      <c r="BVB1" s="1113"/>
      <c r="BVC1" s="1113"/>
      <c r="BVD1" s="1113"/>
      <c r="BVE1" s="1113"/>
      <c r="BVF1" s="1113"/>
      <c r="BVG1" s="1113"/>
      <c r="BVH1" s="1113"/>
      <c r="BVI1" s="1113"/>
      <c r="BVJ1" s="1113"/>
      <c r="BVK1" s="1113"/>
      <c r="BVL1" s="1113"/>
      <c r="BVM1" s="1113"/>
      <c r="BVN1" s="1113"/>
      <c r="BVO1" s="1113"/>
      <c r="BVP1" s="1113"/>
      <c r="BVQ1" s="1113"/>
      <c r="BVR1" s="1113"/>
      <c r="BVS1" s="1113"/>
      <c r="BVT1" s="1113"/>
      <c r="BVU1" s="1113"/>
      <c r="BVV1" s="1113"/>
      <c r="BVW1" s="1113"/>
      <c r="BVX1" s="1113"/>
      <c r="BVY1" s="1113"/>
      <c r="BVZ1" s="1113"/>
      <c r="BWA1" s="1113"/>
      <c r="BWB1" s="1113"/>
      <c r="BWC1" s="1113"/>
      <c r="BWD1" s="1113"/>
      <c r="BWE1" s="1113"/>
      <c r="BWF1" s="1113"/>
      <c r="BWG1" s="1113"/>
      <c r="BWH1" s="1113"/>
      <c r="BWI1" s="1113"/>
      <c r="BWJ1" s="1113"/>
      <c r="BWK1" s="1113"/>
      <c r="BWL1" s="1113"/>
      <c r="BWM1" s="1113"/>
      <c r="BWN1" s="1113"/>
      <c r="BWO1" s="1113"/>
      <c r="BWP1" s="1113"/>
      <c r="BWQ1" s="1113"/>
      <c r="BWR1" s="1113"/>
      <c r="BWS1" s="1113"/>
      <c r="BWT1" s="1113"/>
      <c r="BWU1" s="1113"/>
      <c r="BWV1" s="1113"/>
      <c r="BWW1" s="1113"/>
      <c r="BWX1" s="1113"/>
      <c r="BWY1" s="1113"/>
      <c r="BWZ1" s="1113"/>
      <c r="BXA1" s="1113"/>
      <c r="BXB1" s="1113"/>
      <c r="BXC1" s="1113"/>
      <c r="BXD1" s="1113"/>
      <c r="BXE1" s="1113"/>
      <c r="BXF1" s="1113"/>
      <c r="BXG1" s="1113"/>
      <c r="BXH1" s="1113"/>
      <c r="BXI1" s="1113"/>
      <c r="BXJ1" s="1113"/>
      <c r="BXK1" s="1113"/>
      <c r="BXL1" s="1113"/>
      <c r="BXM1" s="1113"/>
      <c r="BXN1" s="1113"/>
      <c r="BXO1" s="1113"/>
      <c r="BXP1" s="1113"/>
      <c r="BXQ1" s="1113"/>
      <c r="BXR1" s="1113"/>
      <c r="BXS1" s="1113"/>
      <c r="BXT1" s="1113"/>
      <c r="BXU1" s="1113"/>
      <c r="BXV1" s="1113"/>
      <c r="BXW1" s="1113"/>
      <c r="BXX1" s="1113"/>
      <c r="BXY1" s="1113"/>
      <c r="BXZ1" s="1113"/>
      <c r="BYA1" s="1113"/>
      <c r="BYB1" s="1113"/>
      <c r="BYC1" s="1113"/>
      <c r="BYD1" s="1113"/>
      <c r="BYE1" s="1113"/>
      <c r="BYF1" s="1113"/>
      <c r="BYG1" s="1113"/>
      <c r="BYH1" s="1113"/>
      <c r="BYI1" s="1113"/>
      <c r="BYJ1" s="1113"/>
      <c r="BYK1" s="1113"/>
      <c r="BYL1" s="1113"/>
      <c r="BYM1" s="1113"/>
      <c r="BYN1" s="1113"/>
      <c r="BYO1" s="1113"/>
      <c r="BYP1" s="1113"/>
      <c r="BYQ1" s="1113"/>
      <c r="BYR1" s="1113"/>
      <c r="BYS1" s="1113"/>
      <c r="BYT1" s="1113"/>
      <c r="BYU1" s="1113"/>
      <c r="BYV1" s="1113"/>
      <c r="BYW1" s="1113"/>
      <c r="BYX1" s="1113"/>
      <c r="BYY1" s="1113"/>
      <c r="BYZ1" s="1113"/>
      <c r="BZA1" s="1113"/>
      <c r="BZB1" s="1113"/>
      <c r="BZC1" s="1113"/>
      <c r="BZD1" s="1113"/>
      <c r="BZE1" s="1113"/>
      <c r="BZF1" s="1113"/>
      <c r="BZG1" s="1113"/>
      <c r="BZH1" s="1113"/>
      <c r="BZI1" s="1113"/>
      <c r="BZJ1" s="1113"/>
      <c r="BZK1" s="1113"/>
      <c r="BZL1" s="1113"/>
      <c r="BZM1" s="1113"/>
      <c r="BZN1" s="1113"/>
      <c r="BZO1" s="1113"/>
      <c r="BZP1" s="1113"/>
      <c r="BZQ1" s="1113"/>
      <c r="BZR1" s="1113"/>
      <c r="BZS1" s="1113"/>
      <c r="BZT1" s="1113"/>
      <c r="BZU1" s="1113"/>
      <c r="BZV1" s="1113"/>
      <c r="BZW1" s="1113"/>
      <c r="BZX1" s="1113"/>
      <c r="BZY1" s="1113"/>
      <c r="BZZ1" s="1113"/>
      <c r="CAA1" s="1113"/>
      <c r="CAB1" s="1113"/>
      <c r="CAC1" s="1113"/>
      <c r="CAD1" s="1113"/>
      <c r="CAE1" s="1113"/>
      <c r="CAF1" s="1113"/>
      <c r="CAG1" s="1113"/>
      <c r="CAH1" s="1113"/>
      <c r="CAI1" s="1113"/>
      <c r="CAJ1" s="1113"/>
      <c r="CAK1" s="1113"/>
      <c r="CAL1" s="1113"/>
      <c r="CAM1" s="1113"/>
      <c r="CAN1" s="1113"/>
      <c r="CAO1" s="1113"/>
      <c r="CAP1" s="1113"/>
      <c r="CAQ1" s="1113"/>
      <c r="CAR1" s="1113"/>
      <c r="CAS1" s="1113"/>
      <c r="CAT1" s="1113"/>
      <c r="CAU1" s="1113"/>
      <c r="CAV1" s="1113"/>
      <c r="CAW1" s="1113"/>
      <c r="CAX1" s="1113"/>
      <c r="CAY1" s="1113"/>
      <c r="CAZ1" s="1113"/>
      <c r="CBA1" s="1113"/>
      <c r="CBB1" s="1113"/>
      <c r="CBC1" s="1113"/>
      <c r="CBD1" s="1113"/>
      <c r="CBE1" s="1113"/>
      <c r="CBF1" s="1113"/>
      <c r="CBG1" s="1113"/>
      <c r="CBH1" s="1113"/>
      <c r="CBI1" s="1113"/>
      <c r="CBJ1" s="1113"/>
      <c r="CBK1" s="1113"/>
      <c r="CBL1" s="1113"/>
      <c r="CBM1" s="1113"/>
      <c r="CBN1" s="1113"/>
      <c r="CBO1" s="1113"/>
      <c r="CBP1" s="1113"/>
      <c r="CBQ1" s="1113"/>
      <c r="CBR1" s="1113"/>
      <c r="CBS1" s="1113"/>
      <c r="CBT1" s="1113"/>
      <c r="CBU1" s="1113"/>
      <c r="CBV1" s="1113"/>
      <c r="CBW1" s="1113"/>
      <c r="CBX1" s="1113"/>
      <c r="CBY1" s="1113"/>
      <c r="CBZ1" s="1113"/>
      <c r="CCA1" s="1113"/>
      <c r="CCB1" s="1113"/>
      <c r="CCC1" s="1113"/>
      <c r="CCD1" s="1113"/>
      <c r="CCE1" s="1113"/>
      <c r="CCF1" s="1113"/>
      <c r="CCG1" s="1113"/>
      <c r="CCH1" s="1113"/>
      <c r="CCI1" s="1113"/>
      <c r="CCJ1" s="1113"/>
      <c r="CCK1" s="1113"/>
      <c r="CCL1" s="1113"/>
      <c r="CCM1" s="1113"/>
      <c r="CCN1" s="1113"/>
      <c r="CCO1" s="1113"/>
      <c r="CCP1" s="1113"/>
      <c r="CCQ1" s="1113"/>
      <c r="CCR1" s="1113"/>
      <c r="CCS1" s="1113"/>
      <c r="CCT1" s="1113"/>
      <c r="CCU1" s="1113"/>
      <c r="CCV1" s="1113"/>
      <c r="CCW1" s="1113"/>
      <c r="CCX1" s="1113"/>
      <c r="CCY1" s="1113"/>
      <c r="CCZ1" s="1113"/>
      <c r="CDA1" s="1113"/>
      <c r="CDB1" s="1113"/>
      <c r="CDC1" s="1113"/>
      <c r="CDD1" s="1113"/>
      <c r="CDE1" s="1113"/>
      <c r="CDF1" s="1113"/>
      <c r="CDG1" s="1113"/>
      <c r="CDH1" s="1113"/>
      <c r="CDI1" s="1113"/>
      <c r="CDJ1" s="1113"/>
      <c r="CDK1" s="1113"/>
      <c r="CDL1" s="1113"/>
      <c r="CDM1" s="1113"/>
      <c r="CDN1" s="1113"/>
      <c r="CDO1" s="1113"/>
      <c r="CDP1" s="1113"/>
      <c r="CDQ1" s="1113"/>
      <c r="CDR1" s="1113"/>
      <c r="CDS1" s="1113"/>
      <c r="CDT1" s="1113"/>
      <c r="CDU1" s="1113"/>
      <c r="CDV1" s="1113"/>
      <c r="CDW1" s="1113"/>
      <c r="CDX1" s="1113"/>
      <c r="CDY1" s="1113"/>
      <c r="CDZ1" s="1113"/>
      <c r="CEA1" s="1113"/>
      <c r="CEB1" s="1113"/>
      <c r="CEC1" s="1113"/>
      <c r="CED1" s="1113"/>
      <c r="CEE1" s="1113"/>
      <c r="CEF1" s="1113"/>
      <c r="CEG1" s="1113"/>
      <c r="CEH1" s="1113"/>
      <c r="CEI1" s="1113"/>
      <c r="CEJ1" s="1113"/>
      <c r="CEK1" s="1113"/>
      <c r="CEL1" s="1113"/>
      <c r="CEM1" s="1113"/>
      <c r="CEN1" s="1113"/>
      <c r="CEO1" s="1113"/>
      <c r="CEP1" s="1113"/>
      <c r="CEQ1" s="1113"/>
      <c r="CER1" s="1113"/>
      <c r="CES1" s="1113"/>
      <c r="CET1" s="1113"/>
      <c r="CEU1" s="1113"/>
      <c r="CEV1" s="1113"/>
      <c r="CEW1" s="1113"/>
      <c r="CEX1" s="1113"/>
      <c r="CEY1" s="1113"/>
      <c r="CEZ1" s="1113"/>
      <c r="CFA1" s="1113"/>
      <c r="CFB1" s="1113"/>
      <c r="CFC1" s="1113"/>
      <c r="CFD1" s="1113"/>
      <c r="CFE1" s="1113"/>
      <c r="CFF1" s="1113"/>
      <c r="CFG1" s="1113"/>
      <c r="CFH1" s="1113"/>
      <c r="CFI1" s="1113"/>
      <c r="CFJ1" s="1113"/>
      <c r="CFK1" s="1113"/>
      <c r="CFL1" s="1113"/>
      <c r="CFM1" s="1113"/>
      <c r="CFN1" s="1113"/>
      <c r="CFO1" s="1113"/>
      <c r="CFP1" s="1113"/>
      <c r="CFQ1" s="1113"/>
      <c r="CFR1" s="1113"/>
      <c r="CFS1" s="1113"/>
      <c r="CFT1" s="1113"/>
      <c r="CFU1" s="1113"/>
      <c r="CFV1" s="1113"/>
      <c r="CFW1" s="1113"/>
      <c r="CFX1" s="1113"/>
      <c r="CFY1" s="1113"/>
      <c r="CFZ1" s="1113"/>
      <c r="CGA1" s="1113"/>
      <c r="CGB1" s="1113"/>
      <c r="CGC1" s="1113"/>
      <c r="CGD1" s="1113"/>
      <c r="CGE1" s="1113"/>
      <c r="CGF1" s="1113"/>
      <c r="CGG1" s="1113"/>
      <c r="CGH1" s="1113"/>
      <c r="CGI1" s="1113"/>
      <c r="CGJ1" s="1113"/>
      <c r="CGK1" s="1113"/>
      <c r="CGL1" s="1113"/>
      <c r="CGM1" s="1113"/>
      <c r="CGN1" s="1113"/>
      <c r="CGO1" s="1113"/>
      <c r="CGP1" s="1113"/>
      <c r="CGQ1" s="1113"/>
      <c r="CGR1" s="1113"/>
      <c r="CGS1" s="1113"/>
      <c r="CGT1" s="1113"/>
      <c r="CGU1" s="1113"/>
      <c r="CGV1" s="1113"/>
      <c r="CGW1" s="1113"/>
      <c r="CGX1" s="1113"/>
      <c r="CGY1" s="1113"/>
      <c r="CGZ1" s="1113"/>
      <c r="CHA1" s="1113"/>
      <c r="CHB1" s="1113"/>
      <c r="CHC1" s="1113"/>
      <c r="CHD1" s="1113"/>
      <c r="CHE1" s="1113"/>
      <c r="CHF1" s="1113"/>
      <c r="CHG1" s="1113"/>
      <c r="CHH1" s="1113"/>
      <c r="CHI1" s="1113"/>
      <c r="CHJ1" s="1113"/>
      <c r="CHK1" s="1113"/>
      <c r="CHL1" s="1113"/>
      <c r="CHM1" s="1113"/>
      <c r="CHN1" s="1113"/>
      <c r="CHO1" s="1113"/>
      <c r="CHP1" s="1113"/>
      <c r="CHQ1" s="1113"/>
      <c r="CHR1" s="1113"/>
      <c r="CHS1" s="1113"/>
      <c r="CHT1" s="1113"/>
      <c r="CHU1" s="1113"/>
      <c r="CHV1" s="1113"/>
      <c r="CHW1" s="1113"/>
      <c r="CHX1" s="1113"/>
      <c r="CHY1" s="1113"/>
      <c r="CHZ1" s="1113"/>
      <c r="CIA1" s="1113"/>
      <c r="CIB1" s="1113"/>
      <c r="CIC1" s="1113"/>
      <c r="CID1" s="1113"/>
      <c r="CIE1" s="1113"/>
      <c r="CIF1" s="1113"/>
      <c r="CIG1" s="1113"/>
      <c r="CIH1" s="1113"/>
      <c r="CII1" s="1113"/>
      <c r="CIJ1" s="1113"/>
      <c r="CIK1" s="1113"/>
      <c r="CIL1" s="1113"/>
      <c r="CIM1" s="1113"/>
      <c r="CIN1" s="1113"/>
      <c r="CIO1" s="1113"/>
      <c r="CIP1" s="1113"/>
      <c r="CIQ1" s="1113"/>
      <c r="CIR1" s="1113"/>
      <c r="CIS1" s="1113"/>
      <c r="CIT1" s="1113"/>
      <c r="CIU1" s="1113"/>
      <c r="CIV1" s="1113"/>
      <c r="CIW1" s="1113"/>
      <c r="CIX1" s="1113"/>
      <c r="CIY1" s="1113"/>
      <c r="CIZ1" s="1113"/>
      <c r="CJA1" s="1113"/>
      <c r="CJB1" s="1113"/>
      <c r="CJC1" s="1113"/>
      <c r="CJD1" s="1113"/>
      <c r="CJE1" s="1113"/>
      <c r="CJF1" s="1113"/>
      <c r="CJG1" s="1113"/>
      <c r="CJH1" s="1113"/>
      <c r="CJI1" s="1113"/>
      <c r="CJJ1" s="1113"/>
      <c r="CJK1" s="1113"/>
      <c r="CJL1" s="1113"/>
      <c r="CJM1" s="1113"/>
      <c r="CJN1" s="1113"/>
      <c r="CJO1" s="1113"/>
      <c r="CJP1" s="1113"/>
      <c r="CJQ1" s="1113"/>
      <c r="CJR1" s="1113"/>
      <c r="CJS1" s="1113"/>
      <c r="CJT1" s="1113"/>
      <c r="CJU1" s="1113"/>
      <c r="CJV1" s="1113"/>
      <c r="CJW1" s="1113"/>
      <c r="CJX1" s="1113"/>
      <c r="CJY1" s="1113"/>
      <c r="CJZ1" s="1113"/>
      <c r="CKA1" s="1113"/>
      <c r="CKB1" s="1113"/>
      <c r="CKC1" s="1113"/>
      <c r="CKD1" s="1113"/>
      <c r="CKE1" s="1113"/>
      <c r="CKF1" s="1113"/>
      <c r="CKG1" s="1113"/>
      <c r="CKH1" s="1113"/>
      <c r="CKI1" s="1113"/>
      <c r="CKJ1" s="1113"/>
      <c r="CKK1" s="1113"/>
      <c r="CKL1" s="1113"/>
      <c r="CKM1" s="1113"/>
      <c r="CKN1" s="1113"/>
      <c r="CKO1" s="1113"/>
      <c r="CKP1" s="1113"/>
      <c r="CKQ1" s="1113"/>
      <c r="CKR1" s="1113"/>
      <c r="CKS1" s="1113"/>
      <c r="CKT1" s="1113"/>
      <c r="CKU1" s="1113"/>
      <c r="CKV1" s="1113"/>
      <c r="CKW1" s="1113"/>
      <c r="CKX1" s="1113"/>
      <c r="CKY1" s="1113"/>
      <c r="CKZ1" s="1113"/>
      <c r="CLA1" s="1113"/>
      <c r="CLB1" s="1113"/>
      <c r="CLC1" s="1113"/>
      <c r="CLD1" s="1113"/>
      <c r="CLE1" s="1113"/>
      <c r="CLF1" s="1113"/>
      <c r="CLG1" s="1113"/>
      <c r="CLH1" s="1113"/>
      <c r="CLI1" s="1113"/>
      <c r="CLJ1" s="1113"/>
      <c r="CLK1" s="1113"/>
      <c r="CLL1" s="1113"/>
      <c r="CLM1" s="1113"/>
      <c r="CLN1" s="1113"/>
      <c r="CLO1" s="1113"/>
      <c r="CLP1" s="1113"/>
      <c r="CLQ1" s="1113"/>
      <c r="CLR1" s="1113"/>
      <c r="CLS1" s="1113"/>
      <c r="CLT1" s="1113"/>
      <c r="CLU1" s="1113"/>
      <c r="CLV1" s="1113"/>
      <c r="CLW1" s="1113"/>
      <c r="CLX1" s="1113"/>
      <c r="CLY1" s="1113"/>
      <c r="CLZ1" s="1113"/>
      <c r="CMA1" s="1113"/>
      <c r="CMB1" s="1113"/>
      <c r="CMC1" s="1113"/>
      <c r="CMD1" s="1113"/>
      <c r="CME1" s="1113"/>
      <c r="CMF1" s="1113"/>
      <c r="CMG1" s="1113"/>
      <c r="CMH1" s="1113"/>
      <c r="CMI1" s="1113"/>
      <c r="CMJ1" s="1113"/>
      <c r="CMK1" s="1113"/>
      <c r="CML1" s="1113"/>
      <c r="CMM1" s="1113"/>
      <c r="CMN1" s="1113"/>
      <c r="CMO1" s="1113"/>
      <c r="CMP1" s="1113"/>
      <c r="CMQ1" s="1113"/>
      <c r="CMR1" s="1113"/>
      <c r="CMS1" s="1113"/>
      <c r="CMT1" s="1113"/>
      <c r="CMU1" s="1113"/>
      <c r="CMV1" s="1113"/>
      <c r="CMW1" s="1113"/>
      <c r="CMX1" s="1113"/>
      <c r="CMY1" s="1113"/>
      <c r="CMZ1" s="1113"/>
      <c r="CNA1" s="1113"/>
      <c r="CNB1" s="1113"/>
      <c r="CNC1" s="1113"/>
      <c r="CND1" s="1113"/>
      <c r="CNE1" s="1113"/>
      <c r="CNF1" s="1113"/>
      <c r="CNG1" s="1113"/>
      <c r="CNH1" s="1113"/>
      <c r="CNI1" s="1113"/>
      <c r="CNJ1" s="1113"/>
      <c r="CNK1" s="1113"/>
      <c r="CNL1" s="1113"/>
      <c r="CNM1" s="1113"/>
      <c r="CNN1" s="1113"/>
      <c r="CNO1" s="1113"/>
      <c r="CNP1" s="1113"/>
      <c r="CNQ1" s="1113"/>
      <c r="CNR1" s="1113"/>
      <c r="CNS1" s="1113"/>
      <c r="CNT1" s="1113"/>
      <c r="CNU1" s="1113"/>
      <c r="CNV1" s="1113"/>
      <c r="CNW1" s="1113"/>
      <c r="CNX1" s="1113"/>
      <c r="CNY1" s="1113"/>
      <c r="CNZ1" s="1113"/>
      <c r="COA1" s="1113"/>
      <c r="COB1" s="1113"/>
      <c r="COC1" s="1113"/>
      <c r="COD1" s="1113"/>
      <c r="COE1" s="1113"/>
      <c r="COF1" s="1113"/>
      <c r="COG1" s="1113"/>
      <c r="COH1" s="1113"/>
      <c r="COI1" s="1113"/>
      <c r="COJ1" s="1113"/>
      <c r="COK1" s="1113"/>
      <c r="COL1" s="1113"/>
      <c r="COM1" s="1113"/>
      <c r="CON1" s="1113"/>
      <c r="COO1" s="1113"/>
      <c r="COP1" s="1113"/>
      <c r="COQ1" s="1113"/>
      <c r="COR1" s="1113"/>
      <c r="COS1" s="1113"/>
      <c r="COT1" s="1113"/>
      <c r="COU1" s="1113"/>
      <c r="COV1" s="1113"/>
      <c r="COW1" s="1113"/>
      <c r="COX1" s="1113"/>
      <c r="COY1" s="1113"/>
      <c r="COZ1" s="1113"/>
      <c r="CPA1" s="1113"/>
      <c r="CPB1" s="1113"/>
      <c r="CPC1" s="1113"/>
      <c r="CPD1" s="1113"/>
      <c r="CPE1" s="1113"/>
      <c r="CPF1" s="1113"/>
      <c r="CPG1" s="1113"/>
      <c r="CPH1" s="1113"/>
      <c r="CPI1" s="1113"/>
      <c r="CPJ1" s="1113"/>
      <c r="CPK1" s="1113"/>
      <c r="CPL1" s="1113"/>
      <c r="CPM1" s="1113"/>
      <c r="CPN1" s="1113"/>
      <c r="CPO1" s="1113"/>
      <c r="CPP1" s="1113"/>
      <c r="CPQ1" s="1113"/>
      <c r="CPR1" s="1113"/>
      <c r="CPS1" s="1113"/>
      <c r="CPT1" s="1113"/>
      <c r="CPU1" s="1113"/>
      <c r="CPV1" s="1113"/>
      <c r="CPW1" s="1113"/>
      <c r="CPX1" s="1113"/>
      <c r="CPY1" s="1113"/>
      <c r="CPZ1" s="1113"/>
      <c r="CQA1" s="1113"/>
      <c r="CQB1" s="1113"/>
      <c r="CQC1" s="1113"/>
      <c r="CQD1" s="1113"/>
      <c r="CQE1" s="1113"/>
      <c r="CQF1" s="1113"/>
      <c r="CQG1" s="1113"/>
      <c r="CQH1" s="1113"/>
      <c r="CQI1" s="1113"/>
      <c r="CQJ1" s="1113"/>
      <c r="CQK1" s="1113"/>
      <c r="CQL1" s="1113"/>
      <c r="CQM1" s="1113"/>
      <c r="CQN1" s="1113"/>
      <c r="CQO1" s="1113"/>
      <c r="CQP1" s="1113"/>
      <c r="CQQ1" s="1113"/>
      <c r="CQR1" s="1113"/>
      <c r="CQS1" s="1113"/>
      <c r="CQT1" s="1113"/>
      <c r="CQU1" s="1113"/>
      <c r="CQV1" s="1113"/>
      <c r="CQW1" s="1113"/>
      <c r="CQX1" s="1113"/>
      <c r="CQY1" s="1113"/>
      <c r="CQZ1" s="1113"/>
      <c r="CRA1" s="1113"/>
      <c r="CRB1" s="1113"/>
      <c r="CRC1" s="1113"/>
      <c r="CRD1" s="1113"/>
      <c r="CRE1" s="1113"/>
      <c r="CRF1" s="1113"/>
      <c r="CRG1" s="1113"/>
      <c r="CRH1" s="1113"/>
      <c r="CRI1" s="1113"/>
      <c r="CRJ1" s="1113"/>
      <c r="CRK1" s="1113"/>
      <c r="CRL1" s="1113"/>
      <c r="CRM1" s="1113"/>
      <c r="CRN1" s="1113"/>
      <c r="CRO1" s="1113"/>
      <c r="CRP1" s="1113"/>
      <c r="CRQ1" s="1113"/>
      <c r="CRR1" s="1113"/>
      <c r="CRS1" s="1113"/>
      <c r="CRT1" s="1113"/>
      <c r="CRU1" s="1113"/>
      <c r="CRV1" s="1113"/>
      <c r="CRW1" s="1113"/>
      <c r="CRX1" s="1113"/>
      <c r="CRY1" s="1113"/>
      <c r="CRZ1" s="1113"/>
      <c r="CSA1" s="1113"/>
      <c r="CSB1" s="1113"/>
      <c r="CSC1" s="1113"/>
      <c r="CSD1" s="1113"/>
      <c r="CSE1" s="1113"/>
      <c r="CSF1" s="1113"/>
      <c r="CSG1" s="1113"/>
      <c r="CSH1" s="1113"/>
      <c r="CSI1" s="1113"/>
      <c r="CSJ1" s="1113"/>
      <c r="CSK1" s="1113"/>
      <c r="CSL1" s="1113"/>
      <c r="CSM1" s="1113"/>
      <c r="CSN1" s="1113"/>
      <c r="CSO1" s="1113"/>
      <c r="CSP1" s="1113"/>
      <c r="CSQ1" s="1113"/>
      <c r="CSR1" s="1113"/>
      <c r="CSS1" s="1113"/>
      <c r="CST1" s="1113"/>
      <c r="CSU1" s="1113"/>
      <c r="CSV1" s="1113"/>
      <c r="CSW1" s="1113"/>
      <c r="CSX1" s="1113"/>
      <c r="CSY1" s="1113"/>
      <c r="CSZ1" s="1113"/>
      <c r="CTA1" s="1113"/>
      <c r="CTB1" s="1113"/>
      <c r="CTC1" s="1113"/>
      <c r="CTD1" s="1113"/>
      <c r="CTE1" s="1113"/>
      <c r="CTF1" s="1113"/>
      <c r="CTG1" s="1113"/>
      <c r="CTH1" s="1113"/>
      <c r="CTI1" s="1113"/>
      <c r="CTJ1" s="1113"/>
      <c r="CTK1" s="1113"/>
      <c r="CTL1" s="1113"/>
      <c r="CTM1" s="1113"/>
      <c r="CTN1" s="1113"/>
      <c r="CTO1" s="1113"/>
      <c r="CTP1" s="1113"/>
      <c r="CTQ1" s="1113"/>
      <c r="CTR1" s="1113"/>
      <c r="CTS1" s="1113"/>
      <c r="CTT1" s="1113"/>
      <c r="CTU1" s="1113"/>
      <c r="CTV1" s="1113"/>
      <c r="CTW1" s="1113"/>
      <c r="CTX1" s="1113"/>
      <c r="CTY1" s="1113"/>
      <c r="CTZ1" s="1113"/>
      <c r="CUA1" s="1113"/>
      <c r="CUB1" s="1113"/>
      <c r="CUC1" s="1113"/>
      <c r="CUD1" s="1113"/>
      <c r="CUE1" s="1113"/>
      <c r="CUF1" s="1113"/>
      <c r="CUG1" s="1113"/>
      <c r="CUH1" s="1113"/>
      <c r="CUI1" s="1113"/>
      <c r="CUJ1" s="1113"/>
      <c r="CUK1" s="1113"/>
      <c r="CUL1" s="1113"/>
      <c r="CUM1" s="1113"/>
      <c r="CUN1" s="1113"/>
      <c r="CUO1" s="1113"/>
      <c r="CUP1" s="1113"/>
      <c r="CUQ1" s="1113"/>
      <c r="CUR1" s="1113"/>
      <c r="CUS1" s="1113"/>
      <c r="CUT1" s="1113"/>
      <c r="CUU1" s="1113"/>
      <c r="CUV1" s="1113"/>
      <c r="CUW1" s="1113"/>
      <c r="CUX1" s="1113"/>
      <c r="CUY1" s="1113"/>
      <c r="CUZ1" s="1113"/>
      <c r="CVA1" s="1113"/>
      <c r="CVB1" s="1113"/>
      <c r="CVC1" s="1113"/>
      <c r="CVD1" s="1113"/>
      <c r="CVE1" s="1113"/>
      <c r="CVF1" s="1113"/>
      <c r="CVG1" s="1113"/>
      <c r="CVH1" s="1113"/>
      <c r="CVI1" s="1113"/>
      <c r="CVJ1" s="1113"/>
      <c r="CVK1" s="1113"/>
      <c r="CVL1" s="1113"/>
      <c r="CVM1" s="1113"/>
      <c r="CVN1" s="1113"/>
      <c r="CVO1" s="1113"/>
      <c r="CVP1" s="1113"/>
      <c r="CVQ1" s="1113"/>
      <c r="CVR1" s="1113"/>
      <c r="CVS1" s="1113"/>
      <c r="CVT1" s="1113"/>
      <c r="CVU1" s="1113"/>
      <c r="CVV1" s="1113"/>
      <c r="CVW1" s="1113"/>
      <c r="CVX1" s="1113"/>
      <c r="CVY1" s="1113"/>
      <c r="CVZ1" s="1113"/>
      <c r="CWA1" s="1113"/>
      <c r="CWB1" s="1113"/>
      <c r="CWC1" s="1113"/>
      <c r="CWD1" s="1113"/>
      <c r="CWE1" s="1113"/>
      <c r="CWF1" s="1113"/>
      <c r="CWG1" s="1113"/>
      <c r="CWH1" s="1113"/>
      <c r="CWI1" s="1113"/>
      <c r="CWJ1" s="1113"/>
      <c r="CWK1" s="1113"/>
      <c r="CWL1" s="1113"/>
      <c r="CWM1" s="1113"/>
      <c r="CWN1" s="1113"/>
      <c r="CWO1" s="1113"/>
      <c r="CWP1" s="1113"/>
      <c r="CWQ1" s="1113"/>
      <c r="CWR1" s="1113"/>
      <c r="CWS1" s="1113"/>
      <c r="CWT1" s="1113"/>
      <c r="CWU1" s="1113"/>
      <c r="CWV1" s="1113"/>
      <c r="CWW1" s="1113"/>
      <c r="CWX1" s="1113"/>
      <c r="CWY1" s="1113"/>
      <c r="CWZ1" s="1113"/>
      <c r="CXA1" s="1113"/>
      <c r="CXB1" s="1113"/>
      <c r="CXC1" s="1113"/>
      <c r="CXD1" s="1113"/>
      <c r="CXE1" s="1113"/>
      <c r="CXF1" s="1113"/>
      <c r="CXG1" s="1113"/>
      <c r="CXH1" s="1113"/>
      <c r="CXI1" s="1113"/>
      <c r="CXJ1" s="1113"/>
      <c r="CXK1" s="1113"/>
      <c r="CXL1" s="1113"/>
      <c r="CXM1" s="1113"/>
      <c r="CXN1" s="1113"/>
      <c r="CXO1" s="1113"/>
      <c r="CXP1" s="1113"/>
      <c r="CXQ1" s="1113"/>
      <c r="CXR1" s="1113"/>
      <c r="CXS1" s="1113"/>
      <c r="CXT1" s="1113"/>
      <c r="CXU1" s="1113"/>
      <c r="CXV1" s="1113"/>
      <c r="CXW1" s="1113"/>
      <c r="CXX1" s="1113"/>
      <c r="CXY1" s="1113"/>
      <c r="CXZ1" s="1113"/>
      <c r="CYA1" s="1113"/>
      <c r="CYB1" s="1113"/>
      <c r="CYC1" s="1113"/>
      <c r="CYD1" s="1113"/>
      <c r="CYE1" s="1113"/>
      <c r="CYF1" s="1113"/>
      <c r="CYG1" s="1113"/>
      <c r="CYH1" s="1113"/>
      <c r="CYI1" s="1113"/>
      <c r="CYJ1" s="1113"/>
      <c r="CYK1" s="1113"/>
      <c r="CYL1" s="1113"/>
      <c r="CYM1" s="1113"/>
      <c r="CYN1" s="1113"/>
      <c r="CYO1" s="1113"/>
      <c r="CYP1" s="1113"/>
      <c r="CYQ1" s="1113"/>
      <c r="CYR1" s="1113"/>
      <c r="CYS1" s="1113"/>
      <c r="CYT1" s="1113"/>
      <c r="CYU1" s="1113"/>
      <c r="CYV1" s="1113"/>
      <c r="CYW1" s="1113"/>
      <c r="CYX1" s="1113"/>
      <c r="CYY1" s="1113"/>
      <c r="CYZ1" s="1113"/>
      <c r="CZA1" s="1113"/>
      <c r="CZB1" s="1113"/>
      <c r="CZC1" s="1113"/>
      <c r="CZD1" s="1113"/>
      <c r="CZE1" s="1113"/>
      <c r="CZF1" s="1113"/>
      <c r="CZG1" s="1113"/>
      <c r="CZH1" s="1113"/>
      <c r="CZI1" s="1113"/>
      <c r="CZJ1" s="1113"/>
      <c r="CZK1" s="1113"/>
      <c r="CZL1" s="1113"/>
      <c r="CZM1" s="1113"/>
      <c r="CZN1" s="1113"/>
      <c r="CZO1" s="1113"/>
      <c r="CZP1" s="1113"/>
      <c r="CZQ1" s="1113"/>
      <c r="CZR1" s="1113"/>
      <c r="CZS1" s="1113"/>
      <c r="CZT1" s="1113"/>
      <c r="CZU1" s="1113"/>
      <c r="CZV1" s="1113"/>
      <c r="CZW1" s="1113"/>
      <c r="CZX1" s="1113"/>
      <c r="CZY1" s="1113"/>
      <c r="CZZ1" s="1113"/>
      <c r="DAA1" s="1113"/>
      <c r="DAB1" s="1113"/>
      <c r="DAC1" s="1113"/>
      <c r="DAD1" s="1113"/>
      <c r="DAE1" s="1113"/>
      <c r="DAF1" s="1113"/>
      <c r="DAG1" s="1113"/>
      <c r="DAH1" s="1113"/>
      <c r="DAI1" s="1113"/>
      <c r="DAJ1" s="1113"/>
      <c r="DAK1" s="1113"/>
      <c r="DAL1" s="1113"/>
      <c r="DAM1" s="1113"/>
      <c r="DAN1" s="1113"/>
      <c r="DAO1" s="1113"/>
      <c r="DAP1" s="1113"/>
      <c r="DAQ1" s="1113"/>
      <c r="DAR1" s="1113"/>
      <c r="DAS1" s="1113"/>
      <c r="DAT1" s="1113"/>
      <c r="DAU1" s="1113"/>
      <c r="DAV1" s="1113"/>
      <c r="DAW1" s="1113"/>
      <c r="DAX1" s="1113"/>
      <c r="DAY1" s="1113"/>
      <c r="DAZ1" s="1113"/>
      <c r="DBA1" s="1113"/>
      <c r="DBB1" s="1113"/>
      <c r="DBC1" s="1113"/>
      <c r="DBD1" s="1113"/>
      <c r="DBE1" s="1113"/>
      <c r="DBF1" s="1113"/>
      <c r="DBG1" s="1113"/>
      <c r="DBH1" s="1113"/>
      <c r="DBI1" s="1113"/>
      <c r="DBJ1" s="1113"/>
      <c r="DBK1" s="1113"/>
      <c r="DBL1" s="1113"/>
      <c r="DBM1" s="1113"/>
      <c r="DBN1" s="1113"/>
      <c r="DBO1" s="1113"/>
      <c r="DBP1" s="1113"/>
      <c r="DBQ1" s="1113"/>
      <c r="DBR1" s="1113"/>
      <c r="DBS1" s="1113"/>
      <c r="DBT1" s="1113"/>
      <c r="DBU1" s="1113"/>
      <c r="DBV1" s="1113"/>
      <c r="DBW1" s="1113"/>
      <c r="DBX1" s="1113"/>
      <c r="DBY1" s="1113"/>
      <c r="DBZ1" s="1113"/>
      <c r="DCA1" s="1113"/>
      <c r="DCB1" s="1113"/>
      <c r="DCC1" s="1113"/>
      <c r="DCD1" s="1113"/>
      <c r="DCE1" s="1113"/>
      <c r="DCF1" s="1113"/>
      <c r="DCG1" s="1113"/>
      <c r="DCH1" s="1113"/>
      <c r="DCI1" s="1113"/>
      <c r="DCJ1" s="1113"/>
      <c r="DCK1" s="1113"/>
      <c r="DCL1" s="1113"/>
      <c r="DCM1" s="1113"/>
      <c r="DCN1" s="1113"/>
      <c r="DCO1" s="1113"/>
      <c r="DCP1" s="1113"/>
      <c r="DCQ1" s="1113"/>
      <c r="DCR1" s="1113"/>
      <c r="DCS1" s="1113"/>
      <c r="DCT1" s="1113"/>
      <c r="DCU1" s="1113"/>
      <c r="DCV1" s="1113"/>
      <c r="DCW1" s="1113"/>
      <c r="DCX1" s="1113"/>
      <c r="DCY1" s="1113"/>
      <c r="DCZ1" s="1113"/>
      <c r="DDA1" s="1113"/>
      <c r="DDB1" s="1113"/>
      <c r="DDC1" s="1113"/>
      <c r="DDD1" s="1113"/>
      <c r="DDE1" s="1113"/>
      <c r="DDF1" s="1113"/>
      <c r="DDG1" s="1113"/>
      <c r="DDH1" s="1113"/>
      <c r="DDI1" s="1113"/>
      <c r="DDJ1" s="1113"/>
      <c r="DDK1" s="1113"/>
      <c r="DDL1" s="1113"/>
      <c r="DDM1" s="1113"/>
      <c r="DDN1" s="1113"/>
      <c r="DDO1" s="1113"/>
      <c r="DDP1" s="1113"/>
      <c r="DDQ1" s="1113"/>
      <c r="DDR1" s="1113"/>
      <c r="DDS1" s="1113"/>
      <c r="DDT1" s="1113"/>
      <c r="DDU1" s="1113"/>
      <c r="DDV1" s="1113"/>
      <c r="DDW1" s="1113"/>
      <c r="DDX1" s="1113"/>
      <c r="DDY1" s="1113"/>
      <c r="DDZ1" s="1113"/>
      <c r="DEA1" s="1113"/>
      <c r="DEB1" s="1113"/>
      <c r="DEC1" s="1113"/>
      <c r="DED1" s="1113"/>
      <c r="DEE1" s="1113"/>
      <c r="DEF1" s="1113"/>
      <c r="DEG1" s="1113"/>
      <c r="DEH1" s="1113"/>
      <c r="DEI1" s="1113"/>
      <c r="DEJ1" s="1113"/>
      <c r="DEK1" s="1113"/>
      <c r="DEL1" s="1113"/>
      <c r="DEM1" s="1113"/>
      <c r="DEN1" s="1113"/>
      <c r="DEO1" s="1113"/>
      <c r="DEP1" s="1113"/>
      <c r="DEQ1" s="1113"/>
      <c r="DER1" s="1113"/>
      <c r="DES1" s="1113"/>
      <c r="DET1" s="1113"/>
      <c r="DEU1" s="1113"/>
      <c r="DEV1" s="1113"/>
      <c r="DEW1" s="1113"/>
      <c r="DEX1" s="1113"/>
      <c r="DEY1" s="1113"/>
      <c r="DEZ1" s="1113"/>
      <c r="DFA1" s="1113"/>
      <c r="DFB1" s="1113"/>
      <c r="DFC1" s="1113"/>
      <c r="DFD1" s="1113"/>
      <c r="DFE1" s="1113"/>
      <c r="DFF1" s="1113"/>
      <c r="DFG1" s="1113"/>
      <c r="DFH1" s="1113"/>
      <c r="DFI1" s="1113"/>
      <c r="DFJ1" s="1113"/>
      <c r="DFK1" s="1113"/>
      <c r="DFL1" s="1113"/>
      <c r="DFM1" s="1113"/>
      <c r="DFN1" s="1113"/>
      <c r="DFO1" s="1113"/>
      <c r="DFP1" s="1113"/>
      <c r="DFQ1" s="1113"/>
      <c r="DFR1" s="1113"/>
      <c r="DFS1" s="1113"/>
      <c r="DFT1" s="1113"/>
      <c r="DFU1" s="1113"/>
      <c r="DFV1" s="1113"/>
      <c r="DFW1" s="1113"/>
      <c r="DFX1" s="1113"/>
      <c r="DFY1" s="1113"/>
      <c r="DFZ1" s="1113"/>
      <c r="DGA1" s="1113"/>
      <c r="DGB1" s="1113"/>
      <c r="DGC1" s="1113"/>
      <c r="DGD1" s="1113"/>
      <c r="DGE1" s="1113"/>
      <c r="DGF1" s="1113"/>
      <c r="DGG1" s="1113"/>
      <c r="DGH1" s="1113"/>
      <c r="DGI1" s="1113"/>
      <c r="DGJ1" s="1113"/>
      <c r="DGK1" s="1113"/>
      <c r="DGL1" s="1113"/>
      <c r="DGM1" s="1113"/>
      <c r="DGN1" s="1113"/>
      <c r="DGO1" s="1113"/>
      <c r="DGP1" s="1113"/>
      <c r="DGQ1" s="1113"/>
      <c r="DGR1" s="1113"/>
      <c r="DGS1" s="1113"/>
      <c r="DGT1" s="1113"/>
      <c r="DGU1" s="1113"/>
      <c r="DGV1" s="1113"/>
      <c r="DGW1" s="1113"/>
      <c r="DGX1" s="1113"/>
      <c r="DGY1" s="1113"/>
      <c r="DGZ1" s="1113"/>
      <c r="DHA1" s="1113"/>
      <c r="DHB1" s="1113"/>
      <c r="DHC1" s="1113"/>
      <c r="DHD1" s="1113"/>
      <c r="DHE1" s="1113"/>
      <c r="DHF1" s="1113"/>
      <c r="DHG1" s="1113"/>
      <c r="DHH1" s="1113"/>
      <c r="DHI1" s="1113"/>
      <c r="DHJ1" s="1113"/>
      <c r="DHK1" s="1113"/>
      <c r="DHL1" s="1113"/>
      <c r="DHM1" s="1113"/>
      <c r="DHN1" s="1113"/>
      <c r="DHO1" s="1113"/>
      <c r="DHP1" s="1113"/>
      <c r="DHQ1" s="1113"/>
      <c r="DHR1" s="1113"/>
      <c r="DHS1" s="1113"/>
      <c r="DHT1" s="1113"/>
      <c r="DHU1" s="1113"/>
      <c r="DHV1" s="1113"/>
      <c r="DHW1" s="1113"/>
      <c r="DHX1" s="1113"/>
      <c r="DHY1" s="1113"/>
      <c r="DHZ1" s="1113"/>
      <c r="DIA1" s="1113"/>
      <c r="DIB1" s="1113"/>
      <c r="DIC1" s="1113"/>
      <c r="DID1" s="1113"/>
      <c r="DIE1" s="1113"/>
      <c r="DIF1" s="1113"/>
      <c r="DIG1" s="1113"/>
      <c r="DIH1" s="1113"/>
      <c r="DII1" s="1113"/>
      <c r="DIJ1" s="1113"/>
      <c r="DIK1" s="1113"/>
      <c r="DIL1" s="1113"/>
      <c r="DIM1" s="1113"/>
      <c r="DIN1" s="1113"/>
      <c r="DIO1" s="1113"/>
      <c r="DIP1" s="1113"/>
      <c r="DIQ1" s="1113"/>
      <c r="DIR1" s="1113"/>
      <c r="DIS1" s="1113"/>
      <c r="DIT1" s="1113"/>
      <c r="DIU1" s="1113"/>
      <c r="DIV1" s="1113"/>
      <c r="DIW1" s="1113"/>
      <c r="DIX1" s="1113"/>
      <c r="DIY1" s="1113"/>
      <c r="DIZ1" s="1113"/>
      <c r="DJA1" s="1113"/>
      <c r="DJB1" s="1113"/>
      <c r="DJC1" s="1113"/>
      <c r="DJD1" s="1113"/>
      <c r="DJE1" s="1113"/>
      <c r="DJF1" s="1113"/>
      <c r="DJG1" s="1113"/>
      <c r="DJH1" s="1113"/>
      <c r="DJI1" s="1113"/>
      <c r="DJJ1" s="1113"/>
      <c r="DJK1" s="1113"/>
      <c r="DJL1" s="1113"/>
      <c r="DJM1" s="1113"/>
      <c r="DJN1" s="1113"/>
      <c r="DJO1" s="1113"/>
      <c r="DJP1" s="1113"/>
      <c r="DJQ1" s="1113"/>
      <c r="DJR1" s="1113"/>
      <c r="DJS1" s="1113"/>
      <c r="DJT1" s="1113"/>
      <c r="DJU1" s="1113"/>
      <c r="DJV1" s="1113"/>
      <c r="DJW1" s="1113"/>
      <c r="DJX1" s="1113"/>
      <c r="DJY1" s="1113"/>
      <c r="DJZ1" s="1113"/>
      <c r="DKA1" s="1113"/>
      <c r="DKB1" s="1113"/>
      <c r="DKC1" s="1113"/>
      <c r="DKD1" s="1113"/>
      <c r="DKE1" s="1113"/>
      <c r="DKF1" s="1113"/>
      <c r="DKG1" s="1113"/>
      <c r="DKH1" s="1113"/>
      <c r="DKI1" s="1113"/>
      <c r="DKJ1" s="1113"/>
      <c r="DKK1" s="1113"/>
      <c r="DKL1" s="1113"/>
      <c r="DKM1" s="1113"/>
      <c r="DKN1" s="1113"/>
      <c r="DKO1" s="1113"/>
      <c r="DKP1" s="1113"/>
      <c r="DKQ1" s="1113"/>
      <c r="DKR1" s="1113"/>
      <c r="DKS1" s="1113"/>
      <c r="DKT1" s="1113"/>
      <c r="DKU1" s="1113"/>
      <c r="DKV1" s="1113"/>
      <c r="DKW1" s="1113"/>
      <c r="DKX1" s="1113"/>
      <c r="DKY1" s="1113"/>
      <c r="DKZ1" s="1113"/>
      <c r="DLA1" s="1113"/>
      <c r="DLB1" s="1113"/>
      <c r="DLC1" s="1113"/>
      <c r="DLD1" s="1113"/>
      <c r="DLE1" s="1113"/>
      <c r="DLF1" s="1113"/>
      <c r="DLG1" s="1113"/>
      <c r="DLH1" s="1113"/>
      <c r="DLI1" s="1113"/>
      <c r="DLJ1" s="1113"/>
      <c r="DLK1" s="1113"/>
      <c r="DLL1" s="1113"/>
      <c r="DLM1" s="1113"/>
      <c r="DLN1" s="1113"/>
      <c r="DLO1" s="1113"/>
      <c r="DLP1" s="1113"/>
      <c r="DLQ1" s="1113"/>
      <c r="DLR1" s="1113"/>
      <c r="DLS1" s="1113"/>
      <c r="DLT1" s="1113"/>
      <c r="DLU1" s="1113"/>
      <c r="DLV1" s="1113"/>
      <c r="DLW1" s="1113"/>
      <c r="DLX1" s="1113"/>
      <c r="DLY1" s="1113"/>
      <c r="DLZ1" s="1113"/>
      <c r="DMA1" s="1113"/>
      <c r="DMB1" s="1113"/>
      <c r="DMC1" s="1113"/>
      <c r="DMD1" s="1113"/>
      <c r="DME1" s="1113"/>
      <c r="DMF1" s="1113"/>
      <c r="DMG1" s="1113"/>
      <c r="DMH1" s="1113"/>
      <c r="DMI1" s="1113"/>
      <c r="DMJ1" s="1113"/>
      <c r="DMK1" s="1113"/>
      <c r="DML1" s="1113"/>
      <c r="DMM1" s="1113"/>
      <c r="DMN1" s="1113"/>
      <c r="DMO1" s="1113"/>
      <c r="DMP1" s="1113"/>
      <c r="DMQ1" s="1113"/>
      <c r="DMR1" s="1113"/>
      <c r="DMS1" s="1113"/>
      <c r="DMT1" s="1113"/>
      <c r="DMU1" s="1113"/>
      <c r="DMV1" s="1113"/>
      <c r="DMW1" s="1113"/>
      <c r="DMX1" s="1113"/>
      <c r="DMY1" s="1113"/>
      <c r="DMZ1" s="1113"/>
      <c r="DNA1" s="1113"/>
      <c r="DNB1" s="1113"/>
      <c r="DNC1" s="1113"/>
      <c r="DND1" s="1113"/>
      <c r="DNE1" s="1113"/>
      <c r="DNF1" s="1113"/>
      <c r="DNG1" s="1113"/>
      <c r="DNH1" s="1113"/>
      <c r="DNI1" s="1113"/>
      <c r="DNJ1" s="1113"/>
      <c r="DNK1" s="1113"/>
      <c r="DNL1" s="1113"/>
      <c r="DNM1" s="1113"/>
      <c r="DNN1" s="1113"/>
      <c r="DNO1" s="1113"/>
      <c r="DNP1" s="1113"/>
      <c r="DNQ1" s="1113"/>
      <c r="DNR1" s="1113"/>
      <c r="DNS1" s="1113"/>
      <c r="DNT1" s="1113"/>
      <c r="DNU1" s="1113"/>
      <c r="DNV1" s="1113"/>
      <c r="DNW1" s="1113"/>
      <c r="DNX1" s="1113"/>
      <c r="DNY1" s="1113"/>
      <c r="DNZ1" s="1113"/>
      <c r="DOA1" s="1113"/>
      <c r="DOB1" s="1113"/>
      <c r="DOC1" s="1113"/>
      <c r="DOD1" s="1113"/>
      <c r="DOE1" s="1113"/>
      <c r="DOF1" s="1113"/>
      <c r="DOG1" s="1113"/>
      <c r="DOH1" s="1113"/>
      <c r="DOI1" s="1113"/>
      <c r="DOJ1" s="1113"/>
      <c r="DOK1" s="1113"/>
      <c r="DOL1" s="1113"/>
      <c r="DOM1" s="1113"/>
      <c r="DON1" s="1113"/>
      <c r="DOO1" s="1113"/>
      <c r="DOP1" s="1113"/>
      <c r="DOQ1" s="1113"/>
      <c r="DOR1" s="1113"/>
      <c r="DOS1" s="1113"/>
      <c r="DOT1" s="1113"/>
      <c r="DOU1" s="1113"/>
      <c r="DOV1" s="1113"/>
      <c r="DOW1" s="1113"/>
      <c r="DOX1" s="1113"/>
      <c r="DOY1" s="1113"/>
      <c r="DOZ1" s="1113"/>
      <c r="DPA1" s="1113"/>
      <c r="DPB1" s="1113"/>
      <c r="DPC1" s="1113"/>
      <c r="DPD1" s="1113"/>
      <c r="DPE1" s="1113"/>
      <c r="DPF1" s="1113"/>
      <c r="DPG1" s="1113"/>
      <c r="DPH1" s="1113"/>
      <c r="DPI1" s="1113"/>
      <c r="DPJ1" s="1113"/>
      <c r="DPK1" s="1113"/>
      <c r="DPL1" s="1113"/>
      <c r="DPM1" s="1113"/>
      <c r="DPN1" s="1113"/>
      <c r="DPO1" s="1113"/>
      <c r="DPP1" s="1113"/>
      <c r="DPQ1" s="1113"/>
      <c r="DPR1" s="1113"/>
      <c r="DPS1" s="1113"/>
      <c r="DPT1" s="1113"/>
      <c r="DPU1" s="1113"/>
      <c r="DPV1" s="1113"/>
      <c r="DPW1" s="1113"/>
      <c r="DPX1" s="1113"/>
      <c r="DPY1" s="1113"/>
      <c r="DPZ1" s="1113"/>
      <c r="DQA1" s="1113"/>
      <c r="DQB1" s="1113"/>
      <c r="DQC1" s="1113"/>
      <c r="DQD1" s="1113"/>
      <c r="DQE1" s="1113"/>
      <c r="DQF1" s="1113"/>
      <c r="DQG1" s="1113"/>
      <c r="DQH1" s="1113"/>
      <c r="DQI1" s="1113"/>
      <c r="DQJ1" s="1113"/>
      <c r="DQK1" s="1113"/>
      <c r="DQL1" s="1113"/>
      <c r="DQM1" s="1113"/>
      <c r="DQN1" s="1113"/>
      <c r="DQO1" s="1113"/>
      <c r="DQP1" s="1113"/>
      <c r="DQQ1" s="1113"/>
      <c r="DQR1" s="1113"/>
      <c r="DQS1" s="1113"/>
      <c r="DQT1" s="1113"/>
      <c r="DQU1" s="1113"/>
      <c r="DQV1" s="1113"/>
      <c r="DQW1" s="1113"/>
      <c r="DQX1" s="1113"/>
      <c r="DQY1" s="1113"/>
      <c r="DQZ1" s="1113"/>
      <c r="DRA1" s="1113"/>
      <c r="DRB1" s="1113"/>
      <c r="DRC1" s="1113"/>
      <c r="DRD1" s="1113"/>
      <c r="DRE1" s="1113"/>
      <c r="DRF1" s="1113"/>
      <c r="DRG1" s="1113"/>
      <c r="DRH1" s="1113"/>
      <c r="DRI1" s="1113"/>
      <c r="DRJ1" s="1113"/>
      <c r="DRK1" s="1113"/>
      <c r="DRL1" s="1113"/>
      <c r="DRM1" s="1113"/>
      <c r="DRN1" s="1113"/>
      <c r="DRO1" s="1113"/>
      <c r="DRP1" s="1113"/>
      <c r="DRQ1" s="1113"/>
      <c r="DRR1" s="1113"/>
      <c r="DRS1" s="1113"/>
      <c r="DRT1" s="1113"/>
      <c r="DRU1" s="1113"/>
      <c r="DRV1" s="1113"/>
      <c r="DRW1" s="1113"/>
      <c r="DRX1" s="1113"/>
      <c r="DRY1" s="1113"/>
      <c r="DRZ1" s="1113"/>
      <c r="DSA1" s="1113"/>
      <c r="DSB1" s="1113"/>
      <c r="DSC1" s="1113"/>
      <c r="DSD1" s="1113"/>
      <c r="DSE1" s="1113"/>
      <c r="DSF1" s="1113"/>
      <c r="DSG1" s="1113"/>
      <c r="DSH1" s="1113"/>
      <c r="DSI1" s="1113"/>
      <c r="DSJ1" s="1113"/>
      <c r="DSK1" s="1113"/>
      <c r="DSL1" s="1113"/>
      <c r="DSM1" s="1113"/>
      <c r="DSN1" s="1113"/>
      <c r="DSO1" s="1113"/>
      <c r="DSP1" s="1113"/>
      <c r="DSQ1" s="1113"/>
      <c r="DSR1" s="1113"/>
      <c r="DSS1" s="1113"/>
      <c r="DST1" s="1113"/>
      <c r="DSU1" s="1113"/>
      <c r="DSV1" s="1113"/>
      <c r="DSW1" s="1113"/>
      <c r="DSX1" s="1113"/>
      <c r="DSY1" s="1113"/>
      <c r="DSZ1" s="1113"/>
      <c r="DTA1" s="1113"/>
      <c r="DTB1" s="1113"/>
      <c r="DTC1" s="1113"/>
      <c r="DTD1" s="1113"/>
      <c r="DTE1" s="1113"/>
      <c r="DTF1" s="1113"/>
      <c r="DTG1" s="1113"/>
      <c r="DTH1" s="1113"/>
      <c r="DTI1" s="1113"/>
      <c r="DTJ1" s="1113"/>
      <c r="DTK1" s="1113"/>
      <c r="DTL1" s="1113"/>
      <c r="DTM1" s="1113"/>
      <c r="DTN1" s="1113"/>
      <c r="DTO1" s="1113"/>
      <c r="DTP1" s="1113"/>
      <c r="DTQ1" s="1113"/>
      <c r="DTR1" s="1113"/>
      <c r="DTS1" s="1113"/>
      <c r="DTT1" s="1113"/>
      <c r="DTU1" s="1113"/>
      <c r="DTV1" s="1113"/>
      <c r="DTW1" s="1113"/>
      <c r="DTX1" s="1113"/>
      <c r="DTY1" s="1113"/>
      <c r="DTZ1" s="1113"/>
      <c r="DUA1" s="1113"/>
      <c r="DUB1" s="1113"/>
      <c r="DUC1" s="1113"/>
      <c r="DUD1" s="1113"/>
      <c r="DUE1" s="1113"/>
      <c r="DUF1" s="1113"/>
      <c r="DUG1" s="1113"/>
      <c r="DUH1" s="1113"/>
      <c r="DUI1" s="1113"/>
      <c r="DUJ1" s="1113"/>
      <c r="DUK1" s="1113"/>
      <c r="DUL1" s="1113"/>
      <c r="DUM1" s="1113"/>
      <c r="DUN1" s="1113"/>
      <c r="DUO1" s="1113"/>
      <c r="DUP1" s="1113"/>
      <c r="DUQ1" s="1113"/>
      <c r="DUR1" s="1113"/>
      <c r="DUS1" s="1113"/>
      <c r="DUT1" s="1113"/>
      <c r="DUU1" s="1113"/>
      <c r="DUV1" s="1113"/>
      <c r="DUW1" s="1113"/>
      <c r="DUX1" s="1113"/>
      <c r="DUY1" s="1113"/>
      <c r="DUZ1" s="1113"/>
      <c r="DVA1" s="1113"/>
      <c r="DVB1" s="1113"/>
      <c r="DVC1" s="1113"/>
      <c r="DVD1" s="1113"/>
      <c r="DVE1" s="1113"/>
      <c r="DVF1" s="1113"/>
      <c r="DVG1" s="1113"/>
      <c r="DVH1" s="1113"/>
      <c r="DVI1" s="1113"/>
      <c r="DVJ1" s="1113"/>
      <c r="DVK1" s="1113"/>
      <c r="DVL1" s="1113"/>
      <c r="DVM1" s="1113"/>
      <c r="DVN1" s="1113"/>
      <c r="DVO1" s="1113"/>
      <c r="DVP1" s="1113"/>
      <c r="DVQ1" s="1113"/>
      <c r="DVR1" s="1113"/>
      <c r="DVS1" s="1113"/>
      <c r="DVT1" s="1113"/>
      <c r="DVU1" s="1113"/>
      <c r="DVV1" s="1113"/>
      <c r="DVW1" s="1113"/>
      <c r="DVX1" s="1113"/>
      <c r="DVY1" s="1113"/>
      <c r="DVZ1" s="1113"/>
      <c r="DWA1" s="1113"/>
      <c r="DWB1" s="1113"/>
      <c r="DWC1" s="1113"/>
      <c r="DWD1" s="1113"/>
      <c r="DWE1" s="1113"/>
      <c r="DWF1" s="1113"/>
      <c r="DWG1" s="1113"/>
      <c r="DWH1" s="1113"/>
      <c r="DWI1" s="1113"/>
      <c r="DWJ1" s="1113"/>
      <c r="DWK1" s="1113"/>
      <c r="DWL1" s="1113"/>
      <c r="DWM1" s="1113"/>
      <c r="DWN1" s="1113"/>
      <c r="DWO1" s="1113"/>
      <c r="DWP1" s="1113"/>
      <c r="DWQ1" s="1113"/>
      <c r="DWR1" s="1113"/>
      <c r="DWS1" s="1113"/>
      <c r="DWT1" s="1113"/>
      <c r="DWU1" s="1113"/>
      <c r="DWV1" s="1113"/>
      <c r="DWW1" s="1113"/>
      <c r="DWX1" s="1113"/>
      <c r="DWY1" s="1113"/>
      <c r="DWZ1" s="1113"/>
      <c r="DXA1" s="1113"/>
      <c r="DXB1" s="1113"/>
      <c r="DXC1" s="1113"/>
      <c r="DXD1" s="1113"/>
      <c r="DXE1" s="1113"/>
      <c r="DXF1" s="1113"/>
      <c r="DXG1" s="1113"/>
      <c r="DXH1" s="1113"/>
      <c r="DXI1" s="1113"/>
      <c r="DXJ1" s="1113"/>
      <c r="DXK1" s="1113"/>
      <c r="DXL1" s="1113"/>
      <c r="DXM1" s="1113"/>
      <c r="DXN1" s="1113"/>
      <c r="DXO1" s="1113"/>
      <c r="DXP1" s="1113"/>
      <c r="DXQ1" s="1113"/>
      <c r="DXR1" s="1113"/>
      <c r="DXS1" s="1113"/>
      <c r="DXT1" s="1113"/>
      <c r="DXU1" s="1113"/>
      <c r="DXV1" s="1113"/>
      <c r="DXW1" s="1113"/>
      <c r="DXX1" s="1113"/>
      <c r="DXY1" s="1113"/>
      <c r="DXZ1" s="1113"/>
      <c r="DYA1" s="1113"/>
      <c r="DYB1" s="1113"/>
      <c r="DYC1" s="1113"/>
      <c r="DYD1" s="1113"/>
      <c r="DYE1" s="1113"/>
      <c r="DYF1" s="1113"/>
      <c r="DYG1" s="1113"/>
      <c r="DYH1" s="1113"/>
      <c r="DYI1" s="1113"/>
      <c r="DYJ1" s="1113"/>
      <c r="DYK1" s="1113"/>
      <c r="DYL1" s="1113"/>
      <c r="DYM1" s="1113"/>
      <c r="DYN1" s="1113"/>
      <c r="DYO1" s="1113"/>
      <c r="DYP1" s="1113"/>
      <c r="DYQ1" s="1113"/>
      <c r="DYR1" s="1113"/>
      <c r="DYS1" s="1113"/>
      <c r="DYT1" s="1113"/>
      <c r="DYU1" s="1113"/>
      <c r="DYV1" s="1113"/>
      <c r="DYW1" s="1113"/>
      <c r="DYX1" s="1113"/>
      <c r="DYY1" s="1113"/>
      <c r="DYZ1" s="1113"/>
      <c r="DZA1" s="1113"/>
      <c r="DZB1" s="1113"/>
      <c r="DZC1" s="1113"/>
      <c r="DZD1" s="1113"/>
      <c r="DZE1" s="1113"/>
      <c r="DZF1" s="1113"/>
      <c r="DZG1" s="1113"/>
      <c r="DZH1" s="1113"/>
      <c r="DZI1" s="1113"/>
      <c r="DZJ1" s="1113"/>
      <c r="DZK1" s="1113"/>
      <c r="DZL1" s="1113"/>
      <c r="DZM1" s="1113"/>
      <c r="DZN1" s="1113"/>
      <c r="DZO1" s="1113"/>
      <c r="DZP1" s="1113"/>
      <c r="DZQ1" s="1113"/>
      <c r="DZR1" s="1113"/>
      <c r="DZS1" s="1113"/>
      <c r="DZT1" s="1113"/>
      <c r="DZU1" s="1113"/>
      <c r="DZV1" s="1113"/>
      <c r="DZW1" s="1113"/>
      <c r="DZX1" s="1113"/>
      <c r="DZY1" s="1113"/>
      <c r="DZZ1" s="1113"/>
      <c r="EAA1" s="1113"/>
      <c r="EAB1" s="1113"/>
      <c r="EAC1" s="1113"/>
      <c r="EAD1" s="1113"/>
      <c r="EAE1" s="1113"/>
      <c r="EAF1" s="1113"/>
      <c r="EAG1" s="1113"/>
      <c r="EAH1" s="1113"/>
      <c r="EAI1" s="1113"/>
      <c r="EAJ1" s="1113"/>
      <c r="EAK1" s="1113"/>
      <c r="EAL1" s="1113"/>
      <c r="EAM1" s="1113"/>
      <c r="EAN1" s="1113"/>
      <c r="EAO1" s="1113"/>
      <c r="EAP1" s="1113"/>
      <c r="EAQ1" s="1113"/>
      <c r="EAR1" s="1113"/>
      <c r="EAS1" s="1113"/>
      <c r="EAT1" s="1113"/>
      <c r="EAU1" s="1113"/>
      <c r="EAV1" s="1113"/>
      <c r="EAW1" s="1113"/>
      <c r="EAX1" s="1113"/>
      <c r="EAY1" s="1113"/>
      <c r="EAZ1" s="1113"/>
      <c r="EBA1" s="1113"/>
      <c r="EBB1" s="1113"/>
      <c r="EBC1" s="1113"/>
      <c r="EBD1" s="1113"/>
      <c r="EBE1" s="1113"/>
      <c r="EBF1" s="1113"/>
      <c r="EBG1" s="1113"/>
      <c r="EBH1" s="1113"/>
      <c r="EBI1" s="1113"/>
      <c r="EBJ1" s="1113"/>
      <c r="EBK1" s="1113"/>
      <c r="EBL1" s="1113"/>
      <c r="EBM1" s="1113"/>
      <c r="EBN1" s="1113"/>
      <c r="EBO1" s="1113"/>
      <c r="EBP1" s="1113"/>
      <c r="EBQ1" s="1113"/>
      <c r="EBR1" s="1113"/>
      <c r="EBS1" s="1113"/>
      <c r="EBT1" s="1113"/>
      <c r="EBU1" s="1113"/>
      <c r="EBV1" s="1113"/>
      <c r="EBW1" s="1113"/>
      <c r="EBX1" s="1113"/>
      <c r="EBY1" s="1113"/>
      <c r="EBZ1" s="1113"/>
      <c r="ECA1" s="1113"/>
      <c r="ECB1" s="1113"/>
      <c r="ECC1" s="1113"/>
      <c r="ECD1" s="1113"/>
      <c r="ECE1" s="1113"/>
      <c r="ECF1" s="1113"/>
      <c r="ECG1" s="1113"/>
      <c r="ECH1" s="1113"/>
      <c r="ECI1" s="1113"/>
      <c r="ECJ1" s="1113"/>
      <c r="ECK1" s="1113"/>
      <c r="ECL1" s="1113"/>
      <c r="ECM1" s="1113"/>
      <c r="ECN1" s="1113"/>
      <c r="ECO1" s="1113"/>
      <c r="ECP1" s="1113"/>
      <c r="ECQ1" s="1113"/>
      <c r="ECR1" s="1113"/>
      <c r="ECS1" s="1113"/>
      <c r="ECT1" s="1113"/>
      <c r="ECU1" s="1113"/>
      <c r="ECV1" s="1113"/>
      <c r="ECW1" s="1113"/>
      <c r="ECX1" s="1113"/>
      <c r="ECY1" s="1113"/>
      <c r="ECZ1" s="1113"/>
      <c r="EDA1" s="1113"/>
      <c r="EDB1" s="1113"/>
      <c r="EDC1" s="1113"/>
      <c r="EDD1" s="1113"/>
      <c r="EDE1" s="1113"/>
      <c r="EDF1" s="1113"/>
      <c r="EDG1" s="1113"/>
      <c r="EDH1" s="1113"/>
      <c r="EDI1" s="1113"/>
      <c r="EDJ1" s="1113"/>
      <c r="EDK1" s="1113"/>
      <c r="EDL1" s="1113"/>
      <c r="EDM1" s="1113"/>
      <c r="EDN1" s="1113"/>
      <c r="EDO1" s="1113"/>
      <c r="EDP1" s="1113"/>
      <c r="EDQ1" s="1113"/>
      <c r="EDR1" s="1113"/>
      <c r="EDS1" s="1113"/>
      <c r="EDT1" s="1113"/>
      <c r="EDU1" s="1113"/>
      <c r="EDV1" s="1113"/>
      <c r="EDW1" s="1113"/>
      <c r="EDX1" s="1113"/>
      <c r="EDY1" s="1113"/>
      <c r="EDZ1" s="1113"/>
      <c r="EEA1" s="1113"/>
      <c r="EEB1" s="1113"/>
      <c r="EEC1" s="1113"/>
      <c r="EED1" s="1113"/>
      <c r="EEE1" s="1113"/>
      <c r="EEF1" s="1113"/>
      <c r="EEG1" s="1113"/>
      <c r="EEH1" s="1113"/>
      <c r="EEI1" s="1113"/>
      <c r="EEJ1" s="1113"/>
      <c r="EEK1" s="1113"/>
      <c r="EEL1" s="1113"/>
      <c r="EEM1" s="1113"/>
      <c r="EEN1" s="1113"/>
      <c r="EEO1" s="1113"/>
      <c r="EEP1" s="1113"/>
      <c r="EEQ1" s="1113"/>
      <c r="EER1" s="1113"/>
      <c r="EES1" s="1113"/>
      <c r="EET1" s="1113"/>
      <c r="EEU1" s="1113"/>
      <c r="EEV1" s="1113"/>
      <c r="EEW1" s="1113"/>
      <c r="EEX1" s="1113"/>
      <c r="EEY1" s="1113"/>
      <c r="EEZ1" s="1113"/>
      <c r="EFA1" s="1113"/>
      <c r="EFB1" s="1113"/>
      <c r="EFC1" s="1113"/>
      <c r="EFD1" s="1113"/>
      <c r="EFE1" s="1113"/>
      <c r="EFF1" s="1113"/>
      <c r="EFG1" s="1113"/>
      <c r="EFH1" s="1113"/>
      <c r="EFI1" s="1113"/>
      <c r="EFJ1" s="1113"/>
      <c r="EFK1" s="1113"/>
      <c r="EFL1" s="1113"/>
      <c r="EFM1" s="1113"/>
      <c r="EFN1" s="1113"/>
      <c r="EFO1" s="1113"/>
      <c r="EFP1" s="1113"/>
      <c r="EFQ1" s="1113"/>
      <c r="EFR1" s="1113"/>
      <c r="EFS1" s="1113"/>
      <c r="EFT1" s="1113"/>
      <c r="EFU1" s="1113"/>
      <c r="EFV1" s="1113"/>
      <c r="EFW1" s="1113"/>
      <c r="EFX1" s="1113"/>
      <c r="EFY1" s="1113"/>
      <c r="EFZ1" s="1113"/>
      <c r="EGA1" s="1113"/>
      <c r="EGB1" s="1113"/>
      <c r="EGC1" s="1113"/>
      <c r="EGD1" s="1113"/>
      <c r="EGE1" s="1113"/>
      <c r="EGF1" s="1113"/>
      <c r="EGG1" s="1113"/>
      <c r="EGH1" s="1113"/>
      <c r="EGI1" s="1113"/>
      <c r="EGJ1" s="1113"/>
      <c r="EGK1" s="1113"/>
      <c r="EGL1" s="1113"/>
      <c r="EGM1" s="1113"/>
      <c r="EGN1" s="1113"/>
      <c r="EGO1" s="1113"/>
      <c r="EGP1" s="1113"/>
      <c r="EGQ1" s="1113"/>
      <c r="EGR1" s="1113"/>
      <c r="EGS1" s="1113"/>
      <c r="EGT1" s="1113"/>
      <c r="EGU1" s="1113"/>
      <c r="EGV1" s="1113"/>
      <c r="EGW1" s="1113"/>
      <c r="EGX1" s="1113"/>
      <c r="EGY1" s="1113"/>
      <c r="EGZ1" s="1113"/>
      <c r="EHA1" s="1113"/>
      <c r="EHB1" s="1113"/>
      <c r="EHC1" s="1113"/>
      <c r="EHD1" s="1113"/>
      <c r="EHE1" s="1113"/>
      <c r="EHF1" s="1113"/>
      <c r="EHG1" s="1113"/>
      <c r="EHH1" s="1113"/>
      <c r="EHI1" s="1113"/>
      <c r="EHJ1" s="1113"/>
      <c r="EHK1" s="1113"/>
      <c r="EHL1" s="1113"/>
      <c r="EHM1" s="1113"/>
      <c r="EHN1" s="1113"/>
      <c r="EHO1" s="1113"/>
      <c r="EHP1" s="1113"/>
      <c r="EHQ1" s="1113"/>
      <c r="EHR1" s="1113"/>
      <c r="EHS1" s="1113"/>
      <c r="EHT1" s="1113"/>
      <c r="EHU1" s="1113"/>
      <c r="EHV1" s="1113"/>
      <c r="EHW1" s="1113"/>
      <c r="EHX1" s="1113"/>
      <c r="EHY1" s="1113"/>
      <c r="EHZ1" s="1113"/>
      <c r="EIA1" s="1113"/>
      <c r="EIB1" s="1113"/>
      <c r="EIC1" s="1113"/>
      <c r="EID1" s="1113"/>
      <c r="EIE1" s="1113"/>
      <c r="EIF1" s="1113"/>
      <c r="EIG1" s="1113"/>
      <c r="EIH1" s="1113"/>
      <c r="EII1" s="1113"/>
      <c r="EIJ1" s="1113"/>
      <c r="EIK1" s="1113"/>
      <c r="EIL1" s="1113"/>
      <c r="EIM1" s="1113"/>
      <c r="EIN1" s="1113"/>
      <c r="EIO1" s="1113"/>
      <c r="EIP1" s="1113"/>
      <c r="EIQ1" s="1113"/>
      <c r="EIR1" s="1113"/>
      <c r="EIS1" s="1113"/>
      <c r="EIT1" s="1113"/>
      <c r="EIU1" s="1113"/>
      <c r="EIV1" s="1113"/>
      <c r="EIW1" s="1113"/>
      <c r="EIX1" s="1113"/>
      <c r="EIY1" s="1113"/>
      <c r="EIZ1" s="1113"/>
      <c r="EJA1" s="1113"/>
      <c r="EJB1" s="1113"/>
      <c r="EJC1" s="1113"/>
      <c r="EJD1" s="1113"/>
      <c r="EJE1" s="1113"/>
      <c r="EJF1" s="1113"/>
      <c r="EJG1" s="1113"/>
      <c r="EJH1" s="1113"/>
      <c r="EJI1" s="1113"/>
      <c r="EJJ1" s="1113"/>
      <c r="EJK1" s="1113"/>
      <c r="EJL1" s="1113"/>
      <c r="EJM1" s="1113"/>
      <c r="EJN1" s="1113"/>
      <c r="EJO1" s="1113"/>
      <c r="EJP1" s="1113"/>
      <c r="EJQ1" s="1113"/>
      <c r="EJR1" s="1113"/>
      <c r="EJS1" s="1113"/>
      <c r="EJT1" s="1113"/>
      <c r="EJU1" s="1113"/>
      <c r="EJV1" s="1113"/>
      <c r="EJW1" s="1113"/>
      <c r="EJX1" s="1113"/>
      <c r="EJY1" s="1113"/>
      <c r="EJZ1" s="1113"/>
      <c r="EKA1" s="1113"/>
      <c r="EKB1" s="1113"/>
      <c r="EKC1" s="1113"/>
      <c r="EKD1" s="1113"/>
      <c r="EKE1" s="1113"/>
      <c r="EKF1" s="1113"/>
      <c r="EKG1" s="1113"/>
      <c r="EKH1" s="1113"/>
      <c r="EKI1" s="1113"/>
      <c r="EKJ1" s="1113"/>
      <c r="EKK1" s="1113"/>
      <c r="EKL1" s="1113"/>
      <c r="EKM1" s="1113"/>
      <c r="EKN1" s="1113"/>
      <c r="EKO1" s="1113"/>
      <c r="EKP1" s="1113"/>
      <c r="EKQ1" s="1113"/>
      <c r="EKR1" s="1113"/>
      <c r="EKS1" s="1113"/>
      <c r="EKT1" s="1113"/>
      <c r="EKU1" s="1113"/>
      <c r="EKV1" s="1113"/>
      <c r="EKW1" s="1113"/>
      <c r="EKX1" s="1113"/>
      <c r="EKY1" s="1113"/>
      <c r="EKZ1" s="1113"/>
      <c r="ELA1" s="1113"/>
      <c r="ELB1" s="1113"/>
      <c r="ELC1" s="1113"/>
      <c r="ELD1" s="1113"/>
      <c r="ELE1" s="1113"/>
      <c r="ELF1" s="1113"/>
      <c r="ELG1" s="1113"/>
      <c r="ELH1" s="1113"/>
      <c r="ELI1" s="1113"/>
      <c r="ELJ1" s="1113"/>
      <c r="ELK1" s="1113"/>
      <c r="ELL1" s="1113"/>
      <c r="ELM1" s="1113"/>
      <c r="ELN1" s="1113"/>
      <c r="ELO1" s="1113"/>
      <c r="ELP1" s="1113"/>
      <c r="ELQ1" s="1113"/>
      <c r="ELR1" s="1113"/>
      <c r="ELS1" s="1113"/>
      <c r="ELT1" s="1113"/>
      <c r="ELU1" s="1113"/>
      <c r="ELV1" s="1113"/>
      <c r="ELW1" s="1113"/>
      <c r="ELX1" s="1113"/>
      <c r="ELY1" s="1113"/>
      <c r="ELZ1" s="1113"/>
      <c r="EMA1" s="1113"/>
      <c r="EMB1" s="1113"/>
      <c r="EMC1" s="1113"/>
      <c r="EMD1" s="1113"/>
      <c r="EME1" s="1113"/>
      <c r="EMF1" s="1113"/>
      <c r="EMG1" s="1113"/>
      <c r="EMH1" s="1113"/>
      <c r="EMI1" s="1113"/>
      <c r="EMJ1" s="1113"/>
      <c r="EMK1" s="1113"/>
      <c r="EML1" s="1113"/>
      <c r="EMM1" s="1113"/>
      <c r="EMN1" s="1113"/>
      <c r="EMO1" s="1113"/>
      <c r="EMP1" s="1113"/>
      <c r="EMQ1" s="1113"/>
      <c r="EMR1" s="1113"/>
      <c r="EMS1" s="1113"/>
      <c r="EMT1" s="1113"/>
      <c r="EMU1" s="1113"/>
      <c r="EMV1" s="1113"/>
      <c r="EMW1" s="1113"/>
      <c r="EMX1" s="1113"/>
      <c r="EMY1" s="1113"/>
      <c r="EMZ1" s="1113"/>
      <c r="ENA1" s="1113"/>
      <c r="ENB1" s="1113"/>
      <c r="ENC1" s="1113"/>
      <c r="END1" s="1113"/>
      <c r="ENE1" s="1113"/>
      <c r="ENF1" s="1113"/>
      <c r="ENG1" s="1113"/>
      <c r="ENH1" s="1113"/>
      <c r="ENI1" s="1113"/>
      <c r="ENJ1" s="1113"/>
      <c r="ENK1" s="1113"/>
      <c r="ENL1" s="1113"/>
      <c r="ENM1" s="1113"/>
      <c r="ENN1" s="1113"/>
      <c r="ENO1" s="1113"/>
      <c r="ENP1" s="1113"/>
      <c r="ENQ1" s="1113"/>
      <c r="ENR1" s="1113"/>
      <c r="ENS1" s="1113"/>
      <c r="ENT1" s="1113"/>
      <c r="ENU1" s="1113"/>
      <c r="ENV1" s="1113"/>
      <c r="ENW1" s="1113"/>
      <c r="ENX1" s="1113"/>
      <c r="ENY1" s="1113"/>
      <c r="ENZ1" s="1113"/>
      <c r="EOA1" s="1113"/>
      <c r="EOB1" s="1113"/>
      <c r="EOC1" s="1113"/>
      <c r="EOD1" s="1113"/>
      <c r="EOE1" s="1113"/>
      <c r="EOF1" s="1113"/>
      <c r="EOG1" s="1113"/>
      <c r="EOH1" s="1113"/>
      <c r="EOI1" s="1113"/>
      <c r="EOJ1" s="1113"/>
      <c r="EOK1" s="1113"/>
      <c r="EOL1" s="1113"/>
      <c r="EOM1" s="1113"/>
      <c r="EON1" s="1113"/>
      <c r="EOO1" s="1113"/>
      <c r="EOP1" s="1113"/>
      <c r="EOQ1" s="1113"/>
      <c r="EOR1" s="1113"/>
      <c r="EOS1" s="1113"/>
      <c r="EOT1" s="1113"/>
      <c r="EOU1" s="1113"/>
      <c r="EOV1" s="1113"/>
      <c r="EOW1" s="1113"/>
      <c r="EOX1" s="1113"/>
      <c r="EOY1" s="1113"/>
      <c r="EOZ1" s="1113"/>
      <c r="EPA1" s="1113"/>
      <c r="EPB1" s="1113"/>
      <c r="EPC1" s="1113"/>
      <c r="EPD1" s="1113"/>
      <c r="EPE1" s="1113"/>
      <c r="EPF1" s="1113"/>
      <c r="EPG1" s="1113"/>
      <c r="EPH1" s="1113"/>
      <c r="EPI1" s="1113"/>
      <c r="EPJ1" s="1113"/>
      <c r="EPK1" s="1113"/>
      <c r="EPL1" s="1113"/>
      <c r="EPM1" s="1113"/>
      <c r="EPN1" s="1113"/>
      <c r="EPO1" s="1113"/>
      <c r="EPP1" s="1113"/>
      <c r="EPQ1" s="1113"/>
      <c r="EPR1" s="1113"/>
      <c r="EPS1" s="1113"/>
      <c r="EPT1" s="1113"/>
      <c r="EPU1" s="1113"/>
      <c r="EPV1" s="1113"/>
      <c r="EPW1" s="1113"/>
      <c r="EPX1" s="1113"/>
      <c r="EPY1" s="1113"/>
      <c r="EPZ1" s="1113"/>
      <c r="EQA1" s="1113"/>
      <c r="EQB1" s="1113"/>
      <c r="EQC1" s="1113"/>
      <c r="EQD1" s="1113"/>
      <c r="EQE1" s="1113"/>
      <c r="EQF1" s="1113"/>
      <c r="EQG1" s="1113"/>
      <c r="EQH1" s="1113"/>
      <c r="EQI1" s="1113"/>
      <c r="EQJ1" s="1113"/>
      <c r="EQK1" s="1113"/>
      <c r="EQL1" s="1113"/>
      <c r="EQM1" s="1113"/>
      <c r="EQN1" s="1113"/>
      <c r="EQO1" s="1113"/>
      <c r="EQP1" s="1113"/>
      <c r="EQQ1" s="1113"/>
      <c r="EQR1" s="1113"/>
      <c r="EQS1" s="1113"/>
      <c r="EQT1" s="1113"/>
      <c r="EQU1" s="1113"/>
      <c r="EQV1" s="1113"/>
      <c r="EQW1" s="1113"/>
      <c r="EQX1" s="1113"/>
      <c r="EQY1" s="1113"/>
      <c r="EQZ1" s="1113"/>
      <c r="ERA1" s="1113"/>
      <c r="ERB1" s="1113"/>
      <c r="ERC1" s="1113"/>
      <c r="ERD1" s="1113"/>
      <c r="ERE1" s="1113"/>
      <c r="ERF1" s="1113"/>
      <c r="ERG1" s="1113"/>
      <c r="ERH1" s="1113"/>
      <c r="ERI1" s="1113"/>
      <c r="ERJ1" s="1113"/>
      <c r="ERK1" s="1113"/>
      <c r="ERL1" s="1113"/>
      <c r="ERM1" s="1113"/>
      <c r="ERN1" s="1113"/>
      <c r="ERO1" s="1113"/>
      <c r="ERP1" s="1113"/>
      <c r="ERQ1" s="1113"/>
      <c r="ERR1" s="1113"/>
      <c r="ERS1" s="1113"/>
      <c r="ERT1" s="1113"/>
      <c r="ERU1" s="1113"/>
      <c r="ERV1" s="1113"/>
      <c r="ERW1" s="1113"/>
      <c r="ERX1" s="1113"/>
      <c r="ERY1" s="1113"/>
      <c r="ERZ1" s="1113"/>
      <c r="ESA1" s="1113"/>
      <c r="ESB1" s="1113"/>
      <c r="ESC1" s="1113"/>
      <c r="ESD1" s="1113"/>
      <c r="ESE1" s="1113"/>
      <c r="ESF1" s="1113"/>
      <c r="ESG1" s="1113"/>
      <c r="ESH1" s="1113"/>
      <c r="ESI1" s="1113"/>
      <c r="ESJ1" s="1113"/>
      <c r="ESK1" s="1113"/>
      <c r="ESL1" s="1113"/>
      <c r="ESM1" s="1113"/>
      <c r="ESN1" s="1113"/>
      <c r="ESO1" s="1113"/>
      <c r="ESP1" s="1113"/>
      <c r="ESQ1" s="1113"/>
      <c r="ESR1" s="1113"/>
      <c r="ESS1" s="1113"/>
      <c r="EST1" s="1113"/>
      <c r="ESU1" s="1113"/>
      <c r="ESV1" s="1113"/>
      <c r="ESW1" s="1113"/>
      <c r="ESX1" s="1113"/>
      <c r="ESY1" s="1113"/>
      <c r="ESZ1" s="1113"/>
      <c r="ETA1" s="1113"/>
      <c r="ETB1" s="1113"/>
      <c r="ETC1" s="1113"/>
      <c r="ETD1" s="1113"/>
      <c r="ETE1" s="1113"/>
      <c r="ETF1" s="1113"/>
      <c r="ETG1" s="1113"/>
      <c r="ETH1" s="1113"/>
      <c r="ETI1" s="1113"/>
      <c r="ETJ1" s="1113"/>
      <c r="ETK1" s="1113"/>
      <c r="ETL1" s="1113"/>
      <c r="ETM1" s="1113"/>
      <c r="ETN1" s="1113"/>
      <c r="ETO1" s="1113"/>
      <c r="ETP1" s="1113"/>
      <c r="ETQ1" s="1113"/>
      <c r="ETR1" s="1113"/>
      <c r="ETS1" s="1113"/>
      <c r="ETT1" s="1113"/>
      <c r="ETU1" s="1113"/>
      <c r="ETV1" s="1113"/>
      <c r="ETW1" s="1113"/>
      <c r="ETX1" s="1113"/>
      <c r="ETY1" s="1113"/>
      <c r="ETZ1" s="1113"/>
      <c r="EUA1" s="1113"/>
      <c r="EUB1" s="1113"/>
      <c r="EUC1" s="1113"/>
      <c r="EUD1" s="1113"/>
      <c r="EUE1" s="1113"/>
      <c r="EUF1" s="1113"/>
      <c r="EUG1" s="1113"/>
      <c r="EUH1" s="1113"/>
      <c r="EUI1" s="1113"/>
      <c r="EUJ1" s="1113"/>
      <c r="EUK1" s="1113"/>
      <c r="EUL1" s="1113"/>
      <c r="EUM1" s="1113"/>
      <c r="EUN1" s="1113"/>
      <c r="EUO1" s="1113"/>
      <c r="EUP1" s="1113"/>
      <c r="EUQ1" s="1113"/>
      <c r="EUR1" s="1113"/>
      <c r="EUS1" s="1113"/>
      <c r="EUT1" s="1113"/>
      <c r="EUU1" s="1113"/>
      <c r="EUV1" s="1113"/>
      <c r="EUW1" s="1113"/>
      <c r="EUX1" s="1113"/>
      <c r="EUY1" s="1113"/>
      <c r="EUZ1" s="1113"/>
      <c r="EVA1" s="1113"/>
      <c r="EVB1" s="1113"/>
      <c r="EVC1" s="1113"/>
      <c r="EVD1" s="1113"/>
      <c r="EVE1" s="1113"/>
      <c r="EVF1" s="1113"/>
      <c r="EVG1" s="1113"/>
      <c r="EVH1" s="1113"/>
      <c r="EVI1" s="1113"/>
      <c r="EVJ1" s="1113"/>
      <c r="EVK1" s="1113"/>
      <c r="EVL1" s="1113"/>
      <c r="EVM1" s="1113"/>
      <c r="EVN1" s="1113"/>
      <c r="EVO1" s="1113"/>
      <c r="EVP1" s="1113"/>
      <c r="EVQ1" s="1113"/>
      <c r="EVR1" s="1113"/>
      <c r="EVS1" s="1113"/>
      <c r="EVT1" s="1113"/>
      <c r="EVU1" s="1113"/>
      <c r="EVV1" s="1113"/>
      <c r="EVW1" s="1113"/>
      <c r="EVX1" s="1113"/>
      <c r="EVY1" s="1113"/>
      <c r="EVZ1" s="1113"/>
      <c r="EWA1" s="1113"/>
      <c r="EWB1" s="1113"/>
      <c r="EWC1" s="1113"/>
      <c r="EWD1" s="1113"/>
      <c r="EWE1" s="1113"/>
      <c r="EWF1" s="1113"/>
      <c r="EWG1" s="1113"/>
      <c r="EWH1" s="1113"/>
      <c r="EWI1" s="1113"/>
      <c r="EWJ1" s="1113"/>
      <c r="EWK1" s="1113"/>
      <c r="EWL1" s="1113"/>
      <c r="EWM1" s="1113"/>
      <c r="EWN1" s="1113"/>
      <c r="EWO1" s="1113"/>
      <c r="EWP1" s="1113"/>
      <c r="EWQ1" s="1113"/>
      <c r="EWR1" s="1113"/>
      <c r="EWS1" s="1113"/>
      <c r="EWT1" s="1113"/>
      <c r="EWU1" s="1113"/>
      <c r="EWV1" s="1113"/>
      <c r="EWW1" s="1113"/>
      <c r="EWX1" s="1113"/>
      <c r="EWY1" s="1113"/>
      <c r="EWZ1" s="1113"/>
      <c r="EXA1" s="1113"/>
      <c r="EXB1" s="1113"/>
      <c r="EXC1" s="1113"/>
      <c r="EXD1" s="1113"/>
      <c r="EXE1" s="1113"/>
      <c r="EXF1" s="1113"/>
      <c r="EXG1" s="1113"/>
      <c r="EXH1" s="1113"/>
      <c r="EXI1" s="1113"/>
      <c r="EXJ1" s="1113"/>
      <c r="EXK1" s="1113"/>
      <c r="EXL1" s="1113"/>
      <c r="EXM1" s="1113"/>
      <c r="EXN1" s="1113"/>
      <c r="EXO1" s="1113"/>
      <c r="EXP1" s="1113"/>
      <c r="EXQ1" s="1113"/>
      <c r="EXR1" s="1113"/>
      <c r="EXS1" s="1113"/>
      <c r="EXT1" s="1113"/>
      <c r="EXU1" s="1113"/>
      <c r="EXV1" s="1113"/>
      <c r="EXW1" s="1113"/>
      <c r="EXX1" s="1113"/>
      <c r="EXY1" s="1113"/>
      <c r="EXZ1" s="1113"/>
      <c r="EYA1" s="1113"/>
      <c r="EYB1" s="1113"/>
      <c r="EYC1" s="1113"/>
      <c r="EYD1" s="1113"/>
      <c r="EYE1" s="1113"/>
      <c r="EYF1" s="1113"/>
      <c r="EYG1" s="1113"/>
      <c r="EYH1" s="1113"/>
      <c r="EYI1" s="1113"/>
      <c r="EYJ1" s="1113"/>
      <c r="EYK1" s="1113"/>
      <c r="EYL1" s="1113"/>
      <c r="EYM1" s="1113"/>
      <c r="EYN1" s="1113"/>
      <c r="EYO1" s="1113"/>
      <c r="EYP1" s="1113"/>
      <c r="EYQ1" s="1113"/>
      <c r="EYR1" s="1113"/>
      <c r="EYS1" s="1113"/>
      <c r="EYT1" s="1113"/>
      <c r="EYU1" s="1113"/>
      <c r="EYV1" s="1113"/>
      <c r="EYW1" s="1113"/>
      <c r="EYX1" s="1113"/>
      <c r="EYY1" s="1113"/>
      <c r="EYZ1" s="1113"/>
      <c r="EZA1" s="1113"/>
      <c r="EZB1" s="1113"/>
      <c r="EZC1" s="1113"/>
      <c r="EZD1" s="1113"/>
      <c r="EZE1" s="1113"/>
      <c r="EZF1" s="1113"/>
      <c r="EZG1" s="1113"/>
      <c r="EZH1" s="1113"/>
      <c r="EZI1" s="1113"/>
      <c r="EZJ1" s="1113"/>
      <c r="EZK1" s="1113"/>
      <c r="EZL1" s="1113"/>
      <c r="EZM1" s="1113"/>
      <c r="EZN1" s="1113"/>
      <c r="EZO1" s="1113"/>
      <c r="EZP1" s="1113"/>
      <c r="EZQ1" s="1113"/>
      <c r="EZR1" s="1113"/>
      <c r="EZS1" s="1113"/>
      <c r="EZT1" s="1113"/>
      <c r="EZU1" s="1113"/>
      <c r="EZV1" s="1113"/>
      <c r="EZW1" s="1113"/>
      <c r="EZX1" s="1113"/>
      <c r="EZY1" s="1113"/>
      <c r="EZZ1" s="1113"/>
      <c r="FAA1" s="1113"/>
      <c r="FAB1" s="1113"/>
      <c r="FAC1" s="1113"/>
      <c r="FAD1" s="1113"/>
      <c r="FAE1" s="1113"/>
      <c r="FAF1" s="1113"/>
      <c r="FAG1" s="1113"/>
      <c r="FAH1" s="1113"/>
      <c r="FAI1" s="1113"/>
      <c r="FAJ1" s="1113"/>
      <c r="FAK1" s="1113"/>
      <c r="FAL1" s="1113"/>
      <c r="FAM1" s="1113"/>
      <c r="FAN1" s="1113"/>
      <c r="FAO1" s="1113"/>
      <c r="FAP1" s="1113"/>
      <c r="FAQ1" s="1113"/>
      <c r="FAR1" s="1113"/>
      <c r="FAS1" s="1113"/>
      <c r="FAT1" s="1113"/>
      <c r="FAU1" s="1113"/>
      <c r="FAV1" s="1113"/>
      <c r="FAW1" s="1113"/>
      <c r="FAX1" s="1113"/>
      <c r="FAY1" s="1113"/>
      <c r="FAZ1" s="1113"/>
      <c r="FBA1" s="1113"/>
      <c r="FBB1" s="1113"/>
      <c r="FBC1" s="1113"/>
      <c r="FBD1" s="1113"/>
      <c r="FBE1" s="1113"/>
      <c r="FBF1" s="1113"/>
      <c r="FBG1" s="1113"/>
      <c r="FBH1" s="1113"/>
      <c r="FBI1" s="1113"/>
      <c r="FBJ1" s="1113"/>
      <c r="FBK1" s="1113"/>
      <c r="FBL1" s="1113"/>
      <c r="FBM1" s="1113"/>
      <c r="FBN1" s="1113"/>
      <c r="FBO1" s="1113"/>
      <c r="FBP1" s="1113"/>
      <c r="FBQ1" s="1113"/>
      <c r="FBR1" s="1113"/>
      <c r="FBS1" s="1113"/>
      <c r="FBT1" s="1113"/>
      <c r="FBU1" s="1113"/>
      <c r="FBV1" s="1113"/>
      <c r="FBW1" s="1113"/>
      <c r="FBX1" s="1113"/>
      <c r="FBY1" s="1113"/>
      <c r="FBZ1" s="1113"/>
      <c r="FCA1" s="1113"/>
      <c r="FCB1" s="1113"/>
      <c r="FCC1" s="1113"/>
      <c r="FCD1" s="1113"/>
      <c r="FCE1" s="1113"/>
      <c r="FCF1" s="1113"/>
      <c r="FCG1" s="1113"/>
      <c r="FCH1" s="1113"/>
      <c r="FCI1" s="1113"/>
      <c r="FCJ1" s="1113"/>
      <c r="FCK1" s="1113"/>
      <c r="FCL1" s="1113"/>
      <c r="FCM1" s="1113"/>
      <c r="FCN1" s="1113"/>
      <c r="FCO1" s="1113"/>
      <c r="FCP1" s="1113"/>
      <c r="FCQ1" s="1113"/>
      <c r="FCR1" s="1113"/>
      <c r="FCS1" s="1113"/>
      <c r="FCT1" s="1113"/>
      <c r="FCU1" s="1113"/>
      <c r="FCV1" s="1113"/>
      <c r="FCW1" s="1113"/>
      <c r="FCX1" s="1113"/>
      <c r="FCY1" s="1113"/>
      <c r="FCZ1" s="1113"/>
      <c r="FDA1" s="1113"/>
      <c r="FDB1" s="1113"/>
      <c r="FDC1" s="1113"/>
      <c r="FDD1" s="1113"/>
      <c r="FDE1" s="1113"/>
      <c r="FDF1" s="1113"/>
      <c r="FDG1" s="1113"/>
      <c r="FDH1" s="1113"/>
      <c r="FDI1" s="1113"/>
      <c r="FDJ1" s="1113"/>
      <c r="FDK1" s="1113"/>
      <c r="FDL1" s="1113"/>
      <c r="FDM1" s="1113"/>
      <c r="FDN1" s="1113"/>
      <c r="FDO1" s="1113"/>
      <c r="FDP1" s="1113"/>
      <c r="FDQ1" s="1113"/>
      <c r="FDR1" s="1113"/>
      <c r="FDS1" s="1113"/>
      <c r="FDT1" s="1113"/>
      <c r="FDU1" s="1113"/>
      <c r="FDV1" s="1113"/>
      <c r="FDW1" s="1113"/>
      <c r="FDX1" s="1113"/>
      <c r="FDY1" s="1113"/>
      <c r="FDZ1" s="1113"/>
      <c r="FEA1" s="1113"/>
      <c r="FEB1" s="1113"/>
      <c r="FEC1" s="1113"/>
      <c r="FED1" s="1113"/>
      <c r="FEE1" s="1113"/>
      <c r="FEF1" s="1113"/>
      <c r="FEG1" s="1113"/>
      <c r="FEH1" s="1113"/>
      <c r="FEI1" s="1113"/>
      <c r="FEJ1" s="1113"/>
      <c r="FEK1" s="1113"/>
      <c r="FEL1" s="1113"/>
      <c r="FEM1" s="1113"/>
      <c r="FEN1" s="1113"/>
      <c r="FEO1" s="1113"/>
      <c r="FEP1" s="1113"/>
      <c r="FEQ1" s="1113"/>
      <c r="FER1" s="1113"/>
      <c r="FES1" s="1113"/>
      <c r="FET1" s="1113"/>
      <c r="FEU1" s="1113"/>
      <c r="FEV1" s="1113"/>
      <c r="FEW1" s="1113"/>
      <c r="FEX1" s="1113"/>
      <c r="FEY1" s="1113"/>
      <c r="FEZ1" s="1113"/>
      <c r="FFA1" s="1113"/>
      <c r="FFB1" s="1113"/>
      <c r="FFC1" s="1113"/>
      <c r="FFD1" s="1113"/>
      <c r="FFE1" s="1113"/>
      <c r="FFF1" s="1113"/>
      <c r="FFG1" s="1113"/>
      <c r="FFH1" s="1113"/>
      <c r="FFI1" s="1113"/>
      <c r="FFJ1" s="1113"/>
      <c r="FFK1" s="1113"/>
      <c r="FFL1" s="1113"/>
      <c r="FFM1" s="1113"/>
      <c r="FFN1" s="1113"/>
      <c r="FFO1" s="1113"/>
      <c r="FFP1" s="1113"/>
      <c r="FFQ1" s="1113"/>
      <c r="FFR1" s="1113"/>
      <c r="FFS1" s="1113"/>
      <c r="FFT1" s="1113"/>
      <c r="FFU1" s="1113"/>
      <c r="FFV1" s="1113"/>
      <c r="FFW1" s="1113"/>
      <c r="FFX1" s="1113"/>
      <c r="FFY1" s="1113"/>
      <c r="FFZ1" s="1113"/>
      <c r="FGA1" s="1113"/>
      <c r="FGB1" s="1113"/>
      <c r="FGC1" s="1113"/>
      <c r="FGD1" s="1113"/>
      <c r="FGE1" s="1113"/>
      <c r="FGF1" s="1113"/>
      <c r="FGG1" s="1113"/>
      <c r="FGH1" s="1113"/>
      <c r="FGI1" s="1113"/>
      <c r="FGJ1" s="1113"/>
      <c r="FGK1" s="1113"/>
      <c r="FGL1" s="1113"/>
      <c r="FGM1" s="1113"/>
      <c r="FGN1" s="1113"/>
      <c r="FGO1" s="1113"/>
      <c r="FGP1" s="1113"/>
      <c r="FGQ1" s="1113"/>
      <c r="FGR1" s="1113"/>
      <c r="FGS1" s="1113"/>
      <c r="FGT1" s="1113"/>
      <c r="FGU1" s="1113"/>
      <c r="FGV1" s="1113"/>
      <c r="FGW1" s="1113"/>
      <c r="FGX1" s="1113"/>
      <c r="FGY1" s="1113"/>
      <c r="FGZ1" s="1113"/>
      <c r="FHA1" s="1113"/>
      <c r="FHB1" s="1113"/>
      <c r="FHC1" s="1113"/>
      <c r="FHD1" s="1113"/>
      <c r="FHE1" s="1113"/>
      <c r="FHF1" s="1113"/>
      <c r="FHG1" s="1113"/>
      <c r="FHH1" s="1113"/>
      <c r="FHI1" s="1113"/>
      <c r="FHJ1" s="1113"/>
      <c r="FHK1" s="1113"/>
      <c r="FHL1" s="1113"/>
      <c r="FHM1" s="1113"/>
      <c r="FHN1" s="1113"/>
      <c r="FHO1" s="1113"/>
      <c r="FHP1" s="1113"/>
      <c r="FHQ1" s="1113"/>
      <c r="FHR1" s="1113"/>
      <c r="FHS1" s="1113"/>
      <c r="FHT1" s="1113"/>
      <c r="FHU1" s="1113"/>
      <c r="FHV1" s="1113"/>
      <c r="FHW1" s="1113"/>
      <c r="FHX1" s="1113"/>
      <c r="FHY1" s="1113"/>
      <c r="FHZ1" s="1113"/>
      <c r="FIA1" s="1113"/>
      <c r="FIB1" s="1113"/>
      <c r="FIC1" s="1113"/>
      <c r="FID1" s="1113"/>
      <c r="FIE1" s="1113"/>
      <c r="FIF1" s="1113"/>
      <c r="FIG1" s="1113"/>
      <c r="FIH1" s="1113"/>
      <c r="FII1" s="1113"/>
      <c r="FIJ1" s="1113"/>
      <c r="FIK1" s="1113"/>
      <c r="FIL1" s="1113"/>
      <c r="FIM1" s="1113"/>
      <c r="FIN1" s="1113"/>
      <c r="FIO1" s="1113"/>
      <c r="FIP1" s="1113"/>
      <c r="FIQ1" s="1113"/>
      <c r="FIR1" s="1113"/>
      <c r="FIS1" s="1113"/>
      <c r="FIT1" s="1113"/>
      <c r="FIU1" s="1113"/>
      <c r="FIV1" s="1113"/>
      <c r="FIW1" s="1113"/>
      <c r="FIX1" s="1113"/>
      <c r="FIY1" s="1113"/>
      <c r="FIZ1" s="1113"/>
      <c r="FJA1" s="1113"/>
      <c r="FJB1" s="1113"/>
      <c r="FJC1" s="1113"/>
      <c r="FJD1" s="1113"/>
      <c r="FJE1" s="1113"/>
      <c r="FJF1" s="1113"/>
      <c r="FJG1" s="1113"/>
      <c r="FJH1" s="1113"/>
      <c r="FJI1" s="1113"/>
      <c r="FJJ1" s="1113"/>
      <c r="FJK1" s="1113"/>
      <c r="FJL1" s="1113"/>
      <c r="FJM1" s="1113"/>
      <c r="FJN1" s="1113"/>
      <c r="FJO1" s="1113"/>
      <c r="FJP1" s="1113"/>
      <c r="FJQ1" s="1113"/>
      <c r="FJR1" s="1113"/>
      <c r="FJS1" s="1113"/>
      <c r="FJT1" s="1113"/>
      <c r="FJU1" s="1113"/>
      <c r="FJV1" s="1113"/>
      <c r="FJW1" s="1113"/>
      <c r="FJX1" s="1113"/>
      <c r="FJY1" s="1113"/>
      <c r="FJZ1" s="1113"/>
      <c r="FKA1" s="1113"/>
      <c r="FKB1" s="1113"/>
      <c r="FKC1" s="1113"/>
      <c r="FKD1" s="1113"/>
      <c r="FKE1" s="1113"/>
      <c r="FKF1" s="1113"/>
      <c r="FKG1" s="1113"/>
      <c r="FKH1" s="1113"/>
      <c r="FKI1" s="1113"/>
      <c r="FKJ1" s="1113"/>
      <c r="FKK1" s="1113"/>
      <c r="FKL1" s="1113"/>
      <c r="FKM1" s="1113"/>
      <c r="FKN1" s="1113"/>
      <c r="FKO1" s="1113"/>
      <c r="FKP1" s="1113"/>
      <c r="FKQ1" s="1113"/>
      <c r="FKR1" s="1113"/>
      <c r="FKS1" s="1113"/>
      <c r="FKT1" s="1113"/>
      <c r="FKU1" s="1113"/>
      <c r="FKV1" s="1113"/>
      <c r="FKW1" s="1113"/>
      <c r="FKX1" s="1113"/>
      <c r="FKY1" s="1113"/>
      <c r="FKZ1" s="1113"/>
      <c r="FLA1" s="1113"/>
      <c r="FLB1" s="1113"/>
      <c r="FLC1" s="1113"/>
      <c r="FLD1" s="1113"/>
      <c r="FLE1" s="1113"/>
      <c r="FLF1" s="1113"/>
      <c r="FLG1" s="1113"/>
      <c r="FLH1" s="1113"/>
      <c r="FLI1" s="1113"/>
      <c r="FLJ1" s="1113"/>
      <c r="FLK1" s="1113"/>
      <c r="FLL1" s="1113"/>
      <c r="FLM1" s="1113"/>
      <c r="FLN1" s="1113"/>
      <c r="FLO1" s="1113"/>
      <c r="FLP1" s="1113"/>
      <c r="FLQ1" s="1113"/>
      <c r="FLR1" s="1113"/>
      <c r="FLS1" s="1113"/>
      <c r="FLT1" s="1113"/>
      <c r="FLU1" s="1113"/>
      <c r="FLV1" s="1113"/>
      <c r="FLW1" s="1113"/>
      <c r="FLX1" s="1113"/>
      <c r="FLY1" s="1113"/>
      <c r="FLZ1" s="1113"/>
      <c r="FMA1" s="1113"/>
      <c r="FMB1" s="1113"/>
      <c r="FMC1" s="1113"/>
      <c r="FMD1" s="1113"/>
      <c r="FME1" s="1113"/>
      <c r="FMF1" s="1113"/>
      <c r="FMG1" s="1113"/>
      <c r="FMH1" s="1113"/>
      <c r="FMI1" s="1113"/>
      <c r="FMJ1" s="1113"/>
      <c r="FMK1" s="1113"/>
      <c r="FML1" s="1113"/>
      <c r="FMM1" s="1113"/>
      <c r="FMN1" s="1113"/>
      <c r="FMO1" s="1113"/>
      <c r="FMP1" s="1113"/>
      <c r="FMQ1" s="1113"/>
      <c r="FMR1" s="1113"/>
      <c r="FMS1" s="1113"/>
      <c r="FMT1" s="1113"/>
      <c r="FMU1" s="1113"/>
      <c r="FMV1" s="1113"/>
      <c r="FMW1" s="1113"/>
      <c r="FMX1" s="1113"/>
      <c r="FMY1" s="1113"/>
      <c r="FMZ1" s="1113"/>
      <c r="FNA1" s="1113"/>
      <c r="FNB1" s="1113"/>
      <c r="FNC1" s="1113"/>
      <c r="FND1" s="1113"/>
      <c r="FNE1" s="1113"/>
      <c r="FNF1" s="1113"/>
      <c r="FNG1" s="1113"/>
      <c r="FNH1" s="1113"/>
      <c r="FNI1" s="1113"/>
      <c r="FNJ1" s="1113"/>
      <c r="FNK1" s="1113"/>
      <c r="FNL1" s="1113"/>
      <c r="FNM1" s="1113"/>
      <c r="FNN1" s="1113"/>
      <c r="FNO1" s="1113"/>
      <c r="FNP1" s="1113"/>
      <c r="FNQ1" s="1113"/>
      <c r="FNR1" s="1113"/>
      <c r="FNS1" s="1113"/>
      <c r="FNT1" s="1113"/>
      <c r="FNU1" s="1113"/>
      <c r="FNV1" s="1113"/>
      <c r="FNW1" s="1113"/>
      <c r="FNX1" s="1113"/>
      <c r="FNY1" s="1113"/>
      <c r="FNZ1" s="1113"/>
      <c r="FOA1" s="1113"/>
      <c r="FOB1" s="1113"/>
      <c r="FOC1" s="1113"/>
      <c r="FOD1" s="1113"/>
      <c r="FOE1" s="1113"/>
      <c r="FOF1" s="1113"/>
      <c r="FOG1" s="1113"/>
      <c r="FOH1" s="1113"/>
      <c r="FOI1" s="1113"/>
      <c r="FOJ1" s="1113"/>
      <c r="FOK1" s="1113"/>
      <c r="FOL1" s="1113"/>
      <c r="FOM1" s="1113"/>
      <c r="FON1" s="1113"/>
      <c r="FOO1" s="1113"/>
      <c r="FOP1" s="1113"/>
      <c r="FOQ1" s="1113"/>
      <c r="FOR1" s="1113"/>
      <c r="FOS1" s="1113"/>
      <c r="FOT1" s="1113"/>
      <c r="FOU1" s="1113"/>
      <c r="FOV1" s="1113"/>
      <c r="FOW1" s="1113"/>
      <c r="FOX1" s="1113"/>
      <c r="FOY1" s="1113"/>
      <c r="FOZ1" s="1113"/>
      <c r="FPA1" s="1113"/>
      <c r="FPB1" s="1113"/>
      <c r="FPC1" s="1113"/>
      <c r="FPD1" s="1113"/>
      <c r="FPE1" s="1113"/>
      <c r="FPF1" s="1113"/>
      <c r="FPG1" s="1113"/>
      <c r="FPH1" s="1113"/>
      <c r="FPI1" s="1113"/>
      <c r="FPJ1" s="1113"/>
      <c r="FPK1" s="1113"/>
      <c r="FPL1" s="1113"/>
      <c r="FPM1" s="1113"/>
      <c r="FPN1" s="1113"/>
      <c r="FPO1" s="1113"/>
      <c r="FPP1" s="1113"/>
      <c r="FPQ1" s="1113"/>
      <c r="FPR1" s="1113"/>
      <c r="FPS1" s="1113"/>
      <c r="FPT1" s="1113"/>
      <c r="FPU1" s="1113"/>
      <c r="FPV1" s="1113"/>
      <c r="FPW1" s="1113"/>
      <c r="FPX1" s="1113"/>
      <c r="FPY1" s="1113"/>
      <c r="FPZ1" s="1113"/>
      <c r="FQA1" s="1113"/>
      <c r="FQB1" s="1113"/>
      <c r="FQC1" s="1113"/>
      <c r="FQD1" s="1113"/>
      <c r="FQE1" s="1113"/>
      <c r="FQF1" s="1113"/>
      <c r="FQG1" s="1113"/>
      <c r="FQH1" s="1113"/>
      <c r="FQI1" s="1113"/>
      <c r="FQJ1" s="1113"/>
      <c r="FQK1" s="1113"/>
      <c r="FQL1" s="1113"/>
      <c r="FQM1" s="1113"/>
      <c r="FQN1" s="1113"/>
      <c r="FQO1" s="1113"/>
      <c r="FQP1" s="1113"/>
      <c r="FQQ1" s="1113"/>
      <c r="FQR1" s="1113"/>
      <c r="FQS1" s="1113"/>
      <c r="FQT1" s="1113"/>
      <c r="FQU1" s="1113"/>
      <c r="FQV1" s="1113"/>
      <c r="FQW1" s="1113"/>
      <c r="FQX1" s="1113"/>
      <c r="FQY1" s="1113"/>
      <c r="FQZ1" s="1113"/>
      <c r="FRA1" s="1113"/>
      <c r="FRB1" s="1113"/>
      <c r="FRC1" s="1113"/>
      <c r="FRD1" s="1113"/>
      <c r="FRE1" s="1113"/>
      <c r="FRF1" s="1113"/>
      <c r="FRG1" s="1113"/>
      <c r="FRH1" s="1113"/>
      <c r="FRI1" s="1113"/>
      <c r="FRJ1" s="1113"/>
      <c r="FRK1" s="1113"/>
      <c r="FRL1" s="1113"/>
      <c r="FRM1" s="1113"/>
      <c r="FRN1" s="1113"/>
      <c r="FRO1" s="1113"/>
      <c r="FRP1" s="1113"/>
      <c r="FRQ1" s="1113"/>
      <c r="FRR1" s="1113"/>
      <c r="FRS1" s="1113"/>
      <c r="FRT1" s="1113"/>
      <c r="FRU1" s="1113"/>
      <c r="FRV1" s="1113"/>
      <c r="FRW1" s="1113"/>
      <c r="FRX1" s="1113"/>
      <c r="FRY1" s="1113"/>
      <c r="FRZ1" s="1113"/>
      <c r="FSA1" s="1113"/>
      <c r="FSB1" s="1113"/>
      <c r="FSC1" s="1113"/>
      <c r="FSD1" s="1113"/>
      <c r="FSE1" s="1113"/>
      <c r="FSF1" s="1113"/>
      <c r="FSG1" s="1113"/>
      <c r="FSH1" s="1113"/>
      <c r="FSI1" s="1113"/>
      <c r="FSJ1" s="1113"/>
      <c r="FSK1" s="1113"/>
      <c r="FSL1" s="1113"/>
      <c r="FSM1" s="1113"/>
      <c r="FSN1" s="1113"/>
      <c r="FSO1" s="1113"/>
      <c r="FSP1" s="1113"/>
      <c r="FSQ1" s="1113"/>
      <c r="FSR1" s="1113"/>
      <c r="FSS1" s="1113"/>
      <c r="FST1" s="1113"/>
      <c r="FSU1" s="1113"/>
      <c r="FSV1" s="1113"/>
      <c r="FSW1" s="1113"/>
      <c r="FSX1" s="1113"/>
      <c r="FSY1" s="1113"/>
      <c r="FSZ1" s="1113"/>
      <c r="FTA1" s="1113"/>
      <c r="FTB1" s="1113"/>
      <c r="FTC1" s="1113"/>
      <c r="FTD1" s="1113"/>
      <c r="FTE1" s="1113"/>
      <c r="FTF1" s="1113"/>
      <c r="FTG1" s="1113"/>
      <c r="FTH1" s="1113"/>
      <c r="FTI1" s="1113"/>
      <c r="FTJ1" s="1113"/>
      <c r="FTK1" s="1113"/>
      <c r="FTL1" s="1113"/>
      <c r="FTM1" s="1113"/>
      <c r="FTN1" s="1113"/>
      <c r="FTO1" s="1113"/>
      <c r="FTP1" s="1113"/>
      <c r="FTQ1" s="1113"/>
      <c r="FTR1" s="1113"/>
      <c r="FTS1" s="1113"/>
      <c r="FTT1" s="1113"/>
      <c r="FTU1" s="1113"/>
      <c r="FTV1" s="1113"/>
      <c r="FTW1" s="1113"/>
      <c r="FTX1" s="1113"/>
      <c r="FTY1" s="1113"/>
      <c r="FTZ1" s="1113"/>
      <c r="FUA1" s="1113"/>
      <c r="FUB1" s="1113"/>
      <c r="FUC1" s="1113"/>
      <c r="FUD1" s="1113"/>
      <c r="FUE1" s="1113"/>
      <c r="FUF1" s="1113"/>
      <c r="FUG1" s="1113"/>
      <c r="FUH1" s="1113"/>
      <c r="FUI1" s="1113"/>
      <c r="FUJ1" s="1113"/>
      <c r="FUK1" s="1113"/>
      <c r="FUL1" s="1113"/>
      <c r="FUM1" s="1113"/>
      <c r="FUN1" s="1113"/>
      <c r="FUO1" s="1113"/>
      <c r="FUP1" s="1113"/>
      <c r="FUQ1" s="1113"/>
      <c r="FUR1" s="1113"/>
      <c r="FUS1" s="1113"/>
      <c r="FUT1" s="1113"/>
      <c r="FUU1" s="1113"/>
      <c r="FUV1" s="1113"/>
      <c r="FUW1" s="1113"/>
      <c r="FUX1" s="1113"/>
      <c r="FUY1" s="1113"/>
      <c r="FUZ1" s="1113"/>
      <c r="FVA1" s="1113"/>
      <c r="FVB1" s="1113"/>
      <c r="FVC1" s="1113"/>
      <c r="FVD1" s="1113"/>
      <c r="FVE1" s="1113"/>
      <c r="FVF1" s="1113"/>
      <c r="FVG1" s="1113"/>
      <c r="FVH1" s="1113"/>
      <c r="FVI1" s="1113"/>
      <c r="FVJ1" s="1113"/>
      <c r="FVK1" s="1113"/>
      <c r="FVL1" s="1113"/>
      <c r="FVM1" s="1113"/>
      <c r="FVN1" s="1113"/>
      <c r="FVO1" s="1113"/>
      <c r="FVP1" s="1113"/>
      <c r="FVQ1" s="1113"/>
      <c r="FVR1" s="1113"/>
      <c r="FVS1" s="1113"/>
      <c r="FVT1" s="1113"/>
      <c r="FVU1" s="1113"/>
      <c r="FVV1" s="1113"/>
      <c r="FVW1" s="1113"/>
      <c r="FVX1" s="1113"/>
      <c r="FVY1" s="1113"/>
      <c r="FVZ1" s="1113"/>
      <c r="FWA1" s="1113"/>
      <c r="FWB1" s="1113"/>
      <c r="FWC1" s="1113"/>
      <c r="FWD1" s="1113"/>
      <c r="FWE1" s="1113"/>
      <c r="FWF1" s="1113"/>
      <c r="FWG1" s="1113"/>
      <c r="FWH1" s="1113"/>
      <c r="FWI1" s="1113"/>
      <c r="FWJ1" s="1113"/>
      <c r="FWK1" s="1113"/>
      <c r="FWL1" s="1113"/>
      <c r="FWM1" s="1113"/>
      <c r="FWN1" s="1113"/>
      <c r="FWO1" s="1113"/>
      <c r="FWP1" s="1113"/>
      <c r="FWQ1" s="1113"/>
      <c r="FWR1" s="1113"/>
      <c r="FWS1" s="1113"/>
      <c r="FWT1" s="1113"/>
      <c r="FWU1" s="1113"/>
      <c r="FWV1" s="1113"/>
      <c r="FWW1" s="1113"/>
      <c r="FWX1" s="1113"/>
      <c r="FWY1" s="1113"/>
      <c r="FWZ1" s="1113"/>
      <c r="FXA1" s="1113"/>
      <c r="FXB1" s="1113"/>
      <c r="FXC1" s="1113"/>
      <c r="FXD1" s="1113"/>
      <c r="FXE1" s="1113"/>
      <c r="FXF1" s="1113"/>
      <c r="FXG1" s="1113"/>
      <c r="FXH1" s="1113"/>
      <c r="FXI1" s="1113"/>
      <c r="FXJ1" s="1113"/>
      <c r="FXK1" s="1113"/>
      <c r="FXL1" s="1113"/>
      <c r="FXM1" s="1113"/>
      <c r="FXN1" s="1113"/>
      <c r="FXO1" s="1113"/>
      <c r="FXP1" s="1113"/>
      <c r="FXQ1" s="1113"/>
      <c r="FXR1" s="1113"/>
      <c r="FXS1" s="1113"/>
      <c r="FXT1" s="1113"/>
      <c r="FXU1" s="1113"/>
      <c r="FXV1" s="1113"/>
      <c r="FXW1" s="1113"/>
      <c r="FXX1" s="1113"/>
      <c r="FXY1" s="1113"/>
      <c r="FXZ1" s="1113"/>
      <c r="FYA1" s="1113"/>
      <c r="FYB1" s="1113"/>
      <c r="FYC1" s="1113"/>
      <c r="FYD1" s="1113"/>
      <c r="FYE1" s="1113"/>
      <c r="FYF1" s="1113"/>
      <c r="FYG1" s="1113"/>
      <c r="FYH1" s="1113"/>
      <c r="FYI1" s="1113"/>
      <c r="FYJ1" s="1113"/>
      <c r="FYK1" s="1113"/>
      <c r="FYL1" s="1113"/>
      <c r="FYM1" s="1113"/>
      <c r="FYN1" s="1113"/>
      <c r="FYO1" s="1113"/>
      <c r="FYP1" s="1113"/>
      <c r="FYQ1" s="1113"/>
      <c r="FYR1" s="1113"/>
      <c r="FYS1" s="1113"/>
      <c r="FYT1" s="1113"/>
      <c r="FYU1" s="1113"/>
      <c r="FYV1" s="1113"/>
      <c r="FYW1" s="1113"/>
      <c r="FYX1" s="1113"/>
      <c r="FYY1" s="1113"/>
      <c r="FYZ1" s="1113"/>
      <c r="FZA1" s="1113"/>
      <c r="FZB1" s="1113"/>
      <c r="FZC1" s="1113"/>
      <c r="FZD1" s="1113"/>
      <c r="FZE1" s="1113"/>
      <c r="FZF1" s="1113"/>
      <c r="FZG1" s="1113"/>
      <c r="FZH1" s="1113"/>
      <c r="FZI1" s="1113"/>
      <c r="FZJ1" s="1113"/>
      <c r="FZK1" s="1113"/>
      <c r="FZL1" s="1113"/>
      <c r="FZM1" s="1113"/>
      <c r="FZN1" s="1113"/>
      <c r="FZO1" s="1113"/>
      <c r="FZP1" s="1113"/>
      <c r="FZQ1" s="1113"/>
      <c r="FZR1" s="1113"/>
      <c r="FZS1" s="1113"/>
      <c r="FZT1" s="1113"/>
      <c r="FZU1" s="1113"/>
      <c r="FZV1" s="1113"/>
      <c r="FZW1" s="1113"/>
      <c r="FZX1" s="1113"/>
      <c r="FZY1" s="1113"/>
      <c r="FZZ1" s="1113"/>
      <c r="GAA1" s="1113"/>
      <c r="GAB1" s="1113"/>
      <c r="GAC1" s="1113"/>
      <c r="GAD1" s="1113"/>
      <c r="GAE1" s="1113"/>
      <c r="GAF1" s="1113"/>
      <c r="GAG1" s="1113"/>
      <c r="GAH1" s="1113"/>
      <c r="GAI1" s="1113"/>
      <c r="GAJ1" s="1113"/>
      <c r="GAK1" s="1113"/>
      <c r="GAL1" s="1113"/>
      <c r="GAM1" s="1113"/>
      <c r="GAN1" s="1113"/>
      <c r="GAO1" s="1113"/>
      <c r="GAP1" s="1113"/>
      <c r="GAQ1" s="1113"/>
      <c r="GAR1" s="1113"/>
      <c r="GAS1" s="1113"/>
      <c r="GAT1" s="1113"/>
      <c r="GAU1" s="1113"/>
      <c r="GAV1" s="1113"/>
      <c r="GAW1" s="1113"/>
      <c r="GAX1" s="1113"/>
      <c r="GAY1" s="1113"/>
      <c r="GAZ1" s="1113"/>
      <c r="GBA1" s="1113"/>
      <c r="GBB1" s="1113"/>
      <c r="GBC1" s="1113"/>
      <c r="GBD1" s="1113"/>
      <c r="GBE1" s="1113"/>
      <c r="GBF1" s="1113"/>
      <c r="GBG1" s="1113"/>
      <c r="GBH1" s="1113"/>
      <c r="GBI1" s="1113"/>
      <c r="GBJ1" s="1113"/>
      <c r="GBK1" s="1113"/>
      <c r="GBL1" s="1113"/>
      <c r="GBM1" s="1113"/>
      <c r="GBN1" s="1113"/>
      <c r="GBO1" s="1113"/>
      <c r="GBP1" s="1113"/>
      <c r="GBQ1" s="1113"/>
      <c r="GBR1" s="1113"/>
      <c r="GBS1" s="1113"/>
      <c r="GBT1" s="1113"/>
      <c r="GBU1" s="1113"/>
      <c r="GBV1" s="1113"/>
      <c r="GBW1" s="1113"/>
      <c r="GBX1" s="1113"/>
      <c r="GBY1" s="1113"/>
      <c r="GBZ1" s="1113"/>
      <c r="GCA1" s="1113"/>
      <c r="GCB1" s="1113"/>
      <c r="GCC1" s="1113"/>
      <c r="GCD1" s="1113"/>
      <c r="GCE1" s="1113"/>
      <c r="GCF1" s="1113"/>
      <c r="GCG1" s="1113"/>
      <c r="GCH1" s="1113"/>
      <c r="GCI1" s="1113"/>
      <c r="GCJ1" s="1113"/>
      <c r="GCK1" s="1113"/>
      <c r="GCL1" s="1113"/>
      <c r="GCM1" s="1113"/>
      <c r="GCN1" s="1113"/>
      <c r="GCO1" s="1113"/>
      <c r="GCP1" s="1113"/>
      <c r="GCQ1" s="1113"/>
      <c r="GCR1" s="1113"/>
      <c r="GCS1" s="1113"/>
      <c r="GCT1" s="1113"/>
      <c r="GCU1" s="1113"/>
      <c r="GCV1" s="1113"/>
      <c r="GCW1" s="1113"/>
      <c r="GCX1" s="1113"/>
      <c r="GCY1" s="1113"/>
      <c r="GCZ1" s="1113"/>
      <c r="GDA1" s="1113"/>
      <c r="GDB1" s="1113"/>
      <c r="GDC1" s="1113"/>
      <c r="GDD1" s="1113"/>
      <c r="GDE1" s="1113"/>
      <c r="GDF1" s="1113"/>
      <c r="GDG1" s="1113"/>
      <c r="GDH1" s="1113"/>
      <c r="GDI1" s="1113"/>
      <c r="GDJ1" s="1113"/>
      <c r="GDK1" s="1113"/>
      <c r="GDL1" s="1113"/>
      <c r="GDM1" s="1113"/>
      <c r="GDN1" s="1113"/>
      <c r="GDO1" s="1113"/>
      <c r="GDP1" s="1113"/>
      <c r="GDQ1" s="1113"/>
      <c r="GDR1" s="1113"/>
      <c r="GDS1" s="1113"/>
      <c r="GDT1" s="1113"/>
      <c r="GDU1" s="1113"/>
      <c r="GDV1" s="1113"/>
      <c r="GDW1" s="1113"/>
      <c r="GDX1" s="1113"/>
      <c r="GDY1" s="1113"/>
      <c r="GDZ1" s="1113"/>
      <c r="GEA1" s="1113"/>
      <c r="GEB1" s="1113"/>
      <c r="GEC1" s="1113"/>
      <c r="GED1" s="1113"/>
      <c r="GEE1" s="1113"/>
      <c r="GEF1" s="1113"/>
      <c r="GEG1" s="1113"/>
      <c r="GEH1" s="1113"/>
      <c r="GEI1" s="1113"/>
      <c r="GEJ1" s="1113"/>
      <c r="GEK1" s="1113"/>
      <c r="GEL1" s="1113"/>
      <c r="GEM1" s="1113"/>
      <c r="GEN1" s="1113"/>
      <c r="GEO1" s="1113"/>
      <c r="GEP1" s="1113"/>
      <c r="GEQ1" s="1113"/>
      <c r="GER1" s="1113"/>
      <c r="GES1" s="1113"/>
      <c r="GET1" s="1113"/>
      <c r="GEU1" s="1113"/>
      <c r="GEV1" s="1113"/>
      <c r="GEW1" s="1113"/>
      <c r="GEX1" s="1113"/>
      <c r="GEY1" s="1113"/>
      <c r="GEZ1" s="1113"/>
      <c r="GFA1" s="1113"/>
      <c r="GFB1" s="1113"/>
      <c r="GFC1" s="1113"/>
      <c r="GFD1" s="1113"/>
      <c r="GFE1" s="1113"/>
      <c r="GFF1" s="1113"/>
      <c r="GFG1" s="1113"/>
      <c r="GFH1" s="1113"/>
      <c r="GFI1" s="1113"/>
      <c r="GFJ1" s="1113"/>
      <c r="GFK1" s="1113"/>
      <c r="GFL1" s="1113"/>
      <c r="GFM1" s="1113"/>
      <c r="GFN1" s="1113"/>
      <c r="GFO1" s="1113"/>
      <c r="GFP1" s="1113"/>
      <c r="GFQ1" s="1113"/>
      <c r="GFR1" s="1113"/>
      <c r="GFS1" s="1113"/>
      <c r="GFT1" s="1113"/>
      <c r="GFU1" s="1113"/>
      <c r="GFV1" s="1113"/>
      <c r="GFW1" s="1113"/>
      <c r="GFX1" s="1113"/>
      <c r="GFY1" s="1113"/>
      <c r="GFZ1" s="1113"/>
      <c r="GGA1" s="1113"/>
      <c r="GGB1" s="1113"/>
      <c r="GGC1" s="1113"/>
      <c r="GGD1" s="1113"/>
      <c r="GGE1" s="1113"/>
      <c r="GGF1" s="1113"/>
      <c r="GGG1" s="1113"/>
      <c r="GGH1" s="1113"/>
      <c r="GGI1" s="1113"/>
      <c r="GGJ1" s="1113"/>
      <c r="GGK1" s="1113"/>
      <c r="GGL1" s="1113"/>
      <c r="GGM1" s="1113"/>
      <c r="GGN1" s="1113"/>
      <c r="GGO1" s="1113"/>
      <c r="GGP1" s="1113"/>
      <c r="GGQ1" s="1113"/>
      <c r="GGR1" s="1113"/>
      <c r="GGS1" s="1113"/>
      <c r="GGT1" s="1113"/>
      <c r="GGU1" s="1113"/>
      <c r="GGV1" s="1113"/>
      <c r="GGW1" s="1113"/>
      <c r="GGX1" s="1113"/>
      <c r="GGY1" s="1113"/>
      <c r="GGZ1" s="1113"/>
      <c r="GHA1" s="1113"/>
      <c r="GHB1" s="1113"/>
      <c r="GHC1" s="1113"/>
      <c r="GHD1" s="1113"/>
      <c r="GHE1" s="1113"/>
      <c r="GHF1" s="1113"/>
      <c r="GHG1" s="1113"/>
      <c r="GHH1" s="1113"/>
      <c r="GHI1" s="1113"/>
      <c r="GHJ1" s="1113"/>
      <c r="GHK1" s="1113"/>
      <c r="GHL1" s="1113"/>
      <c r="GHM1" s="1113"/>
      <c r="GHN1" s="1113"/>
      <c r="GHO1" s="1113"/>
      <c r="GHP1" s="1113"/>
      <c r="GHQ1" s="1113"/>
      <c r="GHR1" s="1113"/>
      <c r="GHS1" s="1113"/>
      <c r="GHT1" s="1113"/>
      <c r="GHU1" s="1113"/>
      <c r="GHV1" s="1113"/>
      <c r="GHW1" s="1113"/>
      <c r="GHX1" s="1113"/>
      <c r="GHY1" s="1113"/>
      <c r="GHZ1" s="1113"/>
      <c r="GIA1" s="1113"/>
      <c r="GIB1" s="1113"/>
      <c r="GIC1" s="1113"/>
      <c r="GID1" s="1113"/>
      <c r="GIE1" s="1113"/>
      <c r="GIF1" s="1113"/>
      <c r="GIG1" s="1113"/>
      <c r="GIH1" s="1113"/>
      <c r="GII1" s="1113"/>
      <c r="GIJ1" s="1113"/>
      <c r="GIK1" s="1113"/>
      <c r="GIL1" s="1113"/>
      <c r="GIM1" s="1113"/>
      <c r="GIN1" s="1113"/>
      <c r="GIO1" s="1113"/>
      <c r="GIP1" s="1113"/>
      <c r="GIQ1" s="1113"/>
      <c r="GIR1" s="1113"/>
      <c r="GIS1" s="1113"/>
      <c r="GIT1" s="1113"/>
      <c r="GIU1" s="1113"/>
      <c r="GIV1" s="1113"/>
      <c r="GIW1" s="1113"/>
      <c r="GIX1" s="1113"/>
      <c r="GIY1" s="1113"/>
      <c r="GIZ1" s="1113"/>
      <c r="GJA1" s="1113"/>
      <c r="GJB1" s="1113"/>
      <c r="GJC1" s="1113"/>
      <c r="GJD1" s="1113"/>
      <c r="GJE1" s="1113"/>
      <c r="GJF1" s="1113"/>
      <c r="GJG1" s="1113"/>
      <c r="GJH1" s="1113"/>
      <c r="GJI1" s="1113"/>
      <c r="GJJ1" s="1113"/>
      <c r="GJK1" s="1113"/>
      <c r="GJL1" s="1113"/>
      <c r="GJM1" s="1113"/>
      <c r="GJN1" s="1113"/>
      <c r="GJO1" s="1113"/>
      <c r="GJP1" s="1113"/>
      <c r="GJQ1" s="1113"/>
      <c r="GJR1" s="1113"/>
      <c r="GJS1" s="1113"/>
      <c r="GJT1" s="1113"/>
      <c r="GJU1" s="1113"/>
      <c r="GJV1" s="1113"/>
      <c r="GJW1" s="1113"/>
      <c r="GJX1" s="1113"/>
      <c r="GJY1" s="1113"/>
      <c r="GJZ1" s="1113"/>
      <c r="GKA1" s="1113"/>
      <c r="GKB1" s="1113"/>
      <c r="GKC1" s="1113"/>
      <c r="GKD1" s="1113"/>
      <c r="GKE1" s="1113"/>
      <c r="GKF1" s="1113"/>
      <c r="GKG1" s="1113"/>
      <c r="GKH1" s="1113"/>
      <c r="GKI1" s="1113"/>
      <c r="GKJ1" s="1113"/>
      <c r="GKK1" s="1113"/>
      <c r="GKL1" s="1113"/>
      <c r="GKM1" s="1113"/>
      <c r="GKN1" s="1113"/>
      <c r="GKO1" s="1113"/>
      <c r="GKP1" s="1113"/>
      <c r="GKQ1" s="1113"/>
      <c r="GKR1" s="1113"/>
      <c r="GKS1" s="1113"/>
      <c r="GKT1" s="1113"/>
      <c r="GKU1" s="1113"/>
      <c r="GKV1" s="1113"/>
      <c r="GKW1" s="1113"/>
      <c r="GKX1" s="1113"/>
      <c r="GKY1" s="1113"/>
      <c r="GKZ1" s="1113"/>
      <c r="GLA1" s="1113"/>
      <c r="GLB1" s="1113"/>
      <c r="GLC1" s="1113"/>
      <c r="GLD1" s="1113"/>
      <c r="GLE1" s="1113"/>
      <c r="GLF1" s="1113"/>
      <c r="GLG1" s="1113"/>
      <c r="GLH1" s="1113"/>
      <c r="GLI1" s="1113"/>
      <c r="GLJ1" s="1113"/>
      <c r="GLK1" s="1113"/>
      <c r="GLL1" s="1113"/>
      <c r="GLM1" s="1113"/>
      <c r="GLN1" s="1113"/>
      <c r="GLO1" s="1113"/>
      <c r="GLP1" s="1113"/>
      <c r="GLQ1" s="1113"/>
      <c r="GLR1" s="1113"/>
      <c r="GLS1" s="1113"/>
      <c r="GLT1" s="1113"/>
      <c r="GLU1" s="1113"/>
      <c r="GLV1" s="1113"/>
      <c r="GLW1" s="1113"/>
      <c r="GLX1" s="1113"/>
      <c r="GLY1" s="1113"/>
      <c r="GLZ1" s="1113"/>
      <c r="GMA1" s="1113"/>
      <c r="GMB1" s="1113"/>
      <c r="GMC1" s="1113"/>
      <c r="GMD1" s="1113"/>
      <c r="GME1" s="1113"/>
      <c r="GMF1" s="1113"/>
      <c r="GMG1" s="1113"/>
      <c r="GMH1" s="1113"/>
      <c r="GMI1" s="1113"/>
      <c r="GMJ1" s="1113"/>
      <c r="GMK1" s="1113"/>
      <c r="GML1" s="1113"/>
      <c r="GMM1" s="1113"/>
      <c r="GMN1" s="1113"/>
      <c r="GMO1" s="1113"/>
      <c r="GMP1" s="1113"/>
      <c r="GMQ1" s="1113"/>
      <c r="GMR1" s="1113"/>
      <c r="GMS1" s="1113"/>
      <c r="GMT1" s="1113"/>
      <c r="GMU1" s="1113"/>
      <c r="GMV1" s="1113"/>
      <c r="GMW1" s="1113"/>
      <c r="GMX1" s="1113"/>
      <c r="GMY1" s="1113"/>
      <c r="GMZ1" s="1113"/>
      <c r="GNA1" s="1113"/>
      <c r="GNB1" s="1113"/>
      <c r="GNC1" s="1113"/>
      <c r="GND1" s="1113"/>
      <c r="GNE1" s="1113"/>
      <c r="GNF1" s="1113"/>
      <c r="GNG1" s="1113"/>
      <c r="GNH1" s="1113"/>
      <c r="GNI1" s="1113"/>
      <c r="GNJ1" s="1113"/>
      <c r="GNK1" s="1113"/>
      <c r="GNL1" s="1113"/>
      <c r="GNM1" s="1113"/>
      <c r="GNN1" s="1113"/>
      <c r="GNO1" s="1113"/>
      <c r="GNP1" s="1113"/>
      <c r="GNQ1" s="1113"/>
      <c r="GNR1" s="1113"/>
      <c r="GNS1" s="1113"/>
      <c r="GNT1" s="1113"/>
      <c r="GNU1" s="1113"/>
      <c r="GNV1" s="1113"/>
      <c r="GNW1" s="1113"/>
      <c r="GNX1" s="1113"/>
      <c r="GNY1" s="1113"/>
      <c r="GNZ1" s="1113"/>
      <c r="GOA1" s="1113"/>
      <c r="GOB1" s="1113"/>
      <c r="GOC1" s="1113"/>
      <c r="GOD1" s="1113"/>
      <c r="GOE1" s="1113"/>
      <c r="GOF1" s="1113"/>
      <c r="GOG1" s="1113"/>
      <c r="GOH1" s="1113"/>
      <c r="GOI1" s="1113"/>
      <c r="GOJ1" s="1113"/>
      <c r="GOK1" s="1113"/>
      <c r="GOL1" s="1113"/>
      <c r="GOM1" s="1113"/>
      <c r="GON1" s="1113"/>
      <c r="GOO1" s="1113"/>
      <c r="GOP1" s="1113"/>
      <c r="GOQ1" s="1113"/>
      <c r="GOR1" s="1113"/>
      <c r="GOS1" s="1113"/>
      <c r="GOT1" s="1113"/>
      <c r="GOU1" s="1113"/>
      <c r="GOV1" s="1113"/>
      <c r="GOW1" s="1113"/>
      <c r="GOX1" s="1113"/>
      <c r="GOY1" s="1113"/>
      <c r="GOZ1" s="1113"/>
      <c r="GPA1" s="1113"/>
      <c r="GPB1" s="1113"/>
      <c r="GPC1" s="1113"/>
      <c r="GPD1" s="1113"/>
      <c r="GPE1" s="1113"/>
      <c r="GPF1" s="1113"/>
      <c r="GPG1" s="1113"/>
      <c r="GPH1" s="1113"/>
      <c r="GPI1" s="1113"/>
      <c r="GPJ1" s="1113"/>
      <c r="GPK1" s="1113"/>
      <c r="GPL1" s="1113"/>
      <c r="GPM1" s="1113"/>
      <c r="GPN1" s="1113"/>
      <c r="GPO1" s="1113"/>
      <c r="GPP1" s="1113"/>
      <c r="GPQ1" s="1113"/>
      <c r="GPR1" s="1113"/>
      <c r="GPS1" s="1113"/>
      <c r="GPT1" s="1113"/>
      <c r="GPU1" s="1113"/>
      <c r="GPV1" s="1113"/>
      <c r="GPW1" s="1113"/>
      <c r="GPX1" s="1113"/>
      <c r="GPY1" s="1113"/>
      <c r="GPZ1" s="1113"/>
      <c r="GQA1" s="1113"/>
      <c r="GQB1" s="1113"/>
      <c r="GQC1" s="1113"/>
      <c r="GQD1" s="1113"/>
      <c r="GQE1" s="1113"/>
      <c r="GQF1" s="1113"/>
      <c r="GQG1" s="1113"/>
      <c r="GQH1" s="1113"/>
      <c r="GQI1" s="1113"/>
      <c r="GQJ1" s="1113"/>
      <c r="GQK1" s="1113"/>
      <c r="GQL1" s="1113"/>
      <c r="GQM1" s="1113"/>
      <c r="GQN1" s="1113"/>
      <c r="GQO1" s="1113"/>
      <c r="GQP1" s="1113"/>
      <c r="GQQ1" s="1113"/>
      <c r="GQR1" s="1113"/>
      <c r="GQS1" s="1113"/>
      <c r="GQT1" s="1113"/>
      <c r="GQU1" s="1113"/>
      <c r="GQV1" s="1113"/>
      <c r="GQW1" s="1113"/>
      <c r="GQX1" s="1113"/>
      <c r="GQY1" s="1113"/>
      <c r="GQZ1" s="1113"/>
      <c r="GRA1" s="1113"/>
      <c r="GRB1" s="1113"/>
      <c r="GRC1" s="1113"/>
      <c r="GRD1" s="1113"/>
      <c r="GRE1" s="1113"/>
      <c r="GRF1" s="1113"/>
      <c r="GRG1" s="1113"/>
      <c r="GRH1" s="1113"/>
      <c r="GRI1" s="1113"/>
      <c r="GRJ1" s="1113"/>
      <c r="GRK1" s="1113"/>
      <c r="GRL1" s="1113"/>
      <c r="GRM1" s="1113"/>
      <c r="GRN1" s="1113"/>
      <c r="GRO1" s="1113"/>
      <c r="GRP1" s="1113"/>
      <c r="GRQ1" s="1113"/>
      <c r="GRR1" s="1113"/>
      <c r="GRS1" s="1113"/>
      <c r="GRT1" s="1113"/>
      <c r="GRU1" s="1113"/>
      <c r="GRV1" s="1113"/>
      <c r="GRW1" s="1113"/>
      <c r="GRX1" s="1113"/>
      <c r="GRY1" s="1113"/>
      <c r="GRZ1" s="1113"/>
      <c r="GSA1" s="1113"/>
      <c r="GSB1" s="1113"/>
      <c r="GSC1" s="1113"/>
      <c r="GSD1" s="1113"/>
      <c r="GSE1" s="1113"/>
      <c r="GSF1" s="1113"/>
      <c r="GSG1" s="1113"/>
      <c r="GSH1" s="1113"/>
      <c r="GSI1" s="1113"/>
      <c r="GSJ1" s="1113"/>
      <c r="GSK1" s="1113"/>
      <c r="GSL1" s="1113"/>
      <c r="GSM1" s="1113"/>
      <c r="GSN1" s="1113"/>
      <c r="GSO1" s="1113"/>
      <c r="GSP1" s="1113"/>
      <c r="GSQ1" s="1113"/>
      <c r="GSR1" s="1113"/>
      <c r="GSS1" s="1113"/>
      <c r="GST1" s="1113"/>
      <c r="GSU1" s="1113"/>
      <c r="GSV1" s="1113"/>
      <c r="GSW1" s="1113"/>
      <c r="GSX1" s="1113"/>
      <c r="GSY1" s="1113"/>
      <c r="GSZ1" s="1113"/>
      <c r="GTA1" s="1113"/>
      <c r="GTB1" s="1113"/>
      <c r="GTC1" s="1113"/>
      <c r="GTD1" s="1113"/>
      <c r="GTE1" s="1113"/>
      <c r="GTF1" s="1113"/>
      <c r="GTG1" s="1113"/>
      <c r="GTH1" s="1113"/>
      <c r="GTI1" s="1113"/>
      <c r="GTJ1" s="1113"/>
      <c r="GTK1" s="1113"/>
      <c r="GTL1" s="1113"/>
      <c r="GTM1" s="1113"/>
      <c r="GTN1" s="1113"/>
      <c r="GTO1" s="1113"/>
      <c r="GTP1" s="1113"/>
      <c r="GTQ1" s="1113"/>
      <c r="GTR1" s="1113"/>
      <c r="GTS1" s="1113"/>
      <c r="GTT1" s="1113"/>
      <c r="GTU1" s="1113"/>
      <c r="GTV1" s="1113"/>
      <c r="GTW1" s="1113"/>
      <c r="GTX1" s="1113"/>
      <c r="GTY1" s="1113"/>
      <c r="GTZ1" s="1113"/>
      <c r="GUA1" s="1113"/>
      <c r="GUB1" s="1113"/>
      <c r="GUC1" s="1113"/>
      <c r="GUD1" s="1113"/>
      <c r="GUE1" s="1113"/>
      <c r="GUF1" s="1113"/>
      <c r="GUG1" s="1113"/>
      <c r="GUH1" s="1113"/>
      <c r="GUI1" s="1113"/>
      <c r="GUJ1" s="1113"/>
      <c r="GUK1" s="1113"/>
      <c r="GUL1" s="1113"/>
      <c r="GUM1" s="1113"/>
      <c r="GUN1" s="1113"/>
      <c r="GUO1" s="1113"/>
      <c r="GUP1" s="1113"/>
      <c r="GUQ1" s="1113"/>
      <c r="GUR1" s="1113"/>
      <c r="GUS1" s="1113"/>
      <c r="GUT1" s="1113"/>
      <c r="GUU1" s="1113"/>
      <c r="GUV1" s="1113"/>
      <c r="GUW1" s="1113"/>
      <c r="GUX1" s="1113"/>
      <c r="GUY1" s="1113"/>
      <c r="GUZ1" s="1113"/>
      <c r="GVA1" s="1113"/>
      <c r="GVB1" s="1113"/>
      <c r="GVC1" s="1113"/>
      <c r="GVD1" s="1113"/>
      <c r="GVE1" s="1113"/>
      <c r="GVF1" s="1113"/>
      <c r="GVG1" s="1113"/>
      <c r="GVH1" s="1113"/>
      <c r="GVI1" s="1113"/>
      <c r="GVJ1" s="1113"/>
      <c r="GVK1" s="1113"/>
      <c r="GVL1" s="1113"/>
      <c r="GVM1" s="1113"/>
      <c r="GVN1" s="1113"/>
      <c r="GVO1" s="1113"/>
      <c r="GVP1" s="1113"/>
      <c r="GVQ1" s="1113"/>
      <c r="GVR1" s="1113"/>
      <c r="GVS1" s="1113"/>
      <c r="GVT1" s="1113"/>
      <c r="GVU1" s="1113"/>
      <c r="GVV1" s="1113"/>
      <c r="GVW1" s="1113"/>
      <c r="GVX1" s="1113"/>
      <c r="GVY1" s="1113"/>
      <c r="GVZ1" s="1113"/>
      <c r="GWA1" s="1113"/>
      <c r="GWB1" s="1113"/>
      <c r="GWC1" s="1113"/>
      <c r="GWD1" s="1113"/>
      <c r="GWE1" s="1113"/>
      <c r="GWF1" s="1113"/>
      <c r="GWG1" s="1113"/>
      <c r="GWH1" s="1113"/>
      <c r="GWI1" s="1113"/>
      <c r="GWJ1" s="1113"/>
      <c r="GWK1" s="1113"/>
      <c r="GWL1" s="1113"/>
      <c r="GWM1" s="1113"/>
      <c r="GWN1" s="1113"/>
      <c r="GWO1" s="1113"/>
      <c r="GWP1" s="1113"/>
      <c r="GWQ1" s="1113"/>
      <c r="GWR1" s="1113"/>
      <c r="GWS1" s="1113"/>
      <c r="GWT1" s="1113"/>
      <c r="GWU1" s="1113"/>
      <c r="GWV1" s="1113"/>
      <c r="GWW1" s="1113"/>
      <c r="GWX1" s="1113"/>
      <c r="GWY1" s="1113"/>
      <c r="GWZ1" s="1113"/>
      <c r="GXA1" s="1113"/>
      <c r="GXB1" s="1113"/>
      <c r="GXC1" s="1113"/>
      <c r="GXD1" s="1113"/>
      <c r="GXE1" s="1113"/>
      <c r="GXF1" s="1113"/>
      <c r="GXG1" s="1113"/>
      <c r="GXH1" s="1113"/>
      <c r="GXI1" s="1113"/>
      <c r="GXJ1" s="1113"/>
      <c r="GXK1" s="1113"/>
      <c r="GXL1" s="1113"/>
      <c r="GXM1" s="1113"/>
      <c r="GXN1" s="1113"/>
      <c r="GXO1" s="1113"/>
      <c r="GXP1" s="1113"/>
      <c r="GXQ1" s="1113"/>
      <c r="GXR1" s="1113"/>
      <c r="GXS1" s="1113"/>
      <c r="GXT1" s="1113"/>
      <c r="GXU1" s="1113"/>
      <c r="GXV1" s="1113"/>
      <c r="GXW1" s="1113"/>
      <c r="GXX1" s="1113"/>
      <c r="GXY1" s="1113"/>
      <c r="GXZ1" s="1113"/>
      <c r="GYA1" s="1113"/>
      <c r="GYB1" s="1113"/>
      <c r="GYC1" s="1113"/>
      <c r="GYD1" s="1113"/>
      <c r="GYE1" s="1113"/>
      <c r="GYF1" s="1113"/>
      <c r="GYG1" s="1113"/>
      <c r="GYH1" s="1113"/>
      <c r="GYI1" s="1113"/>
      <c r="GYJ1" s="1113"/>
      <c r="GYK1" s="1113"/>
      <c r="GYL1" s="1113"/>
      <c r="GYM1" s="1113"/>
      <c r="GYN1" s="1113"/>
      <c r="GYO1" s="1113"/>
      <c r="GYP1" s="1113"/>
      <c r="GYQ1" s="1113"/>
      <c r="GYR1" s="1113"/>
      <c r="GYS1" s="1113"/>
      <c r="GYT1" s="1113"/>
      <c r="GYU1" s="1113"/>
      <c r="GYV1" s="1113"/>
      <c r="GYW1" s="1113"/>
      <c r="GYX1" s="1113"/>
      <c r="GYY1" s="1113"/>
      <c r="GYZ1" s="1113"/>
      <c r="GZA1" s="1113"/>
      <c r="GZB1" s="1113"/>
      <c r="GZC1" s="1113"/>
      <c r="GZD1" s="1113"/>
      <c r="GZE1" s="1113"/>
      <c r="GZF1" s="1113"/>
      <c r="GZG1" s="1113"/>
      <c r="GZH1" s="1113"/>
      <c r="GZI1" s="1113"/>
      <c r="GZJ1" s="1113"/>
      <c r="GZK1" s="1113"/>
      <c r="GZL1" s="1113"/>
      <c r="GZM1" s="1113"/>
      <c r="GZN1" s="1113"/>
      <c r="GZO1" s="1113"/>
      <c r="GZP1" s="1113"/>
      <c r="GZQ1" s="1113"/>
      <c r="GZR1" s="1113"/>
      <c r="GZS1" s="1113"/>
      <c r="GZT1" s="1113"/>
      <c r="GZU1" s="1113"/>
      <c r="GZV1" s="1113"/>
      <c r="GZW1" s="1113"/>
      <c r="GZX1" s="1113"/>
      <c r="GZY1" s="1113"/>
      <c r="GZZ1" s="1113"/>
      <c r="HAA1" s="1113"/>
      <c r="HAB1" s="1113"/>
      <c r="HAC1" s="1113"/>
      <c r="HAD1" s="1113"/>
      <c r="HAE1" s="1113"/>
      <c r="HAF1" s="1113"/>
      <c r="HAG1" s="1113"/>
      <c r="HAH1" s="1113"/>
      <c r="HAI1" s="1113"/>
      <c r="HAJ1" s="1113"/>
      <c r="HAK1" s="1113"/>
      <c r="HAL1" s="1113"/>
      <c r="HAM1" s="1113"/>
      <c r="HAN1" s="1113"/>
      <c r="HAO1" s="1113"/>
      <c r="HAP1" s="1113"/>
      <c r="HAQ1" s="1113"/>
      <c r="HAR1" s="1113"/>
      <c r="HAS1" s="1113"/>
      <c r="HAT1" s="1113"/>
      <c r="HAU1" s="1113"/>
      <c r="HAV1" s="1113"/>
      <c r="HAW1" s="1113"/>
      <c r="HAX1" s="1113"/>
      <c r="HAY1" s="1113"/>
      <c r="HAZ1" s="1113"/>
      <c r="HBA1" s="1113"/>
      <c r="HBB1" s="1113"/>
      <c r="HBC1" s="1113"/>
      <c r="HBD1" s="1113"/>
      <c r="HBE1" s="1113"/>
      <c r="HBF1" s="1113"/>
      <c r="HBG1" s="1113"/>
      <c r="HBH1" s="1113"/>
      <c r="HBI1" s="1113"/>
      <c r="HBJ1" s="1113"/>
      <c r="HBK1" s="1113"/>
      <c r="HBL1" s="1113"/>
      <c r="HBM1" s="1113"/>
      <c r="HBN1" s="1113"/>
      <c r="HBO1" s="1113"/>
      <c r="HBP1" s="1113"/>
      <c r="HBQ1" s="1113"/>
      <c r="HBR1" s="1113"/>
      <c r="HBS1" s="1113"/>
      <c r="HBT1" s="1113"/>
      <c r="HBU1" s="1113"/>
      <c r="HBV1" s="1113"/>
      <c r="HBW1" s="1113"/>
      <c r="HBX1" s="1113"/>
      <c r="HBY1" s="1113"/>
      <c r="HBZ1" s="1113"/>
      <c r="HCA1" s="1113"/>
      <c r="HCB1" s="1113"/>
      <c r="HCC1" s="1113"/>
      <c r="HCD1" s="1113"/>
      <c r="HCE1" s="1113"/>
      <c r="HCF1" s="1113"/>
      <c r="HCG1" s="1113"/>
      <c r="HCH1" s="1113"/>
      <c r="HCI1" s="1113"/>
      <c r="HCJ1" s="1113"/>
      <c r="HCK1" s="1113"/>
      <c r="HCL1" s="1113"/>
      <c r="HCM1" s="1113"/>
      <c r="HCN1" s="1113"/>
      <c r="HCO1" s="1113"/>
      <c r="HCP1" s="1113"/>
      <c r="HCQ1" s="1113"/>
      <c r="HCR1" s="1113"/>
      <c r="HCS1" s="1113"/>
      <c r="HCT1" s="1113"/>
      <c r="HCU1" s="1113"/>
      <c r="HCV1" s="1113"/>
      <c r="HCW1" s="1113"/>
      <c r="HCX1" s="1113"/>
      <c r="HCY1" s="1113"/>
      <c r="HCZ1" s="1113"/>
      <c r="HDA1" s="1113"/>
      <c r="HDB1" s="1113"/>
      <c r="HDC1" s="1113"/>
      <c r="HDD1" s="1113"/>
      <c r="HDE1" s="1113"/>
      <c r="HDF1" s="1113"/>
      <c r="HDG1" s="1113"/>
      <c r="HDH1" s="1113"/>
      <c r="HDI1" s="1113"/>
      <c r="HDJ1" s="1113"/>
      <c r="HDK1" s="1113"/>
      <c r="HDL1" s="1113"/>
      <c r="HDM1" s="1113"/>
      <c r="HDN1" s="1113"/>
      <c r="HDO1" s="1113"/>
      <c r="HDP1" s="1113"/>
      <c r="HDQ1" s="1113"/>
      <c r="HDR1" s="1113"/>
      <c r="HDS1" s="1113"/>
      <c r="HDT1" s="1113"/>
      <c r="HDU1" s="1113"/>
      <c r="HDV1" s="1113"/>
      <c r="HDW1" s="1113"/>
      <c r="HDX1" s="1113"/>
      <c r="HDY1" s="1113"/>
      <c r="HDZ1" s="1113"/>
      <c r="HEA1" s="1113"/>
      <c r="HEB1" s="1113"/>
      <c r="HEC1" s="1113"/>
      <c r="HED1" s="1113"/>
      <c r="HEE1" s="1113"/>
      <c r="HEF1" s="1113"/>
      <c r="HEG1" s="1113"/>
      <c r="HEH1" s="1113"/>
      <c r="HEI1" s="1113"/>
      <c r="HEJ1" s="1113"/>
      <c r="HEK1" s="1113"/>
      <c r="HEL1" s="1113"/>
      <c r="HEM1" s="1113"/>
      <c r="HEN1" s="1113"/>
      <c r="HEO1" s="1113"/>
      <c r="HEP1" s="1113"/>
      <c r="HEQ1" s="1113"/>
      <c r="HER1" s="1113"/>
      <c r="HES1" s="1113"/>
      <c r="HET1" s="1113"/>
      <c r="HEU1" s="1113"/>
      <c r="HEV1" s="1113"/>
      <c r="HEW1" s="1113"/>
      <c r="HEX1" s="1113"/>
      <c r="HEY1" s="1113"/>
      <c r="HEZ1" s="1113"/>
      <c r="HFA1" s="1113"/>
      <c r="HFB1" s="1113"/>
      <c r="HFC1" s="1113"/>
      <c r="HFD1" s="1113"/>
      <c r="HFE1" s="1113"/>
      <c r="HFF1" s="1113"/>
      <c r="HFG1" s="1113"/>
      <c r="HFH1" s="1113"/>
      <c r="HFI1" s="1113"/>
      <c r="HFJ1" s="1113"/>
      <c r="HFK1" s="1113"/>
      <c r="HFL1" s="1113"/>
      <c r="HFM1" s="1113"/>
      <c r="HFN1" s="1113"/>
      <c r="HFO1" s="1113"/>
      <c r="HFP1" s="1113"/>
      <c r="HFQ1" s="1113"/>
      <c r="HFR1" s="1113"/>
      <c r="HFS1" s="1113"/>
      <c r="HFT1" s="1113"/>
      <c r="HFU1" s="1113"/>
      <c r="HFV1" s="1113"/>
      <c r="HFW1" s="1113"/>
      <c r="HFX1" s="1113"/>
      <c r="HFY1" s="1113"/>
      <c r="HFZ1" s="1113"/>
      <c r="HGA1" s="1113"/>
      <c r="HGB1" s="1113"/>
      <c r="HGC1" s="1113"/>
      <c r="HGD1" s="1113"/>
      <c r="HGE1" s="1113"/>
      <c r="HGF1" s="1113"/>
      <c r="HGG1" s="1113"/>
      <c r="HGH1" s="1113"/>
      <c r="HGI1" s="1113"/>
      <c r="HGJ1" s="1113"/>
      <c r="HGK1" s="1113"/>
      <c r="HGL1" s="1113"/>
      <c r="HGM1" s="1113"/>
      <c r="HGN1" s="1113"/>
      <c r="HGO1" s="1113"/>
      <c r="HGP1" s="1113"/>
      <c r="HGQ1" s="1113"/>
      <c r="HGR1" s="1113"/>
      <c r="HGS1" s="1113"/>
      <c r="HGT1" s="1113"/>
      <c r="HGU1" s="1113"/>
      <c r="HGV1" s="1113"/>
      <c r="HGW1" s="1113"/>
      <c r="HGX1" s="1113"/>
      <c r="HGY1" s="1113"/>
      <c r="HGZ1" s="1113"/>
      <c r="HHA1" s="1113"/>
      <c r="HHB1" s="1113"/>
      <c r="HHC1" s="1113"/>
      <c r="HHD1" s="1113"/>
      <c r="HHE1" s="1113"/>
      <c r="HHF1" s="1113"/>
      <c r="HHG1" s="1113"/>
      <c r="HHH1" s="1113"/>
      <c r="HHI1" s="1113"/>
      <c r="HHJ1" s="1113"/>
      <c r="HHK1" s="1113"/>
      <c r="HHL1" s="1113"/>
      <c r="HHM1" s="1113"/>
      <c r="HHN1" s="1113"/>
      <c r="HHO1" s="1113"/>
      <c r="HHP1" s="1113"/>
      <c r="HHQ1" s="1113"/>
      <c r="HHR1" s="1113"/>
      <c r="HHS1" s="1113"/>
      <c r="HHT1" s="1113"/>
      <c r="HHU1" s="1113"/>
      <c r="HHV1" s="1113"/>
      <c r="HHW1" s="1113"/>
      <c r="HHX1" s="1113"/>
      <c r="HHY1" s="1113"/>
      <c r="HHZ1" s="1113"/>
      <c r="HIA1" s="1113"/>
      <c r="HIB1" s="1113"/>
      <c r="HIC1" s="1113"/>
      <c r="HID1" s="1113"/>
      <c r="HIE1" s="1113"/>
      <c r="HIF1" s="1113"/>
      <c r="HIG1" s="1113"/>
      <c r="HIH1" s="1113"/>
      <c r="HII1" s="1113"/>
      <c r="HIJ1" s="1113"/>
      <c r="HIK1" s="1113"/>
      <c r="HIL1" s="1113"/>
      <c r="HIM1" s="1113"/>
      <c r="HIN1" s="1113"/>
      <c r="HIO1" s="1113"/>
      <c r="HIP1" s="1113"/>
      <c r="HIQ1" s="1113"/>
      <c r="HIR1" s="1113"/>
      <c r="HIS1" s="1113"/>
      <c r="HIT1" s="1113"/>
      <c r="HIU1" s="1113"/>
      <c r="HIV1" s="1113"/>
      <c r="HIW1" s="1113"/>
      <c r="HIX1" s="1113"/>
      <c r="HIY1" s="1113"/>
      <c r="HIZ1" s="1113"/>
      <c r="HJA1" s="1113"/>
      <c r="HJB1" s="1113"/>
      <c r="HJC1" s="1113"/>
      <c r="HJD1" s="1113"/>
      <c r="HJE1" s="1113"/>
      <c r="HJF1" s="1113"/>
      <c r="HJG1" s="1113"/>
      <c r="HJH1" s="1113"/>
      <c r="HJI1" s="1113"/>
      <c r="HJJ1" s="1113"/>
      <c r="HJK1" s="1113"/>
      <c r="HJL1" s="1113"/>
      <c r="HJM1" s="1113"/>
      <c r="HJN1" s="1113"/>
      <c r="HJO1" s="1113"/>
      <c r="HJP1" s="1113"/>
      <c r="HJQ1" s="1113"/>
      <c r="HJR1" s="1113"/>
      <c r="HJS1" s="1113"/>
      <c r="HJT1" s="1113"/>
      <c r="HJU1" s="1113"/>
      <c r="HJV1" s="1113"/>
      <c r="HJW1" s="1113"/>
      <c r="HJX1" s="1113"/>
      <c r="HJY1" s="1113"/>
      <c r="HJZ1" s="1113"/>
      <c r="HKA1" s="1113"/>
      <c r="HKB1" s="1113"/>
      <c r="HKC1" s="1113"/>
      <c r="HKD1" s="1113"/>
      <c r="HKE1" s="1113"/>
      <c r="HKF1" s="1113"/>
      <c r="HKG1" s="1113"/>
      <c r="HKH1" s="1113"/>
      <c r="HKI1" s="1113"/>
      <c r="HKJ1" s="1113"/>
      <c r="HKK1" s="1113"/>
      <c r="HKL1" s="1113"/>
      <c r="HKM1" s="1113"/>
      <c r="HKN1" s="1113"/>
      <c r="HKO1" s="1113"/>
      <c r="HKP1" s="1113"/>
      <c r="HKQ1" s="1113"/>
      <c r="HKR1" s="1113"/>
      <c r="HKS1" s="1113"/>
      <c r="HKT1" s="1113"/>
      <c r="HKU1" s="1113"/>
      <c r="HKV1" s="1113"/>
      <c r="HKW1" s="1113"/>
      <c r="HKX1" s="1113"/>
      <c r="HKY1" s="1113"/>
      <c r="HKZ1" s="1113"/>
      <c r="HLA1" s="1113"/>
      <c r="HLB1" s="1113"/>
      <c r="HLC1" s="1113"/>
      <c r="HLD1" s="1113"/>
      <c r="HLE1" s="1113"/>
      <c r="HLF1" s="1113"/>
      <c r="HLG1" s="1113"/>
      <c r="HLH1" s="1113"/>
      <c r="HLI1" s="1113"/>
      <c r="HLJ1" s="1113"/>
      <c r="HLK1" s="1113"/>
      <c r="HLL1" s="1113"/>
      <c r="HLM1" s="1113"/>
      <c r="HLN1" s="1113"/>
      <c r="HLO1" s="1113"/>
      <c r="HLP1" s="1113"/>
      <c r="HLQ1" s="1113"/>
      <c r="HLR1" s="1113"/>
      <c r="HLS1" s="1113"/>
      <c r="HLT1" s="1113"/>
      <c r="HLU1" s="1113"/>
      <c r="HLV1" s="1113"/>
      <c r="HLW1" s="1113"/>
      <c r="HLX1" s="1113"/>
      <c r="HLY1" s="1113"/>
      <c r="HLZ1" s="1113"/>
      <c r="HMA1" s="1113"/>
      <c r="HMB1" s="1113"/>
      <c r="HMC1" s="1113"/>
      <c r="HMD1" s="1113"/>
      <c r="HME1" s="1113"/>
      <c r="HMF1" s="1113"/>
      <c r="HMG1" s="1113"/>
      <c r="HMH1" s="1113"/>
      <c r="HMI1" s="1113"/>
      <c r="HMJ1" s="1113"/>
      <c r="HMK1" s="1113"/>
      <c r="HML1" s="1113"/>
      <c r="HMM1" s="1113"/>
      <c r="HMN1" s="1113"/>
      <c r="HMO1" s="1113"/>
      <c r="HMP1" s="1113"/>
      <c r="HMQ1" s="1113"/>
      <c r="HMR1" s="1113"/>
      <c r="HMS1" s="1113"/>
      <c r="HMT1" s="1113"/>
      <c r="HMU1" s="1113"/>
      <c r="HMV1" s="1113"/>
      <c r="HMW1" s="1113"/>
      <c r="HMX1" s="1113"/>
      <c r="HMY1" s="1113"/>
      <c r="HMZ1" s="1113"/>
      <c r="HNA1" s="1113"/>
      <c r="HNB1" s="1113"/>
      <c r="HNC1" s="1113"/>
      <c r="HND1" s="1113"/>
      <c r="HNE1" s="1113"/>
      <c r="HNF1" s="1113"/>
      <c r="HNG1" s="1113"/>
      <c r="HNH1" s="1113"/>
      <c r="HNI1" s="1113"/>
      <c r="HNJ1" s="1113"/>
      <c r="HNK1" s="1113"/>
      <c r="HNL1" s="1113"/>
      <c r="HNM1" s="1113"/>
      <c r="HNN1" s="1113"/>
      <c r="HNO1" s="1113"/>
      <c r="HNP1" s="1113"/>
      <c r="HNQ1" s="1113"/>
      <c r="HNR1" s="1113"/>
      <c r="HNS1" s="1113"/>
      <c r="HNT1" s="1113"/>
      <c r="HNU1" s="1113"/>
      <c r="HNV1" s="1113"/>
      <c r="HNW1" s="1113"/>
      <c r="HNX1" s="1113"/>
      <c r="HNY1" s="1113"/>
      <c r="HNZ1" s="1113"/>
      <c r="HOA1" s="1113"/>
      <c r="HOB1" s="1113"/>
      <c r="HOC1" s="1113"/>
      <c r="HOD1" s="1113"/>
      <c r="HOE1" s="1113"/>
      <c r="HOF1" s="1113"/>
      <c r="HOG1" s="1113"/>
      <c r="HOH1" s="1113"/>
      <c r="HOI1" s="1113"/>
      <c r="HOJ1" s="1113"/>
      <c r="HOK1" s="1113"/>
      <c r="HOL1" s="1113"/>
      <c r="HOM1" s="1113"/>
      <c r="HON1" s="1113"/>
      <c r="HOO1" s="1113"/>
      <c r="HOP1" s="1113"/>
      <c r="HOQ1" s="1113"/>
      <c r="HOR1" s="1113"/>
      <c r="HOS1" s="1113"/>
      <c r="HOT1" s="1113"/>
      <c r="HOU1" s="1113"/>
      <c r="HOV1" s="1113"/>
      <c r="HOW1" s="1113"/>
      <c r="HOX1" s="1113"/>
      <c r="HOY1" s="1113"/>
      <c r="HOZ1" s="1113"/>
      <c r="HPA1" s="1113"/>
      <c r="HPB1" s="1113"/>
      <c r="HPC1" s="1113"/>
      <c r="HPD1" s="1113"/>
      <c r="HPE1" s="1113"/>
      <c r="HPF1" s="1113"/>
      <c r="HPG1" s="1113"/>
      <c r="HPH1" s="1113"/>
      <c r="HPI1" s="1113"/>
      <c r="HPJ1" s="1113"/>
      <c r="HPK1" s="1113"/>
      <c r="HPL1" s="1113"/>
      <c r="HPM1" s="1113"/>
      <c r="HPN1" s="1113"/>
      <c r="HPO1" s="1113"/>
      <c r="HPP1" s="1113"/>
      <c r="HPQ1" s="1113"/>
      <c r="HPR1" s="1113"/>
      <c r="HPS1" s="1113"/>
      <c r="HPT1" s="1113"/>
      <c r="HPU1" s="1113"/>
      <c r="HPV1" s="1113"/>
      <c r="HPW1" s="1113"/>
      <c r="HPX1" s="1113"/>
      <c r="HPY1" s="1113"/>
      <c r="HPZ1" s="1113"/>
      <c r="HQA1" s="1113"/>
      <c r="HQB1" s="1113"/>
      <c r="HQC1" s="1113"/>
      <c r="HQD1" s="1113"/>
      <c r="HQE1" s="1113"/>
      <c r="HQF1" s="1113"/>
      <c r="HQG1" s="1113"/>
      <c r="HQH1" s="1113"/>
      <c r="HQI1" s="1113"/>
      <c r="HQJ1" s="1113"/>
      <c r="HQK1" s="1113"/>
      <c r="HQL1" s="1113"/>
      <c r="HQM1" s="1113"/>
      <c r="HQN1" s="1113"/>
      <c r="HQO1" s="1113"/>
      <c r="HQP1" s="1113"/>
      <c r="HQQ1" s="1113"/>
      <c r="HQR1" s="1113"/>
      <c r="HQS1" s="1113"/>
      <c r="HQT1" s="1113"/>
      <c r="HQU1" s="1113"/>
      <c r="HQV1" s="1113"/>
      <c r="HQW1" s="1113"/>
      <c r="HQX1" s="1113"/>
      <c r="HQY1" s="1113"/>
      <c r="HQZ1" s="1113"/>
      <c r="HRA1" s="1113"/>
      <c r="HRB1" s="1113"/>
      <c r="HRC1" s="1113"/>
      <c r="HRD1" s="1113"/>
      <c r="HRE1" s="1113"/>
      <c r="HRF1" s="1113"/>
      <c r="HRG1" s="1113"/>
      <c r="HRH1" s="1113"/>
      <c r="HRI1" s="1113"/>
      <c r="HRJ1" s="1113"/>
      <c r="HRK1" s="1113"/>
      <c r="HRL1" s="1113"/>
      <c r="HRM1" s="1113"/>
      <c r="HRN1" s="1113"/>
      <c r="HRO1" s="1113"/>
      <c r="HRP1" s="1113"/>
      <c r="HRQ1" s="1113"/>
      <c r="HRR1" s="1113"/>
      <c r="HRS1" s="1113"/>
      <c r="HRT1" s="1113"/>
      <c r="HRU1" s="1113"/>
      <c r="HRV1" s="1113"/>
      <c r="HRW1" s="1113"/>
      <c r="HRX1" s="1113"/>
      <c r="HRY1" s="1113"/>
      <c r="HRZ1" s="1113"/>
      <c r="HSA1" s="1113"/>
      <c r="HSB1" s="1113"/>
      <c r="HSC1" s="1113"/>
      <c r="HSD1" s="1113"/>
      <c r="HSE1" s="1113"/>
      <c r="HSF1" s="1113"/>
      <c r="HSG1" s="1113"/>
      <c r="HSH1" s="1113"/>
      <c r="HSI1" s="1113"/>
      <c r="HSJ1" s="1113"/>
      <c r="HSK1" s="1113"/>
      <c r="HSL1" s="1113"/>
      <c r="HSM1" s="1113"/>
      <c r="HSN1" s="1113"/>
      <c r="HSO1" s="1113"/>
      <c r="HSP1" s="1113"/>
      <c r="HSQ1" s="1113"/>
      <c r="HSR1" s="1113"/>
      <c r="HSS1" s="1113"/>
      <c r="HST1" s="1113"/>
      <c r="HSU1" s="1113"/>
      <c r="HSV1" s="1113"/>
      <c r="HSW1" s="1113"/>
      <c r="HSX1" s="1113"/>
      <c r="HSY1" s="1113"/>
      <c r="HSZ1" s="1113"/>
      <c r="HTA1" s="1113"/>
      <c r="HTB1" s="1113"/>
      <c r="HTC1" s="1113"/>
      <c r="HTD1" s="1113"/>
      <c r="HTE1" s="1113"/>
      <c r="HTF1" s="1113"/>
      <c r="HTG1" s="1113"/>
      <c r="HTH1" s="1113"/>
      <c r="HTI1" s="1113"/>
      <c r="HTJ1" s="1113"/>
      <c r="HTK1" s="1113"/>
      <c r="HTL1" s="1113"/>
      <c r="HTM1" s="1113"/>
      <c r="HTN1" s="1113"/>
      <c r="HTO1" s="1113"/>
      <c r="HTP1" s="1113"/>
      <c r="HTQ1" s="1113"/>
      <c r="HTR1" s="1113"/>
      <c r="HTS1" s="1113"/>
      <c r="HTT1" s="1113"/>
      <c r="HTU1" s="1113"/>
      <c r="HTV1" s="1113"/>
      <c r="HTW1" s="1113"/>
      <c r="HTX1" s="1113"/>
      <c r="HTY1" s="1113"/>
      <c r="HTZ1" s="1113"/>
      <c r="HUA1" s="1113"/>
      <c r="HUB1" s="1113"/>
      <c r="HUC1" s="1113"/>
      <c r="HUD1" s="1113"/>
      <c r="HUE1" s="1113"/>
      <c r="HUF1" s="1113"/>
      <c r="HUG1" s="1113"/>
      <c r="HUH1" s="1113"/>
      <c r="HUI1" s="1113"/>
      <c r="HUJ1" s="1113"/>
      <c r="HUK1" s="1113"/>
      <c r="HUL1" s="1113"/>
      <c r="HUM1" s="1113"/>
      <c r="HUN1" s="1113"/>
      <c r="HUO1" s="1113"/>
      <c r="HUP1" s="1113"/>
      <c r="HUQ1" s="1113"/>
      <c r="HUR1" s="1113"/>
      <c r="HUS1" s="1113"/>
      <c r="HUT1" s="1113"/>
      <c r="HUU1" s="1113"/>
      <c r="HUV1" s="1113"/>
      <c r="HUW1" s="1113"/>
      <c r="HUX1" s="1113"/>
      <c r="HUY1" s="1113"/>
      <c r="HUZ1" s="1113"/>
      <c r="HVA1" s="1113"/>
      <c r="HVB1" s="1113"/>
      <c r="HVC1" s="1113"/>
      <c r="HVD1" s="1113"/>
      <c r="HVE1" s="1113"/>
      <c r="HVF1" s="1113"/>
      <c r="HVG1" s="1113"/>
      <c r="HVH1" s="1113"/>
      <c r="HVI1" s="1113"/>
      <c r="HVJ1" s="1113"/>
      <c r="HVK1" s="1113"/>
      <c r="HVL1" s="1113"/>
      <c r="HVM1" s="1113"/>
      <c r="HVN1" s="1113"/>
      <c r="HVO1" s="1113"/>
      <c r="HVP1" s="1113"/>
      <c r="HVQ1" s="1113"/>
      <c r="HVR1" s="1113"/>
      <c r="HVS1" s="1113"/>
      <c r="HVT1" s="1113"/>
      <c r="HVU1" s="1113"/>
      <c r="HVV1" s="1113"/>
      <c r="HVW1" s="1113"/>
      <c r="HVX1" s="1113"/>
      <c r="HVY1" s="1113"/>
      <c r="HVZ1" s="1113"/>
      <c r="HWA1" s="1113"/>
      <c r="HWB1" s="1113"/>
      <c r="HWC1" s="1113"/>
      <c r="HWD1" s="1113"/>
      <c r="HWE1" s="1113"/>
      <c r="HWF1" s="1113"/>
      <c r="HWG1" s="1113"/>
      <c r="HWH1" s="1113"/>
      <c r="HWI1" s="1113"/>
      <c r="HWJ1" s="1113"/>
      <c r="HWK1" s="1113"/>
      <c r="HWL1" s="1113"/>
      <c r="HWM1" s="1113"/>
      <c r="HWN1" s="1113"/>
      <c r="HWO1" s="1113"/>
      <c r="HWP1" s="1113"/>
      <c r="HWQ1" s="1113"/>
      <c r="HWR1" s="1113"/>
      <c r="HWS1" s="1113"/>
      <c r="HWT1" s="1113"/>
      <c r="HWU1" s="1113"/>
      <c r="HWV1" s="1113"/>
      <c r="HWW1" s="1113"/>
      <c r="HWX1" s="1113"/>
      <c r="HWY1" s="1113"/>
      <c r="HWZ1" s="1113"/>
      <c r="HXA1" s="1113"/>
      <c r="HXB1" s="1113"/>
      <c r="HXC1" s="1113"/>
      <c r="HXD1" s="1113"/>
      <c r="HXE1" s="1113"/>
      <c r="HXF1" s="1113"/>
      <c r="HXG1" s="1113"/>
      <c r="HXH1" s="1113"/>
      <c r="HXI1" s="1113"/>
      <c r="HXJ1" s="1113"/>
      <c r="HXK1" s="1113"/>
      <c r="HXL1" s="1113"/>
      <c r="HXM1" s="1113"/>
      <c r="HXN1" s="1113"/>
      <c r="HXO1" s="1113"/>
      <c r="HXP1" s="1113"/>
      <c r="HXQ1" s="1113"/>
      <c r="HXR1" s="1113"/>
      <c r="HXS1" s="1113"/>
      <c r="HXT1" s="1113"/>
      <c r="HXU1" s="1113"/>
      <c r="HXV1" s="1113"/>
      <c r="HXW1" s="1113"/>
      <c r="HXX1" s="1113"/>
      <c r="HXY1" s="1113"/>
      <c r="HXZ1" s="1113"/>
      <c r="HYA1" s="1113"/>
      <c r="HYB1" s="1113"/>
      <c r="HYC1" s="1113"/>
      <c r="HYD1" s="1113"/>
      <c r="HYE1" s="1113"/>
      <c r="HYF1" s="1113"/>
      <c r="HYG1" s="1113"/>
      <c r="HYH1" s="1113"/>
      <c r="HYI1" s="1113"/>
      <c r="HYJ1" s="1113"/>
      <c r="HYK1" s="1113"/>
      <c r="HYL1" s="1113"/>
      <c r="HYM1" s="1113"/>
      <c r="HYN1" s="1113"/>
      <c r="HYO1" s="1113"/>
      <c r="HYP1" s="1113"/>
      <c r="HYQ1" s="1113"/>
      <c r="HYR1" s="1113"/>
      <c r="HYS1" s="1113"/>
      <c r="HYT1" s="1113"/>
      <c r="HYU1" s="1113"/>
      <c r="HYV1" s="1113"/>
      <c r="HYW1" s="1113"/>
      <c r="HYX1" s="1113"/>
      <c r="HYY1" s="1113"/>
      <c r="HYZ1" s="1113"/>
      <c r="HZA1" s="1113"/>
      <c r="HZB1" s="1113"/>
      <c r="HZC1" s="1113"/>
      <c r="HZD1" s="1113"/>
      <c r="HZE1" s="1113"/>
      <c r="HZF1" s="1113"/>
      <c r="HZG1" s="1113"/>
      <c r="HZH1" s="1113"/>
      <c r="HZI1" s="1113"/>
      <c r="HZJ1" s="1113"/>
      <c r="HZK1" s="1113"/>
      <c r="HZL1" s="1113"/>
      <c r="HZM1" s="1113"/>
      <c r="HZN1" s="1113"/>
      <c r="HZO1" s="1113"/>
      <c r="HZP1" s="1113"/>
      <c r="HZQ1" s="1113"/>
      <c r="HZR1" s="1113"/>
      <c r="HZS1" s="1113"/>
      <c r="HZT1" s="1113"/>
      <c r="HZU1" s="1113"/>
      <c r="HZV1" s="1113"/>
      <c r="HZW1" s="1113"/>
      <c r="HZX1" s="1113"/>
      <c r="HZY1" s="1113"/>
      <c r="HZZ1" s="1113"/>
      <c r="IAA1" s="1113"/>
      <c r="IAB1" s="1113"/>
      <c r="IAC1" s="1113"/>
      <c r="IAD1" s="1113"/>
      <c r="IAE1" s="1113"/>
      <c r="IAF1" s="1113"/>
      <c r="IAG1" s="1113"/>
      <c r="IAH1" s="1113"/>
      <c r="IAI1" s="1113"/>
      <c r="IAJ1" s="1113"/>
      <c r="IAK1" s="1113"/>
      <c r="IAL1" s="1113"/>
      <c r="IAM1" s="1113"/>
      <c r="IAN1" s="1113"/>
      <c r="IAO1" s="1113"/>
      <c r="IAP1" s="1113"/>
      <c r="IAQ1" s="1113"/>
      <c r="IAR1" s="1113"/>
      <c r="IAS1" s="1113"/>
      <c r="IAT1" s="1113"/>
      <c r="IAU1" s="1113"/>
      <c r="IAV1" s="1113"/>
      <c r="IAW1" s="1113"/>
      <c r="IAX1" s="1113"/>
      <c r="IAY1" s="1113"/>
      <c r="IAZ1" s="1113"/>
      <c r="IBA1" s="1113"/>
      <c r="IBB1" s="1113"/>
      <c r="IBC1" s="1113"/>
      <c r="IBD1" s="1113"/>
      <c r="IBE1" s="1113"/>
      <c r="IBF1" s="1113"/>
      <c r="IBG1" s="1113"/>
      <c r="IBH1" s="1113"/>
      <c r="IBI1" s="1113"/>
      <c r="IBJ1" s="1113"/>
      <c r="IBK1" s="1113"/>
      <c r="IBL1" s="1113"/>
      <c r="IBM1" s="1113"/>
      <c r="IBN1" s="1113"/>
      <c r="IBO1" s="1113"/>
      <c r="IBP1" s="1113"/>
      <c r="IBQ1" s="1113"/>
      <c r="IBR1" s="1113"/>
      <c r="IBS1" s="1113"/>
      <c r="IBT1" s="1113"/>
      <c r="IBU1" s="1113"/>
      <c r="IBV1" s="1113"/>
      <c r="IBW1" s="1113"/>
      <c r="IBX1" s="1113"/>
      <c r="IBY1" s="1113"/>
      <c r="IBZ1" s="1113"/>
      <c r="ICA1" s="1113"/>
      <c r="ICB1" s="1113"/>
      <c r="ICC1" s="1113"/>
      <c r="ICD1" s="1113"/>
      <c r="ICE1" s="1113"/>
      <c r="ICF1" s="1113"/>
      <c r="ICG1" s="1113"/>
      <c r="ICH1" s="1113"/>
      <c r="ICI1" s="1113"/>
      <c r="ICJ1" s="1113"/>
      <c r="ICK1" s="1113"/>
      <c r="ICL1" s="1113"/>
      <c r="ICM1" s="1113"/>
      <c r="ICN1" s="1113"/>
      <c r="ICO1" s="1113"/>
      <c r="ICP1" s="1113"/>
      <c r="ICQ1" s="1113"/>
      <c r="ICR1" s="1113"/>
      <c r="ICS1" s="1113"/>
      <c r="ICT1" s="1113"/>
      <c r="ICU1" s="1113"/>
      <c r="ICV1" s="1113"/>
      <c r="ICW1" s="1113"/>
      <c r="ICX1" s="1113"/>
      <c r="ICY1" s="1113"/>
      <c r="ICZ1" s="1113"/>
      <c r="IDA1" s="1113"/>
      <c r="IDB1" s="1113"/>
      <c r="IDC1" s="1113"/>
      <c r="IDD1" s="1113"/>
      <c r="IDE1" s="1113"/>
      <c r="IDF1" s="1113"/>
      <c r="IDG1" s="1113"/>
      <c r="IDH1" s="1113"/>
      <c r="IDI1" s="1113"/>
      <c r="IDJ1" s="1113"/>
      <c r="IDK1" s="1113"/>
      <c r="IDL1" s="1113"/>
      <c r="IDM1" s="1113"/>
      <c r="IDN1" s="1113"/>
      <c r="IDO1" s="1113"/>
      <c r="IDP1" s="1113"/>
      <c r="IDQ1" s="1113"/>
      <c r="IDR1" s="1113"/>
      <c r="IDS1" s="1113"/>
      <c r="IDT1" s="1113"/>
      <c r="IDU1" s="1113"/>
      <c r="IDV1" s="1113"/>
      <c r="IDW1" s="1113"/>
      <c r="IDX1" s="1113"/>
      <c r="IDY1" s="1113"/>
      <c r="IDZ1" s="1113"/>
      <c r="IEA1" s="1113"/>
      <c r="IEB1" s="1113"/>
      <c r="IEC1" s="1113"/>
      <c r="IED1" s="1113"/>
      <c r="IEE1" s="1113"/>
      <c r="IEF1" s="1113"/>
      <c r="IEG1" s="1113"/>
      <c r="IEH1" s="1113"/>
      <c r="IEI1" s="1113"/>
      <c r="IEJ1" s="1113"/>
      <c r="IEK1" s="1113"/>
      <c r="IEL1" s="1113"/>
      <c r="IEM1" s="1113"/>
      <c r="IEN1" s="1113"/>
      <c r="IEO1" s="1113"/>
      <c r="IEP1" s="1113"/>
      <c r="IEQ1" s="1113"/>
      <c r="IER1" s="1113"/>
      <c r="IES1" s="1113"/>
      <c r="IET1" s="1113"/>
      <c r="IEU1" s="1113"/>
      <c r="IEV1" s="1113"/>
      <c r="IEW1" s="1113"/>
      <c r="IEX1" s="1113"/>
      <c r="IEY1" s="1113"/>
      <c r="IEZ1" s="1113"/>
      <c r="IFA1" s="1113"/>
      <c r="IFB1" s="1113"/>
      <c r="IFC1" s="1113"/>
      <c r="IFD1" s="1113"/>
      <c r="IFE1" s="1113"/>
      <c r="IFF1" s="1113"/>
      <c r="IFG1" s="1113"/>
      <c r="IFH1" s="1113"/>
      <c r="IFI1" s="1113"/>
      <c r="IFJ1" s="1113"/>
      <c r="IFK1" s="1113"/>
      <c r="IFL1" s="1113"/>
      <c r="IFM1" s="1113"/>
      <c r="IFN1" s="1113"/>
      <c r="IFO1" s="1113"/>
      <c r="IFP1" s="1113"/>
      <c r="IFQ1" s="1113"/>
      <c r="IFR1" s="1113"/>
      <c r="IFS1" s="1113"/>
      <c r="IFT1" s="1113"/>
      <c r="IFU1" s="1113"/>
      <c r="IFV1" s="1113"/>
      <c r="IFW1" s="1113"/>
      <c r="IFX1" s="1113"/>
      <c r="IFY1" s="1113"/>
      <c r="IFZ1" s="1113"/>
      <c r="IGA1" s="1113"/>
      <c r="IGB1" s="1113"/>
      <c r="IGC1" s="1113"/>
      <c r="IGD1" s="1113"/>
      <c r="IGE1" s="1113"/>
      <c r="IGF1" s="1113"/>
      <c r="IGG1" s="1113"/>
      <c r="IGH1" s="1113"/>
      <c r="IGI1" s="1113"/>
      <c r="IGJ1" s="1113"/>
      <c r="IGK1" s="1113"/>
      <c r="IGL1" s="1113"/>
      <c r="IGM1" s="1113"/>
      <c r="IGN1" s="1113"/>
      <c r="IGO1" s="1113"/>
      <c r="IGP1" s="1113"/>
      <c r="IGQ1" s="1113"/>
      <c r="IGR1" s="1113"/>
      <c r="IGS1" s="1113"/>
      <c r="IGT1" s="1113"/>
      <c r="IGU1" s="1113"/>
      <c r="IGV1" s="1113"/>
      <c r="IGW1" s="1113"/>
      <c r="IGX1" s="1113"/>
      <c r="IGY1" s="1113"/>
      <c r="IGZ1" s="1113"/>
      <c r="IHA1" s="1113"/>
      <c r="IHB1" s="1113"/>
      <c r="IHC1" s="1113"/>
      <c r="IHD1" s="1113"/>
      <c r="IHE1" s="1113"/>
      <c r="IHF1" s="1113"/>
      <c r="IHG1" s="1113"/>
      <c r="IHH1" s="1113"/>
      <c r="IHI1" s="1113"/>
      <c r="IHJ1" s="1113"/>
      <c r="IHK1" s="1113"/>
      <c r="IHL1" s="1113"/>
      <c r="IHM1" s="1113"/>
      <c r="IHN1" s="1113"/>
      <c r="IHO1" s="1113"/>
      <c r="IHP1" s="1113"/>
      <c r="IHQ1" s="1113"/>
      <c r="IHR1" s="1113"/>
      <c r="IHS1" s="1113"/>
      <c r="IHT1" s="1113"/>
      <c r="IHU1" s="1113"/>
      <c r="IHV1" s="1113"/>
      <c r="IHW1" s="1113"/>
      <c r="IHX1" s="1113"/>
      <c r="IHY1" s="1113"/>
      <c r="IHZ1" s="1113"/>
      <c r="IIA1" s="1113"/>
      <c r="IIB1" s="1113"/>
      <c r="IIC1" s="1113"/>
      <c r="IID1" s="1113"/>
      <c r="IIE1" s="1113"/>
      <c r="IIF1" s="1113"/>
      <c r="IIG1" s="1113"/>
      <c r="IIH1" s="1113"/>
      <c r="III1" s="1113"/>
      <c r="IIJ1" s="1113"/>
      <c r="IIK1" s="1113"/>
      <c r="IIL1" s="1113"/>
      <c r="IIM1" s="1113"/>
      <c r="IIN1" s="1113"/>
      <c r="IIO1" s="1113"/>
      <c r="IIP1" s="1113"/>
      <c r="IIQ1" s="1113"/>
      <c r="IIR1" s="1113"/>
      <c r="IIS1" s="1113"/>
      <c r="IIT1" s="1113"/>
      <c r="IIU1" s="1113"/>
      <c r="IIV1" s="1113"/>
      <c r="IIW1" s="1113"/>
      <c r="IIX1" s="1113"/>
      <c r="IIY1" s="1113"/>
      <c r="IIZ1" s="1113"/>
      <c r="IJA1" s="1113"/>
      <c r="IJB1" s="1113"/>
      <c r="IJC1" s="1113"/>
      <c r="IJD1" s="1113"/>
      <c r="IJE1" s="1113"/>
      <c r="IJF1" s="1113"/>
      <c r="IJG1" s="1113"/>
      <c r="IJH1" s="1113"/>
      <c r="IJI1" s="1113"/>
      <c r="IJJ1" s="1113"/>
      <c r="IJK1" s="1113"/>
      <c r="IJL1" s="1113"/>
      <c r="IJM1" s="1113"/>
      <c r="IJN1" s="1113"/>
      <c r="IJO1" s="1113"/>
      <c r="IJP1" s="1113"/>
      <c r="IJQ1" s="1113"/>
      <c r="IJR1" s="1113"/>
      <c r="IJS1" s="1113"/>
      <c r="IJT1" s="1113"/>
      <c r="IJU1" s="1113"/>
      <c r="IJV1" s="1113"/>
      <c r="IJW1" s="1113"/>
      <c r="IJX1" s="1113"/>
      <c r="IJY1" s="1113"/>
      <c r="IJZ1" s="1113"/>
      <c r="IKA1" s="1113"/>
      <c r="IKB1" s="1113"/>
      <c r="IKC1" s="1113"/>
      <c r="IKD1" s="1113"/>
      <c r="IKE1" s="1113"/>
      <c r="IKF1" s="1113"/>
      <c r="IKG1" s="1113"/>
      <c r="IKH1" s="1113"/>
      <c r="IKI1" s="1113"/>
      <c r="IKJ1" s="1113"/>
      <c r="IKK1" s="1113"/>
      <c r="IKL1" s="1113"/>
      <c r="IKM1" s="1113"/>
      <c r="IKN1" s="1113"/>
      <c r="IKO1" s="1113"/>
      <c r="IKP1" s="1113"/>
      <c r="IKQ1" s="1113"/>
      <c r="IKR1" s="1113"/>
      <c r="IKS1" s="1113"/>
      <c r="IKT1" s="1113"/>
      <c r="IKU1" s="1113"/>
      <c r="IKV1" s="1113"/>
      <c r="IKW1" s="1113"/>
      <c r="IKX1" s="1113"/>
      <c r="IKY1" s="1113"/>
      <c r="IKZ1" s="1113"/>
      <c r="ILA1" s="1113"/>
      <c r="ILB1" s="1113"/>
      <c r="ILC1" s="1113"/>
      <c r="ILD1" s="1113"/>
      <c r="ILE1" s="1113"/>
      <c r="ILF1" s="1113"/>
      <c r="ILG1" s="1113"/>
      <c r="ILH1" s="1113"/>
      <c r="ILI1" s="1113"/>
      <c r="ILJ1" s="1113"/>
      <c r="ILK1" s="1113"/>
      <c r="ILL1" s="1113"/>
      <c r="ILM1" s="1113"/>
      <c r="ILN1" s="1113"/>
      <c r="ILO1" s="1113"/>
      <c r="ILP1" s="1113"/>
      <c r="ILQ1" s="1113"/>
      <c r="ILR1" s="1113"/>
      <c r="ILS1" s="1113"/>
      <c r="ILT1" s="1113"/>
      <c r="ILU1" s="1113"/>
      <c r="ILV1" s="1113"/>
      <c r="ILW1" s="1113"/>
      <c r="ILX1" s="1113"/>
      <c r="ILY1" s="1113"/>
      <c r="ILZ1" s="1113"/>
      <c r="IMA1" s="1113"/>
      <c r="IMB1" s="1113"/>
      <c r="IMC1" s="1113"/>
      <c r="IMD1" s="1113"/>
      <c r="IME1" s="1113"/>
      <c r="IMF1" s="1113"/>
      <c r="IMG1" s="1113"/>
      <c r="IMH1" s="1113"/>
      <c r="IMI1" s="1113"/>
      <c r="IMJ1" s="1113"/>
      <c r="IMK1" s="1113"/>
      <c r="IML1" s="1113"/>
      <c r="IMM1" s="1113"/>
      <c r="IMN1" s="1113"/>
      <c r="IMO1" s="1113"/>
      <c r="IMP1" s="1113"/>
      <c r="IMQ1" s="1113"/>
      <c r="IMR1" s="1113"/>
      <c r="IMS1" s="1113"/>
      <c r="IMT1" s="1113"/>
      <c r="IMU1" s="1113"/>
      <c r="IMV1" s="1113"/>
      <c r="IMW1" s="1113"/>
      <c r="IMX1" s="1113"/>
      <c r="IMY1" s="1113"/>
      <c r="IMZ1" s="1113"/>
      <c r="INA1" s="1113"/>
      <c r="INB1" s="1113"/>
      <c r="INC1" s="1113"/>
      <c r="IND1" s="1113"/>
      <c r="INE1" s="1113"/>
      <c r="INF1" s="1113"/>
      <c r="ING1" s="1113"/>
      <c r="INH1" s="1113"/>
      <c r="INI1" s="1113"/>
      <c r="INJ1" s="1113"/>
      <c r="INK1" s="1113"/>
      <c r="INL1" s="1113"/>
      <c r="INM1" s="1113"/>
      <c r="INN1" s="1113"/>
      <c r="INO1" s="1113"/>
      <c r="INP1" s="1113"/>
      <c r="INQ1" s="1113"/>
      <c r="INR1" s="1113"/>
      <c r="INS1" s="1113"/>
      <c r="INT1" s="1113"/>
      <c r="INU1" s="1113"/>
      <c r="INV1" s="1113"/>
      <c r="INW1" s="1113"/>
      <c r="INX1" s="1113"/>
      <c r="INY1" s="1113"/>
      <c r="INZ1" s="1113"/>
      <c r="IOA1" s="1113"/>
      <c r="IOB1" s="1113"/>
      <c r="IOC1" s="1113"/>
      <c r="IOD1" s="1113"/>
      <c r="IOE1" s="1113"/>
      <c r="IOF1" s="1113"/>
      <c r="IOG1" s="1113"/>
      <c r="IOH1" s="1113"/>
      <c r="IOI1" s="1113"/>
      <c r="IOJ1" s="1113"/>
      <c r="IOK1" s="1113"/>
      <c r="IOL1" s="1113"/>
      <c r="IOM1" s="1113"/>
      <c r="ION1" s="1113"/>
      <c r="IOO1" s="1113"/>
      <c r="IOP1" s="1113"/>
      <c r="IOQ1" s="1113"/>
      <c r="IOR1" s="1113"/>
      <c r="IOS1" s="1113"/>
      <c r="IOT1" s="1113"/>
      <c r="IOU1" s="1113"/>
      <c r="IOV1" s="1113"/>
      <c r="IOW1" s="1113"/>
      <c r="IOX1" s="1113"/>
      <c r="IOY1" s="1113"/>
      <c r="IOZ1" s="1113"/>
      <c r="IPA1" s="1113"/>
      <c r="IPB1" s="1113"/>
      <c r="IPC1" s="1113"/>
      <c r="IPD1" s="1113"/>
      <c r="IPE1" s="1113"/>
      <c r="IPF1" s="1113"/>
      <c r="IPG1" s="1113"/>
      <c r="IPH1" s="1113"/>
      <c r="IPI1" s="1113"/>
      <c r="IPJ1" s="1113"/>
      <c r="IPK1" s="1113"/>
      <c r="IPL1" s="1113"/>
      <c r="IPM1" s="1113"/>
      <c r="IPN1" s="1113"/>
      <c r="IPO1" s="1113"/>
      <c r="IPP1" s="1113"/>
      <c r="IPQ1" s="1113"/>
      <c r="IPR1" s="1113"/>
      <c r="IPS1" s="1113"/>
      <c r="IPT1" s="1113"/>
      <c r="IPU1" s="1113"/>
      <c r="IPV1" s="1113"/>
      <c r="IPW1" s="1113"/>
      <c r="IPX1" s="1113"/>
      <c r="IPY1" s="1113"/>
      <c r="IPZ1" s="1113"/>
      <c r="IQA1" s="1113"/>
      <c r="IQB1" s="1113"/>
      <c r="IQC1" s="1113"/>
      <c r="IQD1" s="1113"/>
      <c r="IQE1" s="1113"/>
      <c r="IQF1" s="1113"/>
      <c r="IQG1" s="1113"/>
      <c r="IQH1" s="1113"/>
      <c r="IQI1" s="1113"/>
      <c r="IQJ1" s="1113"/>
      <c r="IQK1" s="1113"/>
      <c r="IQL1" s="1113"/>
      <c r="IQM1" s="1113"/>
      <c r="IQN1" s="1113"/>
      <c r="IQO1" s="1113"/>
      <c r="IQP1" s="1113"/>
      <c r="IQQ1" s="1113"/>
      <c r="IQR1" s="1113"/>
      <c r="IQS1" s="1113"/>
      <c r="IQT1" s="1113"/>
      <c r="IQU1" s="1113"/>
      <c r="IQV1" s="1113"/>
      <c r="IQW1" s="1113"/>
      <c r="IQX1" s="1113"/>
      <c r="IQY1" s="1113"/>
      <c r="IQZ1" s="1113"/>
      <c r="IRA1" s="1113"/>
      <c r="IRB1" s="1113"/>
      <c r="IRC1" s="1113"/>
      <c r="IRD1" s="1113"/>
      <c r="IRE1" s="1113"/>
      <c r="IRF1" s="1113"/>
      <c r="IRG1" s="1113"/>
      <c r="IRH1" s="1113"/>
      <c r="IRI1" s="1113"/>
      <c r="IRJ1" s="1113"/>
      <c r="IRK1" s="1113"/>
      <c r="IRL1" s="1113"/>
      <c r="IRM1" s="1113"/>
      <c r="IRN1" s="1113"/>
      <c r="IRO1" s="1113"/>
      <c r="IRP1" s="1113"/>
      <c r="IRQ1" s="1113"/>
      <c r="IRR1" s="1113"/>
      <c r="IRS1" s="1113"/>
      <c r="IRT1" s="1113"/>
      <c r="IRU1" s="1113"/>
      <c r="IRV1" s="1113"/>
      <c r="IRW1" s="1113"/>
      <c r="IRX1" s="1113"/>
      <c r="IRY1" s="1113"/>
      <c r="IRZ1" s="1113"/>
      <c r="ISA1" s="1113"/>
      <c r="ISB1" s="1113"/>
      <c r="ISC1" s="1113"/>
      <c r="ISD1" s="1113"/>
      <c r="ISE1" s="1113"/>
      <c r="ISF1" s="1113"/>
      <c r="ISG1" s="1113"/>
      <c r="ISH1" s="1113"/>
      <c r="ISI1" s="1113"/>
      <c r="ISJ1" s="1113"/>
      <c r="ISK1" s="1113"/>
      <c r="ISL1" s="1113"/>
      <c r="ISM1" s="1113"/>
      <c r="ISN1" s="1113"/>
      <c r="ISO1" s="1113"/>
      <c r="ISP1" s="1113"/>
      <c r="ISQ1" s="1113"/>
      <c r="ISR1" s="1113"/>
      <c r="ISS1" s="1113"/>
      <c r="IST1" s="1113"/>
      <c r="ISU1" s="1113"/>
      <c r="ISV1" s="1113"/>
      <c r="ISW1" s="1113"/>
      <c r="ISX1" s="1113"/>
      <c r="ISY1" s="1113"/>
      <c r="ISZ1" s="1113"/>
      <c r="ITA1" s="1113"/>
      <c r="ITB1" s="1113"/>
      <c r="ITC1" s="1113"/>
      <c r="ITD1" s="1113"/>
      <c r="ITE1" s="1113"/>
      <c r="ITF1" s="1113"/>
      <c r="ITG1" s="1113"/>
      <c r="ITH1" s="1113"/>
      <c r="ITI1" s="1113"/>
      <c r="ITJ1" s="1113"/>
      <c r="ITK1" s="1113"/>
      <c r="ITL1" s="1113"/>
      <c r="ITM1" s="1113"/>
      <c r="ITN1" s="1113"/>
      <c r="ITO1" s="1113"/>
      <c r="ITP1" s="1113"/>
      <c r="ITQ1" s="1113"/>
      <c r="ITR1" s="1113"/>
      <c r="ITS1" s="1113"/>
      <c r="ITT1" s="1113"/>
      <c r="ITU1" s="1113"/>
      <c r="ITV1" s="1113"/>
      <c r="ITW1" s="1113"/>
      <c r="ITX1" s="1113"/>
      <c r="ITY1" s="1113"/>
      <c r="ITZ1" s="1113"/>
      <c r="IUA1" s="1113"/>
      <c r="IUB1" s="1113"/>
      <c r="IUC1" s="1113"/>
      <c r="IUD1" s="1113"/>
      <c r="IUE1" s="1113"/>
      <c r="IUF1" s="1113"/>
      <c r="IUG1" s="1113"/>
      <c r="IUH1" s="1113"/>
      <c r="IUI1" s="1113"/>
      <c r="IUJ1" s="1113"/>
      <c r="IUK1" s="1113"/>
      <c r="IUL1" s="1113"/>
      <c r="IUM1" s="1113"/>
      <c r="IUN1" s="1113"/>
      <c r="IUO1" s="1113"/>
      <c r="IUP1" s="1113"/>
      <c r="IUQ1" s="1113"/>
      <c r="IUR1" s="1113"/>
      <c r="IUS1" s="1113"/>
      <c r="IUT1" s="1113"/>
      <c r="IUU1" s="1113"/>
      <c r="IUV1" s="1113"/>
      <c r="IUW1" s="1113"/>
      <c r="IUX1" s="1113"/>
      <c r="IUY1" s="1113"/>
      <c r="IUZ1" s="1113"/>
      <c r="IVA1" s="1113"/>
      <c r="IVB1" s="1113"/>
      <c r="IVC1" s="1113"/>
      <c r="IVD1" s="1113"/>
      <c r="IVE1" s="1113"/>
      <c r="IVF1" s="1113"/>
      <c r="IVG1" s="1113"/>
      <c r="IVH1" s="1113"/>
      <c r="IVI1" s="1113"/>
      <c r="IVJ1" s="1113"/>
      <c r="IVK1" s="1113"/>
      <c r="IVL1" s="1113"/>
      <c r="IVM1" s="1113"/>
      <c r="IVN1" s="1113"/>
      <c r="IVO1" s="1113"/>
      <c r="IVP1" s="1113"/>
      <c r="IVQ1" s="1113"/>
      <c r="IVR1" s="1113"/>
      <c r="IVS1" s="1113"/>
      <c r="IVT1" s="1113"/>
      <c r="IVU1" s="1113"/>
      <c r="IVV1" s="1113"/>
      <c r="IVW1" s="1113"/>
      <c r="IVX1" s="1113"/>
      <c r="IVY1" s="1113"/>
      <c r="IVZ1" s="1113"/>
      <c r="IWA1" s="1113"/>
      <c r="IWB1" s="1113"/>
      <c r="IWC1" s="1113"/>
      <c r="IWD1" s="1113"/>
      <c r="IWE1" s="1113"/>
      <c r="IWF1" s="1113"/>
      <c r="IWG1" s="1113"/>
      <c r="IWH1" s="1113"/>
      <c r="IWI1" s="1113"/>
      <c r="IWJ1" s="1113"/>
      <c r="IWK1" s="1113"/>
      <c r="IWL1" s="1113"/>
      <c r="IWM1" s="1113"/>
      <c r="IWN1" s="1113"/>
      <c r="IWO1" s="1113"/>
      <c r="IWP1" s="1113"/>
      <c r="IWQ1" s="1113"/>
      <c r="IWR1" s="1113"/>
      <c r="IWS1" s="1113"/>
      <c r="IWT1" s="1113"/>
      <c r="IWU1" s="1113"/>
      <c r="IWV1" s="1113"/>
      <c r="IWW1" s="1113"/>
      <c r="IWX1" s="1113"/>
      <c r="IWY1" s="1113"/>
      <c r="IWZ1" s="1113"/>
      <c r="IXA1" s="1113"/>
      <c r="IXB1" s="1113"/>
      <c r="IXC1" s="1113"/>
      <c r="IXD1" s="1113"/>
      <c r="IXE1" s="1113"/>
      <c r="IXF1" s="1113"/>
      <c r="IXG1" s="1113"/>
      <c r="IXH1" s="1113"/>
      <c r="IXI1" s="1113"/>
      <c r="IXJ1" s="1113"/>
      <c r="IXK1" s="1113"/>
      <c r="IXL1" s="1113"/>
      <c r="IXM1" s="1113"/>
      <c r="IXN1" s="1113"/>
      <c r="IXO1" s="1113"/>
      <c r="IXP1" s="1113"/>
      <c r="IXQ1" s="1113"/>
      <c r="IXR1" s="1113"/>
      <c r="IXS1" s="1113"/>
      <c r="IXT1" s="1113"/>
      <c r="IXU1" s="1113"/>
      <c r="IXV1" s="1113"/>
      <c r="IXW1" s="1113"/>
      <c r="IXX1" s="1113"/>
      <c r="IXY1" s="1113"/>
      <c r="IXZ1" s="1113"/>
      <c r="IYA1" s="1113"/>
      <c r="IYB1" s="1113"/>
      <c r="IYC1" s="1113"/>
      <c r="IYD1" s="1113"/>
      <c r="IYE1" s="1113"/>
      <c r="IYF1" s="1113"/>
      <c r="IYG1" s="1113"/>
      <c r="IYH1" s="1113"/>
      <c r="IYI1" s="1113"/>
      <c r="IYJ1" s="1113"/>
      <c r="IYK1" s="1113"/>
      <c r="IYL1" s="1113"/>
      <c r="IYM1" s="1113"/>
      <c r="IYN1" s="1113"/>
      <c r="IYO1" s="1113"/>
      <c r="IYP1" s="1113"/>
      <c r="IYQ1" s="1113"/>
      <c r="IYR1" s="1113"/>
      <c r="IYS1" s="1113"/>
      <c r="IYT1" s="1113"/>
      <c r="IYU1" s="1113"/>
      <c r="IYV1" s="1113"/>
      <c r="IYW1" s="1113"/>
      <c r="IYX1" s="1113"/>
      <c r="IYY1" s="1113"/>
      <c r="IYZ1" s="1113"/>
      <c r="IZA1" s="1113"/>
      <c r="IZB1" s="1113"/>
      <c r="IZC1" s="1113"/>
      <c r="IZD1" s="1113"/>
      <c r="IZE1" s="1113"/>
      <c r="IZF1" s="1113"/>
      <c r="IZG1" s="1113"/>
      <c r="IZH1" s="1113"/>
      <c r="IZI1" s="1113"/>
      <c r="IZJ1" s="1113"/>
      <c r="IZK1" s="1113"/>
      <c r="IZL1" s="1113"/>
      <c r="IZM1" s="1113"/>
      <c r="IZN1" s="1113"/>
      <c r="IZO1" s="1113"/>
      <c r="IZP1" s="1113"/>
      <c r="IZQ1" s="1113"/>
      <c r="IZR1" s="1113"/>
      <c r="IZS1" s="1113"/>
      <c r="IZT1" s="1113"/>
      <c r="IZU1" s="1113"/>
      <c r="IZV1" s="1113"/>
      <c r="IZW1" s="1113"/>
      <c r="IZX1" s="1113"/>
      <c r="IZY1" s="1113"/>
      <c r="IZZ1" s="1113"/>
      <c r="JAA1" s="1113"/>
      <c r="JAB1" s="1113"/>
      <c r="JAC1" s="1113"/>
      <c r="JAD1" s="1113"/>
      <c r="JAE1" s="1113"/>
      <c r="JAF1" s="1113"/>
      <c r="JAG1" s="1113"/>
      <c r="JAH1" s="1113"/>
      <c r="JAI1" s="1113"/>
      <c r="JAJ1" s="1113"/>
      <c r="JAK1" s="1113"/>
      <c r="JAL1" s="1113"/>
      <c r="JAM1" s="1113"/>
      <c r="JAN1" s="1113"/>
      <c r="JAO1" s="1113"/>
      <c r="JAP1" s="1113"/>
      <c r="JAQ1" s="1113"/>
      <c r="JAR1" s="1113"/>
      <c r="JAS1" s="1113"/>
      <c r="JAT1" s="1113"/>
      <c r="JAU1" s="1113"/>
      <c r="JAV1" s="1113"/>
      <c r="JAW1" s="1113"/>
      <c r="JAX1" s="1113"/>
      <c r="JAY1" s="1113"/>
      <c r="JAZ1" s="1113"/>
      <c r="JBA1" s="1113"/>
      <c r="JBB1" s="1113"/>
      <c r="JBC1" s="1113"/>
      <c r="JBD1" s="1113"/>
      <c r="JBE1" s="1113"/>
      <c r="JBF1" s="1113"/>
      <c r="JBG1" s="1113"/>
      <c r="JBH1" s="1113"/>
      <c r="JBI1" s="1113"/>
      <c r="JBJ1" s="1113"/>
      <c r="JBK1" s="1113"/>
      <c r="JBL1" s="1113"/>
      <c r="JBM1" s="1113"/>
      <c r="JBN1" s="1113"/>
      <c r="JBO1" s="1113"/>
      <c r="JBP1" s="1113"/>
      <c r="JBQ1" s="1113"/>
      <c r="JBR1" s="1113"/>
      <c r="JBS1" s="1113"/>
      <c r="JBT1" s="1113"/>
      <c r="JBU1" s="1113"/>
      <c r="JBV1" s="1113"/>
      <c r="JBW1" s="1113"/>
      <c r="JBX1" s="1113"/>
      <c r="JBY1" s="1113"/>
      <c r="JBZ1" s="1113"/>
      <c r="JCA1" s="1113"/>
      <c r="JCB1" s="1113"/>
      <c r="JCC1" s="1113"/>
      <c r="JCD1" s="1113"/>
      <c r="JCE1" s="1113"/>
      <c r="JCF1" s="1113"/>
      <c r="JCG1" s="1113"/>
      <c r="JCH1" s="1113"/>
      <c r="JCI1" s="1113"/>
      <c r="JCJ1" s="1113"/>
      <c r="JCK1" s="1113"/>
      <c r="JCL1" s="1113"/>
      <c r="JCM1" s="1113"/>
      <c r="JCN1" s="1113"/>
      <c r="JCO1" s="1113"/>
      <c r="JCP1" s="1113"/>
      <c r="JCQ1" s="1113"/>
      <c r="JCR1" s="1113"/>
      <c r="JCS1" s="1113"/>
      <c r="JCT1" s="1113"/>
      <c r="JCU1" s="1113"/>
      <c r="JCV1" s="1113"/>
      <c r="JCW1" s="1113"/>
      <c r="JCX1" s="1113"/>
      <c r="JCY1" s="1113"/>
      <c r="JCZ1" s="1113"/>
      <c r="JDA1" s="1113"/>
      <c r="JDB1" s="1113"/>
      <c r="JDC1" s="1113"/>
      <c r="JDD1" s="1113"/>
      <c r="JDE1" s="1113"/>
      <c r="JDF1" s="1113"/>
      <c r="JDG1" s="1113"/>
      <c r="JDH1" s="1113"/>
      <c r="JDI1" s="1113"/>
      <c r="JDJ1" s="1113"/>
      <c r="JDK1" s="1113"/>
      <c r="JDL1" s="1113"/>
      <c r="JDM1" s="1113"/>
      <c r="JDN1" s="1113"/>
      <c r="JDO1" s="1113"/>
      <c r="JDP1" s="1113"/>
      <c r="JDQ1" s="1113"/>
      <c r="JDR1" s="1113"/>
      <c r="JDS1" s="1113"/>
      <c r="JDT1" s="1113"/>
      <c r="JDU1" s="1113"/>
      <c r="JDV1" s="1113"/>
      <c r="JDW1" s="1113"/>
      <c r="JDX1" s="1113"/>
      <c r="JDY1" s="1113"/>
      <c r="JDZ1" s="1113"/>
      <c r="JEA1" s="1113"/>
      <c r="JEB1" s="1113"/>
      <c r="JEC1" s="1113"/>
      <c r="JED1" s="1113"/>
      <c r="JEE1" s="1113"/>
      <c r="JEF1" s="1113"/>
      <c r="JEG1" s="1113"/>
      <c r="JEH1" s="1113"/>
      <c r="JEI1" s="1113"/>
      <c r="JEJ1" s="1113"/>
      <c r="JEK1" s="1113"/>
      <c r="JEL1" s="1113"/>
      <c r="JEM1" s="1113"/>
      <c r="JEN1" s="1113"/>
      <c r="JEO1" s="1113"/>
      <c r="JEP1" s="1113"/>
      <c r="JEQ1" s="1113"/>
      <c r="JER1" s="1113"/>
      <c r="JES1" s="1113"/>
      <c r="JET1" s="1113"/>
      <c r="JEU1" s="1113"/>
      <c r="JEV1" s="1113"/>
      <c r="JEW1" s="1113"/>
      <c r="JEX1" s="1113"/>
      <c r="JEY1" s="1113"/>
      <c r="JEZ1" s="1113"/>
      <c r="JFA1" s="1113"/>
      <c r="JFB1" s="1113"/>
      <c r="JFC1" s="1113"/>
      <c r="JFD1" s="1113"/>
      <c r="JFE1" s="1113"/>
      <c r="JFF1" s="1113"/>
      <c r="JFG1" s="1113"/>
      <c r="JFH1" s="1113"/>
      <c r="JFI1" s="1113"/>
      <c r="JFJ1" s="1113"/>
      <c r="JFK1" s="1113"/>
      <c r="JFL1" s="1113"/>
      <c r="JFM1" s="1113"/>
      <c r="JFN1" s="1113"/>
      <c r="JFO1" s="1113"/>
      <c r="JFP1" s="1113"/>
      <c r="JFQ1" s="1113"/>
      <c r="JFR1" s="1113"/>
      <c r="JFS1" s="1113"/>
      <c r="JFT1" s="1113"/>
      <c r="JFU1" s="1113"/>
      <c r="JFV1" s="1113"/>
      <c r="JFW1" s="1113"/>
      <c r="JFX1" s="1113"/>
      <c r="JFY1" s="1113"/>
      <c r="JFZ1" s="1113"/>
      <c r="JGA1" s="1113"/>
      <c r="JGB1" s="1113"/>
      <c r="JGC1" s="1113"/>
      <c r="JGD1" s="1113"/>
      <c r="JGE1" s="1113"/>
      <c r="JGF1" s="1113"/>
      <c r="JGG1" s="1113"/>
      <c r="JGH1" s="1113"/>
      <c r="JGI1" s="1113"/>
      <c r="JGJ1" s="1113"/>
      <c r="JGK1" s="1113"/>
      <c r="JGL1" s="1113"/>
      <c r="JGM1" s="1113"/>
      <c r="JGN1" s="1113"/>
      <c r="JGO1" s="1113"/>
      <c r="JGP1" s="1113"/>
      <c r="JGQ1" s="1113"/>
      <c r="JGR1" s="1113"/>
      <c r="JGS1" s="1113"/>
      <c r="JGT1" s="1113"/>
      <c r="JGU1" s="1113"/>
      <c r="JGV1" s="1113"/>
      <c r="JGW1" s="1113"/>
      <c r="JGX1" s="1113"/>
      <c r="JGY1" s="1113"/>
      <c r="JGZ1" s="1113"/>
      <c r="JHA1" s="1113"/>
      <c r="JHB1" s="1113"/>
      <c r="JHC1" s="1113"/>
      <c r="JHD1" s="1113"/>
      <c r="JHE1" s="1113"/>
      <c r="JHF1" s="1113"/>
      <c r="JHG1" s="1113"/>
      <c r="JHH1" s="1113"/>
      <c r="JHI1" s="1113"/>
      <c r="JHJ1" s="1113"/>
      <c r="JHK1" s="1113"/>
      <c r="JHL1" s="1113"/>
      <c r="JHM1" s="1113"/>
      <c r="JHN1" s="1113"/>
      <c r="JHO1" s="1113"/>
      <c r="JHP1" s="1113"/>
      <c r="JHQ1" s="1113"/>
      <c r="JHR1" s="1113"/>
      <c r="JHS1" s="1113"/>
      <c r="JHT1" s="1113"/>
      <c r="JHU1" s="1113"/>
      <c r="JHV1" s="1113"/>
      <c r="JHW1" s="1113"/>
      <c r="JHX1" s="1113"/>
      <c r="JHY1" s="1113"/>
      <c r="JHZ1" s="1113"/>
      <c r="JIA1" s="1113"/>
      <c r="JIB1" s="1113"/>
      <c r="JIC1" s="1113"/>
      <c r="JID1" s="1113"/>
      <c r="JIE1" s="1113"/>
      <c r="JIF1" s="1113"/>
      <c r="JIG1" s="1113"/>
      <c r="JIH1" s="1113"/>
      <c r="JII1" s="1113"/>
      <c r="JIJ1" s="1113"/>
      <c r="JIK1" s="1113"/>
      <c r="JIL1" s="1113"/>
      <c r="JIM1" s="1113"/>
      <c r="JIN1" s="1113"/>
      <c r="JIO1" s="1113"/>
      <c r="JIP1" s="1113"/>
      <c r="JIQ1" s="1113"/>
      <c r="JIR1" s="1113"/>
      <c r="JIS1" s="1113"/>
      <c r="JIT1" s="1113"/>
      <c r="JIU1" s="1113"/>
      <c r="JIV1" s="1113"/>
      <c r="JIW1" s="1113"/>
      <c r="JIX1" s="1113"/>
      <c r="JIY1" s="1113"/>
      <c r="JIZ1" s="1113"/>
      <c r="JJA1" s="1113"/>
      <c r="JJB1" s="1113"/>
      <c r="JJC1" s="1113"/>
      <c r="JJD1" s="1113"/>
      <c r="JJE1" s="1113"/>
      <c r="JJF1" s="1113"/>
      <c r="JJG1" s="1113"/>
      <c r="JJH1" s="1113"/>
      <c r="JJI1" s="1113"/>
      <c r="JJJ1" s="1113"/>
      <c r="JJK1" s="1113"/>
      <c r="JJL1" s="1113"/>
      <c r="JJM1" s="1113"/>
      <c r="JJN1" s="1113"/>
      <c r="JJO1" s="1113"/>
      <c r="JJP1" s="1113"/>
      <c r="JJQ1" s="1113"/>
      <c r="JJR1" s="1113"/>
      <c r="JJS1" s="1113"/>
      <c r="JJT1" s="1113"/>
      <c r="JJU1" s="1113"/>
      <c r="JJV1" s="1113"/>
      <c r="JJW1" s="1113"/>
      <c r="JJX1" s="1113"/>
      <c r="JJY1" s="1113"/>
      <c r="JJZ1" s="1113"/>
      <c r="JKA1" s="1113"/>
      <c r="JKB1" s="1113"/>
      <c r="JKC1" s="1113"/>
      <c r="JKD1" s="1113"/>
      <c r="JKE1" s="1113"/>
      <c r="JKF1" s="1113"/>
      <c r="JKG1" s="1113"/>
      <c r="JKH1" s="1113"/>
      <c r="JKI1" s="1113"/>
      <c r="JKJ1" s="1113"/>
      <c r="JKK1" s="1113"/>
      <c r="JKL1" s="1113"/>
      <c r="JKM1" s="1113"/>
      <c r="JKN1" s="1113"/>
      <c r="JKO1" s="1113"/>
      <c r="JKP1" s="1113"/>
      <c r="JKQ1" s="1113"/>
      <c r="JKR1" s="1113"/>
      <c r="JKS1" s="1113"/>
      <c r="JKT1" s="1113"/>
      <c r="JKU1" s="1113"/>
      <c r="JKV1" s="1113"/>
      <c r="JKW1" s="1113"/>
      <c r="JKX1" s="1113"/>
      <c r="JKY1" s="1113"/>
      <c r="JKZ1" s="1113"/>
      <c r="JLA1" s="1113"/>
      <c r="JLB1" s="1113"/>
      <c r="JLC1" s="1113"/>
      <c r="JLD1" s="1113"/>
      <c r="JLE1" s="1113"/>
      <c r="JLF1" s="1113"/>
      <c r="JLG1" s="1113"/>
      <c r="JLH1" s="1113"/>
      <c r="JLI1" s="1113"/>
      <c r="JLJ1" s="1113"/>
      <c r="JLK1" s="1113"/>
      <c r="JLL1" s="1113"/>
      <c r="JLM1" s="1113"/>
      <c r="JLN1" s="1113"/>
      <c r="JLO1" s="1113"/>
      <c r="JLP1" s="1113"/>
      <c r="JLQ1" s="1113"/>
      <c r="JLR1" s="1113"/>
      <c r="JLS1" s="1113"/>
      <c r="JLT1" s="1113"/>
      <c r="JLU1" s="1113"/>
      <c r="JLV1" s="1113"/>
      <c r="JLW1" s="1113"/>
      <c r="JLX1" s="1113"/>
      <c r="JLY1" s="1113"/>
      <c r="JLZ1" s="1113"/>
      <c r="JMA1" s="1113"/>
      <c r="JMB1" s="1113"/>
      <c r="JMC1" s="1113"/>
      <c r="JMD1" s="1113"/>
      <c r="JME1" s="1113"/>
      <c r="JMF1" s="1113"/>
      <c r="JMG1" s="1113"/>
      <c r="JMH1" s="1113"/>
      <c r="JMI1" s="1113"/>
      <c r="JMJ1" s="1113"/>
      <c r="JMK1" s="1113"/>
      <c r="JML1" s="1113"/>
      <c r="JMM1" s="1113"/>
      <c r="JMN1" s="1113"/>
      <c r="JMO1" s="1113"/>
      <c r="JMP1" s="1113"/>
      <c r="JMQ1" s="1113"/>
      <c r="JMR1" s="1113"/>
      <c r="JMS1" s="1113"/>
      <c r="JMT1" s="1113"/>
      <c r="JMU1" s="1113"/>
      <c r="JMV1" s="1113"/>
      <c r="JMW1" s="1113"/>
      <c r="JMX1" s="1113"/>
      <c r="JMY1" s="1113"/>
      <c r="JMZ1" s="1113"/>
      <c r="JNA1" s="1113"/>
      <c r="JNB1" s="1113"/>
      <c r="JNC1" s="1113"/>
      <c r="JND1" s="1113"/>
      <c r="JNE1" s="1113"/>
      <c r="JNF1" s="1113"/>
      <c r="JNG1" s="1113"/>
      <c r="JNH1" s="1113"/>
      <c r="JNI1" s="1113"/>
      <c r="JNJ1" s="1113"/>
      <c r="JNK1" s="1113"/>
      <c r="JNL1" s="1113"/>
      <c r="JNM1" s="1113"/>
      <c r="JNN1" s="1113"/>
      <c r="JNO1" s="1113"/>
      <c r="JNP1" s="1113"/>
      <c r="JNQ1" s="1113"/>
      <c r="JNR1" s="1113"/>
      <c r="JNS1" s="1113"/>
      <c r="JNT1" s="1113"/>
      <c r="JNU1" s="1113"/>
      <c r="JNV1" s="1113"/>
      <c r="JNW1" s="1113"/>
      <c r="JNX1" s="1113"/>
      <c r="JNY1" s="1113"/>
      <c r="JNZ1" s="1113"/>
      <c r="JOA1" s="1113"/>
      <c r="JOB1" s="1113"/>
      <c r="JOC1" s="1113"/>
      <c r="JOD1" s="1113"/>
      <c r="JOE1" s="1113"/>
      <c r="JOF1" s="1113"/>
      <c r="JOG1" s="1113"/>
      <c r="JOH1" s="1113"/>
      <c r="JOI1" s="1113"/>
      <c r="JOJ1" s="1113"/>
      <c r="JOK1" s="1113"/>
      <c r="JOL1" s="1113"/>
      <c r="JOM1" s="1113"/>
      <c r="JON1" s="1113"/>
      <c r="JOO1" s="1113"/>
      <c r="JOP1" s="1113"/>
      <c r="JOQ1" s="1113"/>
      <c r="JOR1" s="1113"/>
      <c r="JOS1" s="1113"/>
      <c r="JOT1" s="1113"/>
      <c r="JOU1" s="1113"/>
      <c r="JOV1" s="1113"/>
      <c r="JOW1" s="1113"/>
      <c r="JOX1" s="1113"/>
      <c r="JOY1" s="1113"/>
      <c r="JOZ1" s="1113"/>
      <c r="JPA1" s="1113"/>
      <c r="JPB1" s="1113"/>
      <c r="JPC1" s="1113"/>
      <c r="JPD1" s="1113"/>
      <c r="JPE1" s="1113"/>
      <c r="JPF1" s="1113"/>
      <c r="JPG1" s="1113"/>
      <c r="JPH1" s="1113"/>
      <c r="JPI1" s="1113"/>
      <c r="JPJ1" s="1113"/>
      <c r="JPK1" s="1113"/>
      <c r="JPL1" s="1113"/>
      <c r="JPM1" s="1113"/>
      <c r="JPN1" s="1113"/>
      <c r="JPO1" s="1113"/>
      <c r="JPP1" s="1113"/>
      <c r="JPQ1" s="1113"/>
      <c r="JPR1" s="1113"/>
      <c r="JPS1" s="1113"/>
      <c r="JPT1" s="1113"/>
      <c r="JPU1" s="1113"/>
      <c r="JPV1" s="1113"/>
      <c r="JPW1" s="1113"/>
      <c r="JPX1" s="1113"/>
      <c r="JPY1" s="1113"/>
      <c r="JPZ1" s="1113"/>
      <c r="JQA1" s="1113"/>
      <c r="JQB1" s="1113"/>
      <c r="JQC1" s="1113"/>
      <c r="JQD1" s="1113"/>
      <c r="JQE1" s="1113"/>
      <c r="JQF1" s="1113"/>
      <c r="JQG1" s="1113"/>
      <c r="JQH1" s="1113"/>
      <c r="JQI1" s="1113"/>
      <c r="JQJ1" s="1113"/>
      <c r="JQK1" s="1113"/>
      <c r="JQL1" s="1113"/>
      <c r="JQM1" s="1113"/>
      <c r="JQN1" s="1113"/>
      <c r="JQO1" s="1113"/>
      <c r="JQP1" s="1113"/>
      <c r="JQQ1" s="1113"/>
      <c r="JQR1" s="1113"/>
      <c r="JQS1" s="1113"/>
      <c r="JQT1" s="1113"/>
      <c r="JQU1" s="1113"/>
      <c r="JQV1" s="1113"/>
      <c r="JQW1" s="1113"/>
      <c r="JQX1" s="1113"/>
      <c r="JQY1" s="1113"/>
      <c r="JQZ1" s="1113"/>
      <c r="JRA1" s="1113"/>
      <c r="JRB1" s="1113"/>
      <c r="JRC1" s="1113"/>
      <c r="JRD1" s="1113"/>
      <c r="JRE1" s="1113"/>
      <c r="JRF1" s="1113"/>
      <c r="JRG1" s="1113"/>
      <c r="JRH1" s="1113"/>
      <c r="JRI1" s="1113"/>
      <c r="JRJ1" s="1113"/>
      <c r="JRK1" s="1113"/>
      <c r="JRL1" s="1113"/>
      <c r="JRM1" s="1113"/>
      <c r="JRN1" s="1113"/>
      <c r="JRO1" s="1113"/>
      <c r="JRP1" s="1113"/>
      <c r="JRQ1" s="1113"/>
      <c r="JRR1" s="1113"/>
      <c r="JRS1" s="1113"/>
      <c r="JRT1" s="1113"/>
      <c r="JRU1" s="1113"/>
      <c r="JRV1" s="1113"/>
      <c r="JRW1" s="1113"/>
      <c r="JRX1" s="1113"/>
      <c r="JRY1" s="1113"/>
      <c r="JRZ1" s="1113"/>
      <c r="JSA1" s="1113"/>
      <c r="JSB1" s="1113"/>
      <c r="JSC1" s="1113"/>
      <c r="JSD1" s="1113"/>
      <c r="JSE1" s="1113"/>
      <c r="JSF1" s="1113"/>
      <c r="JSG1" s="1113"/>
      <c r="JSH1" s="1113"/>
      <c r="JSI1" s="1113"/>
      <c r="JSJ1" s="1113"/>
      <c r="JSK1" s="1113"/>
      <c r="JSL1" s="1113"/>
      <c r="JSM1" s="1113"/>
      <c r="JSN1" s="1113"/>
      <c r="JSO1" s="1113"/>
      <c r="JSP1" s="1113"/>
      <c r="JSQ1" s="1113"/>
      <c r="JSR1" s="1113"/>
      <c r="JSS1" s="1113"/>
      <c r="JST1" s="1113"/>
      <c r="JSU1" s="1113"/>
      <c r="JSV1" s="1113"/>
      <c r="JSW1" s="1113"/>
      <c r="JSX1" s="1113"/>
      <c r="JSY1" s="1113"/>
      <c r="JSZ1" s="1113"/>
      <c r="JTA1" s="1113"/>
      <c r="JTB1" s="1113"/>
      <c r="JTC1" s="1113"/>
      <c r="JTD1" s="1113"/>
      <c r="JTE1" s="1113"/>
      <c r="JTF1" s="1113"/>
      <c r="JTG1" s="1113"/>
      <c r="JTH1" s="1113"/>
      <c r="JTI1" s="1113"/>
      <c r="JTJ1" s="1113"/>
      <c r="JTK1" s="1113"/>
      <c r="JTL1" s="1113"/>
      <c r="JTM1" s="1113"/>
      <c r="JTN1" s="1113"/>
      <c r="JTO1" s="1113"/>
      <c r="JTP1" s="1113"/>
      <c r="JTQ1" s="1113"/>
      <c r="JTR1" s="1113"/>
      <c r="JTS1" s="1113"/>
      <c r="JTT1" s="1113"/>
      <c r="JTU1" s="1113"/>
      <c r="JTV1" s="1113"/>
      <c r="JTW1" s="1113"/>
      <c r="JTX1" s="1113"/>
      <c r="JTY1" s="1113"/>
      <c r="JTZ1" s="1113"/>
      <c r="JUA1" s="1113"/>
      <c r="JUB1" s="1113"/>
      <c r="JUC1" s="1113"/>
      <c r="JUD1" s="1113"/>
      <c r="JUE1" s="1113"/>
      <c r="JUF1" s="1113"/>
      <c r="JUG1" s="1113"/>
      <c r="JUH1" s="1113"/>
      <c r="JUI1" s="1113"/>
      <c r="JUJ1" s="1113"/>
      <c r="JUK1" s="1113"/>
      <c r="JUL1" s="1113"/>
      <c r="JUM1" s="1113"/>
      <c r="JUN1" s="1113"/>
      <c r="JUO1" s="1113"/>
      <c r="JUP1" s="1113"/>
      <c r="JUQ1" s="1113"/>
      <c r="JUR1" s="1113"/>
      <c r="JUS1" s="1113"/>
      <c r="JUT1" s="1113"/>
      <c r="JUU1" s="1113"/>
      <c r="JUV1" s="1113"/>
      <c r="JUW1" s="1113"/>
      <c r="JUX1" s="1113"/>
      <c r="JUY1" s="1113"/>
      <c r="JUZ1" s="1113"/>
      <c r="JVA1" s="1113"/>
      <c r="JVB1" s="1113"/>
      <c r="JVC1" s="1113"/>
      <c r="JVD1" s="1113"/>
      <c r="JVE1" s="1113"/>
      <c r="JVF1" s="1113"/>
      <c r="JVG1" s="1113"/>
      <c r="JVH1" s="1113"/>
      <c r="JVI1" s="1113"/>
      <c r="JVJ1" s="1113"/>
      <c r="JVK1" s="1113"/>
      <c r="JVL1" s="1113"/>
      <c r="JVM1" s="1113"/>
      <c r="JVN1" s="1113"/>
      <c r="JVO1" s="1113"/>
      <c r="JVP1" s="1113"/>
      <c r="JVQ1" s="1113"/>
      <c r="JVR1" s="1113"/>
      <c r="JVS1" s="1113"/>
      <c r="JVT1" s="1113"/>
      <c r="JVU1" s="1113"/>
      <c r="JVV1" s="1113"/>
      <c r="JVW1" s="1113"/>
      <c r="JVX1" s="1113"/>
      <c r="JVY1" s="1113"/>
      <c r="JVZ1" s="1113"/>
      <c r="JWA1" s="1113"/>
      <c r="JWB1" s="1113"/>
      <c r="JWC1" s="1113"/>
      <c r="JWD1" s="1113"/>
      <c r="JWE1" s="1113"/>
      <c r="JWF1" s="1113"/>
      <c r="JWG1" s="1113"/>
      <c r="JWH1" s="1113"/>
      <c r="JWI1" s="1113"/>
      <c r="JWJ1" s="1113"/>
      <c r="JWK1" s="1113"/>
      <c r="JWL1" s="1113"/>
      <c r="JWM1" s="1113"/>
      <c r="JWN1" s="1113"/>
      <c r="JWO1" s="1113"/>
      <c r="JWP1" s="1113"/>
      <c r="JWQ1" s="1113"/>
      <c r="JWR1" s="1113"/>
      <c r="JWS1" s="1113"/>
      <c r="JWT1" s="1113"/>
      <c r="JWU1" s="1113"/>
      <c r="JWV1" s="1113"/>
      <c r="JWW1" s="1113"/>
      <c r="JWX1" s="1113"/>
      <c r="JWY1" s="1113"/>
      <c r="JWZ1" s="1113"/>
      <c r="JXA1" s="1113"/>
      <c r="JXB1" s="1113"/>
      <c r="JXC1" s="1113"/>
      <c r="JXD1" s="1113"/>
      <c r="JXE1" s="1113"/>
      <c r="JXF1" s="1113"/>
      <c r="JXG1" s="1113"/>
      <c r="JXH1" s="1113"/>
      <c r="JXI1" s="1113"/>
      <c r="JXJ1" s="1113"/>
      <c r="JXK1" s="1113"/>
      <c r="JXL1" s="1113"/>
      <c r="JXM1" s="1113"/>
      <c r="JXN1" s="1113"/>
      <c r="JXO1" s="1113"/>
      <c r="JXP1" s="1113"/>
      <c r="JXQ1" s="1113"/>
      <c r="JXR1" s="1113"/>
      <c r="JXS1" s="1113"/>
      <c r="JXT1" s="1113"/>
      <c r="JXU1" s="1113"/>
      <c r="JXV1" s="1113"/>
      <c r="JXW1" s="1113"/>
      <c r="JXX1" s="1113"/>
      <c r="JXY1" s="1113"/>
      <c r="JXZ1" s="1113"/>
      <c r="JYA1" s="1113"/>
      <c r="JYB1" s="1113"/>
      <c r="JYC1" s="1113"/>
      <c r="JYD1" s="1113"/>
      <c r="JYE1" s="1113"/>
      <c r="JYF1" s="1113"/>
      <c r="JYG1" s="1113"/>
      <c r="JYH1" s="1113"/>
      <c r="JYI1" s="1113"/>
      <c r="JYJ1" s="1113"/>
      <c r="JYK1" s="1113"/>
      <c r="JYL1" s="1113"/>
      <c r="JYM1" s="1113"/>
      <c r="JYN1" s="1113"/>
      <c r="JYO1" s="1113"/>
      <c r="JYP1" s="1113"/>
      <c r="JYQ1" s="1113"/>
      <c r="JYR1" s="1113"/>
      <c r="JYS1" s="1113"/>
      <c r="JYT1" s="1113"/>
      <c r="JYU1" s="1113"/>
      <c r="JYV1" s="1113"/>
      <c r="JYW1" s="1113"/>
      <c r="JYX1" s="1113"/>
      <c r="JYY1" s="1113"/>
      <c r="JYZ1" s="1113"/>
      <c r="JZA1" s="1113"/>
      <c r="JZB1" s="1113"/>
      <c r="JZC1" s="1113"/>
      <c r="JZD1" s="1113"/>
      <c r="JZE1" s="1113"/>
      <c r="JZF1" s="1113"/>
      <c r="JZG1" s="1113"/>
      <c r="JZH1" s="1113"/>
      <c r="JZI1" s="1113"/>
      <c r="JZJ1" s="1113"/>
      <c r="JZK1" s="1113"/>
      <c r="JZL1" s="1113"/>
      <c r="JZM1" s="1113"/>
      <c r="JZN1" s="1113"/>
      <c r="JZO1" s="1113"/>
      <c r="JZP1" s="1113"/>
      <c r="JZQ1" s="1113"/>
      <c r="JZR1" s="1113"/>
      <c r="JZS1" s="1113"/>
      <c r="JZT1" s="1113"/>
      <c r="JZU1" s="1113"/>
      <c r="JZV1" s="1113"/>
      <c r="JZW1" s="1113"/>
      <c r="JZX1" s="1113"/>
      <c r="JZY1" s="1113"/>
      <c r="JZZ1" s="1113"/>
      <c r="KAA1" s="1113"/>
      <c r="KAB1" s="1113"/>
      <c r="KAC1" s="1113"/>
      <c r="KAD1" s="1113"/>
      <c r="KAE1" s="1113"/>
      <c r="KAF1" s="1113"/>
      <c r="KAG1" s="1113"/>
      <c r="KAH1" s="1113"/>
      <c r="KAI1" s="1113"/>
      <c r="KAJ1" s="1113"/>
      <c r="KAK1" s="1113"/>
      <c r="KAL1" s="1113"/>
      <c r="KAM1" s="1113"/>
      <c r="KAN1" s="1113"/>
      <c r="KAO1" s="1113"/>
      <c r="KAP1" s="1113"/>
      <c r="KAQ1" s="1113"/>
      <c r="KAR1" s="1113"/>
      <c r="KAS1" s="1113"/>
      <c r="KAT1" s="1113"/>
      <c r="KAU1" s="1113"/>
      <c r="KAV1" s="1113"/>
      <c r="KAW1" s="1113"/>
      <c r="KAX1" s="1113"/>
      <c r="KAY1" s="1113"/>
      <c r="KAZ1" s="1113"/>
      <c r="KBA1" s="1113"/>
      <c r="KBB1" s="1113"/>
      <c r="KBC1" s="1113"/>
      <c r="KBD1" s="1113"/>
      <c r="KBE1" s="1113"/>
      <c r="KBF1" s="1113"/>
      <c r="KBG1" s="1113"/>
      <c r="KBH1" s="1113"/>
      <c r="KBI1" s="1113"/>
      <c r="KBJ1" s="1113"/>
      <c r="KBK1" s="1113"/>
      <c r="KBL1" s="1113"/>
      <c r="KBM1" s="1113"/>
      <c r="KBN1" s="1113"/>
      <c r="KBO1" s="1113"/>
      <c r="KBP1" s="1113"/>
      <c r="KBQ1" s="1113"/>
      <c r="KBR1" s="1113"/>
      <c r="KBS1" s="1113"/>
      <c r="KBT1" s="1113"/>
      <c r="KBU1" s="1113"/>
      <c r="KBV1" s="1113"/>
      <c r="KBW1" s="1113"/>
      <c r="KBX1" s="1113"/>
      <c r="KBY1" s="1113"/>
      <c r="KBZ1" s="1113"/>
      <c r="KCA1" s="1113"/>
      <c r="KCB1" s="1113"/>
      <c r="KCC1" s="1113"/>
      <c r="KCD1" s="1113"/>
      <c r="KCE1" s="1113"/>
      <c r="KCF1" s="1113"/>
      <c r="KCG1" s="1113"/>
      <c r="KCH1" s="1113"/>
      <c r="KCI1" s="1113"/>
      <c r="KCJ1" s="1113"/>
      <c r="KCK1" s="1113"/>
      <c r="KCL1" s="1113"/>
      <c r="KCM1" s="1113"/>
      <c r="KCN1" s="1113"/>
      <c r="KCO1" s="1113"/>
      <c r="KCP1" s="1113"/>
      <c r="KCQ1" s="1113"/>
      <c r="KCR1" s="1113"/>
      <c r="KCS1" s="1113"/>
      <c r="KCT1" s="1113"/>
      <c r="KCU1" s="1113"/>
      <c r="KCV1" s="1113"/>
      <c r="KCW1" s="1113"/>
      <c r="KCX1" s="1113"/>
      <c r="KCY1" s="1113"/>
      <c r="KCZ1" s="1113"/>
      <c r="KDA1" s="1113"/>
      <c r="KDB1" s="1113"/>
      <c r="KDC1" s="1113"/>
      <c r="KDD1" s="1113"/>
      <c r="KDE1" s="1113"/>
      <c r="KDF1" s="1113"/>
      <c r="KDG1" s="1113"/>
      <c r="KDH1" s="1113"/>
      <c r="KDI1" s="1113"/>
      <c r="KDJ1" s="1113"/>
      <c r="KDK1" s="1113"/>
      <c r="KDL1" s="1113"/>
      <c r="KDM1" s="1113"/>
      <c r="KDN1" s="1113"/>
      <c r="KDO1" s="1113"/>
      <c r="KDP1" s="1113"/>
      <c r="KDQ1" s="1113"/>
      <c r="KDR1" s="1113"/>
      <c r="KDS1" s="1113"/>
      <c r="KDT1" s="1113"/>
      <c r="KDU1" s="1113"/>
      <c r="KDV1" s="1113"/>
      <c r="KDW1" s="1113"/>
      <c r="KDX1" s="1113"/>
      <c r="KDY1" s="1113"/>
      <c r="KDZ1" s="1113"/>
      <c r="KEA1" s="1113"/>
      <c r="KEB1" s="1113"/>
      <c r="KEC1" s="1113"/>
      <c r="KED1" s="1113"/>
      <c r="KEE1" s="1113"/>
      <c r="KEF1" s="1113"/>
      <c r="KEG1" s="1113"/>
      <c r="KEH1" s="1113"/>
      <c r="KEI1" s="1113"/>
      <c r="KEJ1" s="1113"/>
      <c r="KEK1" s="1113"/>
      <c r="KEL1" s="1113"/>
      <c r="KEM1" s="1113"/>
      <c r="KEN1" s="1113"/>
      <c r="KEO1" s="1113"/>
      <c r="KEP1" s="1113"/>
      <c r="KEQ1" s="1113"/>
      <c r="KER1" s="1113"/>
      <c r="KES1" s="1113"/>
      <c r="KET1" s="1113"/>
      <c r="KEU1" s="1113"/>
      <c r="KEV1" s="1113"/>
      <c r="KEW1" s="1113"/>
      <c r="KEX1" s="1113"/>
      <c r="KEY1" s="1113"/>
      <c r="KEZ1" s="1113"/>
      <c r="KFA1" s="1113"/>
      <c r="KFB1" s="1113"/>
      <c r="KFC1" s="1113"/>
      <c r="KFD1" s="1113"/>
      <c r="KFE1" s="1113"/>
      <c r="KFF1" s="1113"/>
      <c r="KFG1" s="1113"/>
      <c r="KFH1" s="1113"/>
      <c r="KFI1" s="1113"/>
      <c r="KFJ1" s="1113"/>
      <c r="KFK1" s="1113"/>
      <c r="KFL1" s="1113"/>
      <c r="KFM1" s="1113"/>
      <c r="KFN1" s="1113"/>
      <c r="KFO1" s="1113"/>
      <c r="KFP1" s="1113"/>
      <c r="KFQ1" s="1113"/>
      <c r="KFR1" s="1113"/>
      <c r="KFS1" s="1113"/>
      <c r="KFT1" s="1113"/>
      <c r="KFU1" s="1113"/>
      <c r="KFV1" s="1113"/>
      <c r="KFW1" s="1113"/>
      <c r="KFX1" s="1113"/>
      <c r="KFY1" s="1113"/>
      <c r="KFZ1" s="1113"/>
      <c r="KGA1" s="1113"/>
      <c r="KGB1" s="1113"/>
      <c r="KGC1" s="1113"/>
      <c r="KGD1" s="1113"/>
      <c r="KGE1" s="1113"/>
      <c r="KGF1" s="1113"/>
      <c r="KGG1" s="1113"/>
      <c r="KGH1" s="1113"/>
      <c r="KGI1" s="1113"/>
      <c r="KGJ1" s="1113"/>
      <c r="KGK1" s="1113"/>
      <c r="KGL1" s="1113"/>
      <c r="KGM1" s="1113"/>
      <c r="KGN1" s="1113"/>
      <c r="KGO1" s="1113"/>
      <c r="KGP1" s="1113"/>
      <c r="KGQ1" s="1113"/>
      <c r="KGR1" s="1113"/>
      <c r="KGS1" s="1113"/>
      <c r="KGT1" s="1113"/>
      <c r="KGU1" s="1113"/>
      <c r="KGV1" s="1113"/>
      <c r="KGW1" s="1113"/>
      <c r="KGX1" s="1113"/>
      <c r="KGY1" s="1113"/>
      <c r="KGZ1" s="1113"/>
      <c r="KHA1" s="1113"/>
      <c r="KHB1" s="1113"/>
      <c r="KHC1" s="1113"/>
      <c r="KHD1" s="1113"/>
      <c r="KHE1" s="1113"/>
      <c r="KHF1" s="1113"/>
      <c r="KHG1" s="1113"/>
      <c r="KHH1" s="1113"/>
      <c r="KHI1" s="1113"/>
      <c r="KHJ1" s="1113"/>
      <c r="KHK1" s="1113"/>
      <c r="KHL1" s="1113"/>
      <c r="KHM1" s="1113"/>
      <c r="KHN1" s="1113"/>
      <c r="KHO1" s="1113"/>
      <c r="KHP1" s="1113"/>
      <c r="KHQ1" s="1113"/>
      <c r="KHR1" s="1113"/>
      <c r="KHS1" s="1113"/>
      <c r="KHT1" s="1113"/>
      <c r="KHU1" s="1113"/>
      <c r="KHV1" s="1113"/>
      <c r="KHW1" s="1113"/>
      <c r="KHX1" s="1113"/>
      <c r="KHY1" s="1113"/>
      <c r="KHZ1" s="1113"/>
      <c r="KIA1" s="1113"/>
      <c r="KIB1" s="1113"/>
      <c r="KIC1" s="1113"/>
      <c r="KID1" s="1113"/>
      <c r="KIE1" s="1113"/>
      <c r="KIF1" s="1113"/>
      <c r="KIG1" s="1113"/>
      <c r="KIH1" s="1113"/>
      <c r="KII1" s="1113"/>
      <c r="KIJ1" s="1113"/>
      <c r="KIK1" s="1113"/>
      <c r="KIL1" s="1113"/>
      <c r="KIM1" s="1113"/>
      <c r="KIN1" s="1113"/>
      <c r="KIO1" s="1113"/>
      <c r="KIP1" s="1113"/>
      <c r="KIQ1" s="1113"/>
      <c r="KIR1" s="1113"/>
      <c r="KIS1" s="1113"/>
      <c r="KIT1" s="1113"/>
      <c r="KIU1" s="1113"/>
      <c r="KIV1" s="1113"/>
      <c r="KIW1" s="1113"/>
      <c r="KIX1" s="1113"/>
      <c r="KIY1" s="1113"/>
      <c r="KIZ1" s="1113"/>
      <c r="KJA1" s="1113"/>
      <c r="KJB1" s="1113"/>
      <c r="KJC1" s="1113"/>
      <c r="KJD1" s="1113"/>
      <c r="KJE1" s="1113"/>
      <c r="KJF1" s="1113"/>
      <c r="KJG1" s="1113"/>
      <c r="KJH1" s="1113"/>
      <c r="KJI1" s="1113"/>
      <c r="KJJ1" s="1113"/>
      <c r="KJK1" s="1113"/>
      <c r="KJL1" s="1113"/>
      <c r="KJM1" s="1113"/>
      <c r="KJN1" s="1113"/>
      <c r="KJO1" s="1113"/>
      <c r="KJP1" s="1113"/>
      <c r="KJQ1" s="1113"/>
      <c r="KJR1" s="1113"/>
      <c r="KJS1" s="1113"/>
      <c r="KJT1" s="1113"/>
      <c r="KJU1" s="1113"/>
      <c r="KJV1" s="1113"/>
      <c r="KJW1" s="1113"/>
      <c r="KJX1" s="1113"/>
      <c r="KJY1" s="1113"/>
      <c r="KJZ1" s="1113"/>
      <c r="KKA1" s="1113"/>
      <c r="KKB1" s="1113"/>
      <c r="KKC1" s="1113"/>
      <c r="KKD1" s="1113"/>
      <c r="KKE1" s="1113"/>
      <c r="KKF1" s="1113"/>
      <c r="KKG1" s="1113"/>
      <c r="KKH1" s="1113"/>
      <c r="KKI1" s="1113"/>
      <c r="KKJ1" s="1113"/>
      <c r="KKK1" s="1113"/>
      <c r="KKL1" s="1113"/>
      <c r="KKM1" s="1113"/>
      <c r="KKN1" s="1113"/>
      <c r="KKO1" s="1113"/>
      <c r="KKP1" s="1113"/>
      <c r="KKQ1" s="1113"/>
      <c r="KKR1" s="1113"/>
      <c r="KKS1" s="1113"/>
      <c r="KKT1" s="1113"/>
      <c r="KKU1" s="1113"/>
      <c r="KKV1" s="1113"/>
      <c r="KKW1" s="1113"/>
      <c r="KKX1" s="1113"/>
      <c r="KKY1" s="1113"/>
      <c r="KKZ1" s="1113"/>
      <c r="KLA1" s="1113"/>
      <c r="KLB1" s="1113"/>
      <c r="KLC1" s="1113"/>
      <c r="KLD1" s="1113"/>
      <c r="KLE1" s="1113"/>
      <c r="KLF1" s="1113"/>
      <c r="KLG1" s="1113"/>
      <c r="KLH1" s="1113"/>
      <c r="KLI1" s="1113"/>
      <c r="KLJ1" s="1113"/>
      <c r="KLK1" s="1113"/>
      <c r="KLL1" s="1113"/>
      <c r="KLM1" s="1113"/>
      <c r="KLN1" s="1113"/>
      <c r="KLO1" s="1113"/>
      <c r="KLP1" s="1113"/>
      <c r="KLQ1" s="1113"/>
      <c r="KLR1" s="1113"/>
      <c r="KLS1" s="1113"/>
      <c r="KLT1" s="1113"/>
      <c r="KLU1" s="1113"/>
      <c r="KLV1" s="1113"/>
      <c r="KLW1" s="1113"/>
      <c r="KLX1" s="1113"/>
      <c r="KLY1" s="1113"/>
      <c r="KLZ1" s="1113"/>
      <c r="KMA1" s="1113"/>
      <c r="KMB1" s="1113"/>
      <c r="KMC1" s="1113"/>
      <c r="KMD1" s="1113"/>
      <c r="KME1" s="1113"/>
      <c r="KMF1" s="1113"/>
      <c r="KMG1" s="1113"/>
      <c r="KMH1" s="1113"/>
      <c r="KMI1" s="1113"/>
      <c r="KMJ1" s="1113"/>
      <c r="KMK1" s="1113"/>
      <c r="KML1" s="1113"/>
      <c r="KMM1" s="1113"/>
      <c r="KMN1" s="1113"/>
      <c r="KMO1" s="1113"/>
      <c r="KMP1" s="1113"/>
      <c r="KMQ1" s="1113"/>
      <c r="KMR1" s="1113"/>
      <c r="KMS1" s="1113"/>
      <c r="KMT1" s="1113"/>
      <c r="KMU1" s="1113"/>
      <c r="KMV1" s="1113"/>
      <c r="KMW1" s="1113"/>
      <c r="KMX1" s="1113"/>
      <c r="KMY1" s="1113"/>
      <c r="KMZ1" s="1113"/>
      <c r="KNA1" s="1113"/>
      <c r="KNB1" s="1113"/>
      <c r="KNC1" s="1113"/>
      <c r="KND1" s="1113"/>
      <c r="KNE1" s="1113"/>
      <c r="KNF1" s="1113"/>
      <c r="KNG1" s="1113"/>
      <c r="KNH1" s="1113"/>
      <c r="KNI1" s="1113"/>
      <c r="KNJ1" s="1113"/>
      <c r="KNK1" s="1113"/>
      <c r="KNL1" s="1113"/>
      <c r="KNM1" s="1113"/>
      <c r="KNN1" s="1113"/>
      <c r="KNO1" s="1113"/>
      <c r="KNP1" s="1113"/>
      <c r="KNQ1" s="1113"/>
      <c r="KNR1" s="1113"/>
      <c r="KNS1" s="1113"/>
      <c r="KNT1" s="1113"/>
      <c r="KNU1" s="1113"/>
      <c r="KNV1" s="1113"/>
      <c r="KNW1" s="1113"/>
      <c r="KNX1" s="1113"/>
      <c r="KNY1" s="1113"/>
      <c r="KNZ1" s="1113"/>
      <c r="KOA1" s="1113"/>
      <c r="KOB1" s="1113"/>
      <c r="KOC1" s="1113"/>
      <c r="KOD1" s="1113"/>
      <c r="KOE1" s="1113"/>
      <c r="KOF1" s="1113"/>
      <c r="KOG1" s="1113"/>
      <c r="KOH1" s="1113"/>
      <c r="KOI1" s="1113"/>
      <c r="KOJ1" s="1113"/>
      <c r="KOK1" s="1113"/>
      <c r="KOL1" s="1113"/>
      <c r="KOM1" s="1113"/>
      <c r="KON1" s="1113"/>
      <c r="KOO1" s="1113"/>
      <c r="KOP1" s="1113"/>
      <c r="KOQ1" s="1113"/>
      <c r="KOR1" s="1113"/>
      <c r="KOS1" s="1113"/>
      <c r="KOT1" s="1113"/>
      <c r="KOU1" s="1113"/>
      <c r="KOV1" s="1113"/>
      <c r="KOW1" s="1113"/>
      <c r="KOX1" s="1113"/>
      <c r="KOY1" s="1113"/>
      <c r="KOZ1" s="1113"/>
      <c r="KPA1" s="1113"/>
      <c r="KPB1" s="1113"/>
      <c r="KPC1" s="1113"/>
      <c r="KPD1" s="1113"/>
      <c r="KPE1" s="1113"/>
      <c r="KPF1" s="1113"/>
      <c r="KPG1" s="1113"/>
      <c r="KPH1" s="1113"/>
      <c r="KPI1" s="1113"/>
      <c r="KPJ1" s="1113"/>
      <c r="KPK1" s="1113"/>
      <c r="KPL1" s="1113"/>
      <c r="KPM1" s="1113"/>
      <c r="KPN1" s="1113"/>
      <c r="KPO1" s="1113"/>
      <c r="KPP1" s="1113"/>
      <c r="KPQ1" s="1113"/>
      <c r="KPR1" s="1113"/>
      <c r="KPS1" s="1113"/>
      <c r="KPT1" s="1113"/>
      <c r="KPU1" s="1113"/>
      <c r="KPV1" s="1113"/>
      <c r="KPW1" s="1113"/>
      <c r="KPX1" s="1113"/>
      <c r="KPY1" s="1113"/>
      <c r="KPZ1" s="1113"/>
      <c r="KQA1" s="1113"/>
      <c r="KQB1" s="1113"/>
      <c r="KQC1" s="1113"/>
      <c r="KQD1" s="1113"/>
      <c r="KQE1" s="1113"/>
      <c r="KQF1" s="1113"/>
      <c r="KQG1" s="1113"/>
      <c r="KQH1" s="1113"/>
      <c r="KQI1" s="1113"/>
      <c r="KQJ1" s="1113"/>
      <c r="KQK1" s="1113"/>
      <c r="KQL1" s="1113"/>
      <c r="KQM1" s="1113"/>
      <c r="KQN1" s="1113"/>
      <c r="KQO1" s="1113"/>
      <c r="KQP1" s="1113"/>
      <c r="KQQ1" s="1113"/>
      <c r="KQR1" s="1113"/>
      <c r="KQS1" s="1113"/>
      <c r="KQT1" s="1113"/>
      <c r="KQU1" s="1113"/>
      <c r="KQV1" s="1113"/>
      <c r="KQW1" s="1113"/>
      <c r="KQX1" s="1113"/>
      <c r="KQY1" s="1113"/>
      <c r="KQZ1" s="1113"/>
      <c r="KRA1" s="1113"/>
      <c r="KRB1" s="1113"/>
      <c r="KRC1" s="1113"/>
      <c r="KRD1" s="1113"/>
      <c r="KRE1" s="1113"/>
      <c r="KRF1" s="1113"/>
      <c r="KRG1" s="1113"/>
      <c r="KRH1" s="1113"/>
      <c r="KRI1" s="1113"/>
      <c r="KRJ1" s="1113"/>
      <c r="KRK1" s="1113"/>
      <c r="KRL1" s="1113"/>
      <c r="KRM1" s="1113"/>
      <c r="KRN1" s="1113"/>
      <c r="KRO1" s="1113"/>
      <c r="KRP1" s="1113"/>
      <c r="KRQ1" s="1113"/>
      <c r="KRR1" s="1113"/>
      <c r="KRS1" s="1113"/>
      <c r="KRT1" s="1113"/>
      <c r="KRU1" s="1113"/>
      <c r="KRV1" s="1113"/>
      <c r="KRW1" s="1113"/>
      <c r="KRX1" s="1113"/>
      <c r="KRY1" s="1113"/>
      <c r="KRZ1" s="1113"/>
      <c r="KSA1" s="1113"/>
      <c r="KSB1" s="1113"/>
      <c r="KSC1" s="1113"/>
      <c r="KSD1" s="1113"/>
      <c r="KSE1" s="1113"/>
      <c r="KSF1" s="1113"/>
      <c r="KSG1" s="1113"/>
      <c r="KSH1" s="1113"/>
      <c r="KSI1" s="1113"/>
      <c r="KSJ1" s="1113"/>
      <c r="KSK1" s="1113"/>
      <c r="KSL1" s="1113"/>
      <c r="KSM1" s="1113"/>
      <c r="KSN1" s="1113"/>
      <c r="KSO1" s="1113"/>
      <c r="KSP1" s="1113"/>
      <c r="KSQ1" s="1113"/>
      <c r="KSR1" s="1113"/>
      <c r="KSS1" s="1113"/>
      <c r="KST1" s="1113"/>
      <c r="KSU1" s="1113"/>
      <c r="KSV1" s="1113"/>
      <c r="KSW1" s="1113"/>
      <c r="KSX1" s="1113"/>
      <c r="KSY1" s="1113"/>
      <c r="KSZ1" s="1113"/>
      <c r="KTA1" s="1113"/>
      <c r="KTB1" s="1113"/>
      <c r="KTC1" s="1113"/>
      <c r="KTD1" s="1113"/>
      <c r="KTE1" s="1113"/>
      <c r="KTF1" s="1113"/>
      <c r="KTG1" s="1113"/>
      <c r="KTH1" s="1113"/>
      <c r="KTI1" s="1113"/>
      <c r="KTJ1" s="1113"/>
      <c r="KTK1" s="1113"/>
      <c r="KTL1" s="1113"/>
      <c r="KTM1" s="1113"/>
      <c r="KTN1" s="1113"/>
      <c r="KTO1" s="1113"/>
      <c r="KTP1" s="1113"/>
      <c r="KTQ1" s="1113"/>
      <c r="KTR1" s="1113"/>
      <c r="KTS1" s="1113"/>
      <c r="KTT1" s="1113"/>
      <c r="KTU1" s="1113"/>
      <c r="KTV1" s="1113"/>
      <c r="KTW1" s="1113"/>
      <c r="KTX1" s="1113"/>
      <c r="KTY1" s="1113"/>
      <c r="KTZ1" s="1113"/>
      <c r="KUA1" s="1113"/>
      <c r="KUB1" s="1113"/>
      <c r="KUC1" s="1113"/>
      <c r="KUD1" s="1113"/>
      <c r="KUE1" s="1113"/>
      <c r="KUF1" s="1113"/>
      <c r="KUG1" s="1113"/>
      <c r="KUH1" s="1113"/>
      <c r="KUI1" s="1113"/>
      <c r="KUJ1" s="1113"/>
      <c r="KUK1" s="1113"/>
      <c r="KUL1" s="1113"/>
      <c r="KUM1" s="1113"/>
      <c r="KUN1" s="1113"/>
      <c r="KUO1" s="1113"/>
      <c r="KUP1" s="1113"/>
      <c r="KUQ1" s="1113"/>
      <c r="KUR1" s="1113"/>
      <c r="KUS1" s="1113"/>
      <c r="KUT1" s="1113"/>
      <c r="KUU1" s="1113"/>
      <c r="KUV1" s="1113"/>
      <c r="KUW1" s="1113"/>
      <c r="KUX1" s="1113"/>
      <c r="KUY1" s="1113"/>
      <c r="KUZ1" s="1113"/>
      <c r="KVA1" s="1113"/>
      <c r="KVB1" s="1113"/>
      <c r="KVC1" s="1113"/>
      <c r="KVD1" s="1113"/>
      <c r="KVE1" s="1113"/>
      <c r="KVF1" s="1113"/>
      <c r="KVG1" s="1113"/>
      <c r="KVH1" s="1113"/>
      <c r="KVI1" s="1113"/>
      <c r="KVJ1" s="1113"/>
      <c r="KVK1" s="1113"/>
      <c r="KVL1" s="1113"/>
      <c r="KVM1" s="1113"/>
      <c r="KVN1" s="1113"/>
      <c r="KVO1" s="1113"/>
      <c r="KVP1" s="1113"/>
      <c r="KVQ1" s="1113"/>
      <c r="KVR1" s="1113"/>
      <c r="KVS1" s="1113"/>
      <c r="KVT1" s="1113"/>
      <c r="KVU1" s="1113"/>
      <c r="KVV1" s="1113"/>
      <c r="KVW1" s="1113"/>
      <c r="KVX1" s="1113"/>
      <c r="KVY1" s="1113"/>
      <c r="KVZ1" s="1113"/>
      <c r="KWA1" s="1113"/>
      <c r="KWB1" s="1113"/>
      <c r="KWC1" s="1113"/>
      <c r="KWD1" s="1113"/>
      <c r="KWE1" s="1113"/>
      <c r="KWF1" s="1113"/>
      <c r="KWG1" s="1113"/>
      <c r="KWH1" s="1113"/>
      <c r="KWI1" s="1113"/>
      <c r="KWJ1" s="1113"/>
      <c r="KWK1" s="1113"/>
      <c r="KWL1" s="1113"/>
      <c r="KWM1" s="1113"/>
      <c r="KWN1" s="1113"/>
      <c r="KWO1" s="1113"/>
      <c r="KWP1" s="1113"/>
      <c r="KWQ1" s="1113"/>
      <c r="KWR1" s="1113"/>
      <c r="KWS1" s="1113"/>
      <c r="KWT1" s="1113"/>
      <c r="KWU1" s="1113"/>
      <c r="KWV1" s="1113"/>
      <c r="KWW1" s="1113"/>
      <c r="KWX1" s="1113"/>
      <c r="KWY1" s="1113"/>
      <c r="KWZ1" s="1113"/>
      <c r="KXA1" s="1113"/>
      <c r="KXB1" s="1113"/>
      <c r="KXC1" s="1113"/>
      <c r="KXD1" s="1113"/>
      <c r="KXE1" s="1113"/>
      <c r="KXF1" s="1113"/>
      <c r="KXG1" s="1113"/>
      <c r="KXH1" s="1113"/>
      <c r="KXI1" s="1113"/>
      <c r="KXJ1" s="1113"/>
      <c r="KXK1" s="1113"/>
      <c r="KXL1" s="1113"/>
      <c r="KXM1" s="1113"/>
      <c r="KXN1" s="1113"/>
      <c r="KXO1" s="1113"/>
      <c r="KXP1" s="1113"/>
      <c r="KXQ1" s="1113"/>
      <c r="KXR1" s="1113"/>
      <c r="KXS1" s="1113"/>
      <c r="KXT1" s="1113"/>
      <c r="KXU1" s="1113"/>
      <c r="KXV1" s="1113"/>
      <c r="KXW1" s="1113"/>
      <c r="KXX1" s="1113"/>
      <c r="KXY1" s="1113"/>
      <c r="KXZ1" s="1113"/>
      <c r="KYA1" s="1113"/>
      <c r="KYB1" s="1113"/>
      <c r="KYC1" s="1113"/>
      <c r="KYD1" s="1113"/>
      <c r="KYE1" s="1113"/>
      <c r="KYF1" s="1113"/>
      <c r="KYG1" s="1113"/>
      <c r="KYH1" s="1113"/>
      <c r="KYI1" s="1113"/>
      <c r="KYJ1" s="1113"/>
      <c r="KYK1" s="1113"/>
      <c r="KYL1" s="1113"/>
      <c r="KYM1" s="1113"/>
      <c r="KYN1" s="1113"/>
      <c r="KYO1" s="1113"/>
      <c r="KYP1" s="1113"/>
      <c r="KYQ1" s="1113"/>
      <c r="KYR1" s="1113"/>
      <c r="KYS1" s="1113"/>
      <c r="KYT1" s="1113"/>
      <c r="KYU1" s="1113"/>
      <c r="KYV1" s="1113"/>
      <c r="KYW1" s="1113"/>
      <c r="KYX1" s="1113"/>
      <c r="KYY1" s="1113"/>
      <c r="KYZ1" s="1113"/>
      <c r="KZA1" s="1113"/>
      <c r="KZB1" s="1113"/>
      <c r="KZC1" s="1113"/>
      <c r="KZD1" s="1113"/>
      <c r="KZE1" s="1113"/>
      <c r="KZF1" s="1113"/>
      <c r="KZG1" s="1113"/>
      <c r="KZH1" s="1113"/>
      <c r="KZI1" s="1113"/>
      <c r="KZJ1" s="1113"/>
      <c r="KZK1" s="1113"/>
      <c r="KZL1" s="1113"/>
      <c r="KZM1" s="1113"/>
      <c r="KZN1" s="1113"/>
      <c r="KZO1" s="1113"/>
      <c r="KZP1" s="1113"/>
      <c r="KZQ1" s="1113"/>
      <c r="KZR1" s="1113"/>
      <c r="KZS1" s="1113"/>
      <c r="KZT1" s="1113"/>
      <c r="KZU1" s="1113"/>
      <c r="KZV1" s="1113"/>
      <c r="KZW1" s="1113"/>
      <c r="KZX1" s="1113"/>
      <c r="KZY1" s="1113"/>
      <c r="KZZ1" s="1113"/>
      <c r="LAA1" s="1113"/>
      <c r="LAB1" s="1113"/>
      <c r="LAC1" s="1113"/>
      <c r="LAD1" s="1113"/>
      <c r="LAE1" s="1113"/>
      <c r="LAF1" s="1113"/>
      <c r="LAG1" s="1113"/>
      <c r="LAH1" s="1113"/>
      <c r="LAI1" s="1113"/>
      <c r="LAJ1" s="1113"/>
      <c r="LAK1" s="1113"/>
      <c r="LAL1" s="1113"/>
      <c r="LAM1" s="1113"/>
      <c r="LAN1" s="1113"/>
      <c r="LAO1" s="1113"/>
      <c r="LAP1" s="1113"/>
      <c r="LAQ1" s="1113"/>
      <c r="LAR1" s="1113"/>
      <c r="LAS1" s="1113"/>
      <c r="LAT1" s="1113"/>
      <c r="LAU1" s="1113"/>
      <c r="LAV1" s="1113"/>
      <c r="LAW1" s="1113"/>
      <c r="LAX1" s="1113"/>
      <c r="LAY1" s="1113"/>
      <c r="LAZ1" s="1113"/>
      <c r="LBA1" s="1113"/>
      <c r="LBB1" s="1113"/>
      <c r="LBC1" s="1113"/>
      <c r="LBD1" s="1113"/>
      <c r="LBE1" s="1113"/>
      <c r="LBF1" s="1113"/>
      <c r="LBG1" s="1113"/>
      <c r="LBH1" s="1113"/>
      <c r="LBI1" s="1113"/>
      <c r="LBJ1" s="1113"/>
      <c r="LBK1" s="1113"/>
      <c r="LBL1" s="1113"/>
      <c r="LBM1" s="1113"/>
      <c r="LBN1" s="1113"/>
      <c r="LBO1" s="1113"/>
      <c r="LBP1" s="1113"/>
      <c r="LBQ1" s="1113"/>
      <c r="LBR1" s="1113"/>
      <c r="LBS1" s="1113"/>
      <c r="LBT1" s="1113"/>
      <c r="LBU1" s="1113"/>
      <c r="LBV1" s="1113"/>
      <c r="LBW1" s="1113"/>
      <c r="LBX1" s="1113"/>
      <c r="LBY1" s="1113"/>
      <c r="LBZ1" s="1113"/>
      <c r="LCA1" s="1113"/>
      <c r="LCB1" s="1113"/>
      <c r="LCC1" s="1113"/>
      <c r="LCD1" s="1113"/>
      <c r="LCE1" s="1113"/>
      <c r="LCF1" s="1113"/>
      <c r="LCG1" s="1113"/>
      <c r="LCH1" s="1113"/>
      <c r="LCI1" s="1113"/>
      <c r="LCJ1" s="1113"/>
      <c r="LCK1" s="1113"/>
      <c r="LCL1" s="1113"/>
      <c r="LCM1" s="1113"/>
      <c r="LCN1" s="1113"/>
      <c r="LCO1" s="1113"/>
      <c r="LCP1" s="1113"/>
      <c r="LCQ1" s="1113"/>
      <c r="LCR1" s="1113"/>
      <c r="LCS1" s="1113"/>
      <c r="LCT1" s="1113"/>
      <c r="LCU1" s="1113"/>
      <c r="LCV1" s="1113"/>
      <c r="LCW1" s="1113"/>
      <c r="LCX1" s="1113"/>
      <c r="LCY1" s="1113"/>
      <c r="LCZ1" s="1113"/>
      <c r="LDA1" s="1113"/>
      <c r="LDB1" s="1113"/>
      <c r="LDC1" s="1113"/>
      <c r="LDD1" s="1113"/>
      <c r="LDE1" s="1113"/>
      <c r="LDF1" s="1113"/>
      <c r="LDG1" s="1113"/>
      <c r="LDH1" s="1113"/>
      <c r="LDI1" s="1113"/>
      <c r="LDJ1" s="1113"/>
      <c r="LDK1" s="1113"/>
      <c r="LDL1" s="1113"/>
      <c r="LDM1" s="1113"/>
      <c r="LDN1" s="1113"/>
      <c r="LDO1" s="1113"/>
      <c r="LDP1" s="1113"/>
      <c r="LDQ1" s="1113"/>
      <c r="LDR1" s="1113"/>
      <c r="LDS1" s="1113"/>
      <c r="LDT1" s="1113"/>
      <c r="LDU1" s="1113"/>
      <c r="LDV1" s="1113"/>
      <c r="LDW1" s="1113"/>
      <c r="LDX1" s="1113"/>
      <c r="LDY1" s="1113"/>
      <c r="LDZ1" s="1113"/>
      <c r="LEA1" s="1113"/>
      <c r="LEB1" s="1113"/>
      <c r="LEC1" s="1113"/>
      <c r="LED1" s="1113"/>
      <c r="LEE1" s="1113"/>
      <c r="LEF1" s="1113"/>
      <c r="LEG1" s="1113"/>
      <c r="LEH1" s="1113"/>
      <c r="LEI1" s="1113"/>
      <c r="LEJ1" s="1113"/>
      <c r="LEK1" s="1113"/>
      <c r="LEL1" s="1113"/>
      <c r="LEM1" s="1113"/>
      <c r="LEN1" s="1113"/>
      <c r="LEO1" s="1113"/>
      <c r="LEP1" s="1113"/>
      <c r="LEQ1" s="1113"/>
      <c r="LER1" s="1113"/>
      <c r="LES1" s="1113"/>
      <c r="LET1" s="1113"/>
      <c r="LEU1" s="1113"/>
      <c r="LEV1" s="1113"/>
      <c r="LEW1" s="1113"/>
      <c r="LEX1" s="1113"/>
      <c r="LEY1" s="1113"/>
      <c r="LEZ1" s="1113"/>
      <c r="LFA1" s="1113"/>
      <c r="LFB1" s="1113"/>
      <c r="LFC1" s="1113"/>
      <c r="LFD1" s="1113"/>
      <c r="LFE1" s="1113"/>
      <c r="LFF1" s="1113"/>
      <c r="LFG1" s="1113"/>
      <c r="LFH1" s="1113"/>
      <c r="LFI1" s="1113"/>
      <c r="LFJ1" s="1113"/>
      <c r="LFK1" s="1113"/>
      <c r="LFL1" s="1113"/>
      <c r="LFM1" s="1113"/>
      <c r="LFN1" s="1113"/>
      <c r="LFO1" s="1113"/>
      <c r="LFP1" s="1113"/>
      <c r="LFQ1" s="1113"/>
      <c r="LFR1" s="1113"/>
      <c r="LFS1" s="1113"/>
      <c r="LFT1" s="1113"/>
      <c r="LFU1" s="1113"/>
      <c r="LFV1" s="1113"/>
      <c r="LFW1" s="1113"/>
      <c r="LFX1" s="1113"/>
      <c r="LFY1" s="1113"/>
      <c r="LFZ1" s="1113"/>
      <c r="LGA1" s="1113"/>
      <c r="LGB1" s="1113"/>
      <c r="LGC1" s="1113"/>
      <c r="LGD1" s="1113"/>
      <c r="LGE1" s="1113"/>
      <c r="LGF1" s="1113"/>
      <c r="LGG1" s="1113"/>
      <c r="LGH1" s="1113"/>
      <c r="LGI1" s="1113"/>
      <c r="LGJ1" s="1113"/>
      <c r="LGK1" s="1113"/>
      <c r="LGL1" s="1113"/>
      <c r="LGM1" s="1113"/>
      <c r="LGN1" s="1113"/>
      <c r="LGO1" s="1113"/>
      <c r="LGP1" s="1113"/>
      <c r="LGQ1" s="1113"/>
      <c r="LGR1" s="1113"/>
      <c r="LGS1" s="1113"/>
      <c r="LGT1" s="1113"/>
      <c r="LGU1" s="1113"/>
      <c r="LGV1" s="1113"/>
      <c r="LGW1" s="1113"/>
      <c r="LGX1" s="1113"/>
      <c r="LGY1" s="1113"/>
      <c r="LGZ1" s="1113"/>
      <c r="LHA1" s="1113"/>
      <c r="LHB1" s="1113"/>
      <c r="LHC1" s="1113"/>
      <c r="LHD1" s="1113"/>
      <c r="LHE1" s="1113"/>
      <c r="LHF1" s="1113"/>
      <c r="LHG1" s="1113"/>
      <c r="LHH1" s="1113"/>
      <c r="LHI1" s="1113"/>
      <c r="LHJ1" s="1113"/>
      <c r="LHK1" s="1113"/>
      <c r="LHL1" s="1113"/>
      <c r="LHM1" s="1113"/>
      <c r="LHN1" s="1113"/>
      <c r="LHO1" s="1113"/>
      <c r="LHP1" s="1113"/>
      <c r="LHQ1" s="1113"/>
      <c r="LHR1" s="1113"/>
      <c r="LHS1" s="1113"/>
      <c r="LHT1" s="1113"/>
      <c r="LHU1" s="1113"/>
      <c r="LHV1" s="1113"/>
      <c r="LHW1" s="1113"/>
      <c r="LHX1" s="1113"/>
      <c r="LHY1" s="1113"/>
      <c r="LHZ1" s="1113"/>
      <c r="LIA1" s="1113"/>
      <c r="LIB1" s="1113"/>
      <c r="LIC1" s="1113"/>
      <c r="LID1" s="1113"/>
      <c r="LIE1" s="1113"/>
      <c r="LIF1" s="1113"/>
      <c r="LIG1" s="1113"/>
      <c r="LIH1" s="1113"/>
      <c r="LII1" s="1113"/>
      <c r="LIJ1" s="1113"/>
      <c r="LIK1" s="1113"/>
      <c r="LIL1" s="1113"/>
      <c r="LIM1" s="1113"/>
      <c r="LIN1" s="1113"/>
      <c r="LIO1" s="1113"/>
      <c r="LIP1" s="1113"/>
      <c r="LIQ1" s="1113"/>
      <c r="LIR1" s="1113"/>
      <c r="LIS1" s="1113"/>
      <c r="LIT1" s="1113"/>
      <c r="LIU1" s="1113"/>
      <c r="LIV1" s="1113"/>
      <c r="LIW1" s="1113"/>
      <c r="LIX1" s="1113"/>
      <c r="LIY1" s="1113"/>
      <c r="LIZ1" s="1113"/>
      <c r="LJA1" s="1113"/>
      <c r="LJB1" s="1113"/>
      <c r="LJC1" s="1113"/>
      <c r="LJD1" s="1113"/>
      <c r="LJE1" s="1113"/>
      <c r="LJF1" s="1113"/>
      <c r="LJG1" s="1113"/>
      <c r="LJH1" s="1113"/>
      <c r="LJI1" s="1113"/>
      <c r="LJJ1" s="1113"/>
      <c r="LJK1" s="1113"/>
      <c r="LJL1" s="1113"/>
      <c r="LJM1" s="1113"/>
      <c r="LJN1" s="1113"/>
      <c r="LJO1" s="1113"/>
      <c r="LJP1" s="1113"/>
      <c r="LJQ1" s="1113"/>
      <c r="LJR1" s="1113"/>
      <c r="LJS1" s="1113"/>
      <c r="LJT1" s="1113"/>
      <c r="LJU1" s="1113"/>
      <c r="LJV1" s="1113"/>
      <c r="LJW1" s="1113"/>
      <c r="LJX1" s="1113"/>
      <c r="LJY1" s="1113"/>
      <c r="LJZ1" s="1113"/>
      <c r="LKA1" s="1113"/>
      <c r="LKB1" s="1113"/>
      <c r="LKC1" s="1113"/>
      <c r="LKD1" s="1113"/>
      <c r="LKE1" s="1113"/>
      <c r="LKF1" s="1113"/>
      <c r="LKG1" s="1113"/>
      <c r="LKH1" s="1113"/>
      <c r="LKI1" s="1113"/>
      <c r="LKJ1" s="1113"/>
      <c r="LKK1" s="1113"/>
      <c r="LKL1" s="1113"/>
      <c r="LKM1" s="1113"/>
      <c r="LKN1" s="1113"/>
      <c r="LKO1" s="1113"/>
      <c r="LKP1" s="1113"/>
      <c r="LKQ1" s="1113"/>
      <c r="LKR1" s="1113"/>
      <c r="LKS1" s="1113"/>
      <c r="LKT1" s="1113"/>
      <c r="LKU1" s="1113"/>
      <c r="LKV1" s="1113"/>
      <c r="LKW1" s="1113"/>
      <c r="LKX1" s="1113"/>
      <c r="LKY1" s="1113"/>
      <c r="LKZ1" s="1113"/>
      <c r="LLA1" s="1113"/>
      <c r="LLB1" s="1113"/>
      <c r="LLC1" s="1113"/>
      <c r="LLD1" s="1113"/>
      <c r="LLE1" s="1113"/>
      <c r="LLF1" s="1113"/>
      <c r="LLG1" s="1113"/>
      <c r="LLH1" s="1113"/>
      <c r="LLI1" s="1113"/>
      <c r="LLJ1" s="1113"/>
      <c r="LLK1" s="1113"/>
      <c r="LLL1" s="1113"/>
      <c r="LLM1" s="1113"/>
      <c r="LLN1" s="1113"/>
      <c r="LLO1" s="1113"/>
      <c r="LLP1" s="1113"/>
      <c r="LLQ1" s="1113"/>
      <c r="LLR1" s="1113"/>
      <c r="LLS1" s="1113"/>
      <c r="LLT1" s="1113"/>
      <c r="LLU1" s="1113"/>
      <c r="LLV1" s="1113"/>
      <c r="LLW1" s="1113"/>
      <c r="LLX1" s="1113"/>
      <c r="LLY1" s="1113"/>
      <c r="LLZ1" s="1113"/>
      <c r="LMA1" s="1113"/>
      <c r="LMB1" s="1113"/>
      <c r="LMC1" s="1113"/>
      <c r="LMD1" s="1113"/>
      <c r="LME1" s="1113"/>
      <c r="LMF1" s="1113"/>
      <c r="LMG1" s="1113"/>
      <c r="LMH1" s="1113"/>
      <c r="LMI1" s="1113"/>
      <c r="LMJ1" s="1113"/>
      <c r="LMK1" s="1113"/>
      <c r="LML1" s="1113"/>
      <c r="LMM1" s="1113"/>
      <c r="LMN1" s="1113"/>
      <c r="LMO1" s="1113"/>
      <c r="LMP1" s="1113"/>
      <c r="LMQ1" s="1113"/>
      <c r="LMR1" s="1113"/>
      <c r="LMS1" s="1113"/>
      <c r="LMT1" s="1113"/>
      <c r="LMU1" s="1113"/>
      <c r="LMV1" s="1113"/>
      <c r="LMW1" s="1113"/>
      <c r="LMX1" s="1113"/>
      <c r="LMY1" s="1113"/>
      <c r="LMZ1" s="1113"/>
      <c r="LNA1" s="1113"/>
      <c r="LNB1" s="1113"/>
      <c r="LNC1" s="1113"/>
      <c r="LND1" s="1113"/>
      <c r="LNE1" s="1113"/>
      <c r="LNF1" s="1113"/>
      <c r="LNG1" s="1113"/>
      <c r="LNH1" s="1113"/>
      <c r="LNI1" s="1113"/>
      <c r="LNJ1" s="1113"/>
      <c r="LNK1" s="1113"/>
      <c r="LNL1" s="1113"/>
      <c r="LNM1" s="1113"/>
      <c r="LNN1" s="1113"/>
      <c r="LNO1" s="1113"/>
      <c r="LNP1" s="1113"/>
      <c r="LNQ1" s="1113"/>
      <c r="LNR1" s="1113"/>
      <c r="LNS1" s="1113"/>
      <c r="LNT1" s="1113"/>
      <c r="LNU1" s="1113"/>
      <c r="LNV1" s="1113"/>
      <c r="LNW1" s="1113"/>
      <c r="LNX1" s="1113"/>
      <c r="LNY1" s="1113"/>
      <c r="LNZ1" s="1113"/>
      <c r="LOA1" s="1113"/>
      <c r="LOB1" s="1113"/>
      <c r="LOC1" s="1113"/>
      <c r="LOD1" s="1113"/>
      <c r="LOE1" s="1113"/>
      <c r="LOF1" s="1113"/>
      <c r="LOG1" s="1113"/>
      <c r="LOH1" s="1113"/>
      <c r="LOI1" s="1113"/>
      <c r="LOJ1" s="1113"/>
      <c r="LOK1" s="1113"/>
      <c r="LOL1" s="1113"/>
      <c r="LOM1" s="1113"/>
      <c r="LON1" s="1113"/>
      <c r="LOO1" s="1113"/>
      <c r="LOP1" s="1113"/>
      <c r="LOQ1" s="1113"/>
      <c r="LOR1" s="1113"/>
      <c r="LOS1" s="1113"/>
      <c r="LOT1" s="1113"/>
      <c r="LOU1" s="1113"/>
      <c r="LOV1" s="1113"/>
      <c r="LOW1" s="1113"/>
      <c r="LOX1" s="1113"/>
      <c r="LOY1" s="1113"/>
      <c r="LOZ1" s="1113"/>
      <c r="LPA1" s="1113"/>
      <c r="LPB1" s="1113"/>
      <c r="LPC1" s="1113"/>
      <c r="LPD1" s="1113"/>
      <c r="LPE1" s="1113"/>
      <c r="LPF1" s="1113"/>
      <c r="LPG1" s="1113"/>
      <c r="LPH1" s="1113"/>
      <c r="LPI1" s="1113"/>
      <c r="LPJ1" s="1113"/>
      <c r="LPK1" s="1113"/>
      <c r="LPL1" s="1113"/>
      <c r="LPM1" s="1113"/>
      <c r="LPN1" s="1113"/>
      <c r="LPO1" s="1113"/>
      <c r="LPP1" s="1113"/>
      <c r="LPQ1" s="1113"/>
      <c r="LPR1" s="1113"/>
      <c r="LPS1" s="1113"/>
      <c r="LPT1" s="1113"/>
      <c r="LPU1" s="1113"/>
      <c r="LPV1" s="1113"/>
      <c r="LPW1" s="1113"/>
      <c r="LPX1" s="1113"/>
      <c r="LPY1" s="1113"/>
      <c r="LPZ1" s="1113"/>
      <c r="LQA1" s="1113"/>
      <c r="LQB1" s="1113"/>
      <c r="LQC1" s="1113"/>
      <c r="LQD1" s="1113"/>
      <c r="LQE1" s="1113"/>
      <c r="LQF1" s="1113"/>
      <c r="LQG1" s="1113"/>
      <c r="LQH1" s="1113"/>
      <c r="LQI1" s="1113"/>
      <c r="LQJ1" s="1113"/>
      <c r="LQK1" s="1113"/>
      <c r="LQL1" s="1113"/>
      <c r="LQM1" s="1113"/>
      <c r="LQN1" s="1113"/>
      <c r="LQO1" s="1113"/>
      <c r="LQP1" s="1113"/>
      <c r="LQQ1" s="1113"/>
      <c r="LQR1" s="1113"/>
      <c r="LQS1" s="1113"/>
      <c r="LQT1" s="1113"/>
      <c r="LQU1" s="1113"/>
      <c r="LQV1" s="1113"/>
      <c r="LQW1" s="1113"/>
      <c r="LQX1" s="1113"/>
      <c r="LQY1" s="1113"/>
      <c r="LQZ1" s="1113"/>
      <c r="LRA1" s="1113"/>
      <c r="LRB1" s="1113"/>
      <c r="LRC1" s="1113"/>
      <c r="LRD1" s="1113"/>
      <c r="LRE1" s="1113"/>
      <c r="LRF1" s="1113"/>
      <c r="LRG1" s="1113"/>
      <c r="LRH1" s="1113"/>
      <c r="LRI1" s="1113"/>
      <c r="LRJ1" s="1113"/>
      <c r="LRK1" s="1113"/>
      <c r="LRL1" s="1113"/>
      <c r="LRM1" s="1113"/>
      <c r="LRN1" s="1113"/>
      <c r="LRO1" s="1113"/>
      <c r="LRP1" s="1113"/>
      <c r="LRQ1" s="1113"/>
      <c r="LRR1" s="1113"/>
      <c r="LRS1" s="1113"/>
      <c r="LRT1" s="1113"/>
      <c r="LRU1" s="1113"/>
      <c r="LRV1" s="1113"/>
      <c r="LRW1" s="1113"/>
      <c r="LRX1" s="1113"/>
      <c r="LRY1" s="1113"/>
      <c r="LRZ1" s="1113"/>
      <c r="LSA1" s="1113"/>
      <c r="LSB1" s="1113"/>
      <c r="LSC1" s="1113"/>
      <c r="LSD1" s="1113"/>
      <c r="LSE1" s="1113"/>
      <c r="LSF1" s="1113"/>
      <c r="LSG1" s="1113"/>
      <c r="LSH1" s="1113"/>
      <c r="LSI1" s="1113"/>
      <c r="LSJ1" s="1113"/>
      <c r="LSK1" s="1113"/>
      <c r="LSL1" s="1113"/>
      <c r="LSM1" s="1113"/>
      <c r="LSN1" s="1113"/>
      <c r="LSO1" s="1113"/>
      <c r="LSP1" s="1113"/>
      <c r="LSQ1" s="1113"/>
      <c r="LSR1" s="1113"/>
      <c r="LSS1" s="1113"/>
      <c r="LST1" s="1113"/>
      <c r="LSU1" s="1113"/>
      <c r="LSV1" s="1113"/>
      <c r="LSW1" s="1113"/>
      <c r="LSX1" s="1113"/>
      <c r="LSY1" s="1113"/>
      <c r="LSZ1" s="1113"/>
      <c r="LTA1" s="1113"/>
      <c r="LTB1" s="1113"/>
      <c r="LTC1" s="1113"/>
      <c r="LTD1" s="1113"/>
      <c r="LTE1" s="1113"/>
      <c r="LTF1" s="1113"/>
      <c r="LTG1" s="1113"/>
      <c r="LTH1" s="1113"/>
      <c r="LTI1" s="1113"/>
      <c r="LTJ1" s="1113"/>
      <c r="LTK1" s="1113"/>
      <c r="LTL1" s="1113"/>
      <c r="LTM1" s="1113"/>
      <c r="LTN1" s="1113"/>
      <c r="LTO1" s="1113"/>
      <c r="LTP1" s="1113"/>
      <c r="LTQ1" s="1113"/>
      <c r="LTR1" s="1113"/>
      <c r="LTS1" s="1113"/>
      <c r="LTT1" s="1113"/>
      <c r="LTU1" s="1113"/>
      <c r="LTV1" s="1113"/>
      <c r="LTW1" s="1113"/>
      <c r="LTX1" s="1113"/>
      <c r="LTY1" s="1113"/>
      <c r="LTZ1" s="1113"/>
      <c r="LUA1" s="1113"/>
      <c r="LUB1" s="1113"/>
      <c r="LUC1" s="1113"/>
      <c r="LUD1" s="1113"/>
      <c r="LUE1" s="1113"/>
      <c r="LUF1" s="1113"/>
      <c r="LUG1" s="1113"/>
      <c r="LUH1" s="1113"/>
      <c r="LUI1" s="1113"/>
      <c r="LUJ1" s="1113"/>
      <c r="LUK1" s="1113"/>
      <c r="LUL1" s="1113"/>
      <c r="LUM1" s="1113"/>
      <c r="LUN1" s="1113"/>
      <c r="LUO1" s="1113"/>
      <c r="LUP1" s="1113"/>
      <c r="LUQ1" s="1113"/>
      <c r="LUR1" s="1113"/>
      <c r="LUS1" s="1113"/>
      <c r="LUT1" s="1113"/>
      <c r="LUU1" s="1113"/>
      <c r="LUV1" s="1113"/>
      <c r="LUW1" s="1113"/>
      <c r="LUX1" s="1113"/>
      <c r="LUY1" s="1113"/>
      <c r="LUZ1" s="1113"/>
      <c r="LVA1" s="1113"/>
      <c r="LVB1" s="1113"/>
      <c r="LVC1" s="1113"/>
      <c r="LVD1" s="1113"/>
      <c r="LVE1" s="1113"/>
      <c r="LVF1" s="1113"/>
      <c r="LVG1" s="1113"/>
      <c r="LVH1" s="1113"/>
      <c r="LVI1" s="1113"/>
      <c r="LVJ1" s="1113"/>
      <c r="LVK1" s="1113"/>
      <c r="LVL1" s="1113"/>
      <c r="LVM1" s="1113"/>
      <c r="LVN1" s="1113"/>
      <c r="LVO1" s="1113"/>
      <c r="LVP1" s="1113"/>
      <c r="LVQ1" s="1113"/>
      <c r="LVR1" s="1113"/>
      <c r="LVS1" s="1113"/>
      <c r="LVT1" s="1113"/>
      <c r="LVU1" s="1113"/>
      <c r="LVV1" s="1113"/>
      <c r="LVW1" s="1113"/>
      <c r="LVX1" s="1113"/>
      <c r="LVY1" s="1113"/>
      <c r="LVZ1" s="1113"/>
      <c r="LWA1" s="1113"/>
      <c r="LWB1" s="1113"/>
      <c r="LWC1" s="1113"/>
      <c r="LWD1" s="1113"/>
      <c r="LWE1" s="1113"/>
      <c r="LWF1" s="1113"/>
      <c r="LWG1" s="1113"/>
      <c r="LWH1" s="1113"/>
      <c r="LWI1" s="1113"/>
      <c r="LWJ1" s="1113"/>
      <c r="LWK1" s="1113"/>
      <c r="LWL1" s="1113"/>
      <c r="LWM1" s="1113"/>
      <c r="LWN1" s="1113"/>
      <c r="LWO1" s="1113"/>
      <c r="LWP1" s="1113"/>
      <c r="LWQ1" s="1113"/>
      <c r="LWR1" s="1113"/>
      <c r="LWS1" s="1113"/>
      <c r="LWT1" s="1113"/>
      <c r="LWU1" s="1113"/>
      <c r="LWV1" s="1113"/>
      <c r="LWW1" s="1113"/>
      <c r="LWX1" s="1113"/>
      <c r="LWY1" s="1113"/>
      <c r="LWZ1" s="1113"/>
      <c r="LXA1" s="1113"/>
      <c r="LXB1" s="1113"/>
      <c r="LXC1" s="1113"/>
      <c r="LXD1" s="1113"/>
      <c r="LXE1" s="1113"/>
      <c r="LXF1" s="1113"/>
      <c r="LXG1" s="1113"/>
      <c r="LXH1" s="1113"/>
      <c r="LXI1" s="1113"/>
      <c r="LXJ1" s="1113"/>
      <c r="LXK1" s="1113"/>
      <c r="LXL1" s="1113"/>
      <c r="LXM1" s="1113"/>
      <c r="LXN1" s="1113"/>
      <c r="LXO1" s="1113"/>
      <c r="LXP1" s="1113"/>
      <c r="LXQ1" s="1113"/>
      <c r="LXR1" s="1113"/>
      <c r="LXS1" s="1113"/>
      <c r="LXT1" s="1113"/>
      <c r="LXU1" s="1113"/>
      <c r="LXV1" s="1113"/>
      <c r="LXW1" s="1113"/>
      <c r="LXX1" s="1113"/>
      <c r="LXY1" s="1113"/>
      <c r="LXZ1" s="1113"/>
      <c r="LYA1" s="1113"/>
      <c r="LYB1" s="1113"/>
      <c r="LYC1" s="1113"/>
      <c r="LYD1" s="1113"/>
      <c r="LYE1" s="1113"/>
      <c r="LYF1" s="1113"/>
      <c r="LYG1" s="1113"/>
      <c r="LYH1" s="1113"/>
      <c r="LYI1" s="1113"/>
      <c r="LYJ1" s="1113"/>
      <c r="LYK1" s="1113"/>
      <c r="LYL1" s="1113"/>
      <c r="LYM1" s="1113"/>
      <c r="LYN1" s="1113"/>
      <c r="LYO1" s="1113"/>
      <c r="LYP1" s="1113"/>
      <c r="LYQ1" s="1113"/>
      <c r="LYR1" s="1113"/>
      <c r="LYS1" s="1113"/>
      <c r="LYT1" s="1113"/>
      <c r="LYU1" s="1113"/>
      <c r="LYV1" s="1113"/>
      <c r="LYW1" s="1113"/>
      <c r="LYX1" s="1113"/>
      <c r="LYY1" s="1113"/>
      <c r="LYZ1" s="1113"/>
      <c r="LZA1" s="1113"/>
      <c r="LZB1" s="1113"/>
      <c r="LZC1" s="1113"/>
      <c r="LZD1" s="1113"/>
      <c r="LZE1" s="1113"/>
      <c r="LZF1" s="1113"/>
      <c r="LZG1" s="1113"/>
      <c r="LZH1" s="1113"/>
      <c r="LZI1" s="1113"/>
      <c r="LZJ1" s="1113"/>
      <c r="LZK1" s="1113"/>
      <c r="LZL1" s="1113"/>
      <c r="LZM1" s="1113"/>
      <c r="LZN1" s="1113"/>
      <c r="LZO1" s="1113"/>
      <c r="LZP1" s="1113"/>
      <c r="LZQ1" s="1113"/>
      <c r="LZR1" s="1113"/>
      <c r="LZS1" s="1113"/>
      <c r="LZT1" s="1113"/>
      <c r="LZU1" s="1113"/>
      <c r="LZV1" s="1113"/>
      <c r="LZW1" s="1113"/>
      <c r="LZX1" s="1113"/>
      <c r="LZY1" s="1113"/>
      <c r="LZZ1" s="1113"/>
      <c r="MAA1" s="1113"/>
      <c r="MAB1" s="1113"/>
      <c r="MAC1" s="1113"/>
      <c r="MAD1" s="1113"/>
      <c r="MAE1" s="1113"/>
      <c r="MAF1" s="1113"/>
      <c r="MAG1" s="1113"/>
      <c r="MAH1" s="1113"/>
      <c r="MAI1" s="1113"/>
      <c r="MAJ1" s="1113"/>
      <c r="MAK1" s="1113"/>
      <c r="MAL1" s="1113"/>
      <c r="MAM1" s="1113"/>
      <c r="MAN1" s="1113"/>
      <c r="MAO1" s="1113"/>
      <c r="MAP1" s="1113"/>
      <c r="MAQ1" s="1113"/>
      <c r="MAR1" s="1113"/>
      <c r="MAS1" s="1113"/>
      <c r="MAT1" s="1113"/>
      <c r="MAU1" s="1113"/>
      <c r="MAV1" s="1113"/>
      <c r="MAW1" s="1113"/>
      <c r="MAX1" s="1113"/>
      <c r="MAY1" s="1113"/>
      <c r="MAZ1" s="1113"/>
      <c r="MBA1" s="1113"/>
      <c r="MBB1" s="1113"/>
      <c r="MBC1" s="1113"/>
      <c r="MBD1" s="1113"/>
      <c r="MBE1" s="1113"/>
      <c r="MBF1" s="1113"/>
      <c r="MBG1" s="1113"/>
      <c r="MBH1" s="1113"/>
      <c r="MBI1" s="1113"/>
      <c r="MBJ1" s="1113"/>
      <c r="MBK1" s="1113"/>
      <c r="MBL1" s="1113"/>
      <c r="MBM1" s="1113"/>
      <c r="MBN1" s="1113"/>
      <c r="MBO1" s="1113"/>
      <c r="MBP1" s="1113"/>
      <c r="MBQ1" s="1113"/>
      <c r="MBR1" s="1113"/>
      <c r="MBS1" s="1113"/>
      <c r="MBT1" s="1113"/>
      <c r="MBU1" s="1113"/>
      <c r="MBV1" s="1113"/>
      <c r="MBW1" s="1113"/>
      <c r="MBX1" s="1113"/>
      <c r="MBY1" s="1113"/>
      <c r="MBZ1" s="1113"/>
      <c r="MCA1" s="1113"/>
      <c r="MCB1" s="1113"/>
      <c r="MCC1" s="1113"/>
      <c r="MCD1" s="1113"/>
      <c r="MCE1" s="1113"/>
      <c r="MCF1" s="1113"/>
      <c r="MCG1" s="1113"/>
      <c r="MCH1" s="1113"/>
      <c r="MCI1" s="1113"/>
      <c r="MCJ1" s="1113"/>
      <c r="MCK1" s="1113"/>
      <c r="MCL1" s="1113"/>
      <c r="MCM1" s="1113"/>
      <c r="MCN1" s="1113"/>
      <c r="MCO1" s="1113"/>
      <c r="MCP1" s="1113"/>
      <c r="MCQ1" s="1113"/>
      <c r="MCR1" s="1113"/>
      <c r="MCS1" s="1113"/>
      <c r="MCT1" s="1113"/>
      <c r="MCU1" s="1113"/>
      <c r="MCV1" s="1113"/>
      <c r="MCW1" s="1113"/>
      <c r="MCX1" s="1113"/>
      <c r="MCY1" s="1113"/>
      <c r="MCZ1" s="1113"/>
      <c r="MDA1" s="1113"/>
      <c r="MDB1" s="1113"/>
      <c r="MDC1" s="1113"/>
      <c r="MDD1" s="1113"/>
      <c r="MDE1" s="1113"/>
      <c r="MDF1" s="1113"/>
      <c r="MDG1" s="1113"/>
      <c r="MDH1" s="1113"/>
      <c r="MDI1" s="1113"/>
      <c r="MDJ1" s="1113"/>
      <c r="MDK1" s="1113"/>
      <c r="MDL1" s="1113"/>
      <c r="MDM1" s="1113"/>
      <c r="MDN1" s="1113"/>
      <c r="MDO1" s="1113"/>
      <c r="MDP1" s="1113"/>
      <c r="MDQ1" s="1113"/>
      <c r="MDR1" s="1113"/>
      <c r="MDS1" s="1113"/>
      <c r="MDT1" s="1113"/>
      <c r="MDU1" s="1113"/>
      <c r="MDV1" s="1113"/>
      <c r="MDW1" s="1113"/>
      <c r="MDX1" s="1113"/>
      <c r="MDY1" s="1113"/>
      <c r="MDZ1" s="1113"/>
      <c r="MEA1" s="1113"/>
      <c r="MEB1" s="1113"/>
      <c r="MEC1" s="1113"/>
      <c r="MED1" s="1113"/>
      <c r="MEE1" s="1113"/>
      <c r="MEF1" s="1113"/>
      <c r="MEG1" s="1113"/>
      <c r="MEH1" s="1113"/>
      <c r="MEI1" s="1113"/>
      <c r="MEJ1" s="1113"/>
      <c r="MEK1" s="1113"/>
      <c r="MEL1" s="1113"/>
      <c r="MEM1" s="1113"/>
      <c r="MEN1" s="1113"/>
      <c r="MEO1" s="1113"/>
      <c r="MEP1" s="1113"/>
      <c r="MEQ1" s="1113"/>
      <c r="MER1" s="1113"/>
      <c r="MES1" s="1113"/>
      <c r="MET1" s="1113"/>
      <c r="MEU1" s="1113"/>
      <c r="MEV1" s="1113"/>
      <c r="MEW1" s="1113"/>
      <c r="MEX1" s="1113"/>
      <c r="MEY1" s="1113"/>
      <c r="MEZ1" s="1113"/>
      <c r="MFA1" s="1113"/>
      <c r="MFB1" s="1113"/>
      <c r="MFC1" s="1113"/>
      <c r="MFD1" s="1113"/>
      <c r="MFE1" s="1113"/>
      <c r="MFF1" s="1113"/>
      <c r="MFG1" s="1113"/>
      <c r="MFH1" s="1113"/>
      <c r="MFI1" s="1113"/>
      <c r="MFJ1" s="1113"/>
      <c r="MFK1" s="1113"/>
      <c r="MFL1" s="1113"/>
      <c r="MFM1" s="1113"/>
      <c r="MFN1" s="1113"/>
      <c r="MFO1" s="1113"/>
      <c r="MFP1" s="1113"/>
      <c r="MFQ1" s="1113"/>
      <c r="MFR1" s="1113"/>
      <c r="MFS1" s="1113"/>
      <c r="MFT1" s="1113"/>
      <c r="MFU1" s="1113"/>
      <c r="MFV1" s="1113"/>
      <c r="MFW1" s="1113"/>
      <c r="MFX1" s="1113"/>
      <c r="MFY1" s="1113"/>
      <c r="MFZ1" s="1113"/>
      <c r="MGA1" s="1113"/>
      <c r="MGB1" s="1113"/>
      <c r="MGC1" s="1113"/>
      <c r="MGD1" s="1113"/>
      <c r="MGE1" s="1113"/>
      <c r="MGF1" s="1113"/>
      <c r="MGG1" s="1113"/>
      <c r="MGH1" s="1113"/>
      <c r="MGI1" s="1113"/>
      <c r="MGJ1" s="1113"/>
      <c r="MGK1" s="1113"/>
      <c r="MGL1" s="1113"/>
      <c r="MGM1" s="1113"/>
      <c r="MGN1" s="1113"/>
      <c r="MGO1" s="1113"/>
      <c r="MGP1" s="1113"/>
      <c r="MGQ1" s="1113"/>
      <c r="MGR1" s="1113"/>
      <c r="MGS1" s="1113"/>
      <c r="MGT1" s="1113"/>
      <c r="MGU1" s="1113"/>
      <c r="MGV1" s="1113"/>
      <c r="MGW1" s="1113"/>
      <c r="MGX1" s="1113"/>
      <c r="MGY1" s="1113"/>
      <c r="MGZ1" s="1113"/>
      <c r="MHA1" s="1113"/>
      <c r="MHB1" s="1113"/>
      <c r="MHC1" s="1113"/>
      <c r="MHD1" s="1113"/>
      <c r="MHE1" s="1113"/>
      <c r="MHF1" s="1113"/>
      <c r="MHG1" s="1113"/>
      <c r="MHH1" s="1113"/>
      <c r="MHI1" s="1113"/>
      <c r="MHJ1" s="1113"/>
      <c r="MHK1" s="1113"/>
      <c r="MHL1" s="1113"/>
      <c r="MHM1" s="1113"/>
      <c r="MHN1" s="1113"/>
      <c r="MHO1" s="1113"/>
      <c r="MHP1" s="1113"/>
      <c r="MHQ1" s="1113"/>
      <c r="MHR1" s="1113"/>
      <c r="MHS1" s="1113"/>
      <c r="MHT1" s="1113"/>
      <c r="MHU1" s="1113"/>
      <c r="MHV1" s="1113"/>
      <c r="MHW1" s="1113"/>
      <c r="MHX1" s="1113"/>
      <c r="MHY1" s="1113"/>
      <c r="MHZ1" s="1113"/>
      <c r="MIA1" s="1113"/>
      <c r="MIB1" s="1113"/>
      <c r="MIC1" s="1113"/>
      <c r="MID1" s="1113"/>
      <c r="MIE1" s="1113"/>
      <c r="MIF1" s="1113"/>
      <c r="MIG1" s="1113"/>
      <c r="MIH1" s="1113"/>
      <c r="MII1" s="1113"/>
      <c r="MIJ1" s="1113"/>
      <c r="MIK1" s="1113"/>
      <c r="MIL1" s="1113"/>
      <c r="MIM1" s="1113"/>
      <c r="MIN1" s="1113"/>
      <c r="MIO1" s="1113"/>
      <c r="MIP1" s="1113"/>
      <c r="MIQ1" s="1113"/>
      <c r="MIR1" s="1113"/>
      <c r="MIS1" s="1113"/>
      <c r="MIT1" s="1113"/>
      <c r="MIU1" s="1113"/>
      <c r="MIV1" s="1113"/>
      <c r="MIW1" s="1113"/>
      <c r="MIX1" s="1113"/>
      <c r="MIY1" s="1113"/>
      <c r="MIZ1" s="1113"/>
      <c r="MJA1" s="1113"/>
      <c r="MJB1" s="1113"/>
      <c r="MJC1" s="1113"/>
      <c r="MJD1" s="1113"/>
      <c r="MJE1" s="1113"/>
      <c r="MJF1" s="1113"/>
      <c r="MJG1" s="1113"/>
      <c r="MJH1" s="1113"/>
      <c r="MJI1" s="1113"/>
      <c r="MJJ1" s="1113"/>
      <c r="MJK1" s="1113"/>
      <c r="MJL1" s="1113"/>
      <c r="MJM1" s="1113"/>
      <c r="MJN1" s="1113"/>
      <c r="MJO1" s="1113"/>
      <c r="MJP1" s="1113"/>
      <c r="MJQ1" s="1113"/>
      <c r="MJR1" s="1113"/>
      <c r="MJS1" s="1113"/>
      <c r="MJT1" s="1113"/>
      <c r="MJU1" s="1113"/>
      <c r="MJV1" s="1113"/>
      <c r="MJW1" s="1113"/>
      <c r="MJX1" s="1113"/>
      <c r="MJY1" s="1113"/>
      <c r="MJZ1" s="1113"/>
      <c r="MKA1" s="1113"/>
      <c r="MKB1" s="1113"/>
      <c r="MKC1" s="1113"/>
      <c r="MKD1" s="1113"/>
      <c r="MKE1" s="1113"/>
      <c r="MKF1" s="1113"/>
      <c r="MKG1" s="1113"/>
      <c r="MKH1" s="1113"/>
      <c r="MKI1" s="1113"/>
      <c r="MKJ1" s="1113"/>
      <c r="MKK1" s="1113"/>
      <c r="MKL1" s="1113"/>
      <c r="MKM1" s="1113"/>
      <c r="MKN1" s="1113"/>
      <c r="MKO1" s="1113"/>
      <c r="MKP1" s="1113"/>
      <c r="MKQ1" s="1113"/>
      <c r="MKR1" s="1113"/>
      <c r="MKS1" s="1113"/>
      <c r="MKT1" s="1113"/>
      <c r="MKU1" s="1113"/>
      <c r="MKV1" s="1113"/>
      <c r="MKW1" s="1113"/>
      <c r="MKX1" s="1113"/>
      <c r="MKY1" s="1113"/>
      <c r="MKZ1" s="1113"/>
      <c r="MLA1" s="1113"/>
      <c r="MLB1" s="1113"/>
      <c r="MLC1" s="1113"/>
      <c r="MLD1" s="1113"/>
      <c r="MLE1" s="1113"/>
      <c r="MLF1" s="1113"/>
      <c r="MLG1" s="1113"/>
      <c r="MLH1" s="1113"/>
      <c r="MLI1" s="1113"/>
      <c r="MLJ1" s="1113"/>
      <c r="MLK1" s="1113"/>
      <c r="MLL1" s="1113"/>
      <c r="MLM1" s="1113"/>
      <c r="MLN1" s="1113"/>
      <c r="MLO1" s="1113"/>
      <c r="MLP1" s="1113"/>
      <c r="MLQ1" s="1113"/>
      <c r="MLR1" s="1113"/>
      <c r="MLS1" s="1113"/>
      <c r="MLT1" s="1113"/>
      <c r="MLU1" s="1113"/>
      <c r="MLV1" s="1113"/>
      <c r="MLW1" s="1113"/>
      <c r="MLX1" s="1113"/>
      <c r="MLY1" s="1113"/>
      <c r="MLZ1" s="1113"/>
      <c r="MMA1" s="1113"/>
      <c r="MMB1" s="1113"/>
      <c r="MMC1" s="1113"/>
      <c r="MMD1" s="1113"/>
      <c r="MME1" s="1113"/>
      <c r="MMF1" s="1113"/>
      <c r="MMG1" s="1113"/>
      <c r="MMH1" s="1113"/>
      <c r="MMI1" s="1113"/>
      <c r="MMJ1" s="1113"/>
      <c r="MMK1" s="1113"/>
      <c r="MML1" s="1113"/>
      <c r="MMM1" s="1113"/>
      <c r="MMN1" s="1113"/>
      <c r="MMO1" s="1113"/>
      <c r="MMP1" s="1113"/>
      <c r="MMQ1" s="1113"/>
      <c r="MMR1" s="1113"/>
      <c r="MMS1" s="1113"/>
      <c r="MMT1" s="1113"/>
      <c r="MMU1" s="1113"/>
      <c r="MMV1" s="1113"/>
      <c r="MMW1" s="1113"/>
      <c r="MMX1" s="1113"/>
      <c r="MMY1" s="1113"/>
      <c r="MMZ1" s="1113"/>
      <c r="MNA1" s="1113"/>
      <c r="MNB1" s="1113"/>
      <c r="MNC1" s="1113"/>
      <c r="MND1" s="1113"/>
      <c r="MNE1" s="1113"/>
      <c r="MNF1" s="1113"/>
      <c r="MNG1" s="1113"/>
      <c r="MNH1" s="1113"/>
      <c r="MNI1" s="1113"/>
      <c r="MNJ1" s="1113"/>
      <c r="MNK1" s="1113"/>
      <c r="MNL1" s="1113"/>
      <c r="MNM1" s="1113"/>
      <c r="MNN1" s="1113"/>
      <c r="MNO1" s="1113"/>
      <c r="MNP1" s="1113"/>
      <c r="MNQ1" s="1113"/>
      <c r="MNR1" s="1113"/>
      <c r="MNS1" s="1113"/>
      <c r="MNT1" s="1113"/>
      <c r="MNU1" s="1113"/>
      <c r="MNV1" s="1113"/>
      <c r="MNW1" s="1113"/>
      <c r="MNX1" s="1113"/>
      <c r="MNY1" s="1113"/>
      <c r="MNZ1" s="1113"/>
      <c r="MOA1" s="1113"/>
      <c r="MOB1" s="1113"/>
      <c r="MOC1" s="1113"/>
      <c r="MOD1" s="1113"/>
      <c r="MOE1" s="1113"/>
      <c r="MOF1" s="1113"/>
      <c r="MOG1" s="1113"/>
      <c r="MOH1" s="1113"/>
      <c r="MOI1" s="1113"/>
      <c r="MOJ1" s="1113"/>
      <c r="MOK1" s="1113"/>
      <c r="MOL1" s="1113"/>
      <c r="MOM1" s="1113"/>
      <c r="MON1" s="1113"/>
      <c r="MOO1" s="1113"/>
      <c r="MOP1" s="1113"/>
      <c r="MOQ1" s="1113"/>
      <c r="MOR1" s="1113"/>
      <c r="MOS1" s="1113"/>
      <c r="MOT1" s="1113"/>
      <c r="MOU1" s="1113"/>
      <c r="MOV1" s="1113"/>
      <c r="MOW1" s="1113"/>
      <c r="MOX1" s="1113"/>
      <c r="MOY1" s="1113"/>
      <c r="MOZ1" s="1113"/>
      <c r="MPA1" s="1113"/>
      <c r="MPB1" s="1113"/>
      <c r="MPC1" s="1113"/>
      <c r="MPD1" s="1113"/>
      <c r="MPE1" s="1113"/>
      <c r="MPF1" s="1113"/>
      <c r="MPG1" s="1113"/>
      <c r="MPH1" s="1113"/>
      <c r="MPI1" s="1113"/>
      <c r="MPJ1" s="1113"/>
      <c r="MPK1" s="1113"/>
      <c r="MPL1" s="1113"/>
      <c r="MPM1" s="1113"/>
      <c r="MPN1" s="1113"/>
      <c r="MPO1" s="1113"/>
      <c r="MPP1" s="1113"/>
      <c r="MPQ1" s="1113"/>
      <c r="MPR1" s="1113"/>
      <c r="MPS1" s="1113"/>
      <c r="MPT1" s="1113"/>
      <c r="MPU1" s="1113"/>
      <c r="MPV1" s="1113"/>
      <c r="MPW1" s="1113"/>
      <c r="MPX1" s="1113"/>
      <c r="MPY1" s="1113"/>
      <c r="MPZ1" s="1113"/>
      <c r="MQA1" s="1113"/>
      <c r="MQB1" s="1113"/>
      <c r="MQC1" s="1113"/>
      <c r="MQD1" s="1113"/>
      <c r="MQE1" s="1113"/>
      <c r="MQF1" s="1113"/>
      <c r="MQG1" s="1113"/>
      <c r="MQH1" s="1113"/>
      <c r="MQI1" s="1113"/>
      <c r="MQJ1" s="1113"/>
      <c r="MQK1" s="1113"/>
      <c r="MQL1" s="1113"/>
      <c r="MQM1" s="1113"/>
      <c r="MQN1" s="1113"/>
      <c r="MQO1" s="1113"/>
      <c r="MQP1" s="1113"/>
      <c r="MQQ1" s="1113"/>
      <c r="MQR1" s="1113"/>
      <c r="MQS1" s="1113"/>
      <c r="MQT1" s="1113"/>
      <c r="MQU1" s="1113"/>
      <c r="MQV1" s="1113"/>
      <c r="MQW1" s="1113"/>
      <c r="MQX1" s="1113"/>
      <c r="MQY1" s="1113"/>
      <c r="MQZ1" s="1113"/>
      <c r="MRA1" s="1113"/>
      <c r="MRB1" s="1113"/>
      <c r="MRC1" s="1113"/>
      <c r="MRD1" s="1113"/>
      <c r="MRE1" s="1113"/>
      <c r="MRF1" s="1113"/>
      <c r="MRG1" s="1113"/>
      <c r="MRH1" s="1113"/>
      <c r="MRI1" s="1113"/>
      <c r="MRJ1" s="1113"/>
      <c r="MRK1" s="1113"/>
      <c r="MRL1" s="1113"/>
      <c r="MRM1" s="1113"/>
      <c r="MRN1" s="1113"/>
      <c r="MRO1" s="1113"/>
      <c r="MRP1" s="1113"/>
      <c r="MRQ1" s="1113"/>
      <c r="MRR1" s="1113"/>
      <c r="MRS1" s="1113"/>
      <c r="MRT1" s="1113"/>
      <c r="MRU1" s="1113"/>
      <c r="MRV1" s="1113"/>
      <c r="MRW1" s="1113"/>
      <c r="MRX1" s="1113"/>
      <c r="MRY1" s="1113"/>
      <c r="MRZ1" s="1113"/>
      <c r="MSA1" s="1113"/>
      <c r="MSB1" s="1113"/>
      <c r="MSC1" s="1113"/>
      <c r="MSD1" s="1113"/>
      <c r="MSE1" s="1113"/>
      <c r="MSF1" s="1113"/>
      <c r="MSG1" s="1113"/>
      <c r="MSH1" s="1113"/>
      <c r="MSI1" s="1113"/>
      <c r="MSJ1" s="1113"/>
      <c r="MSK1" s="1113"/>
      <c r="MSL1" s="1113"/>
      <c r="MSM1" s="1113"/>
      <c r="MSN1" s="1113"/>
      <c r="MSO1" s="1113"/>
      <c r="MSP1" s="1113"/>
      <c r="MSQ1" s="1113"/>
      <c r="MSR1" s="1113"/>
      <c r="MSS1" s="1113"/>
      <c r="MST1" s="1113"/>
      <c r="MSU1" s="1113"/>
      <c r="MSV1" s="1113"/>
      <c r="MSW1" s="1113"/>
      <c r="MSX1" s="1113"/>
      <c r="MSY1" s="1113"/>
      <c r="MSZ1" s="1113"/>
      <c r="MTA1" s="1113"/>
      <c r="MTB1" s="1113"/>
      <c r="MTC1" s="1113"/>
      <c r="MTD1" s="1113"/>
      <c r="MTE1" s="1113"/>
      <c r="MTF1" s="1113"/>
      <c r="MTG1" s="1113"/>
      <c r="MTH1" s="1113"/>
      <c r="MTI1" s="1113"/>
      <c r="MTJ1" s="1113"/>
      <c r="MTK1" s="1113"/>
      <c r="MTL1" s="1113"/>
      <c r="MTM1" s="1113"/>
      <c r="MTN1" s="1113"/>
      <c r="MTO1" s="1113"/>
      <c r="MTP1" s="1113"/>
      <c r="MTQ1" s="1113"/>
      <c r="MTR1" s="1113"/>
      <c r="MTS1" s="1113"/>
      <c r="MTT1" s="1113"/>
      <c r="MTU1" s="1113"/>
      <c r="MTV1" s="1113"/>
      <c r="MTW1" s="1113"/>
      <c r="MTX1" s="1113"/>
      <c r="MTY1" s="1113"/>
      <c r="MTZ1" s="1113"/>
      <c r="MUA1" s="1113"/>
      <c r="MUB1" s="1113"/>
      <c r="MUC1" s="1113"/>
      <c r="MUD1" s="1113"/>
      <c r="MUE1" s="1113"/>
      <c r="MUF1" s="1113"/>
      <c r="MUG1" s="1113"/>
      <c r="MUH1" s="1113"/>
      <c r="MUI1" s="1113"/>
      <c r="MUJ1" s="1113"/>
      <c r="MUK1" s="1113"/>
      <c r="MUL1" s="1113"/>
      <c r="MUM1" s="1113"/>
      <c r="MUN1" s="1113"/>
      <c r="MUO1" s="1113"/>
      <c r="MUP1" s="1113"/>
      <c r="MUQ1" s="1113"/>
      <c r="MUR1" s="1113"/>
      <c r="MUS1" s="1113"/>
      <c r="MUT1" s="1113"/>
      <c r="MUU1" s="1113"/>
      <c r="MUV1" s="1113"/>
      <c r="MUW1" s="1113"/>
      <c r="MUX1" s="1113"/>
      <c r="MUY1" s="1113"/>
      <c r="MUZ1" s="1113"/>
      <c r="MVA1" s="1113"/>
      <c r="MVB1" s="1113"/>
      <c r="MVC1" s="1113"/>
      <c r="MVD1" s="1113"/>
      <c r="MVE1" s="1113"/>
      <c r="MVF1" s="1113"/>
      <c r="MVG1" s="1113"/>
      <c r="MVH1" s="1113"/>
      <c r="MVI1" s="1113"/>
      <c r="MVJ1" s="1113"/>
      <c r="MVK1" s="1113"/>
      <c r="MVL1" s="1113"/>
      <c r="MVM1" s="1113"/>
      <c r="MVN1" s="1113"/>
      <c r="MVO1" s="1113"/>
      <c r="MVP1" s="1113"/>
      <c r="MVQ1" s="1113"/>
      <c r="MVR1" s="1113"/>
      <c r="MVS1" s="1113"/>
      <c r="MVT1" s="1113"/>
      <c r="MVU1" s="1113"/>
      <c r="MVV1" s="1113"/>
      <c r="MVW1" s="1113"/>
      <c r="MVX1" s="1113"/>
      <c r="MVY1" s="1113"/>
      <c r="MVZ1" s="1113"/>
      <c r="MWA1" s="1113"/>
      <c r="MWB1" s="1113"/>
      <c r="MWC1" s="1113"/>
      <c r="MWD1" s="1113"/>
      <c r="MWE1" s="1113"/>
      <c r="MWF1" s="1113"/>
      <c r="MWG1" s="1113"/>
      <c r="MWH1" s="1113"/>
      <c r="MWI1" s="1113"/>
      <c r="MWJ1" s="1113"/>
      <c r="MWK1" s="1113"/>
      <c r="MWL1" s="1113"/>
      <c r="MWM1" s="1113"/>
      <c r="MWN1" s="1113"/>
      <c r="MWO1" s="1113"/>
      <c r="MWP1" s="1113"/>
      <c r="MWQ1" s="1113"/>
      <c r="MWR1" s="1113"/>
      <c r="MWS1" s="1113"/>
      <c r="MWT1" s="1113"/>
      <c r="MWU1" s="1113"/>
      <c r="MWV1" s="1113"/>
      <c r="MWW1" s="1113"/>
      <c r="MWX1" s="1113"/>
      <c r="MWY1" s="1113"/>
      <c r="MWZ1" s="1113"/>
      <c r="MXA1" s="1113"/>
      <c r="MXB1" s="1113"/>
      <c r="MXC1" s="1113"/>
      <c r="MXD1" s="1113"/>
      <c r="MXE1" s="1113"/>
      <c r="MXF1" s="1113"/>
      <c r="MXG1" s="1113"/>
      <c r="MXH1" s="1113"/>
      <c r="MXI1" s="1113"/>
      <c r="MXJ1" s="1113"/>
      <c r="MXK1" s="1113"/>
      <c r="MXL1" s="1113"/>
      <c r="MXM1" s="1113"/>
      <c r="MXN1" s="1113"/>
      <c r="MXO1" s="1113"/>
      <c r="MXP1" s="1113"/>
      <c r="MXQ1" s="1113"/>
      <c r="MXR1" s="1113"/>
      <c r="MXS1" s="1113"/>
      <c r="MXT1" s="1113"/>
      <c r="MXU1" s="1113"/>
      <c r="MXV1" s="1113"/>
      <c r="MXW1" s="1113"/>
      <c r="MXX1" s="1113"/>
      <c r="MXY1" s="1113"/>
      <c r="MXZ1" s="1113"/>
      <c r="MYA1" s="1113"/>
      <c r="MYB1" s="1113"/>
      <c r="MYC1" s="1113"/>
      <c r="MYD1" s="1113"/>
      <c r="MYE1" s="1113"/>
      <c r="MYF1" s="1113"/>
      <c r="MYG1" s="1113"/>
      <c r="MYH1" s="1113"/>
      <c r="MYI1" s="1113"/>
      <c r="MYJ1" s="1113"/>
      <c r="MYK1" s="1113"/>
      <c r="MYL1" s="1113"/>
      <c r="MYM1" s="1113"/>
      <c r="MYN1" s="1113"/>
      <c r="MYO1" s="1113"/>
      <c r="MYP1" s="1113"/>
      <c r="MYQ1" s="1113"/>
      <c r="MYR1" s="1113"/>
      <c r="MYS1" s="1113"/>
      <c r="MYT1" s="1113"/>
      <c r="MYU1" s="1113"/>
      <c r="MYV1" s="1113"/>
      <c r="MYW1" s="1113"/>
      <c r="MYX1" s="1113"/>
      <c r="MYY1" s="1113"/>
      <c r="MYZ1" s="1113"/>
      <c r="MZA1" s="1113"/>
      <c r="MZB1" s="1113"/>
      <c r="MZC1" s="1113"/>
      <c r="MZD1" s="1113"/>
      <c r="MZE1" s="1113"/>
      <c r="MZF1" s="1113"/>
      <c r="MZG1" s="1113"/>
      <c r="MZH1" s="1113"/>
      <c r="MZI1" s="1113"/>
      <c r="MZJ1" s="1113"/>
      <c r="MZK1" s="1113"/>
      <c r="MZL1" s="1113"/>
      <c r="MZM1" s="1113"/>
      <c r="MZN1" s="1113"/>
      <c r="MZO1" s="1113"/>
      <c r="MZP1" s="1113"/>
      <c r="MZQ1" s="1113"/>
      <c r="MZR1" s="1113"/>
      <c r="MZS1" s="1113"/>
      <c r="MZT1" s="1113"/>
      <c r="MZU1" s="1113"/>
      <c r="MZV1" s="1113"/>
      <c r="MZW1" s="1113"/>
      <c r="MZX1" s="1113"/>
      <c r="MZY1" s="1113"/>
      <c r="MZZ1" s="1113"/>
      <c r="NAA1" s="1113"/>
      <c r="NAB1" s="1113"/>
      <c r="NAC1" s="1113"/>
      <c r="NAD1" s="1113"/>
      <c r="NAE1" s="1113"/>
      <c r="NAF1" s="1113"/>
      <c r="NAG1" s="1113"/>
      <c r="NAH1" s="1113"/>
      <c r="NAI1" s="1113"/>
      <c r="NAJ1" s="1113"/>
      <c r="NAK1" s="1113"/>
      <c r="NAL1" s="1113"/>
      <c r="NAM1" s="1113"/>
      <c r="NAN1" s="1113"/>
      <c r="NAO1" s="1113"/>
      <c r="NAP1" s="1113"/>
      <c r="NAQ1" s="1113"/>
      <c r="NAR1" s="1113"/>
      <c r="NAS1" s="1113"/>
      <c r="NAT1" s="1113"/>
      <c r="NAU1" s="1113"/>
      <c r="NAV1" s="1113"/>
      <c r="NAW1" s="1113"/>
      <c r="NAX1" s="1113"/>
      <c r="NAY1" s="1113"/>
      <c r="NAZ1" s="1113"/>
      <c r="NBA1" s="1113"/>
      <c r="NBB1" s="1113"/>
      <c r="NBC1" s="1113"/>
      <c r="NBD1" s="1113"/>
      <c r="NBE1" s="1113"/>
      <c r="NBF1" s="1113"/>
      <c r="NBG1" s="1113"/>
      <c r="NBH1" s="1113"/>
      <c r="NBI1" s="1113"/>
      <c r="NBJ1" s="1113"/>
      <c r="NBK1" s="1113"/>
      <c r="NBL1" s="1113"/>
      <c r="NBM1" s="1113"/>
      <c r="NBN1" s="1113"/>
      <c r="NBO1" s="1113"/>
      <c r="NBP1" s="1113"/>
      <c r="NBQ1" s="1113"/>
      <c r="NBR1" s="1113"/>
      <c r="NBS1" s="1113"/>
      <c r="NBT1" s="1113"/>
      <c r="NBU1" s="1113"/>
      <c r="NBV1" s="1113"/>
      <c r="NBW1" s="1113"/>
      <c r="NBX1" s="1113"/>
      <c r="NBY1" s="1113"/>
      <c r="NBZ1" s="1113"/>
      <c r="NCA1" s="1113"/>
      <c r="NCB1" s="1113"/>
      <c r="NCC1" s="1113"/>
      <c r="NCD1" s="1113"/>
      <c r="NCE1" s="1113"/>
      <c r="NCF1" s="1113"/>
      <c r="NCG1" s="1113"/>
      <c r="NCH1" s="1113"/>
      <c r="NCI1" s="1113"/>
      <c r="NCJ1" s="1113"/>
      <c r="NCK1" s="1113"/>
      <c r="NCL1" s="1113"/>
      <c r="NCM1" s="1113"/>
      <c r="NCN1" s="1113"/>
      <c r="NCO1" s="1113"/>
      <c r="NCP1" s="1113"/>
      <c r="NCQ1" s="1113"/>
      <c r="NCR1" s="1113"/>
      <c r="NCS1" s="1113"/>
      <c r="NCT1" s="1113"/>
      <c r="NCU1" s="1113"/>
      <c r="NCV1" s="1113"/>
      <c r="NCW1" s="1113"/>
      <c r="NCX1" s="1113"/>
      <c r="NCY1" s="1113"/>
      <c r="NCZ1" s="1113"/>
      <c r="NDA1" s="1113"/>
      <c r="NDB1" s="1113"/>
      <c r="NDC1" s="1113"/>
      <c r="NDD1" s="1113"/>
      <c r="NDE1" s="1113"/>
      <c r="NDF1" s="1113"/>
      <c r="NDG1" s="1113"/>
      <c r="NDH1" s="1113"/>
      <c r="NDI1" s="1113"/>
      <c r="NDJ1" s="1113"/>
      <c r="NDK1" s="1113"/>
      <c r="NDL1" s="1113"/>
      <c r="NDM1" s="1113"/>
      <c r="NDN1" s="1113"/>
      <c r="NDO1" s="1113"/>
      <c r="NDP1" s="1113"/>
      <c r="NDQ1" s="1113"/>
      <c r="NDR1" s="1113"/>
      <c r="NDS1" s="1113"/>
      <c r="NDT1" s="1113"/>
      <c r="NDU1" s="1113"/>
      <c r="NDV1" s="1113"/>
      <c r="NDW1" s="1113"/>
      <c r="NDX1" s="1113"/>
      <c r="NDY1" s="1113"/>
      <c r="NDZ1" s="1113"/>
      <c r="NEA1" s="1113"/>
      <c r="NEB1" s="1113"/>
      <c r="NEC1" s="1113"/>
      <c r="NED1" s="1113"/>
      <c r="NEE1" s="1113"/>
      <c r="NEF1" s="1113"/>
      <c r="NEG1" s="1113"/>
      <c r="NEH1" s="1113"/>
      <c r="NEI1" s="1113"/>
      <c r="NEJ1" s="1113"/>
      <c r="NEK1" s="1113"/>
      <c r="NEL1" s="1113"/>
      <c r="NEM1" s="1113"/>
      <c r="NEN1" s="1113"/>
      <c r="NEO1" s="1113"/>
      <c r="NEP1" s="1113"/>
      <c r="NEQ1" s="1113"/>
      <c r="NER1" s="1113"/>
      <c r="NES1" s="1113"/>
      <c r="NET1" s="1113"/>
      <c r="NEU1" s="1113"/>
      <c r="NEV1" s="1113"/>
      <c r="NEW1" s="1113"/>
      <c r="NEX1" s="1113"/>
      <c r="NEY1" s="1113"/>
      <c r="NEZ1" s="1113"/>
      <c r="NFA1" s="1113"/>
      <c r="NFB1" s="1113"/>
      <c r="NFC1" s="1113"/>
      <c r="NFD1" s="1113"/>
      <c r="NFE1" s="1113"/>
      <c r="NFF1" s="1113"/>
      <c r="NFG1" s="1113"/>
      <c r="NFH1" s="1113"/>
      <c r="NFI1" s="1113"/>
      <c r="NFJ1" s="1113"/>
      <c r="NFK1" s="1113"/>
      <c r="NFL1" s="1113"/>
      <c r="NFM1" s="1113"/>
      <c r="NFN1" s="1113"/>
      <c r="NFO1" s="1113"/>
      <c r="NFP1" s="1113"/>
      <c r="NFQ1" s="1113"/>
      <c r="NFR1" s="1113"/>
      <c r="NFS1" s="1113"/>
      <c r="NFT1" s="1113"/>
      <c r="NFU1" s="1113"/>
      <c r="NFV1" s="1113"/>
      <c r="NFW1" s="1113"/>
      <c r="NFX1" s="1113"/>
      <c r="NFY1" s="1113"/>
      <c r="NFZ1" s="1113"/>
      <c r="NGA1" s="1113"/>
      <c r="NGB1" s="1113"/>
      <c r="NGC1" s="1113"/>
      <c r="NGD1" s="1113"/>
      <c r="NGE1" s="1113"/>
      <c r="NGF1" s="1113"/>
      <c r="NGG1" s="1113"/>
      <c r="NGH1" s="1113"/>
      <c r="NGI1" s="1113"/>
      <c r="NGJ1" s="1113"/>
      <c r="NGK1" s="1113"/>
      <c r="NGL1" s="1113"/>
      <c r="NGM1" s="1113"/>
      <c r="NGN1" s="1113"/>
      <c r="NGO1" s="1113"/>
      <c r="NGP1" s="1113"/>
      <c r="NGQ1" s="1113"/>
      <c r="NGR1" s="1113"/>
      <c r="NGS1" s="1113"/>
      <c r="NGT1" s="1113"/>
      <c r="NGU1" s="1113"/>
      <c r="NGV1" s="1113"/>
      <c r="NGW1" s="1113"/>
      <c r="NGX1" s="1113"/>
      <c r="NGY1" s="1113"/>
      <c r="NGZ1" s="1113"/>
      <c r="NHA1" s="1113"/>
      <c r="NHB1" s="1113"/>
      <c r="NHC1" s="1113"/>
      <c r="NHD1" s="1113"/>
      <c r="NHE1" s="1113"/>
      <c r="NHF1" s="1113"/>
      <c r="NHG1" s="1113"/>
      <c r="NHH1" s="1113"/>
      <c r="NHI1" s="1113"/>
      <c r="NHJ1" s="1113"/>
      <c r="NHK1" s="1113"/>
      <c r="NHL1" s="1113"/>
      <c r="NHM1" s="1113"/>
      <c r="NHN1" s="1113"/>
      <c r="NHO1" s="1113"/>
      <c r="NHP1" s="1113"/>
      <c r="NHQ1" s="1113"/>
      <c r="NHR1" s="1113"/>
      <c r="NHS1" s="1113"/>
      <c r="NHT1" s="1113"/>
      <c r="NHU1" s="1113"/>
      <c r="NHV1" s="1113"/>
      <c r="NHW1" s="1113"/>
      <c r="NHX1" s="1113"/>
      <c r="NHY1" s="1113"/>
      <c r="NHZ1" s="1113"/>
      <c r="NIA1" s="1113"/>
      <c r="NIB1" s="1113"/>
      <c r="NIC1" s="1113"/>
      <c r="NID1" s="1113"/>
      <c r="NIE1" s="1113"/>
      <c r="NIF1" s="1113"/>
      <c r="NIG1" s="1113"/>
      <c r="NIH1" s="1113"/>
      <c r="NII1" s="1113"/>
      <c r="NIJ1" s="1113"/>
      <c r="NIK1" s="1113"/>
      <c r="NIL1" s="1113"/>
      <c r="NIM1" s="1113"/>
      <c r="NIN1" s="1113"/>
      <c r="NIO1" s="1113"/>
      <c r="NIP1" s="1113"/>
      <c r="NIQ1" s="1113"/>
      <c r="NIR1" s="1113"/>
      <c r="NIS1" s="1113"/>
      <c r="NIT1" s="1113"/>
      <c r="NIU1" s="1113"/>
      <c r="NIV1" s="1113"/>
      <c r="NIW1" s="1113"/>
      <c r="NIX1" s="1113"/>
      <c r="NIY1" s="1113"/>
      <c r="NIZ1" s="1113"/>
      <c r="NJA1" s="1113"/>
      <c r="NJB1" s="1113"/>
      <c r="NJC1" s="1113"/>
      <c r="NJD1" s="1113"/>
      <c r="NJE1" s="1113"/>
      <c r="NJF1" s="1113"/>
      <c r="NJG1" s="1113"/>
      <c r="NJH1" s="1113"/>
      <c r="NJI1" s="1113"/>
      <c r="NJJ1" s="1113"/>
      <c r="NJK1" s="1113"/>
      <c r="NJL1" s="1113"/>
      <c r="NJM1" s="1113"/>
      <c r="NJN1" s="1113"/>
      <c r="NJO1" s="1113"/>
      <c r="NJP1" s="1113"/>
      <c r="NJQ1" s="1113"/>
      <c r="NJR1" s="1113"/>
      <c r="NJS1" s="1113"/>
      <c r="NJT1" s="1113"/>
      <c r="NJU1" s="1113"/>
      <c r="NJV1" s="1113"/>
      <c r="NJW1" s="1113"/>
      <c r="NJX1" s="1113"/>
      <c r="NJY1" s="1113"/>
      <c r="NJZ1" s="1113"/>
      <c r="NKA1" s="1113"/>
      <c r="NKB1" s="1113"/>
      <c r="NKC1" s="1113"/>
      <c r="NKD1" s="1113"/>
      <c r="NKE1" s="1113"/>
      <c r="NKF1" s="1113"/>
      <c r="NKG1" s="1113"/>
      <c r="NKH1" s="1113"/>
      <c r="NKI1" s="1113"/>
      <c r="NKJ1" s="1113"/>
      <c r="NKK1" s="1113"/>
      <c r="NKL1" s="1113"/>
      <c r="NKM1" s="1113"/>
      <c r="NKN1" s="1113"/>
      <c r="NKO1" s="1113"/>
      <c r="NKP1" s="1113"/>
      <c r="NKQ1" s="1113"/>
      <c r="NKR1" s="1113"/>
      <c r="NKS1" s="1113"/>
      <c r="NKT1" s="1113"/>
      <c r="NKU1" s="1113"/>
      <c r="NKV1" s="1113"/>
      <c r="NKW1" s="1113"/>
      <c r="NKX1" s="1113"/>
      <c r="NKY1" s="1113"/>
      <c r="NKZ1" s="1113"/>
      <c r="NLA1" s="1113"/>
      <c r="NLB1" s="1113"/>
      <c r="NLC1" s="1113"/>
      <c r="NLD1" s="1113"/>
      <c r="NLE1" s="1113"/>
      <c r="NLF1" s="1113"/>
      <c r="NLG1" s="1113"/>
      <c r="NLH1" s="1113"/>
      <c r="NLI1" s="1113"/>
      <c r="NLJ1" s="1113"/>
      <c r="NLK1" s="1113"/>
      <c r="NLL1" s="1113"/>
      <c r="NLM1" s="1113"/>
      <c r="NLN1" s="1113"/>
      <c r="NLO1" s="1113"/>
      <c r="NLP1" s="1113"/>
      <c r="NLQ1" s="1113"/>
      <c r="NLR1" s="1113"/>
      <c r="NLS1" s="1113"/>
      <c r="NLT1" s="1113"/>
      <c r="NLU1" s="1113"/>
      <c r="NLV1" s="1113"/>
      <c r="NLW1" s="1113"/>
      <c r="NLX1" s="1113"/>
      <c r="NLY1" s="1113"/>
      <c r="NLZ1" s="1113"/>
      <c r="NMA1" s="1113"/>
      <c r="NMB1" s="1113"/>
      <c r="NMC1" s="1113"/>
      <c r="NMD1" s="1113"/>
      <c r="NME1" s="1113"/>
      <c r="NMF1" s="1113"/>
      <c r="NMG1" s="1113"/>
      <c r="NMH1" s="1113"/>
      <c r="NMI1" s="1113"/>
      <c r="NMJ1" s="1113"/>
      <c r="NMK1" s="1113"/>
      <c r="NML1" s="1113"/>
      <c r="NMM1" s="1113"/>
      <c r="NMN1" s="1113"/>
      <c r="NMO1" s="1113"/>
      <c r="NMP1" s="1113"/>
      <c r="NMQ1" s="1113"/>
      <c r="NMR1" s="1113"/>
      <c r="NMS1" s="1113"/>
      <c r="NMT1" s="1113"/>
      <c r="NMU1" s="1113"/>
      <c r="NMV1" s="1113"/>
      <c r="NMW1" s="1113"/>
      <c r="NMX1" s="1113"/>
      <c r="NMY1" s="1113"/>
      <c r="NMZ1" s="1113"/>
      <c r="NNA1" s="1113"/>
      <c r="NNB1" s="1113"/>
      <c r="NNC1" s="1113"/>
      <c r="NND1" s="1113"/>
      <c r="NNE1" s="1113"/>
      <c r="NNF1" s="1113"/>
      <c r="NNG1" s="1113"/>
      <c r="NNH1" s="1113"/>
      <c r="NNI1" s="1113"/>
      <c r="NNJ1" s="1113"/>
      <c r="NNK1" s="1113"/>
      <c r="NNL1" s="1113"/>
      <c r="NNM1" s="1113"/>
      <c r="NNN1" s="1113"/>
      <c r="NNO1" s="1113"/>
      <c r="NNP1" s="1113"/>
      <c r="NNQ1" s="1113"/>
      <c r="NNR1" s="1113"/>
      <c r="NNS1" s="1113"/>
      <c r="NNT1" s="1113"/>
      <c r="NNU1" s="1113"/>
      <c r="NNV1" s="1113"/>
      <c r="NNW1" s="1113"/>
      <c r="NNX1" s="1113"/>
      <c r="NNY1" s="1113"/>
      <c r="NNZ1" s="1113"/>
      <c r="NOA1" s="1113"/>
      <c r="NOB1" s="1113"/>
      <c r="NOC1" s="1113"/>
      <c r="NOD1" s="1113"/>
      <c r="NOE1" s="1113"/>
      <c r="NOF1" s="1113"/>
      <c r="NOG1" s="1113"/>
      <c r="NOH1" s="1113"/>
      <c r="NOI1" s="1113"/>
      <c r="NOJ1" s="1113"/>
      <c r="NOK1" s="1113"/>
      <c r="NOL1" s="1113"/>
      <c r="NOM1" s="1113"/>
      <c r="NON1" s="1113"/>
      <c r="NOO1" s="1113"/>
      <c r="NOP1" s="1113"/>
      <c r="NOQ1" s="1113"/>
      <c r="NOR1" s="1113"/>
      <c r="NOS1" s="1113"/>
      <c r="NOT1" s="1113"/>
      <c r="NOU1" s="1113"/>
      <c r="NOV1" s="1113"/>
      <c r="NOW1" s="1113"/>
      <c r="NOX1" s="1113"/>
      <c r="NOY1" s="1113"/>
      <c r="NOZ1" s="1113"/>
      <c r="NPA1" s="1113"/>
      <c r="NPB1" s="1113"/>
      <c r="NPC1" s="1113"/>
      <c r="NPD1" s="1113"/>
      <c r="NPE1" s="1113"/>
      <c r="NPF1" s="1113"/>
      <c r="NPG1" s="1113"/>
      <c r="NPH1" s="1113"/>
      <c r="NPI1" s="1113"/>
      <c r="NPJ1" s="1113"/>
      <c r="NPK1" s="1113"/>
      <c r="NPL1" s="1113"/>
      <c r="NPM1" s="1113"/>
      <c r="NPN1" s="1113"/>
      <c r="NPO1" s="1113"/>
      <c r="NPP1" s="1113"/>
      <c r="NPQ1" s="1113"/>
      <c r="NPR1" s="1113"/>
      <c r="NPS1" s="1113"/>
      <c r="NPT1" s="1113"/>
      <c r="NPU1" s="1113"/>
      <c r="NPV1" s="1113"/>
      <c r="NPW1" s="1113"/>
      <c r="NPX1" s="1113"/>
      <c r="NPY1" s="1113"/>
      <c r="NPZ1" s="1113"/>
      <c r="NQA1" s="1113"/>
      <c r="NQB1" s="1113"/>
      <c r="NQC1" s="1113"/>
      <c r="NQD1" s="1113"/>
      <c r="NQE1" s="1113"/>
      <c r="NQF1" s="1113"/>
      <c r="NQG1" s="1113"/>
      <c r="NQH1" s="1113"/>
      <c r="NQI1" s="1113"/>
      <c r="NQJ1" s="1113"/>
      <c r="NQK1" s="1113"/>
      <c r="NQL1" s="1113"/>
      <c r="NQM1" s="1113"/>
      <c r="NQN1" s="1113"/>
      <c r="NQO1" s="1113"/>
      <c r="NQP1" s="1113"/>
      <c r="NQQ1" s="1113"/>
      <c r="NQR1" s="1113"/>
      <c r="NQS1" s="1113"/>
      <c r="NQT1" s="1113"/>
      <c r="NQU1" s="1113"/>
      <c r="NQV1" s="1113"/>
      <c r="NQW1" s="1113"/>
      <c r="NQX1" s="1113"/>
      <c r="NQY1" s="1113"/>
      <c r="NQZ1" s="1113"/>
      <c r="NRA1" s="1113"/>
      <c r="NRB1" s="1113"/>
      <c r="NRC1" s="1113"/>
      <c r="NRD1" s="1113"/>
      <c r="NRE1" s="1113"/>
      <c r="NRF1" s="1113"/>
      <c r="NRG1" s="1113"/>
      <c r="NRH1" s="1113"/>
      <c r="NRI1" s="1113"/>
      <c r="NRJ1" s="1113"/>
      <c r="NRK1" s="1113"/>
      <c r="NRL1" s="1113"/>
      <c r="NRM1" s="1113"/>
      <c r="NRN1" s="1113"/>
      <c r="NRO1" s="1113"/>
      <c r="NRP1" s="1113"/>
      <c r="NRQ1" s="1113"/>
      <c r="NRR1" s="1113"/>
      <c r="NRS1" s="1113"/>
      <c r="NRT1" s="1113"/>
      <c r="NRU1" s="1113"/>
      <c r="NRV1" s="1113"/>
      <c r="NRW1" s="1113"/>
      <c r="NRX1" s="1113"/>
      <c r="NRY1" s="1113"/>
      <c r="NRZ1" s="1113"/>
      <c r="NSA1" s="1113"/>
      <c r="NSB1" s="1113"/>
      <c r="NSC1" s="1113"/>
      <c r="NSD1" s="1113"/>
      <c r="NSE1" s="1113"/>
      <c r="NSF1" s="1113"/>
      <c r="NSG1" s="1113"/>
      <c r="NSH1" s="1113"/>
      <c r="NSI1" s="1113"/>
      <c r="NSJ1" s="1113"/>
      <c r="NSK1" s="1113"/>
      <c r="NSL1" s="1113"/>
      <c r="NSM1" s="1113"/>
      <c r="NSN1" s="1113"/>
      <c r="NSO1" s="1113"/>
      <c r="NSP1" s="1113"/>
      <c r="NSQ1" s="1113"/>
      <c r="NSR1" s="1113"/>
      <c r="NSS1" s="1113"/>
      <c r="NST1" s="1113"/>
      <c r="NSU1" s="1113"/>
      <c r="NSV1" s="1113"/>
      <c r="NSW1" s="1113"/>
      <c r="NSX1" s="1113"/>
      <c r="NSY1" s="1113"/>
      <c r="NSZ1" s="1113"/>
      <c r="NTA1" s="1113"/>
      <c r="NTB1" s="1113"/>
      <c r="NTC1" s="1113"/>
      <c r="NTD1" s="1113"/>
      <c r="NTE1" s="1113"/>
      <c r="NTF1" s="1113"/>
      <c r="NTG1" s="1113"/>
      <c r="NTH1" s="1113"/>
      <c r="NTI1" s="1113"/>
      <c r="NTJ1" s="1113"/>
      <c r="NTK1" s="1113"/>
      <c r="NTL1" s="1113"/>
      <c r="NTM1" s="1113"/>
      <c r="NTN1" s="1113"/>
      <c r="NTO1" s="1113"/>
      <c r="NTP1" s="1113"/>
      <c r="NTQ1" s="1113"/>
      <c r="NTR1" s="1113"/>
      <c r="NTS1" s="1113"/>
      <c r="NTT1" s="1113"/>
      <c r="NTU1" s="1113"/>
      <c r="NTV1" s="1113"/>
      <c r="NTW1" s="1113"/>
      <c r="NTX1" s="1113"/>
      <c r="NTY1" s="1113"/>
      <c r="NTZ1" s="1113"/>
      <c r="NUA1" s="1113"/>
      <c r="NUB1" s="1113"/>
      <c r="NUC1" s="1113"/>
      <c r="NUD1" s="1113"/>
      <c r="NUE1" s="1113"/>
      <c r="NUF1" s="1113"/>
      <c r="NUG1" s="1113"/>
      <c r="NUH1" s="1113"/>
      <c r="NUI1" s="1113"/>
      <c r="NUJ1" s="1113"/>
      <c r="NUK1" s="1113"/>
      <c r="NUL1" s="1113"/>
      <c r="NUM1" s="1113"/>
      <c r="NUN1" s="1113"/>
      <c r="NUO1" s="1113"/>
      <c r="NUP1" s="1113"/>
      <c r="NUQ1" s="1113"/>
      <c r="NUR1" s="1113"/>
      <c r="NUS1" s="1113"/>
      <c r="NUT1" s="1113"/>
      <c r="NUU1" s="1113"/>
      <c r="NUV1" s="1113"/>
      <c r="NUW1" s="1113"/>
      <c r="NUX1" s="1113"/>
      <c r="NUY1" s="1113"/>
      <c r="NUZ1" s="1113"/>
      <c r="NVA1" s="1113"/>
      <c r="NVB1" s="1113"/>
      <c r="NVC1" s="1113"/>
      <c r="NVD1" s="1113"/>
      <c r="NVE1" s="1113"/>
      <c r="NVF1" s="1113"/>
      <c r="NVG1" s="1113"/>
      <c r="NVH1" s="1113"/>
      <c r="NVI1" s="1113"/>
      <c r="NVJ1" s="1113"/>
      <c r="NVK1" s="1113"/>
      <c r="NVL1" s="1113"/>
      <c r="NVM1" s="1113"/>
      <c r="NVN1" s="1113"/>
      <c r="NVO1" s="1113"/>
      <c r="NVP1" s="1113"/>
      <c r="NVQ1" s="1113"/>
      <c r="NVR1" s="1113"/>
      <c r="NVS1" s="1113"/>
      <c r="NVT1" s="1113"/>
      <c r="NVU1" s="1113"/>
      <c r="NVV1" s="1113"/>
      <c r="NVW1" s="1113"/>
      <c r="NVX1" s="1113"/>
      <c r="NVY1" s="1113"/>
      <c r="NVZ1" s="1113"/>
      <c r="NWA1" s="1113"/>
      <c r="NWB1" s="1113"/>
      <c r="NWC1" s="1113"/>
      <c r="NWD1" s="1113"/>
      <c r="NWE1" s="1113"/>
      <c r="NWF1" s="1113"/>
      <c r="NWG1" s="1113"/>
      <c r="NWH1" s="1113"/>
      <c r="NWI1" s="1113"/>
      <c r="NWJ1" s="1113"/>
      <c r="NWK1" s="1113"/>
      <c r="NWL1" s="1113"/>
      <c r="NWM1" s="1113"/>
      <c r="NWN1" s="1113"/>
      <c r="NWO1" s="1113"/>
      <c r="NWP1" s="1113"/>
      <c r="NWQ1" s="1113"/>
      <c r="NWR1" s="1113"/>
      <c r="NWS1" s="1113"/>
      <c r="NWT1" s="1113"/>
      <c r="NWU1" s="1113"/>
      <c r="NWV1" s="1113"/>
      <c r="NWW1" s="1113"/>
      <c r="NWX1" s="1113"/>
      <c r="NWY1" s="1113"/>
      <c r="NWZ1" s="1113"/>
      <c r="NXA1" s="1113"/>
      <c r="NXB1" s="1113"/>
      <c r="NXC1" s="1113"/>
      <c r="NXD1" s="1113"/>
      <c r="NXE1" s="1113"/>
      <c r="NXF1" s="1113"/>
      <c r="NXG1" s="1113"/>
      <c r="NXH1" s="1113"/>
      <c r="NXI1" s="1113"/>
      <c r="NXJ1" s="1113"/>
      <c r="NXK1" s="1113"/>
      <c r="NXL1" s="1113"/>
      <c r="NXM1" s="1113"/>
      <c r="NXN1" s="1113"/>
      <c r="NXO1" s="1113"/>
      <c r="NXP1" s="1113"/>
      <c r="NXQ1" s="1113"/>
      <c r="NXR1" s="1113"/>
      <c r="NXS1" s="1113"/>
      <c r="NXT1" s="1113"/>
      <c r="NXU1" s="1113"/>
      <c r="NXV1" s="1113"/>
      <c r="NXW1" s="1113"/>
      <c r="NXX1" s="1113"/>
      <c r="NXY1" s="1113"/>
      <c r="NXZ1" s="1113"/>
      <c r="NYA1" s="1113"/>
      <c r="NYB1" s="1113"/>
      <c r="NYC1" s="1113"/>
      <c r="NYD1" s="1113"/>
      <c r="NYE1" s="1113"/>
      <c r="NYF1" s="1113"/>
      <c r="NYG1" s="1113"/>
      <c r="NYH1" s="1113"/>
      <c r="NYI1" s="1113"/>
      <c r="NYJ1" s="1113"/>
      <c r="NYK1" s="1113"/>
      <c r="NYL1" s="1113"/>
      <c r="NYM1" s="1113"/>
      <c r="NYN1" s="1113"/>
      <c r="NYO1" s="1113"/>
      <c r="NYP1" s="1113"/>
      <c r="NYQ1" s="1113"/>
      <c r="NYR1" s="1113"/>
      <c r="NYS1" s="1113"/>
      <c r="NYT1" s="1113"/>
      <c r="NYU1" s="1113"/>
      <c r="NYV1" s="1113"/>
      <c r="NYW1" s="1113"/>
      <c r="NYX1" s="1113"/>
      <c r="NYY1" s="1113"/>
      <c r="NYZ1" s="1113"/>
      <c r="NZA1" s="1113"/>
      <c r="NZB1" s="1113"/>
      <c r="NZC1" s="1113"/>
      <c r="NZD1" s="1113"/>
      <c r="NZE1" s="1113"/>
      <c r="NZF1" s="1113"/>
      <c r="NZG1" s="1113"/>
      <c r="NZH1" s="1113"/>
      <c r="NZI1" s="1113"/>
      <c r="NZJ1" s="1113"/>
      <c r="NZK1" s="1113"/>
      <c r="NZL1" s="1113"/>
      <c r="NZM1" s="1113"/>
      <c r="NZN1" s="1113"/>
      <c r="NZO1" s="1113"/>
      <c r="NZP1" s="1113"/>
      <c r="NZQ1" s="1113"/>
      <c r="NZR1" s="1113"/>
      <c r="NZS1" s="1113"/>
      <c r="NZT1" s="1113"/>
      <c r="NZU1" s="1113"/>
      <c r="NZV1" s="1113"/>
      <c r="NZW1" s="1113"/>
      <c r="NZX1" s="1113"/>
      <c r="NZY1" s="1113"/>
      <c r="NZZ1" s="1113"/>
      <c r="OAA1" s="1113"/>
      <c r="OAB1" s="1113"/>
      <c r="OAC1" s="1113"/>
      <c r="OAD1" s="1113"/>
      <c r="OAE1" s="1113"/>
      <c r="OAF1" s="1113"/>
      <c r="OAG1" s="1113"/>
      <c r="OAH1" s="1113"/>
      <c r="OAI1" s="1113"/>
      <c r="OAJ1" s="1113"/>
      <c r="OAK1" s="1113"/>
      <c r="OAL1" s="1113"/>
      <c r="OAM1" s="1113"/>
      <c r="OAN1" s="1113"/>
      <c r="OAO1" s="1113"/>
      <c r="OAP1" s="1113"/>
      <c r="OAQ1" s="1113"/>
      <c r="OAR1" s="1113"/>
      <c r="OAS1" s="1113"/>
      <c r="OAT1" s="1113"/>
      <c r="OAU1" s="1113"/>
      <c r="OAV1" s="1113"/>
      <c r="OAW1" s="1113"/>
      <c r="OAX1" s="1113"/>
      <c r="OAY1" s="1113"/>
      <c r="OAZ1" s="1113"/>
      <c r="OBA1" s="1113"/>
      <c r="OBB1" s="1113"/>
      <c r="OBC1" s="1113"/>
      <c r="OBD1" s="1113"/>
      <c r="OBE1" s="1113"/>
      <c r="OBF1" s="1113"/>
      <c r="OBG1" s="1113"/>
      <c r="OBH1" s="1113"/>
      <c r="OBI1" s="1113"/>
      <c r="OBJ1" s="1113"/>
      <c r="OBK1" s="1113"/>
      <c r="OBL1" s="1113"/>
      <c r="OBM1" s="1113"/>
      <c r="OBN1" s="1113"/>
      <c r="OBO1" s="1113"/>
      <c r="OBP1" s="1113"/>
      <c r="OBQ1" s="1113"/>
      <c r="OBR1" s="1113"/>
      <c r="OBS1" s="1113"/>
      <c r="OBT1" s="1113"/>
      <c r="OBU1" s="1113"/>
      <c r="OBV1" s="1113"/>
      <c r="OBW1" s="1113"/>
      <c r="OBX1" s="1113"/>
      <c r="OBY1" s="1113"/>
      <c r="OBZ1" s="1113"/>
      <c r="OCA1" s="1113"/>
      <c r="OCB1" s="1113"/>
      <c r="OCC1" s="1113"/>
      <c r="OCD1" s="1113"/>
      <c r="OCE1" s="1113"/>
      <c r="OCF1" s="1113"/>
      <c r="OCG1" s="1113"/>
      <c r="OCH1" s="1113"/>
      <c r="OCI1" s="1113"/>
      <c r="OCJ1" s="1113"/>
      <c r="OCK1" s="1113"/>
      <c r="OCL1" s="1113"/>
      <c r="OCM1" s="1113"/>
      <c r="OCN1" s="1113"/>
      <c r="OCO1" s="1113"/>
      <c r="OCP1" s="1113"/>
      <c r="OCQ1" s="1113"/>
      <c r="OCR1" s="1113"/>
      <c r="OCS1" s="1113"/>
      <c r="OCT1" s="1113"/>
      <c r="OCU1" s="1113"/>
      <c r="OCV1" s="1113"/>
      <c r="OCW1" s="1113"/>
      <c r="OCX1" s="1113"/>
      <c r="OCY1" s="1113"/>
      <c r="OCZ1" s="1113"/>
      <c r="ODA1" s="1113"/>
      <c r="ODB1" s="1113"/>
      <c r="ODC1" s="1113"/>
      <c r="ODD1" s="1113"/>
      <c r="ODE1" s="1113"/>
      <c r="ODF1" s="1113"/>
      <c r="ODG1" s="1113"/>
      <c r="ODH1" s="1113"/>
      <c r="ODI1" s="1113"/>
      <c r="ODJ1" s="1113"/>
      <c r="ODK1" s="1113"/>
      <c r="ODL1" s="1113"/>
      <c r="ODM1" s="1113"/>
      <c r="ODN1" s="1113"/>
      <c r="ODO1" s="1113"/>
      <c r="ODP1" s="1113"/>
      <c r="ODQ1" s="1113"/>
      <c r="ODR1" s="1113"/>
      <c r="ODS1" s="1113"/>
      <c r="ODT1" s="1113"/>
      <c r="ODU1" s="1113"/>
      <c r="ODV1" s="1113"/>
      <c r="ODW1" s="1113"/>
      <c r="ODX1" s="1113"/>
      <c r="ODY1" s="1113"/>
      <c r="ODZ1" s="1113"/>
      <c r="OEA1" s="1113"/>
      <c r="OEB1" s="1113"/>
      <c r="OEC1" s="1113"/>
      <c r="OED1" s="1113"/>
      <c r="OEE1" s="1113"/>
      <c r="OEF1" s="1113"/>
      <c r="OEG1" s="1113"/>
      <c r="OEH1" s="1113"/>
      <c r="OEI1" s="1113"/>
      <c r="OEJ1" s="1113"/>
      <c r="OEK1" s="1113"/>
      <c r="OEL1" s="1113"/>
      <c r="OEM1" s="1113"/>
      <c r="OEN1" s="1113"/>
      <c r="OEO1" s="1113"/>
      <c r="OEP1" s="1113"/>
      <c r="OEQ1" s="1113"/>
      <c r="OER1" s="1113"/>
      <c r="OES1" s="1113"/>
      <c r="OET1" s="1113"/>
      <c r="OEU1" s="1113"/>
      <c r="OEV1" s="1113"/>
      <c r="OEW1" s="1113"/>
      <c r="OEX1" s="1113"/>
      <c r="OEY1" s="1113"/>
      <c r="OEZ1" s="1113"/>
      <c r="OFA1" s="1113"/>
      <c r="OFB1" s="1113"/>
      <c r="OFC1" s="1113"/>
      <c r="OFD1" s="1113"/>
      <c r="OFE1" s="1113"/>
      <c r="OFF1" s="1113"/>
      <c r="OFG1" s="1113"/>
      <c r="OFH1" s="1113"/>
      <c r="OFI1" s="1113"/>
      <c r="OFJ1" s="1113"/>
      <c r="OFK1" s="1113"/>
      <c r="OFL1" s="1113"/>
      <c r="OFM1" s="1113"/>
      <c r="OFN1" s="1113"/>
      <c r="OFO1" s="1113"/>
      <c r="OFP1" s="1113"/>
      <c r="OFQ1" s="1113"/>
      <c r="OFR1" s="1113"/>
      <c r="OFS1" s="1113"/>
      <c r="OFT1" s="1113"/>
      <c r="OFU1" s="1113"/>
      <c r="OFV1" s="1113"/>
      <c r="OFW1" s="1113"/>
      <c r="OFX1" s="1113"/>
      <c r="OFY1" s="1113"/>
      <c r="OFZ1" s="1113"/>
      <c r="OGA1" s="1113"/>
      <c r="OGB1" s="1113"/>
      <c r="OGC1" s="1113"/>
      <c r="OGD1" s="1113"/>
      <c r="OGE1" s="1113"/>
      <c r="OGF1" s="1113"/>
      <c r="OGG1" s="1113"/>
      <c r="OGH1" s="1113"/>
      <c r="OGI1" s="1113"/>
      <c r="OGJ1" s="1113"/>
      <c r="OGK1" s="1113"/>
      <c r="OGL1" s="1113"/>
      <c r="OGM1" s="1113"/>
      <c r="OGN1" s="1113"/>
      <c r="OGO1" s="1113"/>
      <c r="OGP1" s="1113"/>
      <c r="OGQ1" s="1113"/>
      <c r="OGR1" s="1113"/>
      <c r="OGS1" s="1113"/>
      <c r="OGT1" s="1113"/>
      <c r="OGU1" s="1113"/>
      <c r="OGV1" s="1113"/>
      <c r="OGW1" s="1113"/>
      <c r="OGX1" s="1113"/>
      <c r="OGY1" s="1113"/>
      <c r="OGZ1" s="1113"/>
      <c r="OHA1" s="1113"/>
      <c r="OHB1" s="1113"/>
      <c r="OHC1" s="1113"/>
      <c r="OHD1" s="1113"/>
      <c r="OHE1" s="1113"/>
      <c r="OHF1" s="1113"/>
      <c r="OHG1" s="1113"/>
      <c r="OHH1" s="1113"/>
      <c r="OHI1" s="1113"/>
      <c r="OHJ1" s="1113"/>
      <c r="OHK1" s="1113"/>
      <c r="OHL1" s="1113"/>
      <c r="OHM1" s="1113"/>
      <c r="OHN1" s="1113"/>
      <c r="OHO1" s="1113"/>
      <c r="OHP1" s="1113"/>
      <c r="OHQ1" s="1113"/>
      <c r="OHR1" s="1113"/>
      <c r="OHS1" s="1113"/>
      <c r="OHT1" s="1113"/>
      <c r="OHU1" s="1113"/>
      <c r="OHV1" s="1113"/>
      <c r="OHW1" s="1113"/>
      <c r="OHX1" s="1113"/>
      <c r="OHY1" s="1113"/>
      <c r="OHZ1" s="1113"/>
      <c r="OIA1" s="1113"/>
      <c r="OIB1" s="1113"/>
      <c r="OIC1" s="1113"/>
      <c r="OID1" s="1113"/>
      <c r="OIE1" s="1113"/>
      <c r="OIF1" s="1113"/>
      <c r="OIG1" s="1113"/>
      <c r="OIH1" s="1113"/>
      <c r="OII1" s="1113"/>
      <c r="OIJ1" s="1113"/>
      <c r="OIK1" s="1113"/>
      <c r="OIL1" s="1113"/>
      <c r="OIM1" s="1113"/>
      <c r="OIN1" s="1113"/>
      <c r="OIO1" s="1113"/>
      <c r="OIP1" s="1113"/>
      <c r="OIQ1" s="1113"/>
      <c r="OIR1" s="1113"/>
      <c r="OIS1" s="1113"/>
      <c r="OIT1" s="1113"/>
      <c r="OIU1" s="1113"/>
      <c r="OIV1" s="1113"/>
      <c r="OIW1" s="1113"/>
      <c r="OIX1" s="1113"/>
      <c r="OIY1" s="1113"/>
      <c r="OIZ1" s="1113"/>
      <c r="OJA1" s="1113"/>
      <c r="OJB1" s="1113"/>
      <c r="OJC1" s="1113"/>
      <c r="OJD1" s="1113"/>
      <c r="OJE1" s="1113"/>
      <c r="OJF1" s="1113"/>
      <c r="OJG1" s="1113"/>
      <c r="OJH1" s="1113"/>
      <c r="OJI1" s="1113"/>
      <c r="OJJ1" s="1113"/>
      <c r="OJK1" s="1113"/>
      <c r="OJL1" s="1113"/>
      <c r="OJM1" s="1113"/>
      <c r="OJN1" s="1113"/>
      <c r="OJO1" s="1113"/>
      <c r="OJP1" s="1113"/>
      <c r="OJQ1" s="1113"/>
      <c r="OJR1" s="1113"/>
      <c r="OJS1" s="1113"/>
      <c r="OJT1" s="1113"/>
      <c r="OJU1" s="1113"/>
      <c r="OJV1" s="1113"/>
      <c r="OJW1" s="1113"/>
      <c r="OJX1" s="1113"/>
      <c r="OJY1" s="1113"/>
      <c r="OJZ1" s="1113"/>
      <c r="OKA1" s="1113"/>
      <c r="OKB1" s="1113"/>
      <c r="OKC1" s="1113"/>
      <c r="OKD1" s="1113"/>
      <c r="OKE1" s="1113"/>
      <c r="OKF1" s="1113"/>
      <c r="OKG1" s="1113"/>
      <c r="OKH1" s="1113"/>
      <c r="OKI1" s="1113"/>
      <c r="OKJ1" s="1113"/>
      <c r="OKK1" s="1113"/>
      <c r="OKL1" s="1113"/>
      <c r="OKM1" s="1113"/>
      <c r="OKN1" s="1113"/>
      <c r="OKO1" s="1113"/>
      <c r="OKP1" s="1113"/>
      <c r="OKQ1" s="1113"/>
      <c r="OKR1" s="1113"/>
      <c r="OKS1" s="1113"/>
      <c r="OKT1" s="1113"/>
      <c r="OKU1" s="1113"/>
      <c r="OKV1" s="1113"/>
      <c r="OKW1" s="1113"/>
      <c r="OKX1" s="1113"/>
      <c r="OKY1" s="1113"/>
      <c r="OKZ1" s="1113"/>
      <c r="OLA1" s="1113"/>
      <c r="OLB1" s="1113"/>
      <c r="OLC1" s="1113"/>
      <c r="OLD1" s="1113"/>
      <c r="OLE1" s="1113"/>
      <c r="OLF1" s="1113"/>
      <c r="OLG1" s="1113"/>
      <c r="OLH1" s="1113"/>
      <c r="OLI1" s="1113"/>
      <c r="OLJ1" s="1113"/>
      <c r="OLK1" s="1113"/>
      <c r="OLL1" s="1113"/>
      <c r="OLM1" s="1113"/>
      <c r="OLN1" s="1113"/>
      <c r="OLO1" s="1113"/>
      <c r="OLP1" s="1113"/>
      <c r="OLQ1" s="1113"/>
      <c r="OLR1" s="1113"/>
      <c r="OLS1" s="1113"/>
      <c r="OLT1" s="1113"/>
      <c r="OLU1" s="1113"/>
      <c r="OLV1" s="1113"/>
      <c r="OLW1" s="1113"/>
      <c r="OLX1" s="1113"/>
      <c r="OLY1" s="1113"/>
      <c r="OLZ1" s="1113"/>
      <c r="OMA1" s="1113"/>
      <c r="OMB1" s="1113"/>
      <c r="OMC1" s="1113"/>
      <c r="OMD1" s="1113"/>
      <c r="OME1" s="1113"/>
      <c r="OMF1" s="1113"/>
      <c r="OMG1" s="1113"/>
      <c r="OMH1" s="1113"/>
      <c r="OMI1" s="1113"/>
      <c r="OMJ1" s="1113"/>
      <c r="OMK1" s="1113"/>
      <c r="OML1" s="1113"/>
      <c r="OMM1" s="1113"/>
      <c r="OMN1" s="1113"/>
      <c r="OMO1" s="1113"/>
      <c r="OMP1" s="1113"/>
      <c r="OMQ1" s="1113"/>
      <c r="OMR1" s="1113"/>
      <c r="OMS1" s="1113"/>
      <c r="OMT1" s="1113"/>
      <c r="OMU1" s="1113"/>
      <c r="OMV1" s="1113"/>
      <c r="OMW1" s="1113"/>
      <c r="OMX1" s="1113"/>
      <c r="OMY1" s="1113"/>
      <c r="OMZ1" s="1113"/>
      <c r="ONA1" s="1113"/>
      <c r="ONB1" s="1113"/>
      <c r="ONC1" s="1113"/>
      <c r="OND1" s="1113"/>
      <c r="ONE1" s="1113"/>
      <c r="ONF1" s="1113"/>
      <c r="ONG1" s="1113"/>
      <c r="ONH1" s="1113"/>
      <c r="ONI1" s="1113"/>
      <c r="ONJ1" s="1113"/>
      <c r="ONK1" s="1113"/>
      <c r="ONL1" s="1113"/>
      <c r="ONM1" s="1113"/>
      <c r="ONN1" s="1113"/>
      <c r="ONO1" s="1113"/>
      <c r="ONP1" s="1113"/>
      <c r="ONQ1" s="1113"/>
      <c r="ONR1" s="1113"/>
      <c r="ONS1" s="1113"/>
      <c r="ONT1" s="1113"/>
      <c r="ONU1" s="1113"/>
      <c r="ONV1" s="1113"/>
      <c r="ONW1" s="1113"/>
      <c r="ONX1" s="1113"/>
      <c r="ONY1" s="1113"/>
      <c r="ONZ1" s="1113"/>
      <c r="OOA1" s="1113"/>
      <c r="OOB1" s="1113"/>
      <c r="OOC1" s="1113"/>
      <c r="OOD1" s="1113"/>
      <c r="OOE1" s="1113"/>
      <c r="OOF1" s="1113"/>
      <c r="OOG1" s="1113"/>
      <c r="OOH1" s="1113"/>
      <c r="OOI1" s="1113"/>
      <c r="OOJ1" s="1113"/>
      <c r="OOK1" s="1113"/>
      <c r="OOL1" s="1113"/>
      <c r="OOM1" s="1113"/>
      <c r="OON1" s="1113"/>
      <c r="OOO1" s="1113"/>
      <c r="OOP1" s="1113"/>
      <c r="OOQ1" s="1113"/>
      <c r="OOR1" s="1113"/>
      <c r="OOS1" s="1113"/>
      <c r="OOT1" s="1113"/>
      <c r="OOU1" s="1113"/>
      <c r="OOV1" s="1113"/>
      <c r="OOW1" s="1113"/>
      <c r="OOX1" s="1113"/>
      <c r="OOY1" s="1113"/>
      <c r="OOZ1" s="1113"/>
      <c r="OPA1" s="1113"/>
      <c r="OPB1" s="1113"/>
      <c r="OPC1" s="1113"/>
      <c r="OPD1" s="1113"/>
      <c r="OPE1" s="1113"/>
      <c r="OPF1" s="1113"/>
      <c r="OPG1" s="1113"/>
      <c r="OPH1" s="1113"/>
      <c r="OPI1" s="1113"/>
      <c r="OPJ1" s="1113"/>
      <c r="OPK1" s="1113"/>
      <c r="OPL1" s="1113"/>
      <c r="OPM1" s="1113"/>
      <c r="OPN1" s="1113"/>
      <c r="OPO1" s="1113"/>
      <c r="OPP1" s="1113"/>
      <c r="OPQ1" s="1113"/>
      <c r="OPR1" s="1113"/>
      <c r="OPS1" s="1113"/>
      <c r="OPT1" s="1113"/>
      <c r="OPU1" s="1113"/>
      <c r="OPV1" s="1113"/>
      <c r="OPW1" s="1113"/>
      <c r="OPX1" s="1113"/>
      <c r="OPY1" s="1113"/>
      <c r="OPZ1" s="1113"/>
      <c r="OQA1" s="1113"/>
      <c r="OQB1" s="1113"/>
      <c r="OQC1" s="1113"/>
      <c r="OQD1" s="1113"/>
      <c r="OQE1" s="1113"/>
      <c r="OQF1" s="1113"/>
      <c r="OQG1" s="1113"/>
      <c r="OQH1" s="1113"/>
      <c r="OQI1" s="1113"/>
      <c r="OQJ1" s="1113"/>
      <c r="OQK1" s="1113"/>
      <c r="OQL1" s="1113"/>
      <c r="OQM1" s="1113"/>
      <c r="OQN1" s="1113"/>
      <c r="OQO1" s="1113"/>
      <c r="OQP1" s="1113"/>
      <c r="OQQ1" s="1113"/>
      <c r="OQR1" s="1113"/>
      <c r="OQS1" s="1113"/>
      <c r="OQT1" s="1113"/>
      <c r="OQU1" s="1113"/>
      <c r="OQV1" s="1113"/>
      <c r="OQW1" s="1113"/>
      <c r="OQX1" s="1113"/>
      <c r="OQY1" s="1113"/>
      <c r="OQZ1" s="1113"/>
      <c r="ORA1" s="1113"/>
      <c r="ORB1" s="1113"/>
      <c r="ORC1" s="1113"/>
      <c r="ORD1" s="1113"/>
      <c r="ORE1" s="1113"/>
      <c r="ORF1" s="1113"/>
      <c r="ORG1" s="1113"/>
      <c r="ORH1" s="1113"/>
      <c r="ORI1" s="1113"/>
      <c r="ORJ1" s="1113"/>
      <c r="ORK1" s="1113"/>
      <c r="ORL1" s="1113"/>
      <c r="ORM1" s="1113"/>
      <c r="ORN1" s="1113"/>
      <c r="ORO1" s="1113"/>
      <c r="ORP1" s="1113"/>
      <c r="ORQ1" s="1113"/>
      <c r="ORR1" s="1113"/>
      <c r="ORS1" s="1113"/>
      <c r="ORT1" s="1113"/>
      <c r="ORU1" s="1113"/>
      <c r="ORV1" s="1113"/>
      <c r="ORW1" s="1113"/>
      <c r="ORX1" s="1113"/>
      <c r="ORY1" s="1113"/>
      <c r="ORZ1" s="1113"/>
      <c r="OSA1" s="1113"/>
      <c r="OSB1" s="1113"/>
      <c r="OSC1" s="1113"/>
      <c r="OSD1" s="1113"/>
      <c r="OSE1" s="1113"/>
      <c r="OSF1" s="1113"/>
      <c r="OSG1" s="1113"/>
      <c r="OSH1" s="1113"/>
      <c r="OSI1" s="1113"/>
      <c r="OSJ1" s="1113"/>
      <c r="OSK1" s="1113"/>
      <c r="OSL1" s="1113"/>
      <c r="OSM1" s="1113"/>
      <c r="OSN1" s="1113"/>
      <c r="OSO1" s="1113"/>
      <c r="OSP1" s="1113"/>
      <c r="OSQ1" s="1113"/>
      <c r="OSR1" s="1113"/>
      <c r="OSS1" s="1113"/>
      <c r="OST1" s="1113"/>
      <c r="OSU1" s="1113"/>
      <c r="OSV1" s="1113"/>
      <c r="OSW1" s="1113"/>
      <c r="OSX1" s="1113"/>
      <c r="OSY1" s="1113"/>
      <c r="OSZ1" s="1113"/>
      <c r="OTA1" s="1113"/>
      <c r="OTB1" s="1113"/>
      <c r="OTC1" s="1113"/>
      <c r="OTD1" s="1113"/>
      <c r="OTE1" s="1113"/>
      <c r="OTF1" s="1113"/>
      <c r="OTG1" s="1113"/>
      <c r="OTH1" s="1113"/>
      <c r="OTI1" s="1113"/>
      <c r="OTJ1" s="1113"/>
      <c r="OTK1" s="1113"/>
      <c r="OTL1" s="1113"/>
      <c r="OTM1" s="1113"/>
      <c r="OTN1" s="1113"/>
      <c r="OTO1" s="1113"/>
      <c r="OTP1" s="1113"/>
      <c r="OTQ1" s="1113"/>
      <c r="OTR1" s="1113"/>
      <c r="OTS1" s="1113"/>
      <c r="OTT1" s="1113"/>
      <c r="OTU1" s="1113"/>
      <c r="OTV1" s="1113"/>
      <c r="OTW1" s="1113"/>
      <c r="OTX1" s="1113"/>
      <c r="OTY1" s="1113"/>
      <c r="OTZ1" s="1113"/>
      <c r="OUA1" s="1113"/>
      <c r="OUB1" s="1113"/>
      <c r="OUC1" s="1113"/>
      <c r="OUD1" s="1113"/>
      <c r="OUE1" s="1113"/>
      <c r="OUF1" s="1113"/>
      <c r="OUG1" s="1113"/>
      <c r="OUH1" s="1113"/>
      <c r="OUI1" s="1113"/>
      <c r="OUJ1" s="1113"/>
      <c r="OUK1" s="1113"/>
      <c r="OUL1" s="1113"/>
      <c r="OUM1" s="1113"/>
      <c r="OUN1" s="1113"/>
      <c r="OUO1" s="1113"/>
      <c r="OUP1" s="1113"/>
      <c r="OUQ1" s="1113"/>
      <c r="OUR1" s="1113"/>
      <c r="OUS1" s="1113"/>
      <c r="OUT1" s="1113"/>
      <c r="OUU1" s="1113"/>
      <c r="OUV1" s="1113"/>
      <c r="OUW1" s="1113"/>
      <c r="OUX1" s="1113"/>
      <c r="OUY1" s="1113"/>
      <c r="OUZ1" s="1113"/>
      <c r="OVA1" s="1113"/>
      <c r="OVB1" s="1113"/>
      <c r="OVC1" s="1113"/>
      <c r="OVD1" s="1113"/>
      <c r="OVE1" s="1113"/>
      <c r="OVF1" s="1113"/>
      <c r="OVG1" s="1113"/>
      <c r="OVH1" s="1113"/>
      <c r="OVI1" s="1113"/>
      <c r="OVJ1" s="1113"/>
      <c r="OVK1" s="1113"/>
      <c r="OVL1" s="1113"/>
      <c r="OVM1" s="1113"/>
      <c r="OVN1" s="1113"/>
      <c r="OVO1" s="1113"/>
      <c r="OVP1" s="1113"/>
      <c r="OVQ1" s="1113"/>
      <c r="OVR1" s="1113"/>
      <c r="OVS1" s="1113"/>
      <c r="OVT1" s="1113"/>
      <c r="OVU1" s="1113"/>
      <c r="OVV1" s="1113"/>
      <c r="OVW1" s="1113"/>
      <c r="OVX1" s="1113"/>
      <c r="OVY1" s="1113"/>
      <c r="OVZ1" s="1113"/>
      <c r="OWA1" s="1113"/>
      <c r="OWB1" s="1113"/>
      <c r="OWC1" s="1113"/>
      <c r="OWD1" s="1113"/>
      <c r="OWE1" s="1113"/>
      <c r="OWF1" s="1113"/>
      <c r="OWG1" s="1113"/>
      <c r="OWH1" s="1113"/>
      <c r="OWI1" s="1113"/>
      <c r="OWJ1" s="1113"/>
      <c r="OWK1" s="1113"/>
      <c r="OWL1" s="1113"/>
      <c r="OWM1" s="1113"/>
      <c r="OWN1" s="1113"/>
      <c r="OWO1" s="1113"/>
      <c r="OWP1" s="1113"/>
      <c r="OWQ1" s="1113"/>
      <c r="OWR1" s="1113"/>
      <c r="OWS1" s="1113"/>
      <c r="OWT1" s="1113"/>
      <c r="OWU1" s="1113"/>
      <c r="OWV1" s="1113"/>
      <c r="OWW1" s="1113"/>
      <c r="OWX1" s="1113"/>
      <c r="OWY1" s="1113"/>
      <c r="OWZ1" s="1113"/>
      <c r="OXA1" s="1113"/>
      <c r="OXB1" s="1113"/>
      <c r="OXC1" s="1113"/>
      <c r="OXD1" s="1113"/>
      <c r="OXE1" s="1113"/>
      <c r="OXF1" s="1113"/>
      <c r="OXG1" s="1113"/>
      <c r="OXH1" s="1113"/>
      <c r="OXI1" s="1113"/>
      <c r="OXJ1" s="1113"/>
      <c r="OXK1" s="1113"/>
      <c r="OXL1" s="1113"/>
      <c r="OXM1" s="1113"/>
      <c r="OXN1" s="1113"/>
      <c r="OXO1" s="1113"/>
      <c r="OXP1" s="1113"/>
      <c r="OXQ1" s="1113"/>
      <c r="OXR1" s="1113"/>
      <c r="OXS1" s="1113"/>
      <c r="OXT1" s="1113"/>
      <c r="OXU1" s="1113"/>
      <c r="OXV1" s="1113"/>
      <c r="OXW1" s="1113"/>
      <c r="OXX1" s="1113"/>
      <c r="OXY1" s="1113"/>
      <c r="OXZ1" s="1113"/>
      <c r="OYA1" s="1113"/>
      <c r="OYB1" s="1113"/>
      <c r="OYC1" s="1113"/>
      <c r="OYD1" s="1113"/>
      <c r="OYE1" s="1113"/>
      <c r="OYF1" s="1113"/>
      <c r="OYG1" s="1113"/>
      <c r="OYH1" s="1113"/>
      <c r="OYI1" s="1113"/>
      <c r="OYJ1" s="1113"/>
      <c r="OYK1" s="1113"/>
      <c r="OYL1" s="1113"/>
      <c r="OYM1" s="1113"/>
      <c r="OYN1" s="1113"/>
      <c r="OYO1" s="1113"/>
      <c r="OYP1" s="1113"/>
      <c r="OYQ1" s="1113"/>
      <c r="OYR1" s="1113"/>
      <c r="OYS1" s="1113"/>
      <c r="OYT1" s="1113"/>
      <c r="OYU1" s="1113"/>
      <c r="OYV1" s="1113"/>
      <c r="OYW1" s="1113"/>
      <c r="OYX1" s="1113"/>
      <c r="OYY1" s="1113"/>
      <c r="OYZ1" s="1113"/>
      <c r="OZA1" s="1113"/>
      <c r="OZB1" s="1113"/>
      <c r="OZC1" s="1113"/>
      <c r="OZD1" s="1113"/>
      <c r="OZE1" s="1113"/>
      <c r="OZF1" s="1113"/>
      <c r="OZG1" s="1113"/>
      <c r="OZH1" s="1113"/>
      <c r="OZI1" s="1113"/>
      <c r="OZJ1" s="1113"/>
      <c r="OZK1" s="1113"/>
      <c r="OZL1" s="1113"/>
      <c r="OZM1" s="1113"/>
      <c r="OZN1" s="1113"/>
      <c r="OZO1" s="1113"/>
      <c r="OZP1" s="1113"/>
      <c r="OZQ1" s="1113"/>
      <c r="OZR1" s="1113"/>
      <c r="OZS1" s="1113"/>
      <c r="OZT1" s="1113"/>
      <c r="OZU1" s="1113"/>
      <c r="OZV1" s="1113"/>
      <c r="OZW1" s="1113"/>
      <c r="OZX1" s="1113"/>
      <c r="OZY1" s="1113"/>
      <c r="OZZ1" s="1113"/>
      <c r="PAA1" s="1113"/>
      <c r="PAB1" s="1113"/>
      <c r="PAC1" s="1113"/>
      <c r="PAD1" s="1113"/>
      <c r="PAE1" s="1113"/>
      <c r="PAF1" s="1113"/>
      <c r="PAG1" s="1113"/>
      <c r="PAH1" s="1113"/>
      <c r="PAI1" s="1113"/>
      <c r="PAJ1" s="1113"/>
      <c r="PAK1" s="1113"/>
      <c r="PAL1" s="1113"/>
      <c r="PAM1" s="1113"/>
      <c r="PAN1" s="1113"/>
      <c r="PAO1" s="1113"/>
      <c r="PAP1" s="1113"/>
      <c r="PAQ1" s="1113"/>
      <c r="PAR1" s="1113"/>
      <c r="PAS1" s="1113"/>
      <c r="PAT1" s="1113"/>
      <c r="PAU1" s="1113"/>
      <c r="PAV1" s="1113"/>
      <c r="PAW1" s="1113"/>
      <c r="PAX1" s="1113"/>
      <c r="PAY1" s="1113"/>
      <c r="PAZ1" s="1113"/>
      <c r="PBA1" s="1113"/>
      <c r="PBB1" s="1113"/>
      <c r="PBC1" s="1113"/>
      <c r="PBD1" s="1113"/>
      <c r="PBE1" s="1113"/>
      <c r="PBF1" s="1113"/>
      <c r="PBG1" s="1113"/>
      <c r="PBH1" s="1113"/>
      <c r="PBI1" s="1113"/>
      <c r="PBJ1" s="1113"/>
      <c r="PBK1" s="1113"/>
      <c r="PBL1" s="1113"/>
      <c r="PBM1" s="1113"/>
      <c r="PBN1" s="1113"/>
      <c r="PBO1" s="1113"/>
      <c r="PBP1" s="1113"/>
      <c r="PBQ1" s="1113"/>
      <c r="PBR1" s="1113"/>
      <c r="PBS1" s="1113"/>
      <c r="PBT1" s="1113"/>
      <c r="PBU1" s="1113"/>
      <c r="PBV1" s="1113"/>
      <c r="PBW1" s="1113"/>
      <c r="PBX1" s="1113"/>
      <c r="PBY1" s="1113"/>
      <c r="PBZ1" s="1113"/>
      <c r="PCA1" s="1113"/>
      <c r="PCB1" s="1113"/>
      <c r="PCC1" s="1113"/>
      <c r="PCD1" s="1113"/>
      <c r="PCE1" s="1113"/>
      <c r="PCF1" s="1113"/>
      <c r="PCG1" s="1113"/>
      <c r="PCH1" s="1113"/>
      <c r="PCI1" s="1113"/>
      <c r="PCJ1" s="1113"/>
      <c r="PCK1" s="1113"/>
      <c r="PCL1" s="1113"/>
      <c r="PCM1" s="1113"/>
      <c r="PCN1" s="1113"/>
      <c r="PCO1" s="1113"/>
      <c r="PCP1" s="1113"/>
      <c r="PCQ1" s="1113"/>
      <c r="PCR1" s="1113"/>
      <c r="PCS1" s="1113"/>
      <c r="PCT1" s="1113"/>
      <c r="PCU1" s="1113"/>
      <c r="PCV1" s="1113"/>
      <c r="PCW1" s="1113"/>
      <c r="PCX1" s="1113"/>
      <c r="PCY1" s="1113"/>
      <c r="PCZ1" s="1113"/>
      <c r="PDA1" s="1113"/>
      <c r="PDB1" s="1113"/>
      <c r="PDC1" s="1113"/>
      <c r="PDD1" s="1113"/>
      <c r="PDE1" s="1113"/>
      <c r="PDF1" s="1113"/>
      <c r="PDG1" s="1113"/>
      <c r="PDH1" s="1113"/>
      <c r="PDI1" s="1113"/>
      <c r="PDJ1" s="1113"/>
      <c r="PDK1" s="1113"/>
      <c r="PDL1" s="1113"/>
      <c r="PDM1" s="1113"/>
      <c r="PDN1" s="1113"/>
      <c r="PDO1" s="1113"/>
      <c r="PDP1" s="1113"/>
      <c r="PDQ1" s="1113"/>
      <c r="PDR1" s="1113"/>
      <c r="PDS1" s="1113"/>
      <c r="PDT1" s="1113"/>
      <c r="PDU1" s="1113"/>
      <c r="PDV1" s="1113"/>
      <c r="PDW1" s="1113"/>
      <c r="PDX1" s="1113"/>
      <c r="PDY1" s="1113"/>
      <c r="PDZ1" s="1113"/>
      <c r="PEA1" s="1113"/>
      <c r="PEB1" s="1113"/>
      <c r="PEC1" s="1113"/>
      <c r="PED1" s="1113"/>
      <c r="PEE1" s="1113"/>
      <c r="PEF1" s="1113"/>
      <c r="PEG1" s="1113"/>
      <c r="PEH1" s="1113"/>
      <c r="PEI1" s="1113"/>
      <c r="PEJ1" s="1113"/>
      <c r="PEK1" s="1113"/>
      <c r="PEL1" s="1113"/>
      <c r="PEM1" s="1113"/>
      <c r="PEN1" s="1113"/>
      <c r="PEO1" s="1113"/>
      <c r="PEP1" s="1113"/>
      <c r="PEQ1" s="1113"/>
      <c r="PER1" s="1113"/>
      <c r="PES1" s="1113"/>
      <c r="PET1" s="1113"/>
      <c r="PEU1" s="1113"/>
      <c r="PEV1" s="1113"/>
      <c r="PEW1" s="1113"/>
      <c r="PEX1" s="1113"/>
      <c r="PEY1" s="1113"/>
      <c r="PEZ1" s="1113"/>
      <c r="PFA1" s="1113"/>
      <c r="PFB1" s="1113"/>
      <c r="PFC1" s="1113"/>
      <c r="PFD1" s="1113"/>
      <c r="PFE1" s="1113"/>
      <c r="PFF1" s="1113"/>
      <c r="PFG1" s="1113"/>
      <c r="PFH1" s="1113"/>
      <c r="PFI1" s="1113"/>
      <c r="PFJ1" s="1113"/>
      <c r="PFK1" s="1113"/>
      <c r="PFL1" s="1113"/>
      <c r="PFM1" s="1113"/>
      <c r="PFN1" s="1113"/>
      <c r="PFO1" s="1113"/>
      <c r="PFP1" s="1113"/>
      <c r="PFQ1" s="1113"/>
      <c r="PFR1" s="1113"/>
      <c r="PFS1" s="1113"/>
      <c r="PFT1" s="1113"/>
      <c r="PFU1" s="1113"/>
      <c r="PFV1" s="1113"/>
      <c r="PFW1" s="1113"/>
      <c r="PFX1" s="1113"/>
      <c r="PFY1" s="1113"/>
      <c r="PFZ1" s="1113"/>
      <c r="PGA1" s="1113"/>
      <c r="PGB1" s="1113"/>
      <c r="PGC1" s="1113"/>
      <c r="PGD1" s="1113"/>
      <c r="PGE1" s="1113"/>
      <c r="PGF1" s="1113"/>
      <c r="PGG1" s="1113"/>
      <c r="PGH1" s="1113"/>
      <c r="PGI1" s="1113"/>
      <c r="PGJ1" s="1113"/>
      <c r="PGK1" s="1113"/>
      <c r="PGL1" s="1113"/>
      <c r="PGM1" s="1113"/>
      <c r="PGN1" s="1113"/>
      <c r="PGO1" s="1113"/>
      <c r="PGP1" s="1113"/>
      <c r="PGQ1" s="1113"/>
      <c r="PGR1" s="1113"/>
      <c r="PGS1" s="1113"/>
      <c r="PGT1" s="1113"/>
      <c r="PGU1" s="1113"/>
      <c r="PGV1" s="1113"/>
      <c r="PGW1" s="1113"/>
      <c r="PGX1" s="1113"/>
      <c r="PGY1" s="1113"/>
      <c r="PGZ1" s="1113"/>
      <c r="PHA1" s="1113"/>
      <c r="PHB1" s="1113"/>
      <c r="PHC1" s="1113"/>
      <c r="PHD1" s="1113"/>
      <c r="PHE1" s="1113"/>
      <c r="PHF1" s="1113"/>
      <c r="PHG1" s="1113"/>
      <c r="PHH1" s="1113"/>
      <c r="PHI1" s="1113"/>
      <c r="PHJ1" s="1113"/>
      <c r="PHK1" s="1113"/>
      <c r="PHL1" s="1113"/>
      <c r="PHM1" s="1113"/>
      <c r="PHN1" s="1113"/>
      <c r="PHO1" s="1113"/>
      <c r="PHP1" s="1113"/>
      <c r="PHQ1" s="1113"/>
      <c r="PHR1" s="1113"/>
      <c r="PHS1" s="1113"/>
      <c r="PHT1" s="1113"/>
      <c r="PHU1" s="1113"/>
      <c r="PHV1" s="1113"/>
      <c r="PHW1" s="1113"/>
      <c r="PHX1" s="1113"/>
      <c r="PHY1" s="1113"/>
      <c r="PHZ1" s="1113"/>
      <c r="PIA1" s="1113"/>
      <c r="PIB1" s="1113"/>
      <c r="PIC1" s="1113"/>
      <c r="PID1" s="1113"/>
      <c r="PIE1" s="1113"/>
      <c r="PIF1" s="1113"/>
      <c r="PIG1" s="1113"/>
      <c r="PIH1" s="1113"/>
      <c r="PII1" s="1113"/>
      <c r="PIJ1" s="1113"/>
      <c r="PIK1" s="1113"/>
      <c r="PIL1" s="1113"/>
      <c r="PIM1" s="1113"/>
      <c r="PIN1" s="1113"/>
      <c r="PIO1" s="1113"/>
      <c r="PIP1" s="1113"/>
      <c r="PIQ1" s="1113"/>
      <c r="PIR1" s="1113"/>
      <c r="PIS1" s="1113"/>
      <c r="PIT1" s="1113"/>
      <c r="PIU1" s="1113"/>
      <c r="PIV1" s="1113"/>
      <c r="PIW1" s="1113"/>
      <c r="PIX1" s="1113"/>
      <c r="PIY1" s="1113"/>
      <c r="PIZ1" s="1113"/>
      <c r="PJA1" s="1113"/>
      <c r="PJB1" s="1113"/>
      <c r="PJC1" s="1113"/>
      <c r="PJD1" s="1113"/>
      <c r="PJE1" s="1113"/>
      <c r="PJF1" s="1113"/>
      <c r="PJG1" s="1113"/>
      <c r="PJH1" s="1113"/>
      <c r="PJI1" s="1113"/>
      <c r="PJJ1" s="1113"/>
      <c r="PJK1" s="1113"/>
      <c r="PJL1" s="1113"/>
      <c r="PJM1" s="1113"/>
      <c r="PJN1" s="1113"/>
      <c r="PJO1" s="1113"/>
      <c r="PJP1" s="1113"/>
      <c r="PJQ1" s="1113"/>
      <c r="PJR1" s="1113"/>
      <c r="PJS1" s="1113"/>
      <c r="PJT1" s="1113"/>
      <c r="PJU1" s="1113"/>
      <c r="PJV1" s="1113"/>
      <c r="PJW1" s="1113"/>
      <c r="PJX1" s="1113"/>
      <c r="PJY1" s="1113"/>
      <c r="PJZ1" s="1113"/>
      <c r="PKA1" s="1113"/>
      <c r="PKB1" s="1113"/>
      <c r="PKC1" s="1113"/>
      <c r="PKD1" s="1113"/>
      <c r="PKE1" s="1113"/>
      <c r="PKF1" s="1113"/>
      <c r="PKG1" s="1113"/>
      <c r="PKH1" s="1113"/>
      <c r="PKI1" s="1113"/>
      <c r="PKJ1" s="1113"/>
      <c r="PKK1" s="1113"/>
      <c r="PKL1" s="1113"/>
      <c r="PKM1" s="1113"/>
      <c r="PKN1" s="1113"/>
      <c r="PKO1" s="1113"/>
      <c r="PKP1" s="1113"/>
      <c r="PKQ1" s="1113"/>
      <c r="PKR1" s="1113"/>
      <c r="PKS1" s="1113"/>
      <c r="PKT1" s="1113"/>
      <c r="PKU1" s="1113"/>
      <c r="PKV1" s="1113"/>
      <c r="PKW1" s="1113"/>
      <c r="PKX1" s="1113"/>
      <c r="PKY1" s="1113"/>
      <c r="PKZ1" s="1113"/>
      <c r="PLA1" s="1113"/>
      <c r="PLB1" s="1113"/>
      <c r="PLC1" s="1113"/>
      <c r="PLD1" s="1113"/>
      <c r="PLE1" s="1113"/>
      <c r="PLF1" s="1113"/>
      <c r="PLG1" s="1113"/>
      <c r="PLH1" s="1113"/>
      <c r="PLI1" s="1113"/>
      <c r="PLJ1" s="1113"/>
      <c r="PLK1" s="1113"/>
      <c r="PLL1" s="1113"/>
      <c r="PLM1" s="1113"/>
      <c r="PLN1" s="1113"/>
      <c r="PLO1" s="1113"/>
      <c r="PLP1" s="1113"/>
      <c r="PLQ1" s="1113"/>
      <c r="PLR1" s="1113"/>
      <c r="PLS1" s="1113"/>
      <c r="PLT1" s="1113"/>
      <c r="PLU1" s="1113"/>
      <c r="PLV1" s="1113"/>
      <c r="PLW1" s="1113"/>
      <c r="PLX1" s="1113"/>
      <c r="PLY1" s="1113"/>
      <c r="PLZ1" s="1113"/>
      <c r="PMA1" s="1113"/>
      <c r="PMB1" s="1113"/>
      <c r="PMC1" s="1113"/>
      <c r="PMD1" s="1113"/>
      <c r="PME1" s="1113"/>
      <c r="PMF1" s="1113"/>
      <c r="PMG1" s="1113"/>
      <c r="PMH1" s="1113"/>
      <c r="PMI1" s="1113"/>
      <c r="PMJ1" s="1113"/>
      <c r="PMK1" s="1113"/>
      <c r="PML1" s="1113"/>
      <c r="PMM1" s="1113"/>
      <c r="PMN1" s="1113"/>
      <c r="PMO1" s="1113"/>
      <c r="PMP1" s="1113"/>
      <c r="PMQ1" s="1113"/>
      <c r="PMR1" s="1113"/>
      <c r="PMS1" s="1113"/>
      <c r="PMT1" s="1113"/>
      <c r="PMU1" s="1113"/>
      <c r="PMV1" s="1113"/>
      <c r="PMW1" s="1113"/>
      <c r="PMX1" s="1113"/>
      <c r="PMY1" s="1113"/>
      <c r="PMZ1" s="1113"/>
      <c r="PNA1" s="1113"/>
      <c r="PNB1" s="1113"/>
      <c r="PNC1" s="1113"/>
      <c r="PND1" s="1113"/>
      <c r="PNE1" s="1113"/>
      <c r="PNF1" s="1113"/>
      <c r="PNG1" s="1113"/>
      <c r="PNH1" s="1113"/>
      <c r="PNI1" s="1113"/>
      <c r="PNJ1" s="1113"/>
      <c r="PNK1" s="1113"/>
      <c r="PNL1" s="1113"/>
      <c r="PNM1" s="1113"/>
      <c r="PNN1" s="1113"/>
      <c r="PNO1" s="1113"/>
      <c r="PNP1" s="1113"/>
      <c r="PNQ1" s="1113"/>
      <c r="PNR1" s="1113"/>
      <c r="PNS1" s="1113"/>
      <c r="PNT1" s="1113"/>
      <c r="PNU1" s="1113"/>
      <c r="PNV1" s="1113"/>
      <c r="PNW1" s="1113"/>
      <c r="PNX1" s="1113"/>
      <c r="PNY1" s="1113"/>
      <c r="PNZ1" s="1113"/>
      <c r="POA1" s="1113"/>
      <c r="POB1" s="1113"/>
      <c r="POC1" s="1113"/>
      <c r="POD1" s="1113"/>
      <c r="POE1" s="1113"/>
      <c r="POF1" s="1113"/>
      <c r="POG1" s="1113"/>
      <c r="POH1" s="1113"/>
      <c r="POI1" s="1113"/>
      <c r="POJ1" s="1113"/>
      <c r="POK1" s="1113"/>
      <c r="POL1" s="1113"/>
      <c r="POM1" s="1113"/>
      <c r="PON1" s="1113"/>
      <c r="POO1" s="1113"/>
      <c r="POP1" s="1113"/>
      <c r="POQ1" s="1113"/>
      <c r="POR1" s="1113"/>
      <c r="POS1" s="1113"/>
      <c r="POT1" s="1113"/>
      <c r="POU1" s="1113"/>
      <c r="POV1" s="1113"/>
      <c r="POW1" s="1113"/>
      <c r="POX1" s="1113"/>
      <c r="POY1" s="1113"/>
      <c r="POZ1" s="1113"/>
      <c r="PPA1" s="1113"/>
      <c r="PPB1" s="1113"/>
      <c r="PPC1" s="1113"/>
      <c r="PPD1" s="1113"/>
      <c r="PPE1" s="1113"/>
      <c r="PPF1" s="1113"/>
      <c r="PPG1" s="1113"/>
      <c r="PPH1" s="1113"/>
      <c r="PPI1" s="1113"/>
      <c r="PPJ1" s="1113"/>
      <c r="PPK1" s="1113"/>
      <c r="PPL1" s="1113"/>
      <c r="PPM1" s="1113"/>
      <c r="PPN1" s="1113"/>
      <c r="PPO1" s="1113"/>
      <c r="PPP1" s="1113"/>
      <c r="PPQ1" s="1113"/>
      <c r="PPR1" s="1113"/>
      <c r="PPS1" s="1113"/>
      <c r="PPT1" s="1113"/>
      <c r="PPU1" s="1113"/>
      <c r="PPV1" s="1113"/>
      <c r="PPW1" s="1113"/>
      <c r="PPX1" s="1113"/>
      <c r="PPY1" s="1113"/>
      <c r="PPZ1" s="1113"/>
      <c r="PQA1" s="1113"/>
      <c r="PQB1" s="1113"/>
      <c r="PQC1" s="1113"/>
      <c r="PQD1" s="1113"/>
      <c r="PQE1" s="1113"/>
      <c r="PQF1" s="1113"/>
      <c r="PQG1" s="1113"/>
      <c r="PQH1" s="1113"/>
      <c r="PQI1" s="1113"/>
      <c r="PQJ1" s="1113"/>
      <c r="PQK1" s="1113"/>
      <c r="PQL1" s="1113"/>
      <c r="PQM1" s="1113"/>
      <c r="PQN1" s="1113"/>
      <c r="PQO1" s="1113"/>
      <c r="PQP1" s="1113"/>
      <c r="PQQ1" s="1113"/>
      <c r="PQR1" s="1113"/>
      <c r="PQS1" s="1113"/>
      <c r="PQT1" s="1113"/>
      <c r="PQU1" s="1113"/>
      <c r="PQV1" s="1113"/>
      <c r="PQW1" s="1113"/>
      <c r="PQX1" s="1113"/>
      <c r="PQY1" s="1113"/>
      <c r="PQZ1" s="1113"/>
      <c r="PRA1" s="1113"/>
      <c r="PRB1" s="1113"/>
      <c r="PRC1" s="1113"/>
      <c r="PRD1" s="1113"/>
      <c r="PRE1" s="1113"/>
      <c r="PRF1" s="1113"/>
      <c r="PRG1" s="1113"/>
      <c r="PRH1" s="1113"/>
      <c r="PRI1" s="1113"/>
      <c r="PRJ1" s="1113"/>
      <c r="PRK1" s="1113"/>
      <c r="PRL1" s="1113"/>
      <c r="PRM1" s="1113"/>
      <c r="PRN1" s="1113"/>
      <c r="PRO1" s="1113"/>
      <c r="PRP1" s="1113"/>
      <c r="PRQ1" s="1113"/>
      <c r="PRR1" s="1113"/>
      <c r="PRS1" s="1113"/>
      <c r="PRT1" s="1113"/>
      <c r="PRU1" s="1113"/>
      <c r="PRV1" s="1113"/>
      <c r="PRW1" s="1113"/>
      <c r="PRX1" s="1113"/>
      <c r="PRY1" s="1113"/>
      <c r="PRZ1" s="1113"/>
      <c r="PSA1" s="1113"/>
      <c r="PSB1" s="1113"/>
      <c r="PSC1" s="1113"/>
      <c r="PSD1" s="1113"/>
      <c r="PSE1" s="1113"/>
      <c r="PSF1" s="1113"/>
      <c r="PSG1" s="1113"/>
      <c r="PSH1" s="1113"/>
      <c r="PSI1" s="1113"/>
      <c r="PSJ1" s="1113"/>
      <c r="PSK1" s="1113"/>
      <c r="PSL1" s="1113"/>
      <c r="PSM1" s="1113"/>
      <c r="PSN1" s="1113"/>
      <c r="PSO1" s="1113"/>
      <c r="PSP1" s="1113"/>
      <c r="PSQ1" s="1113"/>
      <c r="PSR1" s="1113"/>
      <c r="PSS1" s="1113"/>
      <c r="PST1" s="1113"/>
      <c r="PSU1" s="1113"/>
      <c r="PSV1" s="1113"/>
      <c r="PSW1" s="1113"/>
      <c r="PSX1" s="1113"/>
      <c r="PSY1" s="1113"/>
      <c r="PSZ1" s="1113"/>
      <c r="PTA1" s="1113"/>
      <c r="PTB1" s="1113"/>
      <c r="PTC1" s="1113"/>
      <c r="PTD1" s="1113"/>
      <c r="PTE1" s="1113"/>
      <c r="PTF1" s="1113"/>
      <c r="PTG1" s="1113"/>
      <c r="PTH1" s="1113"/>
      <c r="PTI1" s="1113"/>
      <c r="PTJ1" s="1113"/>
      <c r="PTK1" s="1113"/>
      <c r="PTL1" s="1113"/>
      <c r="PTM1" s="1113"/>
      <c r="PTN1" s="1113"/>
      <c r="PTO1" s="1113"/>
      <c r="PTP1" s="1113"/>
      <c r="PTQ1" s="1113"/>
      <c r="PTR1" s="1113"/>
      <c r="PTS1" s="1113"/>
      <c r="PTT1" s="1113"/>
      <c r="PTU1" s="1113"/>
      <c r="PTV1" s="1113"/>
      <c r="PTW1" s="1113"/>
      <c r="PTX1" s="1113"/>
      <c r="PTY1" s="1113"/>
      <c r="PTZ1" s="1113"/>
      <c r="PUA1" s="1113"/>
      <c r="PUB1" s="1113"/>
      <c r="PUC1" s="1113"/>
      <c r="PUD1" s="1113"/>
      <c r="PUE1" s="1113"/>
      <c r="PUF1" s="1113"/>
      <c r="PUG1" s="1113"/>
      <c r="PUH1" s="1113"/>
      <c r="PUI1" s="1113"/>
      <c r="PUJ1" s="1113"/>
      <c r="PUK1" s="1113"/>
      <c r="PUL1" s="1113"/>
      <c r="PUM1" s="1113"/>
      <c r="PUN1" s="1113"/>
      <c r="PUO1" s="1113"/>
      <c r="PUP1" s="1113"/>
      <c r="PUQ1" s="1113"/>
      <c r="PUR1" s="1113"/>
      <c r="PUS1" s="1113"/>
      <c r="PUT1" s="1113"/>
      <c r="PUU1" s="1113"/>
      <c r="PUV1" s="1113"/>
      <c r="PUW1" s="1113"/>
      <c r="PUX1" s="1113"/>
      <c r="PUY1" s="1113"/>
      <c r="PUZ1" s="1113"/>
      <c r="PVA1" s="1113"/>
      <c r="PVB1" s="1113"/>
      <c r="PVC1" s="1113"/>
      <c r="PVD1" s="1113"/>
      <c r="PVE1" s="1113"/>
      <c r="PVF1" s="1113"/>
      <c r="PVG1" s="1113"/>
      <c r="PVH1" s="1113"/>
      <c r="PVI1" s="1113"/>
      <c r="PVJ1" s="1113"/>
      <c r="PVK1" s="1113"/>
      <c r="PVL1" s="1113"/>
      <c r="PVM1" s="1113"/>
      <c r="PVN1" s="1113"/>
      <c r="PVO1" s="1113"/>
      <c r="PVP1" s="1113"/>
      <c r="PVQ1" s="1113"/>
      <c r="PVR1" s="1113"/>
      <c r="PVS1" s="1113"/>
      <c r="PVT1" s="1113"/>
      <c r="PVU1" s="1113"/>
      <c r="PVV1" s="1113"/>
      <c r="PVW1" s="1113"/>
      <c r="PVX1" s="1113"/>
      <c r="PVY1" s="1113"/>
      <c r="PVZ1" s="1113"/>
      <c r="PWA1" s="1113"/>
      <c r="PWB1" s="1113"/>
      <c r="PWC1" s="1113"/>
      <c r="PWD1" s="1113"/>
      <c r="PWE1" s="1113"/>
      <c r="PWF1" s="1113"/>
      <c r="PWG1" s="1113"/>
      <c r="PWH1" s="1113"/>
      <c r="PWI1" s="1113"/>
      <c r="PWJ1" s="1113"/>
      <c r="PWK1" s="1113"/>
      <c r="PWL1" s="1113"/>
      <c r="PWM1" s="1113"/>
      <c r="PWN1" s="1113"/>
      <c r="PWO1" s="1113"/>
      <c r="PWP1" s="1113"/>
      <c r="PWQ1" s="1113"/>
      <c r="PWR1" s="1113"/>
      <c r="PWS1" s="1113"/>
      <c r="PWT1" s="1113"/>
      <c r="PWU1" s="1113"/>
      <c r="PWV1" s="1113"/>
      <c r="PWW1" s="1113"/>
      <c r="PWX1" s="1113"/>
      <c r="PWY1" s="1113"/>
      <c r="PWZ1" s="1113"/>
      <c r="PXA1" s="1113"/>
      <c r="PXB1" s="1113"/>
      <c r="PXC1" s="1113"/>
      <c r="PXD1" s="1113"/>
      <c r="PXE1" s="1113"/>
      <c r="PXF1" s="1113"/>
      <c r="PXG1" s="1113"/>
      <c r="PXH1" s="1113"/>
      <c r="PXI1" s="1113"/>
      <c r="PXJ1" s="1113"/>
      <c r="PXK1" s="1113"/>
      <c r="PXL1" s="1113"/>
      <c r="PXM1" s="1113"/>
      <c r="PXN1" s="1113"/>
      <c r="PXO1" s="1113"/>
      <c r="PXP1" s="1113"/>
      <c r="PXQ1" s="1113"/>
      <c r="PXR1" s="1113"/>
      <c r="PXS1" s="1113"/>
      <c r="PXT1" s="1113"/>
      <c r="PXU1" s="1113"/>
      <c r="PXV1" s="1113"/>
      <c r="PXW1" s="1113"/>
      <c r="PXX1" s="1113"/>
      <c r="PXY1" s="1113"/>
      <c r="PXZ1" s="1113"/>
      <c r="PYA1" s="1113"/>
      <c r="PYB1" s="1113"/>
      <c r="PYC1" s="1113"/>
      <c r="PYD1" s="1113"/>
      <c r="PYE1" s="1113"/>
      <c r="PYF1" s="1113"/>
      <c r="PYG1" s="1113"/>
      <c r="PYH1" s="1113"/>
      <c r="PYI1" s="1113"/>
      <c r="PYJ1" s="1113"/>
      <c r="PYK1" s="1113"/>
      <c r="PYL1" s="1113"/>
      <c r="PYM1" s="1113"/>
      <c r="PYN1" s="1113"/>
      <c r="PYO1" s="1113"/>
      <c r="PYP1" s="1113"/>
      <c r="PYQ1" s="1113"/>
      <c r="PYR1" s="1113"/>
      <c r="PYS1" s="1113"/>
      <c r="PYT1" s="1113"/>
      <c r="PYU1" s="1113"/>
      <c r="PYV1" s="1113"/>
      <c r="PYW1" s="1113"/>
      <c r="PYX1" s="1113"/>
      <c r="PYY1" s="1113"/>
      <c r="PYZ1" s="1113"/>
      <c r="PZA1" s="1113"/>
      <c r="PZB1" s="1113"/>
      <c r="PZC1" s="1113"/>
      <c r="PZD1" s="1113"/>
      <c r="PZE1" s="1113"/>
      <c r="PZF1" s="1113"/>
      <c r="PZG1" s="1113"/>
      <c r="PZH1" s="1113"/>
      <c r="PZI1" s="1113"/>
      <c r="PZJ1" s="1113"/>
      <c r="PZK1" s="1113"/>
      <c r="PZL1" s="1113"/>
      <c r="PZM1" s="1113"/>
      <c r="PZN1" s="1113"/>
      <c r="PZO1" s="1113"/>
      <c r="PZP1" s="1113"/>
      <c r="PZQ1" s="1113"/>
      <c r="PZR1" s="1113"/>
      <c r="PZS1" s="1113"/>
      <c r="PZT1" s="1113"/>
      <c r="PZU1" s="1113"/>
      <c r="PZV1" s="1113"/>
      <c r="PZW1" s="1113"/>
      <c r="PZX1" s="1113"/>
      <c r="PZY1" s="1113"/>
      <c r="PZZ1" s="1113"/>
      <c r="QAA1" s="1113"/>
      <c r="QAB1" s="1113"/>
      <c r="QAC1" s="1113"/>
      <c r="QAD1" s="1113"/>
      <c r="QAE1" s="1113"/>
      <c r="QAF1" s="1113"/>
      <c r="QAG1" s="1113"/>
      <c r="QAH1" s="1113"/>
      <c r="QAI1" s="1113"/>
      <c r="QAJ1" s="1113"/>
      <c r="QAK1" s="1113"/>
      <c r="QAL1" s="1113"/>
      <c r="QAM1" s="1113"/>
      <c r="QAN1" s="1113"/>
      <c r="QAO1" s="1113"/>
      <c r="QAP1" s="1113"/>
      <c r="QAQ1" s="1113"/>
      <c r="QAR1" s="1113"/>
      <c r="QAS1" s="1113"/>
      <c r="QAT1" s="1113"/>
      <c r="QAU1" s="1113"/>
      <c r="QAV1" s="1113"/>
      <c r="QAW1" s="1113"/>
      <c r="QAX1" s="1113"/>
      <c r="QAY1" s="1113"/>
      <c r="QAZ1" s="1113"/>
      <c r="QBA1" s="1113"/>
      <c r="QBB1" s="1113"/>
      <c r="QBC1" s="1113"/>
      <c r="QBD1" s="1113"/>
      <c r="QBE1" s="1113"/>
      <c r="QBF1" s="1113"/>
      <c r="QBG1" s="1113"/>
      <c r="QBH1" s="1113"/>
      <c r="QBI1" s="1113"/>
      <c r="QBJ1" s="1113"/>
      <c r="QBK1" s="1113"/>
      <c r="QBL1" s="1113"/>
      <c r="QBM1" s="1113"/>
      <c r="QBN1" s="1113"/>
      <c r="QBO1" s="1113"/>
      <c r="QBP1" s="1113"/>
      <c r="QBQ1" s="1113"/>
      <c r="QBR1" s="1113"/>
      <c r="QBS1" s="1113"/>
      <c r="QBT1" s="1113"/>
      <c r="QBU1" s="1113"/>
      <c r="QBV1" s="1113"/>
      <c r="QBW1" s="1113"/>
      <c r="QBX1" s="1113"/>
      <c r="QBY1" s="1113"/>
      <c r="QBZ1" s="1113"/>
      <c r="QCA1" s="1113"/>
      <c r="QCB1" s="1113"/>
      <c r="QCC1" s="1113"/>
      <c r="QCD1" s="1113"/>
      <c r="QCE1" s="1113"/>
      <c r="QCF1" s="1113"/>
      <c r="QCG1" s="1113"/>
      <c r="QCH1" s="1113"/>
      <c r="QCI1" s="1113"/>
      <c r="QCJ1" s="1113"/>
      <c r="QCK1" s="1113"/>
      <c r="QCL1" s="1113"/>
      <c r="QCM1" s="1113"/>
      <c r="QCN1" s="1113"/>
      <c r="QCO1" s="1113"/>
      <c r="QCP1" s="1113"/>
      <c r="QCQ1" s="1113"/>
      <c r="QCR1" s="1113"/>
      <c r="QCS1" s="1113"/>
      <c r="QCT1" s="1113"/>
      <c r="QCU1" s="1113"/>
      <c r="QCV1" s="1113"/>
      <c r="QCW1" s="1113"/>
      <c r="QCX1" s="1113"/>
      <c r="QCY1" s="1113"/>
      <c r="QCZ1" s="1113"/>
      <c r="QDA1" s="1113"/>
      <c r="QDB1" s="1113"/>
      <c r="QDC1" s="1113"/>
      <c r="QDD1" s="1113"/>
      <c r="QDE1" s="1113"/>
      <c r="QDF1" s="1113"/>
      <c r="QDG1" s="1113"/>
      <c r="QDH1" s="1113"/>
      <c r="QDI1" s="1113"/>
      <c r="QDJ1" s="1113"/>
      <c r="QDK1" s="1113"/>
      <c r="QDL1" s="1113"/>
      <c r="QDM1" s="1113"/>
      <c r="QDN1" s="1113"/>
      <c r="QDO1" s="1113"/>
      <c r="QDP1" s="1113"/>
      <c r="QDQ1" s="1113"/>
      <c r="QDR1" s="1113"/>
      <c r="QDS1" s="1113"/>
      <c r="QDT1" s="1113"/>
      <c r="QDU1" s="1113"/>
      <c r="QDV1" s="1113"/>
      <c r="QDW1" s="1113"/>
      <c r="QDX1" s="1113"/>
      <c r="QDY1" s="1113"/>
      <c r="QDZ1" s="1113"/>
      <c r="QEA1" s="1113"/>
      <c r="QEB1" s="1113"/>
      <c r="QEC1" s="1113"/>
      <c r="QED1" s="1113"/>
      <c r="QEE1" s="1113"/>
      <c r="QEF1" s="1113"/>
      <c r="QEG1" s="1113"/>
      <c r="QEH1" s="1113"/>
      <c r="QEI1" s="1113"/>
      <c r="QEJ1" s="1113"/>
      <c r="QEK1" s="1113"/>
      <c r="QEL1" s="1113"/>
      <c r="QEM1" s="1113"/>
      <c r="QEN1" s="1113"/>
      <c r="QEO1" s="1113"/>
      <c r="QEP1" s="1113"/>
      <c r="QEQ1" s="1113"/>
      <c r="QER1" s="1113"/>
      <c r="QES1" s="1113"/>
      <c r="QET1" s="1113"/>
      <c r="QEU1" s="1113"/>
      <c r="QEV1" s="1113"/>
      <c r="QEW1" s="1113"/>
      <c r="QEX1" s="1113"/>
      <c r="QEY1" s="1113"/>
      <c r="QEZ1" s="1113"/>
      <c r="QFA1" s="1113"/>
      <c r="QFB1" s="1113"/>
      <c r="QFC1" s="1113"/>
      <c r="QFD1" s="1113"/>
      <c r="QFE1" s="1113"/>
      <c r="QFF1" s="1113"/>
      <c r="QFG1" s="1113"/>
      <c r="QFH1" s="1113"/>
      <c r="QFI1" s="1113"/>
      <c r="QFJ1" s="1113"/>
      <c r="QFK1" s="1113"/>
      <c r="QFL1" s="1113"/>
      <c r="QFM1" s="1113"/>
      <c r="QFN1" s="1113"/>
      <c r="QFO1" s="1113"/>
      <c r="QFP1" s="1113"/>
      <c r="QFQ1" s="1113"/>
      <c r="QFR1" s="1113"/>
      <c r="QFS1" s="1113"/>
      <c r="QFT1" s="1113"/>
      <c r="QFU1" s="1113"/>
      <c r="QFV1" s="1113"/>
      <c r="QFW1" s="1113"/>
      <c r="QFX1" s="1113"/>
      <c r="QFY1" s="1113"/>
      <c r="QFZ1" s="1113"/>
      <c r="QGA1" s="1113"/>
      <c r="QGB1" s="1113"/>
      <c r="QGC1" s="1113"/>
      <c r="QGD1" s="1113"/>
      <c r="QGE1" s="1113"/>
      <c r="QGF1" s="1113"/>
      <c r="QGG1" s="1113"/>
      <c r="QGH1" s="1113"/>
      <c r="QGI1" s="1113"/>
      <c r="QGJ1" s="1113"/>
      <c r="QGK1" s="1113"/>
      <c r="QGL1" s="1113"/>
      <c r="QGM1" s="1113"/>
      <c r="QGN1" s="1113"/>
      <c r="QGO1" s="1113"/>
      <c r="QGP1" s="1113"/>
      <c r="QGQ1" s="1113"/>
      <c r="QGR1" s="1113"/>
      <c r="QGS1" s="1113"/>
      <c r="QGT1" s="1113"/>
      <c r="QGU1" s="1113"/>
      <c r="QGV1" s="1113"/>
      <c r="QGW1" s="1113"/>
      <c r="QGX1" s="1113"/>
      <c r="QGY1" s="1113"/>
      <c r="QGZ1" s="1113"/>
      <c r="QHA1" s="1113"/>
      <c r="QHB1" s="1113"/>
      <c r="QHC1" s="1113"/>
      <c r="QHD1" s="1113"/>
      <c r="QHE1" s="1113"/>
      <c r="QHF1" s="1113"/>
      <c r="QHG1" s="1113"/>
      <c r="QHH1" s="1113"/>
      <c r="QHI1" s="1113"/>
      <c r="QHJ1" s="1113"/>
      <c r="QHK1" s="1113"/>
      <c r="QHL1" s="1113"/>
      <c r="QHM1" s="1113"/>
      <c r="QHN1" s="1113"/>
      <c r="QHO1" s="1113"/>
      <c r="QHP1" s="1113"/>
      <c r="QHQ1" s="1113"/>
      <c r="QHR1" s="1113"/>
      <c r="QHS1" s="1113"/>
      <c r="QHT1" s="1113"/>
      <c r="QHU1" s="1113"/>
      <c r="QHV1" s="1113"/>
      <c r="QHW1" s="1113"/>
      <c r="QHX1" s="1113"/>
      <c r="QHY1" s="1113"/>
      <c r="QHZ1" s="1113"/>
      <c r="QIA1" s="1113"/>
      <c r="QIB1" s="1113"/>
      <c r="QIC1" s="1113"/>
      <c r="QID1" s="1113"/>
      <c r="QIE1" s="1113"/>
      <c r="QIF1" s="1113"/>
      <c r="QIG1" s="1113"/>
      <c r="QIH1" s="1113"/>
      <c r="QII1" s="1113"/>
      <c r="QIJ1" s="1113"/>
      <c r="QIK1" s="1113"/>
      <c r="QIL1" s="1113"/>
      <c r="QIM1" s="1113"/>
      <c r="QIN1" s="1113"/>
      <c r="QIO1" s="1113"/>
      <c r="QIP1" s="1113"/>
      <c r="QIQ1" s="1113"/>
      <c r="QIR1" s="1113"/>
      <c r="QIS1" s="1113"/>
      <c r="QIT1" s="1113"/>
      <c r="QIU1" s="1113"/>
      <c r="QIV1" s="1113"/>
      <c r="QIW1" s="1113"/>
      <c r="QIX1" s="1113"/>
      <c r="QIY1" s="1113"/>
      <c r="QIZ1" s="1113"/>
      <c r="QJA1" s="1113"/>
      <c r="QJB1" s="1113"/>
      <c r="QJC1" s="1113"/>
      <c r="QJD1" s="1113"/>
      <c r="QJE1" s="1113"/>
      <c r="QJF1" s="1113"/>
      <c r="QJG1" s="1113"/>
      <c r="QJH1" s="1113"/>
      <c r="QJI1" s="1113"/>
      <c r="QJJ1" s="1113"/>
      <c r="QJK1" s="1113"/>
      <c r="QJL1" s="1113"/>
      <c r="QJM1" s="1113"/>
      <c r="QJN1" s="1113"/>
      <c r="QJO1" s="1113"/>
      <c r="QJP1" s="1113"/>
      <c r="QJQ1" s="1113"/>
      <c r="QJR1" s="1113"/>
      <c r="QJS1" s="1113"/>
      <c r="QJT1" s="1113"/>
      <c r="QJU1" s="1113"/>
      <c r="QJV1" s="1113"/>
      <c r="QJW1" s="1113"/>
      <c r="QJX1" s="1113"/>
      <c r="QJY1" s="1113"/>
      <c r="QJZ1" s="1113"/>
      <c r="QKA1" s="1113"/>
      <c r="QKB1" s="1113"/>
      <c r="QKC1" s="1113"/>
      <c r="QKD1" s="1113"/>
      <c r="QKE1" s="1113"/>
      <c r="QKF1" s="1113"/>
      <c r="QKG1" s="1113"/>
      <c r="QKH1" s="1113"/>
      <c r="QKI1" s="1113"/>
      <c r="QKJ1" s="1113"/>
      <c r="QKK1" s="1113"/>
      <c r="QKL1" s="1113"/>
      <c r="QKM1" s="1113"/>
      <c r="QKN1" s="1113"/>
      <c r="QKO1" s="1113"/>
      <c r="QKP1" s="1113"/>
      <c r="QKQ1" s="1113"/>
      <c r="QKR1" s="1113"/>
      <c r="QKS1" s="1113"/>
      <c r="QKT1" s="1113"/>
      <c r="QKU1" s="1113"/>
      <c r="QKV1" s="1113"/>
      <c r="QKW1" s="1113"/>
      <c r="QKX1" s="1113"/>
      <c r="QKY1" s="1113"/>
      <c r="QKZ1" s="1113"/>
      <c r="QLA1" s="1113"/>
      <c r="QLB1" s="1113"/>
      <c r="QLC1" s="1113"/>
      <c r="QLD1" s="1113"/>
      <c r="QLE1" s="1113"/>
      <c r="QLF1" s="1113"/>
      <c r="QLG1" s="1113"/>
      <c r="QLH1" s="1113"/>
      <c r="QLI1" s="1113"/>
      <c r="QLJ1" s="1113"/>
      <c r="QLK1" s="1113"/>
      <c r="QLL1" s="1113"/>
      <c r="QLM1" s="1113"/>
      <c r="QLN1" s="1113"/>
      <c r="QLO1" s="1113"/>
      <c r="QLP1" s="1113"/>
      <c r="QLQ1" s="1113"/>
      <c r="QLR1" s="1113"/>
      <c r="QLS1" s="1113"/>
      <c r="QLT1" s="1113"/>
      <c r="QLU1" s="1113"/>
      <c r="QLV1" s="1113"/>
      <c r="QLW1" s="1113"/>
      <c r="QLX1" s="1113"/>
      <c r="QLY1" s="1113"/>
      <c r="QLZ1" s="1113"/>
      <c r="QMA1" s="1113"/>
      <c r="QMB1" s="1113"/>
      <c r="QMC1" s="1113"/>
      <c r="QMD1" s="1113"/>
      <c r="QME1" s="1113"/>
      <c r="QMF1" s="1113"/>
      <c r="QMG1" s="1113"/>
      <c r="QMH1" s="1113"/>
      <c r="QMI1" s="1113"/>
      <c r="QMJ1" s="1113"/>
      <c r="QMK1" s="1113"/>
      <c r="QML1" s="1113"/>
      <c r="QMM1" s="1113"/>
      <c r="QMN1" s="1113"/>
      <c r="QMO1" s="1113"/>
      <c r="QMP1" s="1113"/>
      <c r="QMQ1" s="1113"/>
      <c r="QMR1" s="1113"/>
      <c r="QMS1" s="1113"/>
      <c r="QMT1" s="1113"/>
      <c r="QMU1" s="1113"/>
      <c r="QMV1" s="1113"/>
      <c r="QMW1" s="1113"/>
      <c r="QMX1" s="1113"/>
      <c r="QMY1" s="1113"/>
      <c r="QMZ1" s="1113"/>
      <c r="QNA1" s="1113"/>
      <c r="QNB1" s="1113"/>
      <c r="QNC1" s="1113"/>
      <c r="QND1" s="1113"/>
      <c r="QNE1" s="1113"/>
      <c r="QNF1" s="1113"/>
      <c r="QNG1" s="1113"/>
      <c r="QNH1" s="1113"/>
      <c r="QNI1" s="1113"/>
      <c r="QNJ1" s="1113"/>
      <c r="QNK1" s="1113"/>
      <c r="QNL1" s="1113"/>
      <c r="QNM1" s="1113"/>
      <c r="QNN1" s="1113"/>
      <c r="QNO1" s="1113"/>
      <c r="QNP1" s="1113"/>
      <c r="QNQ1" s="1113"/>
      <c r="QNR1" s="1113"/>
      <c r="QNS1" s="1113"/>
      <c r="QNT1" s="1113"/>
      <c r="QNU1" s="1113"/>
      <c r="QNV1" s="1113"/>
      <c r="QNW1" s="1113"/>
      <c r="QNX1" s="1113"/>
      <c r="QNY1" s="1113"/>
      <c r="QNZ1" s="1113"/>
      <c r="QOA1" s="1113"/>
      <c r="QOB1" s="1113"/>
      <c r="QOC1" s="1113"/>
      <c r="QOD1" s="1113"/>
      <c r="QOE1" s="1113"/>
      <c r="QOF1" s="1113"/>
      <c r="QOG1" s="1113"/>
      <c r="QOH1" s="1113"/>
      <c r="QOI1" s="1113"/>
      <c r="QOJ1" s="1113"/>
      <c r="QOK1" s="1113"/>
      <c r="QOL1" s="1113"/>
      <c r="QOM1" s="1113"/>
      <c r="QON1" s="1113"/>
      <c r="QOO1" s="1113"/>
      <c r="QOP1" s="1113"/>
      <c r="QOQ1" s="1113"/>
      <c r="QOR1" s="1113"/>
      <c r="QOS1" s="1113"/>
      <c r="QOT1" s="1113"/>
      <c r="QOU1" s="1113"/>
      <c r="QOV1" s="1113"/>
      <c r="QOW1" s="1113"/>
      <c r="QOX1" s="1113"/>
      <c r="QOY1" s="1113"/>
      <c r="QOZ1" s="1113"/>
      <c r="QPA1" s="1113"/>
      <c r="QPB1" s="1113"/>
      <c r="QPC1" s="1113"/>
      <c r="QPD1" s="1113"/>
      <c r="QPE1" s="1113"/>
      <c r="QPF1" s="1113"/>
      <c r="QPG1" s="1113"/>
      <c r="QPH1" s="1113"/>
      <c r="QPI1" s="1113"/>
      <c r="QPJ1" s="1113"/>
      <c r="QPK1" s="1113"/>
      <c r="QPL1" s="1113"/>
      <c r="QPM1" s="1113"/>
      <c r="QPN1" s="1113"/>
      <c r="QPO1" s="1113"/>
      <c r="QPP1" s="1113"/>
      <c r="QPQ1" s="1113"/>
      <c r="QPR1" s="1113"/>
      <c r="QPS1" s="1113"/>
      <c r="QPT1" s="1113"/>
      <c r="QPU1" s="1113"/>
      <c r="QPV1" s="1113"/>
      <c r="QPW1" s="1113"/>
      <c r="QPX1" s="1113"/>
      <c r="QPY1" s="1113"/>
      <c r="QPZ1" s="1113"/>
      <c r="QQA1" s="1113"/>
      <c r="QQB1" s="1113"/>
      <c r="QQC1" s="1113"/>
      <c r="QQD1" s="1113"/>
      <c r="QQE1" s="1113"/>
      <c r="QQF1" s="1113"/>
      <c r="QQG1" s="1113"/>
      <c r="QQH1" s="1113"/>
      <c r="QQI1" s="1113"/>
      <c r="QQJ1" s="1113"/>
      <c r="QQK1" s="1113"/>
      <c r="QQL1" s="1113"/>
      <c r="QQM1" s="1113"/>
      <c r="QQN1" s="1113"/>
      <c r="QQO1" s="1113"/>
      <c r="QQP1" s="1113"/>
      <c r="QQQ1" s="1113"/>
      <c r="QQR1" s="1113"/>
      <c r="QQS1" s="1113"/>
      <c r="QQT1" s="1113"/>
      <c r="QQU1" s="1113"/>
      <c r="QQV1" s="1113"/>
      <c r="QQW1" s="1113"/>
      <c r="QQX1" s="1113"/>
      <c r="QQY1" s="1113"/>
      <c r="QQZ1" s="1113"/>
      <c r="QRA1" s="1113"/>
      <c r="QRB1" s="1113"/>
      <c r="QRC1" s="1113"/>
      <c r="QRD1" s="1113"/>
      <c r="QRE1" s="1113"/>
      <c r="QRF1" s="1113"/>
      <c r="QRG1" s="1113"/>
      <c r="QRH1" s="1113"/>
      <c r="QRI1" s="1113"/>
      <c r="QRJ1" s="1113"/>
      <c r="QRK1" s="1113"/>
      <c r="QRL1" s="1113"/>
      <c r="QRM1" s="1113"/>
      <c r="QRN1" s="1113"/>
      <c r="QRO1" s="1113"/>
      <c r="QRP1" s="1113"/>
      <c r="QRQ1" s="1113"/>
      <c r="QRR1" s="1113"/>
      <c r="QRS1" s="1113"/>
      <c r="QRT1" s="1113"/>
      <c r="QRU1" s="1113"/>
      <c r="QRV1" s="1113"/>
      <c r="QRW1" s="1113"/>
      <c r="QRX1" s="1113"/>
      <c r="QRY1" s="1113"/>
      <c r="QRZ1" s="1113"/>
      <c r="QSA1" s="1113"/>
      <c r="QSB1" s="1113"/>
      <c r="QSC1" s="1113"/>
      <c r="QSD1" s="1113"/>
      <c r="QSE1" s="1113"/>
      <c r="QSF1" s="1113"/>
      <c r="QSG1" s="1113"/>
      <c r="QSH1" s="1113"/>
      <c r="QSI1" s="1113"/>
      <c r="QSJ1" s="1113"/>
      <c r="QSK1" s="1113"/>
      <c r="QSL1" s="1113"/>
      <c r="QSM1" s="1113"/>
      <c r="QSN1" s="1113"/>
      <c r="QSO1" s="1113"/>
      <c r="QSP1" s="1113"/>
      <c r="QSQ1" s="1113"/>
      <c r="QSR1" s="1113"/>
      <c r="QSS1" s="1113"/>
      <c r="QST1" s="1113"/>
      <c r="QSU1" s="1113"/>
      <c r="QSV1" s="1113"/>
      <c r="QSW1" s="1113"/>
      <c r="QSX1" s="1113"/>
      <c r="QSY1" s="1113"/>
      <c r="QSZ1" s="1113"/>
      <c r="QTA1" s="1113"/>
      <c r="QTB1" s="1113"/>
      <c r="QTC1" s="1113"/>
      <c r="QTD1" s="1113"/>
      <c r="QTE1" s="1113"/>
      <c r="QTF1" s="1113"/>
      <c r="QTG1" s="1113"/>
      <c r="QTH1" s="1113"/>
      <c r="QTI1" s="1113"/>
      <c r="QTJ1" s="1113"/>
      <c r="QTK1" s="1113"/>
      <c r="QTL1" s="1113"/>
      <c r="QTM1" s="1113"/>
      <c r="QTN1" s="1113"/>
      <c r="QTO1" s="1113"/>
      <c r="QTP1" s="1113"/>
      <c r="QTQ1" s="1113"/>
      <c r="QTR1" s="1113"/>
      <c r="QTS1" s="1113"/>
      <c r="QTT1" s="1113"/>
      <c r="QTU1" s="1113"/>
      <c r="QTV1" s="1113"/>
      <c r="QTW1" s="1113"/>
      <c r="QTX1" s="1113"/>
      <c r="QTY1" s="1113"/>
      <c r="QTZ1" s="1113"/>
      <c r="QUA1" s="1113"/>
      <c r="QUB1" s="1113"/>
      <c r="QUC1" s="1113"/>
      <c r="QUD1" s="1113"/>
      <c r="QUE1" s="1113"/>
      <c r="QUF1" s="1113"/>
      <c r="QUG1" s="1113"/>
      <c r="QUH1" s="1113"/>
      <c r="QUI1" s="1113"/>
      <c r="QUJ1" s="1113"/>
      <c r="QUK1" s="1113"/>
      <c r="QUL1" s="1113"/>
      <c r="QUM1" s="1113"/>
      <c r="QUN1" s="1113"/>
      <c r="QUO1" s="1113"/>
      <c r="QUP1" s="1113"/>
      <c r="QUQ1" s="1113"/>
      <c r="QUR1" s="1113"/>
      <c r="QUS1" s="1113"/>
      <c r="QUT1" s="1113"/>
      <c r="QUU1" s="1113"/>
      <c r="QUV1" s="1113"/>
      <c r="QUW1" s="1113"/>
      <c r="QUX1" s="1113"/>
      <c r="QUY1" s="1113"/>
      <c r="QUZ1" s="1113"/>
      <c r="QVA1" s="1113"/>
      <c r="QVB1" s="1113"/>
      <c r="QVC1" s="1113"/>
      <c r="QVD1" s="1113"/>
      <c r="QVE1" s="1113"/>
      <c r="QVF1" s="1113"/>
      <c r="QVG1" s="1113"/>
      <c r="QVH1" s="1113"/>
      <c r="QVI1" s="1113"/>
      <c r="QVJ1" s="1113"/>
      <c r="QVK1" s="1113"/>
      <c r="QVL1" s="1113"/>
      <c r="QVM1" s="1113"/>
      <c r="QVN1" s="1113"/>
      <c r="QVO1" s="1113"/>
      <c r="QVP1" s="1113"/>
      <c r="QVQ1" s="1113"/>
      <c r="QVR1" s="1113"/>
      <c r="QVS1" s="1113"/>
      <c r="QVT1" s="1113"/>
      <c r="QVU1" s="1113"/>
      <c r="QVV1" s="1113"/>
      <c r="QVW1" s="1113"/>
      <c r="QVX1" s="1113"/>
      <c r="QVY1" s="1113"/>
      <c r="QVZ1" s="1113"/>
      <c r="QWA1" s="1113"/>
      <c r="QWB1" s="1113"/>
      <c r="QWC1" s="1113"/>
      <c r="QWD1" s="1113"/>
      <c r="QWE1" s="1113"/>
      <c r="QWF1" s="1113"/>
      <c r="QWG1" s="1113"/>
      <c r="QWH1" s="1113"/>
      <c r="QWI1" s="1113"/>
      <c r="QWJ1" s="1113"/>
      <c r="QWK1" s="1113"/>
      <c r="QWL1" s="1113"/>
      <c r="QWM1" s="1113"/>
      <c r="QWN1" s="1113"/>
      <c r="QWO1" s="1113"/>
      <c r="QWP1" s="1113"/>
      <c r="QWQ1" s="1113"/>
      <c r="QWR1" s="1113"/>
      <c r="QWS1" s="1113"/>
      <c r="QWT1" s="1113"/>
      <c r="QWU1" s="1113"/>
      <c r="QWV1" s="1113"/>
      <c r="QWW1" s="1113"/>
      <c r="QWX1" s="1113"/>
      <c r="QWY1" s="1113"/>
      <c r="QWZ1" s="1113"/>
      <c r="QXA1" s="1113"/>
      <c r="QXB1" s="1113"/>
      <c r="QXC1" s="1113"/>
      <c r="QXD1" s="1113"/>
      <c r="QXE1" s="1113"/>
      <c r="QXF1" s="1113"/>
      <c r="QXG1" s="1113"/>
      <c r="QXH1" s="1113"/>
      <c r="QXI1" s="1113"/>
      <c r="QXJ1" s="1113"/>
      <c r="QXK1" s="1113"/>
      <c r="QXL1" s="1113"/>
      <c r="QXM1" s="1113"/>
      <c r="QXN1" s="1113"/>
      <c r="QXO1" s="1113"/>
      <c r="QXP1" s="1113"/>
      <c r="QXQ1" s="1113"/>
      <c r="QXR1" s="1113"/>
      <c r="QXS1" s="1113"/>
      <c r="QXT1" s="1113"/>
      <c r="QXU1" s="1113"/>
      <c r="QXV1" s="1113"/>
      <c r="QXW1" s="1113"/>
      <c r="QXX1" s="1113"/>
      <c r="QXY1" s="1113"/>
      <c r="QXZ1" s="1113"/>
      <c r="QYA1" s="1113"/>
      <c r="QYB1" s="1113"/>
      <c r="QYC1" s="1113"/>
      <c r="QYD1" s="1113"/>
      <c r="QYE1" s="1113"/>
      <c r="QYF1" s="1113"/>
      <c r="QYG1" s="1113"/>
      <c r="QYH1" s="1113"/>
      <c r="QYI1" s="1113"/>
      <c r="QYJ1" s="1113"/>
      <c r="QYK1" s="1113"/>
      <c r="QYL1" s="1113"/>
      <c r="QYM1" s="1113"/>
      <c r="QYN1" s="1113"/>
      <c r="QYO1" s="1113"/>
      <c r="QYP1" s="1113"/>
      <c r="QYQ1" s="1113"/>
      <c r="QYR1" s="1113"/>
      <c r="QYS1" s="1113"/>
      <c r="QYT1" s="1113"/>
      <c r="QYU1" s="1113"/>
      <c r="QYV1" s="1113"/>
      <c r="QYW1" s="1113"/>
      <c r="QYX1" s="1113"/>
      <c r="QYY1" s="1113"/>
      <c r="QYZ1" s="1113"/>
      <c r="QZA1" s="1113"/>
      <c r="QZB1" s="1113"/>
      <c r="QZC1" s="1113"/>
      <c r="QZD1" s="1113"/>
      <c r="QZE1" s="1113"/>
      <c r="QZF1" s="1113"/>
      <c r="QZG1" s="1113"/>
      <c r="QZH1" s="1113"/>
      <c r="QZI1" s="1113"/>
      <c r="QZJ1" s="1113"/>
      <c r="QZK1" s="1113"/>
      <c r="QZL1" s="1113"/>
      <c r="QZM1" s="1113"/>
      <c r="QZN1" s="1113"/>
      <c r="QZO1" s="1113"/>
      <c r="QZP1" s="1113"/>
      <c r="QZQ1" s="1113"/>
      <c r="QZR1" s="1113"/>
      <c r="QZS1" s="1113"/>
      <c r="QZT1" s="1113"/>
      <c r="QZU1" s="1113"/>
      <c r="QZV1" s="1113"/>
      <c r="QZW1" s="1113"/>
      <c r="QZX1" s="1113"/>
      <c r="QZY1" s="1113"/>
      <c r="QZZ1" s="1113"/>
      <c r="RAA1" s="1113"/>
      <c r="RAB1" s="1113"/>
      <c r="RAC1" s="1113"/>
      <c r="RAD1" s="1113"/>
      <c r="RAE1" s="1113"/>
      <c r="RAF1" s="1113"/>
      <c r="RAG1" s="1113"/>
      <c r="RAH1" s="1113"/>
      <c r="RAI1" s="1113"/>
      <c r="RAJ1" s="1113"/>
      <c r="RAK1" s="1113"/>
      <c r="RAL1" s="1113"/>
      <c r="RAM1" s="1113"/>
      <c r="RAN1" s="1113"/>
      <c r="RAO1" s="1113"/>
      <c r="RAP1" s="1113"/>
      <c r="RAQ1" s="1113"/>
      <c r="RAR1" s="1113"/>
      <c r="RAS1" s="1113"/>
      <c r="RAT1" s="1113"/>
      <c r="RAU1" s="1113"/>
      <c r="RAV1" s="1113"/>
      <c r="RAW1" s="1113"/>
      <c r="RAX1" s="1113"/>
      <c r="RAY1" s="1113"/>
      <c r="RAZ1" s="1113"/>
      <c r="RBA1" s="1113"/>
      <c r="RBB1" s="1113"/>
      <c r="RBC1" s="1113"/>
      <c r="RBD1" s="1113"/>
      <c r="RBE1" s="1113"/>
      <c r="RBF1" s="1113"/>
      <c r="RBG1" s="1113"/>
      <c r="RBH1" s="1113"/>
      <c r="RBI1" s="1113"/>
      <c r="RBJ1" s="1113"/>
      <c r="RBK1" s="1113"/>
      <c r="RBL1" s="1113"/>
      <c r="RBM1" s="1113"/>
      <c r="RBN1" s="1113"/>
      <c r="RBO1" s="1113"/>
      <c r="RBP1" s="1113"/>
      <c r="RBQ1" s="1113"/>
      <c r="RBR1" s="1113"/>
      <c r="RBS1" s="1113"/>
      <c r="RBT1" s="1113"/>
      <c r="RBU1" s="1113"/>
      <c r="RBV1" s="1113"/>
      <c r="RBW1" s="1113"/>
      <c r="RBX1" s="1113"/>
      <c r="RBY1" s="1113"/>
      <c r="RBZ1" s="1113"/>
      <c r="RCA1" s="1113"/>
      <c r="RCB1" s="1113"/>
      <c r="RCC1" s="1113"/>
      <c r="RCD1" s="1113"/>
      <c r="RCE1" s="1113"/>
      <c r="RCF1" s="1113"/>
      <c r="RCG1" s="1113"/>
      <c r="RCH1" s="1113"/>
      <c r="RCI1" s="1113"/>
      <c r="RCJ1" s="1113"/>
      <c r="RCK1" s="1113"/>
      <c r="RCL1" s="1113"/>
      <c r="RCM1" s="1113"/>
      <c r="RCN1" s="1113"/>
      <c r="RCO1" s="1113"/>
      <c r="RCP1" s="1113"/>
      <c r="RCQ1" s="1113"/>
      <c r="RCR1" s="1113"/>
      <c r="RCS1" s="1113"/>
      <c r="RCT1" s="1113"/>
      <c r="RCU1" s="1113"/>
      <c r="RCV1" s="1113"/>
      <c r="RCW1" s="1113"/>
      <c r="RCX1" s="1113"/>
      <c r="RCY1" s="1113"/>
      <c r="RCZ1" s="1113"/>
      <c r="RDA1" s="1113"/>
      <c r="RDB1" s="1113"/>
      <c r="RDC1" s="1113"/>
      <c r="RDD1" s="1113"/>
      <c r="RDE1" s="1113"/>
      <c r="RDF1" s="1113"/>
      <c r="RDG1" s="1113"/>
      <c r="RDH1" s="1113"/>
      <c r="RDI1" s="1113"/>
      <c r="RDJ1" s="1113"/>
      <c r="RDK1" s="1113"/>
      <c r="RDL1" s="1113"/>
      <c r="RDM1" s="1113"/>
      <c r="RDN1" s="1113"/>
      <c r="RDO1" s="1113"/>
      <c r="RDP1" s="1113"/>
      <c r="RDQ1" s="1113"/>
      <c r="RDR1" s="1113"/>
      <c r="RDS1" s="1113"/>
      <c r="RDT1" s="1113"/>
      <c r="RDU1" s="1113"/>
      <c r="RDV1" s="1113"/>
      <c r="RDW1" s="1113"/>
      <c r="RDX1" s="1113"/>
      <c r="RDY1" s="1113"/>
      <c r="RDZ1" s="1113"/>
      <c r="REA1" s="1113"/>
      <c r="REB1" s="1113"/>
      <c r="REC1" s="1113"/>
      <c r="RED1" s="1113"/>
      <c r="REE1" s="1113"/>
      <c r="REF1" s="1113"/>
      <c r="REG1" s="1113"/>
      <c r="REH1" s="1113"/>
      <c r="REI1" s="1113"/>
      <c r="REJ1" s="1113"/>
      <c r="REK1" s="1113"/>
      <c r="REL1" s="1113"/>
      <c r="REM1" s="1113"/>
      <c r="REN1" s="1113"/>
      <c r="REO1" s="1113"/>
      <c r="REP1" s="1113"/>
      <c r="REQ1" s="1113"/>
      <c r="RER1" s="1113"/>
      <c r="RES1" s="1113"/>
      <c r="RET1" s="1113"/>
      <c r="REU1" s="1113"/>
      <c r="REV1" s="1113"/>
      <c r="REW1" s="1113"/>
      <c r="REX1" s="1113"/>
      <c r="REY1" s="1113"/>
      <c r="REZ1" s="1113"/>
      <c r="RFA1" s="1113"/>
      <c r="RFB1" s="1113"/>
      <c r="RFC1" s="1113"/>
      <c r="RFD1" s="1113"/>
      <c r="RFE1" s="1113"/>
      <c r="RFF1" s="1113"/>
      <c r="RFG1" s="1113"/>
      <c r="RFH1" s="1113"/>
      <c r="RFI1" s="1113"/>
      <c r="RFJ1" s="1113"/>
      <c r="RFK1" s="1113"/>
      <c r="RFL1" s="1113"/>
      <c r="RFM1" s="1113"/>
      <c r="RFN1" s="1113"/>
      <c r="RFO1" s="1113"/>
      <c r="RFP1" s="1113"/>
      <c r="RFQ1" s="1113"/>
      <c r="RFR1" s="1113"/>
      <c r="RFS1" s="1113"/>
      <c r="RFT1" s="1113"/>
      <c r="RFU1" s="1113"/>
      <c r="RFV1" s="1113"/>
      <c r="RFW1" s="1113"/>
      <c r="RFX1" s="1113"/>
      <c r="RFY1" s="1113"/>
      <c r="RFZ1" s="1113"/>
      <c r="RGA1" s="1113"/>
      <c r="RGB1" s="1113"/>
      <c r="RGC1" s="1113"/>
      <c r="RGD1" s="1113"/>
      <c r="RGE1" s="1113"/>
      <c r="RGF1" s="1113"/>
      <c r="RGG1" s="1113"/>
      <c r="RGH1" s="1113"/>
      <c r="RGI1" s="1113"/>
      <c r="RGJ1" s="1113"/>
      <c r="RGK1" s="1113"/>
      <c r="RGL1" s="1113"/>
      <c r="RGM1" s="1113"/>
      <c r="RGN1" s="1113"/>
      <c r="RGO1" s="1113"/>
      <c r="RGP1" s="1113"/>
      <c r="RGQ1" s="1113"/>
      <c r="RGR1" s="1113"/>
      <c r="RGS1" s="1113"/>
      <c r="RGT1" s="1113"/>
      <c r="RGU1" s="1113"/>
      <c r="RGV1" s="1113"/>
      <c r="RGW1" s="1113"/>
      <c r="RGX1" s="1113"/>
      <c r="RGY1" s="1113"/>
      <c r="RGZ1" s="1113"/>
      <c r="RHA1" s="1113"/>
      <c r="RHB1" s="1113"/>
      <c r="RHC1" s="1113"/>
      <c r="RHD1" s="1113"/>
      <c r="RHE1" s="1113"/>
      <c r="RHF1" s="1113"/>
      <c r="RHG1" s="1113"/>
      <c r="RHH1" s="1113"/>
      <c r="RHI1" s="1113"/>
      <c r="RHJ1" s="1113"/>
      <c r="RHK1" s="1113"/>
      <c r="RHL1" s="1113"/>
      <c r="RHM1" s="1113"/>
      <c r="RHN1" s="1113"/>
      <c r="RHO1" s="1113"/>
      <c r="RHP1" s="1113"/>
      <c r="RHQ1" s="1113"/>
      <c r="RHR1" s="1113"/>
      <c r="RHS1" s="1113"/>
      <c r="RHT1" s="1113"/>
      <c r="RHU1" s="1113"/>
      <c r="RHV1" s="1113"/>
      <c r="RHW1" s="1113"/>
      <c r="RHX1" s="1113"/>
      <c r="RHY1" s="1113"/>
      <c r="RHZ1" s="1113"/>
      <c r="RIA1" s="1113"/>
      <c r="RIB1" s="1113"/>
      <c r="RIC1" s="1113"/>
      <c r="RID1" s="1113"/>
      <c r="RIE1" s="1113"/>
      <c r="RIF1" s="1113"/>
      <c r="RIG1" s="1113"/>
      <c r="RIH1" s="1113"/>
      <c r="RII1" s="1113"/>
      <c r="RIJ1" s="1113"/>
      <c r="RIK1" s="1113"/>
      <c r="RIL1" s="1113"/>
      <c r="RIM1" s="1113"/>
      <c r="RIN1" s="1113"/>
      <c r="RIO1" s="1113"/>
      <c r="RIP1" s="1113"/>
      <c r="RIQ1" s="1113"/>
      <c r="RIR1" s="1113"/>
      <c r="RIS1" s="1113"/>
      <c r="RIT1" s="1113"/>
      <c r="RIU1" s="1113"/>
      <c r="RIV1" s="1113"/>
      <c r="RIW1" s="1113"/>
      <c r="RIX1" s="1113"/>
      <c r="RIY1" s="1113"/>
      <c r="RIZ1" s="1113"/>
      <c r="RJA1" s="1113"/>
      <c r="RJB1" s="1113"/>
      <c r="RJC1" s="1113"/>
      <c r="RJD1" s="1113"/>
      <c r="RJE1" s="1113"/>
      <c r="RJF1" s="1113"/>
      <c r="RJG1" s="1113"/>
      <c r="RJH1" s="1113"/>
      <c r="RJI1" s="1113"/>
      <c r="RJJ1" s="1113"/>
      <c r="RJK1" s="1113"/>
      <c r="RJL1" s="1113"/>
      <c r="RJM1" s="1113"/>
      <c r="RJN1" s="1113"/>
      <c r="RJO1" s="1113"/>
      <c r="RJP1" s="1113"/>
      <c r="RJQ1" s="1113"/>
      <c r="RJR1" s="1113"/>
      <c r="RJS1" s="1113"/>
      <c r="RJT1" s="1113"/>
      <c r="RJU1" s="1113"/>
      <c r="RJV1" s="1113"/>
      <c r="RJW1" s="1113"/>
      <c r="RJX1" s="1113"/>
      <c r="RJY1" s="1113"/>
      <c r="RJZ1" s="1113"/>
      <c r="RKA1" s="1113"/>
      <c r="RKB1" s="1113"/>
      <c r="RKC1" s="1113"/>
      <c r="RKD1" s="1113"/>
      <c r="RKE1" s="1113"/>
      <c r="RKF1" s="1113"/>
      <c r="RKG1" s="1113"/>
      <c r="RKH1" s="1113"/>
      <c r="RKI1" s="1113"/>
      <c r="RKJ1" s="1113"/>
      <c r="RKK1" s="1113"/>
      <c r="RKL1" s="1113"/>
      <c r="RKM1" s="1113"/>
      <c r="RKN1" s="1113"/>
      <c r="RKO1" s="1113"/>
      <c r="RKP1" s="1113"/>
      <c r="RKQ1" s="1113"/>
      <c r="RKR1" s="1113"/>
      <c r="RKS1" s="1113"/>
      <c r="RKT1" s="1113"/>
      <c r="RKU1" s="1113"/>
      <c r="RKV1" s="1113"/>
      <c r="RKW1" s="1113"/>
      <c r="RKX1" s="1113"/>
      <c r="RKY1" s="1113"/>
      <c r="RKZ1" s="1113"/>
      <c r="RLA1" s="1113"/>
      <c r="RLB1" s="1113"/>
      <c r="RLC1" s="1113"/>
      <c r="RLD1" s="1113"/>
      <c r="RLE1" s="1113"/>
      <c r="RLF1" s="1113"/>
      <c r="RLG1" s="1113"/>
      <c r="RLH1" s="1113"/>
      <c r="RLI1" s="1113"/>
      <c r="RLJ1" s="1113"/>
      <c r="RLK1" s="1113"/>
      <c r="RLL1" s="1113"/>
      <c r="RLM1" s="1113"/>
      <c r="RLN1" s="1113"/>
      <c r="RLO1" s="1113"/>
      <c r="RLP1" s="1113"/>
      <c r="RLQ1" s="1113"/>
      <c r="RLR1" s="1113"/>
      <c r="RLS1" s="1113"/>
      <c r="RLT1" s="1113"/>
      <c r="RLU1" s="1113"/>
      <c r="RLV1" s="1113"/>
      <c r="RLW1" s="1113"/>
      <c r="RLX1" s="1113"/>
      <c r="RLY1" s="1113"/>
      <c r="RLZ1" s="1113"/>
      <c r="RMA1" s="1113"/>
      <c r="RMB1" s="1113"/>
      <c r="RMC1" s="1113"/>
      <c r="RMD1" s="1113"/>
      <c r="RME1" s="1113"/>
      <c r="RMF1" s="1113"/>
      <c r="RMG1" s="1113"/>
      <c r="RMH1" s="1113"/>
      <c r="RMI1" s="1113"/>
      <c r="RMJ1" s="1113"/>
      <c r="RMK1" s="1113"/>
      <c r="RML1" s="1113"/>
      <c r="RMM1" s="1113"/>
      <c r="RMN1" s="1113"/>
      <c r="RMO1" s="1113"/>
      <c r="RMP1" s="1113"/>
      <c r="RMQ1" s="1113"/>
      <c r="RMR1" s="1113"/>
      <c r="RMS1" s="1113"/>
      <c r="RMT1" s="1113"/>
      <c r="RMU1" s="1113"/>
      <c r="RMV1" s="1113"/>
      <c r="RMW1" s="1113"/>
      <c r="RMX1" s="1113"/>
      <c r="RMY1" s="1113"/>
      <c r="RMZ1" s="1113"/>
      <c r="RNA1" s="1113"/>
      <c r="RNB1" s="1113"/>
      <c r="RNC1" s="1113"/>
      <c r="RND1" s="1113"/>
      <c r="RNE1" s="1113"/>
      <c r="RNF1" s="1113"/>
      <c r="RNG1" s="1113"/>
      <c r="RNH1" s="1113"/>
      <c r="RNI1" s="1113"/>
      <c r="RNJ1" s="1113"/>
      <c r="RNK1" s="1113"/>
      <c r="RNL1" s="1113"/>
      <c r="RNM1" s="1113"/>
      <c r="RNN1" s="1113"/>
      <c r="RNO1" s="1113"/>
      <c r="RNP1" s="1113"/>
      <c r="RNQ1" s="1113"/>
      <c r="RNR1" s="1113"/>
      <c r="RNS1" s="1113"/>
      <c r="RNT1" s="1113"/>
      <c r="RNU1" s="1113"/>
      <c r="RNV1" s="1113"/>
      <c r="RNW1" s="1113"/>
      <c r="RNX1" s="1113"/>
      <c r="RNY1" s="1113"/>
      <c r="RNZ1" s="1113"/>
      <c r="ROA1" s="1113"/>
      <c r="ROB1" s="1113"/>
      <c r="ROC1" s="1113"/>
      <c r="ROD1" s="1113"/>
      <c r="ROE1" s="1113"/>
      <c r="ROF1" s="1113"/>
      <c r="ROG1" s="1113"/>
      <c r="ROH1" s="1113"/>
      <c r="ROI1" s="1113"/>
      <c r="ROJ1" s="1113"/>
      <c r="ROK1" s="1113"/>
      <c r="ROL1" s="1113"/>
      <c r="ROM1" s="1113"/>
      <c r="RON1" s="1113"/>
      <c r="ROO1" s="1113"/>
      <c r="ROP1" s="1113"/>
      <c r="ROQ1" s="1113"/>
      <c r="ROR1" s="1113"/>
      <c r="ROS1" s="1113"/>
      <c r="ROT1" s="1113"/>
      <c r="ROU1" s="1113"/>
      <c r="ROV1" s="1113"/>
      <c r="ROW1" s="1113"/>
      <c r="ROX1" s="1113"/>
      <c r="ROY1" s="1113"/>
      <c r="ROZ1" s="1113"/>
      <c r="RPA1" s="1113"/>
      <c r="RPB1" s="1113"/>
      <c r="RPC1" s="1113"/>
      <c r="RPD1" s="1113"/>
      <c r="RPE1" s="1113"/>
      <c r="RPF1" s="1113"/>
      <c r="RPG1" s="1113"/>
      <c r="RPH1" s="1113"/>
      <c r="RPI1" s="1113"/>
      <c r="RPJ1" s="1113"/>
      <c r="RPK1" s="1113"/>
      <c r="RPL1" s="1113"/>
      <c r="RPM1" s="1113"/>
      <c r="RPN1" s="1113"/>
      <c r="RPO1" s="1113"/>
      <c r="RPP1" s="1113"/>
      <c r="RPQ1" s="1113"/>
      <c r="RPR1" s="1113"/>
      <c r="RPS1" s="1113"/>
      <c r="RPT1" s="1113"/>
      <c r="RPU1" s="1113"/>
      <c r="RPV1" s="1113"/>
      <c r="RPW1" s="1113"/>
      <c r="RPX1" s="1113"/>
      <c r="RPY1" s="1113"/>
      <c r="RPZ1" s="1113"/>
      <c r="RQA1" s="1113"/>
      <c r="RQB1" s="1113"/>
      <c r="RQC1" s="1113"/>
      <c r="RQD1" s="1113"/>
      <c r="RQE1" s="1113"/>
      <c r="RQF1" s="1113"/>
      <c r="RQG1" s="1113"/>
      <c r="RQH1" s="1113"/>
      <c r="RQI1" s="1113"/>
      <c r="RQJ1" s="1113"/>
      <c r="RQK1" s="1113"/>
      <c r="RQL1" s="1113"/>
      <c r="RQM1" s="1113"/>
      <c r="RQN1" s="1113"/>
      <c r="RQO1" s="1113"/>
      <c r="RQP1" s="1113"/>
      <c r="RQQ1" s="1113"/>
      <c r="RQR1" s="1113"/>
      <c r="RQS1" s="1113"/>
      <c r="RQT1" s="1113"/>
      <c r="RQU1" s="1113"/>
      <c r="RQV1" s="1113"/>
      <c r="RQW1" s="1113"/>
      <c r="RQX1" s="1113"/>
      <c r="RQY1" s="1113"/>
      <c r="RQZ1" s="1113"/>
      <c r="RRA1" s="1113"/>
      <c r="RRB1" s="1113"/>
      <c r="RRC1" s="1113"/>
      <c r="RRD1" s="1113"/>
      <c r="RRE1" s="1113"/>
      <c r="RRF1" s="1113"/>
      <c r="RRG1" s="1113"/>
      <c r="RRH1" s="1113"/>
      <c r="RRI1" s="1113"/>
      <c r="RRJ1" s="1113"/>
      <c r="RRK1" s="1113"/>
      <c r="RRL1" s="1113"/>
      <c r="RRM1" s="1113"/>
      <c r="RRN1" s="1113"/>
      <c r="RRO1" s="1113"/>
      <c r="RRP1" s="1113"/>
      <c r="RRQ1" s="1113"/>
      <c r="RRR1" s="1113"/>
      <c r="RRS1" s="1113"/>
      <c r="RRT1" s="1113"/>
      <c r="RRU1" s="1113"/>
      <c r="RRV1" s="1113"/>
      <c r="RRW1" s="1113"/>
      <c r="RRX1" s="1113"/>
      <c r="RRY1" s="1113"/>
      <c r="RRZ1" s="1113"/>
      <c r="RSA1" s="1113"/>
      <c r="RSB1" s="1113"/>
      <c r="RSC1" s="1113"/>
      <c r="RSD1" s="1113"/>
      <c r="RSE1" s="1113"/>
      <c r="RSF1" s="1113"/>
      <c r="RSG1" s="1113"/>
      <c r="RSH1" s="1113"/>
      <c r="RSI1" s="1113"/>
      <c r="RSJ1" s="1113"/>
      <c r="RSK1" s="1113"/>
      <c r="RSL1" s="1113"/>
      <c r="RSM1" s="1113"/>
      <c r="RSN1" s="1113"/>
      <c r="RSO1" s="1113"/>
      <c r="RSP1" s="1113"/>
      <c r="RSQ1" s="1113"/>
      <c r="RSR1" s="1113"/>
      <c r="RSS1" s="1113"/>
      <c r="RST1" s="1113"/>
      <c r="RSU1" s="1113"/>
      <c r="RSV1" s="1113"/>
      <c r="RSW1" s="1113"/>
      <c r="RSX1" s="1113"/>
      <c r="RSY1" s="1113"/>
      <c r="RSZ1" s="1113"/>
      <c r="RTA1" s="1113"/>
      <c r="RTB1" s="1113"/>
      <c r="RTC1" s="1113"/>
      <c r="RTD1" s="1113"/>
      <c r="RTE1" s="1113"/>
      <c r="RTF1" s="1113"/>
      <c r="RTG1" s="1113"/>
      <c r="RTH1" s="1113"/>
      <c r="RTI1" s="1113"/>
      <c r="RTJ1" s="1113"/>
      <c r="RTK1" s="1113"/>
      <c r="RTL1" s="1113"/>
      <c r="RTM1" s="1113"/>
      <c r="RTN1" s="1113"/>
      <c r="RTO1" s="1113"/>
      <c r="RTP1" s="1113"/>
      <c r="RTQ1" s="1113"/>
      <c r="RTR1" s="1113"/>
      <c r="RTS1" s="1113"/>
      <c r="RTT1" s="1113"/>
      <c r="RTU1" s="1113"/>
      <c r="RTV1" s="1113"/>
      <c r="RTW1" s="1113"/>
      <c r="RTX1" s="1113"/>
      <c r="RTY1" s="1113"/>
      <c r="RTZ1" s="1113"/>
      <c r="RUA1" s="1113"/>
      <c r="RUB1" s="1113"/>
      <c r="RUC1" s="1113"/>
      <c r="RUD1" s="1113"/>
      <c r="RUE1" s="1113"/>
      <c r="RUF1" s="1113"/>
      <c r="RUG1" s="1113"/>
      <c r="RUH1" s="1113"/>
      <c r="RUI1" s="1113"/>
      <c r="RUJ1" s="1113"/>
      <c r="RUK1" s="1113"/>
      <c r="RUL1" s="1113"/>
      <c r="RUM1" s="1113"/>
      <c r="RUN1" s="1113"/>
      <c r="RUO1" s="1113"/>
      <c r="RUP1" s="1113"/>
      <c r="RUQ1" s="1113"/>
      <c r="RUR1" s="1113"/>
      <c r="RUS1" s="1113"/>
      <c r="RUT1" s="1113"/>
      <c r="RUU1" s="1113"/>
      <c r="RUV1" s="1113"/>
      <c r="RUW1" s="1113"/>
      <c r="RUX1" s="1113"/>
      <c r="RUY1" s="1113"/>
      <c r="RUZ1" s="1113"/>
      <c r="RVA1" s="1113"/>
      <c r="RVB1" s="1113"/>
      <c r="RVC1" s="1113"/>
      <c r="RVD1" s="1113"/>
      <c r="RVE1" s="1113"/>
      <c r="RVF1" s="1113"/>
      <c r="RVG1" s="1113"/>
      <c r="RVH1" s="1113"/>
      <c r="RVI1" s="1113"/>
      <c r="RVJ1" s="1113"/>
      <c r="RVK1" s="1113"/>
      <c r="RVL1" s="1113"/>
      <c r="RVM1" s="1113"/>
      <c r="RVN1" s="1113"/>
      <c r="RVO1" s="1113"/>
      <c r="RVP1" s="1113"/>
      <c r="RVQ1" s="1113"/>
      <c r="RVR1" s="1113"/>
      <c r="RVS1" s="1113"/>
      <c r="RVT1" s="1113"/>
      <c r="RVU1" s="1113"/>
      <c r="RVV1" s="1113"/>
      <c r="RVW1" s="1113"/>
      <c r="RVX1" s="1113"/>
      <c r="RVY1" s="1113"/>
      <c r="RVZ1" s="1113"/>
      <c r="RWA1" s="1113"/>
      <c r="RWB1" s="1113"/>
      <c r="RWC1" s="1113"/>
      <c r="RWD1" s="1113"/>
      <c r="RWE1" s="1113"/>
      <c r="RWF1" s="1113"/>
      <c r="RWG1" s="1113"/>
      <c r="RWH1" s="1113"/>
      <c r="RWI1" s="1113"/>
      <c r="RWJ1" s="1113"/>
      <c r="RWK1" s="1113"/>
      <c r="RWL1" s="1113"/>
      <c r="RWM1" s="1113"/>
      <c r="RWN1" s="1113"/>
      <c r="RWO1" s="1113"/>
      <c r="RWP1" s="1113"/>
      <c r="RWQ1" s="1113"/>
      <c r="RWR1" s="1113"/>
      <c r="RWS1" s="1113"/>
      <c r="RWT1" s="1113"/>
      <c r="RWU1" s="1113"/>
      <c r="RWV1" s="1113"/>
      <c r="RWW1" s="1113"/>
      <c r="RWX1" s="1113"/>
      <c r="RWY1" s="1113"/>
      <c r="RWZ1" s="1113"/>
      <c r="RXA1" s="1113"/>
      <c r="RXB1" s="1113"/>
      <c r="RXC1" s="1113"/>
      <c r="RXD1" s="1113"/>
      <c r="RXE1" s="1113"/>
      <c r="RXF1" s="1113"/>
      <c r="RXG1" s="1113"/>
      <c r="RXH1" s="1113"/>
      <c r="RXI1" s="1113"/>
      <c r="RXJ1" s="1113"/>
      <c r="RXK1" s="1113"/>
      <c r="RXL1" s="1113"/>
      <c r="RXM1" s="1113"/>
      <c r="RXN1" s="1113"/>
      <c r="RXO1" s="1113"/>
      <c r="RXP1" s="1113"/>
      <c r="RXQ1" s="1113"/>
      <c r="RXR1" s="1113"/>
      <c r="RXS1" s="1113"/>
      <c r="RXT1" s="1113"/>
      <c r="RXU1" s="1113"/>
      <c r="RXV1" s="1113"/>
      <c r="RXW1" s="1113"/>
      <c r="RXX1" s="1113"/>
      <c r="RXY1" s="1113"/>
      <c r="RXZ1" s="1113"/>
      <c r="RYA1" s="1113"/>
      <c r="RYB1" s="1113"/>
      <c r="RYC1" s="1113"/>
      <c r="RYD1" s="1113"/>
      <c r="RYE1" s="1113"/>
      <c r="RYF1" s="1113"/>
      <c r="RYG1" s="1113"/>
      <c r="RYH1" s="1113"/>
      <c r="RYI1" s="1113"/>
      <c r="RYJ1" s="1113"/>
      <c r="RYK1" s="1113"/>
      <c r="RYL1" s="1113"/>
      <c r="RYM1" s="1113"/>
      <c r="RYN1" s="1113"/>
      <c r="RYO1" s="1113"/>
      <c r="RYP1" s="1113"/>
      <c r="RYQ1" s="1113"/>
      <c r="RYR1" s="1113"/>
      <c r="RYS1" s="1113"/>
      <c r="RYT1" s="1113"/>
      <c r="RYU1" s="1113"/>
      <c r="RYV1" s="1113"/>
      <c r="RYW1" s="1113"/>
      <c r="RYX1" s="1113"/>
      <c r="RYY1" s="1113"/>
      <c r="RYZ1" s="1113"/>
      <c r="RZA1" s="1113"/>
      <c r="RZB1" s="1113"/>
      <c r="RZC1" s="1113"/>
      <c r="RZD1" s="1113"/>
      <c r="RZE1" s="1113"/>
      <c r="RZF1" s="1113"/>
      <c r="RZG1" s="1113"/>
      <c r="RZH1" s="1113"/>
      <c r="RZI1" s="1113"/>
      <c r="RZJ1" s="1113"/>
      <c r="RZK1" s="1113"/>
      <c r="RZL1" s="1113"/>
      <c r="RZM1" s="1113"/>
      <c r="RZN1" s="1113"/>
      <c r="RZO1" s="1113"/>
      <c r="RZP1" s="1113"/>
      <c r="RZQ1" s="1113"/>
      <c r="RZR1" s="1113"/>
      <c r="RZS1" s="1113"/>
      <c r="RZT1" s="1113"/>
      <c r="RZU1" s="1113"/>
      <c r="RZV1" s="1113"/>
      <c r="RZW1" s="1113"/>
      <c r="RZX1" s="1113"/>
      <c r="RZY1" s="1113"/>
      <c r="RZZ1" s="1113"/>
      <c r="SAA1" s="1113"/>
      <c r="SAB1" s="1113"/>
      <c r="SAC1" s="1113"/>
      <c r="SAD1" s="1113"/>
      <c r="SAE1" s="1113"/>
      <c r="SAF1" s="1113"/>
      <c r="SAG1" s="1113"/>
      <c r="SAH1" s="1113"/>
      <c r="SAI1" s="1113"/>
      <c r="SAJ1" s="1113"/>
      <c r="SAK1" s="1113"/>
      <c r="SAL1" s="1113"/>
      <c r="SAM1" s="1113"/>
      <c r="SAN1" s="1113"/>
      <c r="SAO1" s="1113"/>
      <c r="SAP1" s="1113"/>
      <c r="SAQ1" s="1113"/>
      <c r="SAR1" s="1113"/>
      <c r="SAS1" s="1113"/>
      <c r="SAT1" s="1113"/>
      <c r="SAU1" s="1113"/>
      <c r="SAV1" s="1113"/>
      <c r="SAW1" s="1113"/>
      <c r="SAX1" s="1113"/>
      <c r="SAY1" s="1113"/>
      <c r="SAZ1" s="1113"/>
      <c r="SBA1" s="1113"/>
      <c r="SBB1" s="1113"/>
      <c r="SBC1" s="1113"/>
      <c r="SBD1" s="1113"/>
      <c r="SBE1" s="1113"/>
      <c r="SBF1" s="1113"/>
      <c r="SBG1" s="1113"/>
      <c r="SBH1" s="1113"/>
      <c r="SBI1" s="1113"/>
      <c r="SBJ1" s="1113"/>
      <c r="SBK1" s="1113"/>
      <c r="SBL1" s="1113"/>
      <c r="SBM1" s="1113"/>
      <c r="SBN1" s="1113"/>
      <c r="SBO1" s="1113"/>
      <c r="SBP1" s="1113"/>
      <c r="SBQ1" s="1113"/>
      <c r="SBR1" s="1113"/>
      <c r="SBS1" s="1113"/>
      <c r="SBT1" s="1113"/>
      <c r="SBU1" s="1113"/>
      <c r="SBV1" s="1113"/>
      <c r="SBW1" s="1113"/>
      <c r="SBX1" s="1113"/>
      <c r="SBY1" s="1113"/>
      <c r="SBZ1" s="1113"/>
      <c r="SCA1" s="1113"/>
      <c r="SCB1" s="1113"/>
      <c r="SCC1" s="1113"/>
      <c r="SCD1" s="1113"/>
      <c r="SCE1" s="1113"/>
      <c r="SCF1" s="1113"/>
      <c r="SCG1" s="1113"/>
      <c r="SCH1" s="1113"/>
      <c r="SCI1" s="1113"/>
      <c r="SCJ1" s="1113"/>
      <c r="SCK1" s="1113"/>
      <c r="SCL1" s="1113"/>
      <c r="SCM1" s="1113"/>
      <c r="SCN1" s="1113"/>
      <c r="SCO1" s="1113"/>
      <c r="SCP1" s="1113"/>
      <c r="SCQ1" s="1113"/>
      <c r="SCR1" s="1113"/>
      <c r="SCS1" s="1113"/>
      <c r="SCT1" s="1113"/>
      <c r="SCU1" s="1113"/>
      <c r="SCV1" s="1113"/>
      <c r="SCW1" s="1113"/>
      <c r="SCX1" s="1113"/>
      <c r="SCY1" s="1113"/>
      <c r="SCZ1" s="1113"/>
      <c r="SDA1" s="1113"/>
      <c r="SDB1" s="1113"/>
      <c r="SDC1" s="1113"/>
      <c r="SDD1" s="1113"/>
      <c r="SDE1" s="1113"/>
      <c r="SDF1" s="1113"/>
      <c r="SDG1" s="1113"/>
      <c r="SDH1" s="1113"/>
      <c r="SDI1" s="1113"/>
      <c r="SDJ1" s="1113"/>
      <c r="SDK1" s="1113"/>
      <c r="SDL1" s="1113"/>
      <c r="SDM1" s="1113"/>
      <c r="SDN1" s="1113"/>
      <c r="SDO1" s="1113"/>
      <c r="SDP1" s="1113"/>
      <c r="SDQ1" s="1113"/>
      <c r="SDR1" s="1113"/>
      <c r="SDS1" s="1113"/>
      <c r="SDT1" s="1113"/>
      <c r="SDU1" s="1113"/>
      <c r="SDV1" s="1113"/>
      <c r="SDW1" s="1113"/>
      <c r="SDX1" s="1113"/>
      <c r="SDY1" s="1113"/>
      <c r="SDZ1" s="1113"/>
      <c r="SEA1" s="1113"/>
      <c r="SEB1" s="1113"/>
      <c r="SEC1" s="1113"/>
      <c r="SED1" s="1113"/>
      <c r="SEE1" s="1113"/>
      <c r="SEF1" s="1113"/>
      <c r="SEG1" s="1113"/>
      <c r="SEH1" s="1113"/>
      <c r="SEI1" s="1113"/>
      <c r="SEJ1" s="1113"/>
      <c r="SEK1" s="1113"/>
      <c r="SEL1" s="1113"/>
      <c r="SEM1" s="1113"/>
      <c r="SEN1" s="1113"/>
      <c r="SEO1" s="1113"/>
      <c r="SEP1" s="1113"/>
      <c r="SEQ1" s="1113"/>
      <c r="SER1" s="1113"/>
      <c r="SES1" s="1113"/>
      <c r="SET1" s="1113"/>
      <c r="SEU1" s="1113"/>
      <c r="SEV1" s="1113"/>
      <c r="SEW1" s="1113"/>
      <c r="SEX1" s="1113"/>
      <c r="SEY1" s="1113"/>
      <c r="SEZ1" s="1113"/>
      <c r="SFA1" s="1113"/>
      <c r="SFB1" s="1113"/>
      <c r="SFC1" s="1113"/>
      <c r="SFD1" s="1113"/>
      <c r="SFE1" s="1113"/>
      <c r="SFF1" s="1113"/>
      <c r="SFG1" s="1113"/>
      <c r="SFH1" s="1113"/>
      <c r="SFI1" s="1113"/>
      <c r="SFJ1" s="1113"/>
      <c r="SFK1" s="1113"/>
      <c r="SFL1" s="1113"/>
      <c r="SFM1" s="1113"/>
      <c r="SFN1" s="1113"/>
      <c r="SFO1" s="1113"/>
      <c r="SFP1" s="1113"/>
      <c r="SFQ1" s="1113"/>
      <c r="SFR1" s="1113"/>
      <c r="SFS1" s="1113"/>
      <c r="SFT1" s="1113"/>
      <c r="SFU1" s="1113"/>
      <c r="SFV1" s="1113"/>
      <c r="SFW1" s="1113"/>
      <c r="SFX1" s="1113"/>
      <c r="SFY1" s="1113"/>
      <c r="SFZ1" s="1113"/>
      <c r="SGA1" s="1113"/>
      <c r="SGB1" s="1113"/>
      <c r="SGC1" s="1113"/>
      <c r="SGD1" s="1113"/>
      <c r="SGE1" s="1113"/>
      <c r="SGF1" s="1113"/>
      <c r="SGG1" s="1113"/>
      <c r="SGH1" s="1113"/>
      <c r="SGI1" s="1113"/>
      <c r="SGJ1" s="1113"/>
      <c r="SGK1" s="1113"/>
      <c r="SGL1" s="1113"/>
      <c r="SGM1" s="1113"/>
      <c r="SGN1" s="1113"/>
      <c r="SGO1" s="1113"/>
      <c r="SGP1" s="1113"/>
      <c r="SGQ1" s="1113"/>
      <c r="SGR1" s="1113"/>
      <c r="SGS1" s="1113"/>
      <c r="SGT1" s="1113"/>
      <c r="SGU1" s="1113"/>
      <c r="SGV1" s="1113"/>
      <c r="SGW1" s="1113"/>
      <c r="SGX1" s="1113"/>
      <c r="SGY1" s="1113"/>
      <c r="SGZ1" s="1113"/>
      <c r="SHA1" s="1113"/>
      <c r="SHB1" s="1113"/>
      <c r="SHC1" s="1113"/>
      <c r="SHD1" s="1113"/>
      <c r="SHE1" s="1113"/>
      <c r="SHF1" s="1113"/>
      <c r="SHG1" s="1113"/>
      <c r="SHH1" s="1113"/>
      <c r="SHI1" s="1113"/>
      <c r="SHJ1" s="1113"/>
      <c r="SHK1" s="1113"/>
      <c r="SHL1" s="1113"/>
      <c r="SHM1" s="1113"/>
      <c r="SHN1" s="1113"/>
      <c r="SHO1" s="1113"/>
      <c r="SHP1" s="1113"/>
      <c r="SHQ1" s="1113"/>
      <c r="SHR1" s="1113"/>
      <c r="SHS1" s="1113"/>
      <c r="SHT1" s="1113"/>
      <c r="SHU1" s="1113"/>
      <c r="SHV1" s="1113"/>
      <c r="SHW1" s="1113"/>
      <c r="SHX1" s="1113"/>
      <c r="SHY1" s="1113"/>
      <c r="SHZ1" s="1113"/>
      <c r="SIA1" s="1113"/>
      <c r="SIB1" s="1113"/>
      <c r="SIC1" s="1113"/>
      <c r="SID1" s="1113"/>
      <c r="SIE1" s="1113"/>
      <c r="SIF1" s="1113"/>
      <c r="SIG1" s="1113"/>
      <c r="SIH1" s="1113"/>
      <c r="SII1" s="1113"/>
      <c r="SIJ1" s="1113"/>
      <c r="SIK1" s="1113"/>
      <c r="SIL1" s="1113"/>
      <c r="SIM1" s="1113"/>
      <c r="SIN1" s="1113"/>
      <c r="SIO1" s="1113"/>
      <c r="SIP1" s="1113"/>
      <c r="SIQ1" s="1113"/>
      <c r="SIR1" s="1113"/>
      <c r="SIS1" s="1113"/>
      <c r="SIT1" s="1113"/>
      <c r="SIU1" s="1113"/>
      <c r="SIV1" s="1113"/>
      <c r="SIW1" s="1113"/>
      <c r="SIX1" s="1113"/>
      <c r="SIY1" s="1113"/>
      <c r="SIZ1" s="1113"/>
      <c r="SJA1" s="1113"/>
      <c r="SJB1" s="1113"/>
      <c r="SJC1" s="1113"/>
      <c r="SJD1" s="1113"/>
      <c r="SJE1" s="1113"/>
      <c r="SJF1" s="1113"/>
      <c r="SJG1" s="1113"/>
      <c r="SJH1" s="1113"/>
      <c r="SJI1" s="1113"/>
      <c r="SJJ1" s="1113"/>
      <c r="SJK1" s="1113"/>
      <c r="SJL1" s="1113"/>
      <c r="SJM1" s="1113"/>
      <c r="SJN1" s="1113"/>
      <c r="SJO1" s="1113"/>
      <c r="SJP1" s="1113"/>
      <c r="SJQ1" s="1113"/>
      <c r="SJR1" s="1113"/>
      <c r="SJS1" s="1113"/>
      <c r="SJT1" s="1113"/>
      <c r="SJU1" s="1113"/>
      <c r="SJV1" s="1113"/>
      <c r="SJW1" s="1113"/>
      <c r="SJX1" s="1113"/>
      <c r="SJY1" s="1113"/>
      <c r="SJZ1" s="1113"/>
      <c r="SKA1" s="1113"/>
      <c r="SKB1" s="1113"/>
      <c r="SKC1" s="1113"/>
      <c r="SKD1" s="1113"/>
      <c r="SKE1" s="1113"/>
      <c r="SKF1" s="1113"/>
      <c r="SKG1" s="1113"/>
      <c r="SKH1" s="1113"/>
      <c r="SKI1" s="1113"/>
      <c r="SKJ1" s="1113"/>
      <c r="SKK1" s="1113"/>
      <c r="SKL1" s="1113"/>
      <c r="SKM1" s="1113"/>
      <c r="SKN1" s="1113"/>
      <c r="SKO1" s="1113"/>
      <c r="SKP1" s="1113"/>
      <c r="SKQ1" s="1113"/>
      <c r="SKR1" s="1113"/>
      <c r="SKS1" s="1113"/>
      <c r="SKT1" s="1113"/>
      <c r="SKU1" s="1113"/>
      <c r="SKV1" s="1113"/>
      <c r="SKW1" s="1113"/>
      <c r="SKX1" s="1113"/>
      <c r="SKY1" s="1113"/>
      <c r="SKZ1" s="1113"/>
      <c r="SLA1" s="1113"/>
      <c r="SLB1" s="1113"/>
      <c r="SLC1" s="1113"/>
      <c r="SLD1" s="1113"/>
      <c r="SLE1" s="1113"/>
      <c r="SLF1" s="1113"/>
      <c r="SLG1" s="1113"/>
      <c r="SLH1" s="1113"/>
      <c r="SLI1" s="1113"/>
      <c r="SLJ1" s="1113"/>
      <c r="SLK1" s="1113"/>
      <c r="SLL1" s="1113"/>
      <c r="SLM1" s="1113"/>
      <c r="SLN1" s="1113"/>
      <c r="SLO1" s="1113"/>
      <c r="SLP1" s="1113"/>
      <c r="SLQ1" s="1113"/>
      <c r="SLR1" s="1113"/>
      <c r="SLS1" s="1113"/>
      <c r="SLT1" s="1113"/>
      <c r="SLU1" s="1113"/>
      <c r="SLV1" s="1113"/>
      <c r="SLW1" s="1113"/>
      <c r="SLX1" s="1113"/>
      <c r="SLY1" s="1113"/>
      <c r="SLZ1" s="1113"/>
      <c r="SMA1" s="1113"/>
      <c r="SMB1" s="1113"/>
      <c r="SMC1" s="1113"/>
      <c r="SMD1" s="1113"/>
      <c r="SME1" s="1113"/>
      <c r="SMF1" s="1113"/>
      <c r="SMG1" s="1113"/>
      <c r="SMH1" s="1113"/>
      <c r="SMI1" s="1113"/>
      <c r="SMJ1" s="1113"/>
      <c r="SMK1" s="1113"/>
      <c r="SML1" s="1113"/>
      <c r="SMM1" s="1113"/>
      <c r="SMN1" s="1113"/>
      <c r="SMO1" s="1113"/>
      <c r="SMP1" s="1113"/>
      <c r="SMQ1" s="1113"/>
      <c r="SMR1" s="1113"/>
      <c r="SMS1" s="1113"/>
      <c r="SMT1" s="1113"/>
      <c r="SMU1" s="1113"/>
      <c r="SMV1" s="1113"/>
      <c r="SMW1" s="1113"/>
      <c r="SMX1" s="1113"/>
      <c r="SMY1" s="1113"/>
      <c r="SMZ1" s="1113"/>
      <c r="SNA1" s="1113"/>
      <c r="SNB1" s="1113"/>
      <c r="SNC1" s="1113"/>
      <c r="SND1" s="1113"/>
      <c r="SNE1" s="1113"/>
      <c r="SNF1" s="1113"/>
      <c r="SNG1" s="1113"/>
      <c r="SNH1" s="1113"/>
      <c r="SNI1" s="1113"/>
      <c r="SNJ1" s="1113"/>
      <c r="SNK1" s="1113"/>
      <c r="SNL1" s="1113"/>
      <c r="SNM1" s="1113"/>
      <c r="SNN1" s="1113"/>
      <c r="SNO1" s="1113"/>
      <c r="SNP1" s="1113"/>
      <c r="SNQ1" s="1113"/>
      <c r="SNR1" s="1113"/>
      <c r="SNS1" s="1113"/>
      <c r="SNT1" s="1113"/>
      <c r="SNU1" s="1113"/>
      <c r="SNV1" s="1113"/>
      <c r="SNW1" s="1113"/>
      <c r="SNX1" s="1113"/>
      <c r="SNY1" s="1113"/>
      <c r="SNZ1" s="1113"/>
      <c r="SOA1" s="1113"/>
      <c r="SOB1" s="1113"/>
      <c r="SOC1" s="1113"/>
      <c r="SOD1" s="1113"/>
      <c r="SOE1" s="1113"/>
      <c r="SOF1" s="1113"/>
      <c r="SOG1" s="1113"/>
      <c r="SOH1" s="1113"/>
      <c r="SOI1" s="1113"/>
      <c r="SOJ1" s="1113"/>
      <c r="SOK1" s="1113"/>
      <c r="SOL1" s="1113"/>
      <c r="SOM1" s="1113"/>
      <c r="SON1" s="1113"/>
      <c r="SOO1" s="1113"/>
      <c r="SOP1" s="1113"/>
      <c r="SOQ1" s="1113"/>
      <c r="SOR1" s="1113"/>
      <c r="SOS1" s="1113"/>
      <c r="SOT1" s="1113"/>
      <c r="SOU1" s="1113"/>
      <c r="SOV1" s="1113"/>
      <c r="SOW1" s="1113"/>
      <c r="SOX1" s="1113"/>
      <c r="SOY1" s="1113"/>
      <c r="SOZ1" s="1113"/>
      <c r="SPA1" s="1113"/>
      <c r="SPB1" s="1113"/>
      <c r="SPC1" s="1113"/>
      <c r="SPD1" s="1113"/>
      <c r="SPE1" s="1113"/>
      <c r="SPF1" s="1113"/>
      <c r="SPG1" s="1113"/>
      <c r="SPH1" s="1113"/>
      <c r="SPI1" s="1113"/>
      <c r="SPJ1" s="1113"/>
      <c r="SPK1" s="1113"/>
      <c r="SPL1" s="1113"/>
      <c r="SPM1" s="1113"/>
      <c r="SPN1" s="1113"/>
      <c r="SPO1" s="1113"/>
      <c r="SPP1" s="1113"/>
      <c r="SPQ1" s="1113"/>
      <c r="SPR1" s="1113"/>
      <c r="SPS1" s="1113"/>
      <c r="SPT1" s="1113"/>
      <c r="SPU1" s="1113"/>
      <c r="SPV1" s="1113"/>
      <c r="SPW1" s="1113"/>
      <c r="SPX1" s="1113"/>
      <c r="SPY1" s="1113"/>
      <c r="SPZ1" s="1113"/>
      <c r="SQA1" s="1113"/>
      <c r="SQB1" s="1113"/>
      <c r="SQC1" s="1113"/>
      <c r="SQD1" s="1113"/>
      <c r="SQE1" s="1113"/>
      <c r="SQF1" s="1113"/>
      <c r="SQG1" s="1113"/>
      <c r="SQH1" s="1113"/>
      <c r="SQI1" s="1113"/>
      <c r="SQJ1" s="1113"/>
      <c r="SQK1" s="1113"/>
      <c r="SQL1" s="1113"/>
      <c r="SQM1" s="1113"/>
      <c r="SQN1" s="1113"/>
      <c r="SQO1" s="1113"/>
      <c r="SQP1" s="1113"/>
      <c r="SQQ1" s="1113"/>
      <c r="SQR1" s="1113"/>
      <c r="SQS1" s="1113"/>
      <c r="SQT1" s="1113"/>
      <c r="SQU1" s="1113"/>
      <c r="SQV1" s="1113"/>
      <c r="SQW1" s="1113"/>
      <c r="SQX1" s="1113"/>
      <c r="SQY1" s="1113"/>
      <c r="SQZ1" s="1113"/>
      <c r="SRA1" s="1113"/>
      <c r="SRB1" s="1113"/>
      <c r="SRC1" s="1113"/>
      <c r="SRD1" s="1113"/>
      <c r="SRE1" s="1113"/>
      <c r="SRF1" s="1113"/>
      <c r="SRG1" s="1113"/>
      <c r="SRH1" s="1113"/>
      <c r="SRI1" s="1113"/>
      <c r="SRJ1" s="1113"/>
      <c r="SRK1" s="1113"/>
      <c r="SRL1" s="1113"/>
      <c r="SRM1" s="1113"/>
      <c r="SRN1" s="1113"/>
      <c r="SRO1" s="1113"/>
      <c r="SRP1" s="1113"/>
      <c r="SRQ1" s="1113"/>
      <c r="SRR1" s="1113"/>
      <c r="SRS1" s="1113"/>
      <c r="SRT1" s="1113"/>
      <c r="SRU1" s="1113"/>
      <c r="SRV1" s="1113"/>
      <c r="SRW1" s="1113"/>
      <c r="SRX1" s="1113"/>
      <c r="SRY1" s="1113"/>
      <c r="SRZ1" s="1113"/>
      <c r="SSA1" s="1113"/>
      <c r="SSB1" s="1113"/>
      <c r="SSC1" s="1113"/>
      <c r="SSD1" s="1113"/>
      <c r="SSE1" s="1113"/>
      <c r="SSF1" s="1113"/>
      <c r="SSG1" s="1113"/>
      <c r="SSH1" s="1113"/>
      <c r="SSI1" s="1113"/>
      <c r="SSJ1" s="1113"/>
      <c r="SSK1" s="1113"/>
      <c r="SSL1" s="1113"/>
      <c r="SSM1" s="1113"/>
      <c r="SSN1" s="1113"/>
      <c r="SSO1" s="1113"/>
      <c r="SSP1" s="1113"/>
      <c r="SSQ1" s="1113"/>
      <c r="SSR1" s="1113"/>
      <c r="SSS1" s="1113"/>
      <c r="SST1" s="1113"/>
      <c r="SSU1" s="1113"/>
      <c r="SSV1" s="1113"/>
      <c r="SSW1" s="1113"/>
      <c r="SSX1" s="1113"/>
      <c r="SSY1" s="1113"/>
      <c r="SSZ1" s="1113"/>
      <c r="STA1" s="1113"/>
      <c r="STB1" s="1113"/>
      <c r="STC1" s="1113"/>
      <c r="STD1" s="1113"/>
      <c r="STE1" s="1113"/>
      <c r="STF1" s="1113"/>
      <c r="STG1" s="1113"/>
      <c r="STH1" s="1113"/>
      <c r="STI1" s="1113"/>
      <c r="STJ1" s="1113"/>
      <c r="STK1" s="1113"/>
      <c r="STL1" s="1113"/>
      <c r="STM1" s="1113"/>
      <c r="STN1" s="1113"/>
      <c r="STO1" s="1113"/>
      <c r="STP1" s="1113"/>
      <c r="STQ1" s="1113"/>
      <c r="STR1" s="1113"/>
      <c r="STS1" s="1113"/>
      <c r="STT1" s="1113"/>
      <c r="STU1" s="1113"/>
      <c r="STV1" s="1113"/>
      <c r="STW1" s="1113"/>
      <c r="STX1" s="1113"/>
      <c r="STY1" s="1113"/>
      <c r="STZ1" s="1113"/>
      <c r="SUA1" s="1113"/>
      <c r="SUB1" s="1113"/>
      <c r="SUC1" s="1113"/>
      <c r="SUD1" s="1113"/>
      <c r="SUE1" s="1113"/>
      <c r="SUF1" s="1113"/>
      <c r="SUG1" s="1113"/>
      <c r="SUH1" s="1113"/>
      <c r="SUI1" s="1113"/>
      <c r="SUJ1" s="1113"/>
      <c r="SUK1" s="1113"/>
      <c r="SUL1" s="1113"/>
      <c r="SUM1" s="1113"/>
      <c r="SUN1" s="1113"/>
      <c r="SUO1" s="1113"/>
      <c r="SUP1" s="1113"/>
      <c r="SUQ1" s="1113"/>
      <c r="SUR1" s="1113"/>
      <c r="SUS1" s="1113"/>
      <c r="SUT1" s="1113"/>
      <c r="SUU1" s="1113"/>
      <c r="SUV1" s="1113"/>
      <c r="SUW1" s="1113"/>
      <c r="SUX1" s="1113"/>
      <c r="SUY1" s="1113"/>
      <c r="SUZ1" s="1113"/>
      <c r="SVA1" s="1113"/>
      <c r="SVB1" s="1113"/>
      <c r="SVC1" s="1113"/>
      <c r="SVD1" s="1113"/>
      <c r="SVE1" s="1113"/>
      <c r="SVF1" s="1113"/>
      <c r="SVG1" s="1113"/>
      <c r="SVH1" s="1113"/>
      <c r="SVI1" s="1113"/>
      <c r="SVJ1" s="1113"/>
      <c r="SVK1" s="1113"/>
      <c r="SVL1" s="1113"/>
      <c r="SVM1" s="1113"/>
      <c r="SVN1" s="1113"/>
      <c r="SVO1" s="1113"/>
      <c r="SVP1" s="1113"/>
      <c r="SVQ1" s="1113"/>
      <c r="SVR1" s="1113"/>
      <c r="SVS1" s="1113"/>
      <c r="SVT1" s="1113"/>
      <c r="SVU1" s="1113"/>
      <c r="SVV1" s="1113"/>
      <c r="SVW1" s="1113"/>
      <c r="SVX1" s="1113"/>
      <c r="SVY1" s="1113"/>
      <c r="SVZ1" s="1113"/>
      <c r="SWA1" s="1113"/>
      <c r="SWB1" s="1113"/>
      <c r="SWC1" s="1113"/>
      <c r="SWD1" s="1113"/>
      <c r="SWE1" s="1113"/>
      <c r="SWF1" s="1113"/>
      <c r="SWG1" s="1113"/>
      <c r="SWH1" s="1113"/>
      <c r="SWI1" s="1113"/>
      <c r="SWJ1" s="1113"/>
      <c r="SWK1" s="1113"/>
      <c r="SWL1" s="1113"/>
      <c r="SWM1" s="1113"/>
      <c r="SWN1" s="1113"/>
      <c r="SWO1" s="1113"/>
      <c r="SWP1" s="1113"/>
      <c r="SWQ1" s="1113"/>
      <c r="SWR1" s="1113"/>
      <c r="SWS1" s="1113"/>
      <c r="SWT1" s="1113"/>
      <c r="SWU1" s="1113"/>
      <c r="SWV1" s="1113"/>
      <c r="SWW1" s="1113"/>
      <c r="SWX1" s="1113"/>
      <c r="SWY1" s="1113"/>
      <c r="SWZ1" s="1113"/>
      <c r="SXA1" s="1113"/>
      <c r="SXB1" s="1113"/>
      <c r="SXC1" s="1113"/>
      <c r="SXD1" s="1113"/>
      <c r="SXE1" s="1113"/>
      <c r="SXF1" s="1113"/>
      <c r="SXG1" s="1113"/>
      <c r="SXH1" s="1113"/>
      <c r="SXI1" s="1113"/>
      <c r="SXJ1" s="1113"/>
      <c r="SXK1" s="1113"/>
      <c r="SXL1" s="1113"/>
      <c r="SXM1" s="1113"/>
      <c r="SXN1" s="1113"/>
      <c r="SXO1" s="1113"/>
      <c r="SXP1" s="1113"/>
      <c r="SXQ1" s="1113"/>
      <c r="SXR1" s="1113"/>
      <c r="SXS1" s="1113"/>
      <c r="SXT1" s="1113"/>
      <c r="SXU1" s="1113"/>
      <c r="SXV1" s="1113"/>
      <c r="SXW1" s="1113"/>
      <c r="SXX1" s="1113"/>
      <c r="SXY1" s="1113"/>
      <c r="SXZ1" s="1113"/>
      <c r="SYA1" s="1113"/>
      <c r="SYB1" s="1113"/>
      <c r="SYC1" s="1113"/>
      <c r="SYD1" s="1113"/>
      <c r="SYE1" s="1113"/>
      <c r="SYF1" s="1113"/>
      <c r="SYG1" s="1113"/>
      <c r="SYH1" s="1113"/>
      <c r="SYI1" s="1113"/>
      <c r="SYJ1" s="1113"/>
      <c r="SYK1" s="1113"/>
      <c r="SYL1" s="1113"/>
      <c r="SYM1" s="1113"/>
      <c r="SYN1" s="1113"/>
      <c r="SYO1" s="1113"/>
      <c r="SYP1" s="1113"/>
      <c r="SYQ1" s="1113"/>
      <c r="SYR1" s="1113"/>
      <c r="SYS1" s="1113"/>
      <c r="SYT1" s="1113"/>
      <c r="SYU1" s="1113"/>
      <c r="SYV1" s="1113"/>
      <c r="SYW1" s="1113"/>
      <c r="SYX1" s="1113"/>
      <c r="SYY1" s="1113"/>
      <c r="SYZ1" s="1113"/>
      <c r="SZA1" s="1113"/>
      <c r="SZB1" s="1113"/>
      <c r="SZC1" s="1113"/>
      <c r="SZD1" s="1113"/>
      <c r="SZE1" s="1113"/>
      <c r="SZF1" s="1113"/>
      <c r="SZG1" s="1113"/>
      <c r="SZH1" s="1113"/>
      <c r="SZI1" s="1113"/>
      <c r="SZJ1" s="1113"/>
      <c r="SZK1" s="1113"/>
      <c r="SZL1" s="1113"/>
      <c r="SZM1" s="1113"/>
      <c r="SZN1" s="1113"/>
      <c r="SZO1" s="1113"/>
      <c r="SZP1" s="1113"/>
      <c r="SZQ1" s="1113"/>
      <c r="SZR1" s="1113"/>
      <c r="SZS1" s="1113"/>
      <c r="SZT1" s="1113"/>
      <c r="SZU1" s="1113"/>
      <c r="SZV1" s="1113"/>
      <c r="SZW1" s="1113"/>
      <c r="SZX1" s="1113"/>
      <c r="SZY1" s="1113"/>
      <c r="SZZ1" s="1113"/>
      <c r="TAA1" s="1113"/>
      <c r="TAB1" s="1113"/>
      <c r="TAC1" s="1113"/>
      <c r="TAD1" s="1113"/>
      <c r="TAE1" s="1113"/>
      <c r="TAF1" s="1113"/>
      <c r="TAG1" s="1113"/>
      <c r="TAH1" s="1113"/>
      <c r="TAI1" s="1113"/>
      <c r="TAJ1" s="1113"/>
      <c r="TAK1" s="1113"/>
      <c r="TAL1" s="1113"/>
      <c r="TAM1" s="1113"/>
      <c r="TAN1" s="1113"/>
      <c r="TAO1" s="1113"/>
      <c r="TAP1" s="1113"/>
      <c r="TAQ1" s="1113"/>
      <c r="TAR1" s="1113"/>
      <c r="TAS1" s="1113"/>
      <c r="TAT1" s="1113"/>
      <c r="TAU1" s="1113"/>
      <c r="TAV1" s="1113"/>
      <c r="TAW1" s="1113"/>
      <c r="TAX1" s="1113"/>
      <c r="TAY1" s="1113"/>
      <c r="TAZ1" s="1113"/>
      <c r="TBA1" s="1113"/>
      <c r="TBB1" s="1113"/>
      <c r="TBC1" s="1113"/>
      <c r="TBD1" s="1113"/>
      <c r="TBE1" s="1113"/>
      <c r="TBF1" s="1113"/>
      <c r="TBG1" s="1113"/>
      <c r="TBH1" s="1113"/>
      <c r="TBI1" s="1113"/>
      <c r="TBJ1" s="1113"/>
      <c r="TBK1" s="1113"/>
      <c r="TBL1" s="1113"/>
      <c r="TBM1" s="1113"/>
      <c r="TBN1" s="1113"/>
      <c r="TBO1" s="1113"/>
      <c r="TBP1" s="1113"/>
      <c r="TBQ1" s="1113"/>
      <c r="TBR1" s="1113"/>
      <c r="TBS1" s="1113"/>
      <c r="TBT1" s="1113"/>
      <c r="TBU1" s="1113"/>
      <c r="TBV1" s="1113"/>
      <c r="TBW1" s="1113"/>
      <c r="TBX1" s="1113"/>
      <c r="TBY1" s="1113"/>
      <c r="TBZ1" s="1113"/>
      <c r="TCA1" s="1113"/>
      <c r="TCB1" s="1113"/>
      <c r="TCC1" s="1113"/>
      <c r="TCD1" s="1113"/>
      <c r="TCE1" s="1113"/>
      <c r="TCF1" s="1113"/>
      <c r="TCG1" s="1113"/>
      <c r="TCH1" s="1113"/>
      <c r="TCI1" s="1113"/>
      <c r="TCJ1" s="1113"/>
      <c r="TCK1" s="1113"/>
      <c r="TCL1" s="1113"/>
      <c r="TCM1" s="1113"/>
      <c r="TCN1" s="1113"/>
      <c r="TCO1" s="1113"/>
      <c r="TCP1" s="1113"/>
      <c r="TCQ1" s="1113"/>
      <c r="TCR1" s="1113"/>
      <c r="TCS1" s="1113"/>
      <c r="TCT1" s="1113"/>
      <c r="TCU1" s="1113"/>
      <c r="TCV1" s="1113"/>
      <c r="TCW1" s="1113"/>
      <c r="TCX1" s="1113"/>
      <c r="TCY1" s="1113"/>
      <c r="TCZ1" s="1113"/>
      <c r="TDA1" s="1113"/>
      <c r="TDB1" s="1113"/>
      <c r="TDC1" s="1113"/>
      <c r="TDD1" s="1113"/>
      <c r="TDE1" s="1113"/>
      <c r="TDF1" s="1113"/>
      <c r="TDG1" s="1113"/>
      <c r="TDH1" s="1113"/>
      <c r="TDI1" s="1113"/>
      <c r="TDJ1" s="1113"/>
      <c r="TDK1" s="1113"/>
      <c r="TDL1" s="1113"/>
      <c r="TDM1" s="1113"/>
      <c r="TDN1" s="1113"/>
      <c r="TDO1" s="1113"/>
      <c r="TDP1" s="1113"/>
      <c r="TDQ1" s="1113"/>
      <c r="TDR1" s="1113"/>
      <c r="TDS1" s="1113"/>
      <c r="TDT1" s="1113"/>
      <c r="TDU1" s="1113"/>
      <c r="TDV1" s="1113"/>
      <c r="TDW1" s="1113"/>
      <c r="TDX1" s="1113"/>
      <c r="TDY1" s="1113"/>
      <c r="TDZ1" s="1113"/>
      <c r="TEA1" s="1113"/>
      <c r="TEB1" s="1113"/>
      <c r="TEC1" s="1113"/>
      <c r="TED1" s="1113"/>
      <c r="TEE1" s="1113"/>
      <c r="TEF1" s="1113"/>
      <c r="TEG1" s="1113"/>
      <c r="TEH1" s="1113"/>
      <c r="TEI1" s="1113"/>
      <c r="TEJ1" s="1113"/>
      <c r="TEK1" s="1113"/>
      <c r="TEL1" s="1113"/>
      <c r="TEM1" s="1113"/>
      <c r="TEN1" s="1113"/>
      <c r="TEO1" s="1113"/>
      <c r="TEP1" s="1113"/>
      <c r="TEQ1" s="1113"/>
      <c r="TER1" s="1113"/>
      <c r="TES1" s="1113"/>
      <c r="TET1" s="1113"/>
      <c r="TEU1" s="1113"/>
      <c r="TEV1" s="1113"/>
      <c r="TEW1" s="1113"/>
      <c r="TEX1" s="1113"/>
      <c r="TEY1" s="1113"/>
      <c r="TEZ1" s="1113"/>
      <c r="TFA1" s="1113"/>
      <c r="TFB1" s="1113"/>
      <c r="TFC1" s="1113"/>
      <c r="TFD1" s="1113"/>
      <c r="TFE1" s="1113"/>
      <c r="TFF1" s="1113"/>
      <c r="TFG1" s="1113"/>
      <c r="TFH1" s="1113"/>
      <c r="TFI1" s="1113"/>
      <c r="TFJ1" s="1113"/>
      <c r="TFK1" s="1113"/>
      <c r="TFL1" s="1113"/>
      <c r="TFM1" s="1113"/>
      <c r="TFN1" s="1113"/>
      <c r="TFO1" s="1113"/>
      <c r="TFP1" s="1113"/>
      <c r="TFQ1" s="1113"/>
      <c r="TFR1" s="1113"/>
      <c r="TFS1" s="1113"/>
      <c r="TFT1" s="1113"/>
      <c r="TFU1" s="1113"/>
      <c r="TFV1" s="1113"/>
      <c r="TFW1" s="1113"/>
      <c r="TFX1" s="1113"/>
      <c r="TFY1" s="1113"/>
      <c r="TFZ1" s="1113"/>
      <c r="TGA1" s="1113"/>
      <c r="TGB1" s="1113"/>
      <c r="TGC1" s="1113"/>
      <c r="TGD1" s="1113"/>
      <c r="TGE1" s="1113"/>
      <c r="TGF1" s="1113"/>
      <c r="TGG1" s="1113"/>
      <c r="TGH1" s="1113"/>
      <c r="TGI1" s="1113"/>
      <c r="TGJ1" s="1113"/>
      <c r="TGK1" s="1113"/>
      <c r="TGL1" s="1113"/>
      <c r="TGM1" s="1113"/>
      <c r="TGN1" s="1113"/>
      <c r="TGO1" s="1113"/>
      <c r="TGP1" s="1113"/>
      <c r="TGQ1" s="1113"/>
      <c r="TGR1" s="1113"/>
      <c r="TGS1" s="1113"/>
      <c r="TGT1" s="1113"/>
      <c r="TGU1" s="1113"/>
      <c r="TGV1" s="1113"/>
      <c r="TGW1" s="1113"/>
      <c r="TGX1" s="1113"/>
      <c r="TGY1" s="1113"/>
      <c r="TGZ1" s="1113"/>
      <c r="THA1" s="1113"/>
      <c r="THB1" s="1113"/>
      <c r="THC1" s="1113"/>
      <c r="THD1" s="1113"/>
      <c r="THE1" s="1113"/>
      <c r="THF1" s="1113"/>
      <c r="THG1" s="1113"/>
      <c r="THH1" s="1113"/>
      <c r="THI1" s="1113"/>
      <c r="THJ1" s="1113"/>
      <c r="THK1" s="1113"/>
      <c r="THL1" s="1113"/>
      <c r="THM1" s="1113"/>
      <c r="THN1" s="1113"/>
      <c r="THO1" s="1113"/>
      <c r="THP1" s="1113"/>
      <c r="THQ1" s="1113"/>
      <c r="THR1" s="1113"/>
      <c r="THS1" s="1113"/>
      <c r="THT1" s="1113"/>
      <c r="THU1" s="1113"/>
      <c r="THV1" s="1113"/>
      <c r="THW1" s="1113"/>
      <c r="THX1" s="1113"/>
      <c r="THY1" s="1113"/>
      <c r="THZ1" s="1113"/>
      <c r="TIA1" s="1113"/>
      <c r="TIB1" s="1113"/>
      <c r="TIC1" s="1113"/>
      <c r="TID1" s="1113"/>
      <c r="TIE1" s="1113"/>
      <c r="TIF1" s="1113"/>
      <c r="TIG1" s="1113"/>
      <c r="TIH1" s="1113"/>
      <c r="TII1" s="1113"/>
      <c r="TIJ1" s="1113"/>
      <c r="TIK1" s="1113"/>
      <c r="TIL1" s="1113"/>
      <c r="TIM1" s="1113"/>
      <c r="TIN1" s="1113"/>
      <c r="TIO1" s="1113"/>
      <c r="TIP1" s="1113"/>
      <c r="TIQ1" s="1113"/>
      <c r="TIR1" s="1113"/>
      <c r="TIS1" s="1113"/>
      <c r="TIT1" s="1113"/>
      <c r="TIU1" s="1113"/>
      <c r="TIV1" s="1113"/>
      <c r="TIW1" s="1113"/>
      <c r="TIX1" s="1113"/>
      <c r="TIY1" s="1113"/>
      <c r="TIZ1" s="1113"/>
      <c r="TJA1" s="1113"/>
      <c r="TJB1" s="1113"/>
      <c r="TJC1" s="1113"/>
      <c r="TJD1" s="1113"/>
      <c r="TJE1" s="1113"/>
      <c r="TJF1" s="1113"/>
      <c r="TJG1" s="1113"/>
      <c r="TJH1" s="1113"/>
      <c r="TJI1" s="1113"/>
      <c r="TJJ1" s="1113"/>
      <c r="TJK1" s="1113"/>
      <c r="TJL1" s="1113"/>
      <c r="TJM1" s="1113"/>
      <c r="TJN1" s="1113"/>
      <c r="TJO1" s="1113"/>
      <c r="TJP1" s="1113"/>
      <c r="TJQ1" s="1113"/>
      <c r="TJR1" s="1113"/>
      <c r="TJS1" s="1113"/>
      <c r="TJT1" s="1113"/>
      <c r="TJU1" s="1113"/>
      <c r="TJV1" s="1113"/>
      <c r="TJW1" s="1113"/>
      <c r="TJX1" s="1113"/>
      <c r="TJY1" s="1113"/>
      <c r="TJZ1" s="1113"/>
      <c r="TKA1" s="1113"/>
      <c r="TKB1" s="1113"/>
      <c r="TKC1" s="1113"/>
      <c r="TKD1" s="1113"/>
      <c r="TKE1" s="1113"/>
      <c r="TKF1" s="1113"/>
      <c r="TKG1" s="1113"/>
      <c r="TKH1" s="1113"/>
      <c r="TKI1" s="1113"/>
      <c r="TKJ1" s="1113"/>
      <c r="TKK1" s="1113"/>
      <c r="TKL1" s="1113"/>
      <c r="TKM1" s="1113"/>
      <c r="TKN1" s="1113"/>
      <c r="TKO1" s="1113"/>
      <c r="TKP1" s="1113"/>
      <c r="TKQ1" s="1113"/>
      <c r="TKR1" s="1113"/>
      <c r="TKS1" s="1113"/>
      <c r="TKT1" s="1113"/>
      <c r="TKU1" s="1113"/>
      <c r="TKV1" s="1113"/>
      <c r="TKW1" s="1113"/>
      <c r="TKX1" s="1113"/>
      <c r="TKY1" s="1113"/>
      <c r="TKZ1" s="1113"/>
      <c r="TLA1" s="1113"/>
      <c r="TLB1" s="1113"/>
      <c r="TLC1" s="1113"/>
      <c r="TLD1" s="1113"/>
      <c r="TLE1" s="1113"/>
      <c r="TLF1" s="1113"/>
      <c r="TLG1" s="1113"/>
      <c r="TLH1" s="1113"/>
      <c r="TLI1" s="1113"/>
      <c r="TLJ1" s="1113"/>
      <c r="TLK1" s="1113"/>
      <c r="TLL1" s="1113"/>
      <c r="TLM1" s="1113"/>
      <c r="TLN1" s="1113"/>
      <c r="TLO1" s="1113"/>
      <c r="TLP1" s="1113"/>
      <c r="TLQ1" s="1113"/>
      <c r="TLR1" s="1113"/>
      <c r="TLS1" s="1113"/>
      <c r="TLT1" s="1113"/>
      <c r="TLU1" s="1113"/>
      <c r="TLV1" s="1113"/>
      <c r="TLW1" s="1113"/>
      <c r="TLX1" s="1113"/>
      <c r="TLY1" s="1113"/>
      <c r="TLZ1" s="1113"/>
      <c r="TMA1" s="1113"/>
      <c r="TMB1" s="1113"/>
      <c r="TMC1" s="1113"/>
      <c r="TMD1" s="1113"/>
      <c r="TME1" s="1113"/>
      <c r="TMF1" s="1113"/>
      <c r="TMG1" s="1113"/>
      <c r="TMH1" s="1113"/>
      <c r="TMI1" s="1113"/>
      <c r="TMJ1" s="1113"/>
      <c r="TMK1" s="1113"/>
      <c r="TML1" s="1113"/>
      <c r="TMM1" s="1113"/>
      <c r="TMN1" s="1113"/>
      <c r="TMO1" s="1113"/>
      <c r="TMP1" s="1113"/>
      <c r="TMQ1" s="1113"/>
      <c r="TMR1" s="1113"/>
      <c r="TMS1" s="1113"/>
      <c r="TMT1" s="1113"/>
      <c r="TMU1" s="1113"/>
      <c r="TMV1" s="1113"/>
      <c r="TMW1" s="1113"/>
      <c r="TMX1" s="1113"/>
      <c r="TMY1" s="1113"/>
      <c r="TMZ1" s="1113"/>
      <c r="TNA1" s="1113"/>
      <c r="TNB1" s="1113"/>
      <c r="TNC1" s="1113"/>
      <c r="TND1" s="1113"/>
      <c r="TNE1" s="1113"/>
      <c r="TNF1" s="1113"/>
      <c r="TNG1" s="1113"/>
      <c r="TNH1" s="1113"/>
      <c r="TNI1" s="1113"/>
      <c r="TNJ1" s="1113"/>
      <c r="TNK1" s="1113"/>
      <c r="TNL1" s="1113"/>
      <c r="TNM1" s="1113"/>
      <c r="TNN1" s="1113"/>
      <c r="TNO1" s="1113"/>
      <c r="TNP1" s="1113"/>
      <c r="TNQ1" s="1113"/>
      <c r="TNR1" s="1113"/>
      <c r="TNS1" s="1113"/>
      <c r="TNT1" s="1113"/>
      <c r="TNU1" s="1113"/>
      <c r="TNV1" s="1113"/>
      <c r="TNW1" s="1113"/>
      <c r="TNX1" s="1113"/>
      <c r="TNY1" s="1113"/>
      <c r="TNZ1" s="1113"/>
      <c r="TOA1" s="1113"/>
      <c r="TOB1" s="1113"/>
      <c r="TOC1" s="1113"/>
      <c r="TOD1" s="1113"/>
      <c r="TOE1" s="1113"/>
      <c r="TOF1" s="1113"/>
      <c r="TOG1" s="1113"/>
      <c r="TOH1" s="1113"/>
      <c r="TOI1" s="1113"/>
      <c r="TOJ1" s="1113"/>
      <c r="TOK1" s="1113"/>
      <c r="TOL1" s="1113"/>
      <c r="TOM1" s="1113"/>
      <c r="TON1" s="1113"/>
      <c r="TOO1" s="1113"/>
      <c r="TOP1" s="1113"/>
      <c r="TOQ1" s="1113"/>
      <c r="TOR1" s="1113"/>
      <c r="TOS1" s="1113"/>
      <c r="TOT1" s="1113"/>
      <c r="TOU1" s="1113"/>
      <c r="TOV1" s="1113"/>
      <c r="TOW1" s="1113"/>
      <c r="TOX1" s="1113"/>
      <c r="TOY1" s="1113"/>
      <c r="TOZ1" s="1113"/>
      <c r="TPA1" s="1113"/>
      <c r="TPB1" s="1113"/>
      <c r="TPC1" s="1113"/>
      <c r="TPD1" s="1113"/>
      <c r="TPE1" s="1113"/>
      <c r="TPF1" s="1113"/>
      <c r="TPG1" s="1113"/>
      <c r="TPH1" s="1113"/>
      <c r="TPI1" s="1113"/>
      <c r="TPJ1" s="1113"/>
      <c r="TPK1" s="1113"/>
      <c r="TPL1" s="1113"/>
      <c r="TPM1" s="1113"/>
      <c r="TPN1" s="1113"/>
      <c r="TPO1" s="1113"/>
      <c r="TPP1" s="1113"/>
      <c r="TPQ1" s="1113"/>
      <c r="TPR1" s="1113"/>
      <c r="TPS1" s="1113"/>
      <c r="TPT1" s="1113"/>
      <c r="TPU1" s="1113"/>
      <c r="TPV1" s="1113"/>
      <c r="TPW1" s="1113"/>
      <c r="TPX1" s="1113"/>
      <c r="TPY1" s="1113"/>
      <c r="TPZ1" s="1113"/>
      <c r="TQA1" s="1113"/>
      <c r="TQB1" s="1113"/>
      <c r="TQC1" s="1113"/>
      <c r="TQD1" s="1113"/>
      <c r="TQE1" s="1113"/>
      <c r="TQF1" s="1113"/>
      <c r="TQG1" s="1113"/>
      <c r="TQH1" s="1113"/>
      <c r="TQI1" s="1113"/>
      <c r="TQJ1" s="1113"/>
      <c r="TQK1" s="1113"/>
      <c r="TQL1" s="1113"/>
      <c r="TQM1" s="1113"/>
      <c r="TQN1" s="1113"/>
      <c r="TQO1" s="1113"/>
      <c r="TQP1" s="1113"/>
      <c r="TQQ1" s="1113"/>
      <c r="TQR1" s="1113"/>
      <c r="TQS1" s="1113"/>
      <c r="TQT1" s="1113"/>
      <c r="TQU1" s="1113"/>
      <c r="TQV1" s="1113"/>
      <c r="TQW1" s="1113"/>
      <c r="TQX1" s="1113"/>
      <c r="TQY1" s="1113"/>
      <c r="TQZ1" s="1113"/>
      <c r="TRA1" s="1113"/>
      <c r="TRB1" s="1113"/>
      <c r="TRC1" s="1113"/>
      <c r="TRD1" s="1113"/>
      <c r="TRE1" s="1113"/>
      <c r="TRF1" s="1113"/>
      <c r="TRG1" s="1113"/>
      <c r="TRH1" s="1113"/>
      <c r="TRI1" s="1113"/>
      <c r="TRJ1" s="1113"/>
      <c r="TRK1" s="1113"/>
      <c r="TRL1" s="1113"/>
      <c r="TRM1" s="1113"/>
      <c r="TRN1" s="1113"/>
      <c r="TRO1" s="1113"/>
      <c r="TRP1" s="1113"/>
      <c r="TRQ1" s="1113"/>
      <c r="TRR1" s="1113"/>
      <c r="TRS1" s="1113"/>
      <c r="TRT1" s="1113"/>
      <c r="TRU1" s="1113"/>
      <c r="TRV1" s="1113"/>
      <c r="TRW1" s="1113"/>
      <c r="TRX1" s="1113"/>
      <c r="TRY1" s="1113"/>
      <c r="TRZ1" s="1113"/>
      <c r="TSA1" s="1113"/>
      <c r="TSB1" s="1113"/>
      <c r="TSC1" s="1113"/>
      <c r="TSD1" s="1113"/>
      <c r="TSE1" s="1113"/>
      <c r="TSF1" s="1113"/>
      <c r="TSG1" s="1113"/>
      <c r="TSH1" s="1113"/>
      <c r="TSI1" s="1113"/>
      <c r="TSJ1" s="1113"/>
      <c r="TSK1" s="1113"/>
      <c r="TSL1" s="1113"/>
      <c r="TSM1" s="1113"/>
      <c r="TSN1" s="1113"/>
      <c r="TSO1" s="1113"/>
      <c r="TSP1" s="1113"/>
      <c r="TSQ1" s="1113"/>
      <c r="TSR1" s="1113"/>
      <c r="TSS1" s="1113"/>
      <c r="TST1" s="1113"/>
      <c r="TSU1" s="1113"/>
      <c r="TSV1" s="1113"/>
      <c r="TSW1" s="1113"/>
      <c r="TSX1" s="1113"/>
      <c r="TSY1" s="1113"/>
      <c r="TSZ1" s="1113"/>
      <c r="TTA1" s="1113"/>
      <c r="TTB1" s="1113"/>
      <c r="TTC1" s="1113"/>
      <c r="TTD1" s="1113"/>
      <c r="TTE1" s="1113"/>
      <c r="TTF1" s="1113"/>
      <c r="TTG1" s="1113"/>
      <c r="TTH1" s="1113"/>
      <c r="TTI1" s="1113"/>
      <c r="TTJ1" s="1113"/>
      <c r="TTK1" s="1113"/>
      <c r="TTL1" s="1113"/>
      <c r="TTM1" s="1113"/>
      <c r="TTN1" s="1113"/>
      <c r="TTO1" s="1113"/>
      <c r="TTP1" s="1113"/>
      <c r="TTQ1" s="1113"/>
      <c r="TTR1" s="1113"/>
      <c r="TTS1" s="1113"/>
      <c r="TTT1" s="1113"/>
      <c r="TTU1" s="1113"/>
      <c r="TTV1" s="1113"/>
      <c r="TTW1" s="1113"/>
      <c r="TTX1" s="1113"/>
      <c r="TTY1" s="1113"/>
      <c r="TTZ1" s="1113"/>
      <c r="TUA1" s="1113"/>
      <c r="TUB1" s="1113"/>
      <c r="TUC1" s="1113"/>
      <c r="TUD1" s="1113"/>
      <c r="TUE1" s="1113"/>
      <c r="TUF1" s="1113"/>
      <c r="TUG1" s="1113"/>
      <c r="TUH1" s="1113"/>
      <c r="TUI1" s="1113"/>
      <c r="TUJ1" s="1113"/>
      <c r="TUK1" s="1113"/>
      <c r="TUL1" s="1113"/>
      <c r="TUM1" s="1113"/>
      <c r="TUN1" s="1113"/>
      <c r="TUO1" s="1113"/>
      <c r="TUP1" s="1113"/>
      <c r="TUQ1" s="1113"/>
      <c r="TUR1" s="1113"/>
      <c r="TUS1" s="1113"/>
      <c r="TUT1" s="1113"/>
      <c r="TUU1" s="1113"/>
      <c r="TUV1" s="1113"/>
      <c r="TUW1" s="1113"/>
      <c r="TUX1" s="1113"/>
      <c r="TUY1" s="1113"/>
      <c r="TUZ1" s="1113"/>
      <c r="TVA1" s="1113"/>
      <c r="TVB1" s="1113"/>
      <c r="TVC1" s="1113"/>
      <c r="TVD1" s="1113"/>
      <c r="TVE1" s="1113"/>
      <c r="TVF1" s="1113"/>
      <c r="TVG1" s="1113"/>
      <c r="TVH1" s="1113"/>
      <c r="TVI1" s="1113"/>
      <c r="TVJ1" s="1113"/>
      <c r="TVK1" s="1113"/>
      <c r="TVL1" s="1113"/>
      <c r="TVM1" s="1113"/>
      <c r="TVN1" s="1113"/>
      <c r="TVO1" s="1113"/>
      <c r="TVP1" s="1113"/>
      <c r="TVQ1" s="1113"/>
      <c r="TVR1" s="1113"/>
      <c r="TVS1" s="1113"/>
      <c r="TVT1" s="1113"/>
      <c r="TVU1" s="1113"/>
      <c r="TVV1" s="1113"/>
      <c r="TVW1" s="1113"/>
      <c r="TVX1" s="1113"/>
      <c r="TVY1" s="1113"/>
      <c r="TVZ1" s="1113"/>
      <c r="TWA1" s="1113"/>
      <c r="TWB1" s="1113"/>
      <c r="TWC1" s="1113"/>
      <c r="TWD1" s="1113"/>
      <c r="TWE1" s="1113"/>
      <c r="TWF1" s="1113"/>
      <c r="TWG1" s="1113"/>
      <c r="TWH1" s="1113"/>
      <c r="TWI1" s="1113"/>
      <c r="TWJ1" s="1113"/>
      <c r="TWK1" s="1113"/>
      <c r="TWL1" s="1113"/>
      <c r="TWM1" s="1113"/>
      <c r="TWN1" s="1113"/>
      <c r="TWO1" s="1113"/>
      <c r="TWP1" s="1113"/>
      <c r="TWQ1" s="1113"/>
      <c r="TWR1" s="1113"/>
      <c r="TWS1" s="1113"/>
      <c r="TWT1" s="1113"/>
      <c r="TWU1" s="1113"/>
      <c r="TWV1" s="1113"/>
      <c r="TWW1" s="1113"/>
      <c r="TWX1" s="1113"/>
      <c r="TWY1" s="1113"/>
      <c r="TWZ1" s="1113"/>
      <c r="TXA1" s="1113"/>
      <c r="TXB1" s="1113"/>
      <c r="TXC1" s="1113"/>
      <c r="TXD1" s="1113"/>
      <c r="TXE1" s="1113"/>
      <c r="TXF1" s="1113"/>
      <c r="TXG1" s="1113"/>
      <c r="TXH1" s="1113"/>
      <c r="TXI1" s="1113"/>
      <c r="TXJ1" s="1113"/>
      <c r="TXK1" s="1113"/>
      <c r="TXL1" s="1113"/>
      <c r="TXM1" s="1113"/>
      <c r="TXN1" s="1113"/>
      <c r="TXO1" s="1113"/>
      <c r="TXP1" s="1113"/>
      <c r="TXQ1" s="1113"/>
      <c r="TXR1" s="1113"/>
      <c r="TXS1" s="1113"/>
      <c r="TXT1" s="1113"/>
      <c r="TXU1" s="1113"/>
      <c r="TXV1" s="1113"/>
      <c r="TXW1" s="1113"/>
      <c r="TXX1" s="1113"/>
      <c r="TXY1" s="1113"/>
      <c r="TXZ1" s="1113"/>
      <c r="TYA1" s="1113"/>
      <c r="TYB1" s="1113"/>
      <c r="TYC1" s="1113"/>
      <c r="TYD1" s="1113"/>
      <c r="TYE1" s="1113"/>
      <c r="TYF1" s="1113"/>
      <c r="TYG1" s="1113"/>
      <c r="TYH1" s="1113"/>
      <c r="TYI1" s="1113"/>
      <c r="TYJ1" s="1113"/>
      <c r="TYK1" s="1113"/>
      <c r="TYL1" s="1113"/>
      <c r="TYM1" s="1113"/>
      <c r="TYN1" s="1113"/>
      <c r="TYO1" s="1113"/>
      <c r="TYP1" s="1113"/>
      <c r="TYQ1" s="1113"/>
      <c r="TYR1" s="1113"/>
      <c r="TYS1" s="1113"/>
      <c r="TYT1" s="1113"/>
      <c r="TYU1" s="1113"/>
      <c r="TYV1" s="1113"/>
      <c r="TYW1" s="1113"/>
      <c r="TYX1" s="1113"/>
      <c r="TYY1" s="1113"/>
      <c r="TYZ1" s="1113"/>
      <c r="TZA1" s="1113"/>
      <c r="TZB1" s="1113"/>
      <c r="TZC1" s="1113"/>
      <c r="TZD1" s="1113"/>
      <c r="TZE1" s="1113"/>
      <c r="TZF1" s="1113"/>
      <c r="TZG1" s="1113"/>
      <c r="TZH1" s="1113"/>
      <c r="TZI1" s="1113"/>
      <c r="TZJ1" s="1113"/>
      <c r="TZK1" s="1113"/>
      <c r="TZL1" s="1113"/>
      <c r="TZM1" s="1113"/>
      <c r="TZN1" s="1113"/>
      <c r="TZO1" s="1113"/>
      <c r="TZP1" s="1113"/>
      <c r="TZQ1" s="1113"/>
      <c r="TZR1" s="1113"/>
      <c r="TZS1" s="1113"/>
      <c r="TZT1" s="1113"/>
      <c r="TZU1" s="1113"/>
      <c r="TZV1" s="1113"/>
      <c r="TZW1" s="1113"/>
      <c r="TZX1" s="1113"/>
      <c r="TZY1" s="1113"/>
      <c r="TZZ1" s="1113"/>
      <c r="UAA1" s="1113"/>
      <c r="UAB1" s="1113"/>
      <c r="UAC1" s="1113"/>
      <c r="UAD1" s="1113"/>
      <c r="UAE1" s="1113"/>
      <c r="UAF1" s="1113"/>
      <c r="UAG1" s="1113"/>
      <c r="UAH1" s="1113"/>
      <c r="UAI1" s="1113"/>
      <c r="UAJ1" s="1113"/>
      <c r="UAK1" s="1113"/>
      <c r="UAL1" s="1113"/>
      <c r="UAM1" s="1113"/>
      <c r="UAN1" s="1113"/>
      <c r="UAO1" s="1113"/>
      <c r="UAP1" s="1113"/>
      <c r="UAQ1" s="1113"/>
      <c r="UAR1" s="1113"/>
      <c r="UAS1" s="1113"/>
      <c r="UAT1" s="1113"/>
      <c r="UAU1" s="1113"/>
      <c r="UAV1" s="1113"/>
      <c r="UAW1" s="1113"/>
      <c r="UAX1" s="1113"/>
      <c r="UAY1" s="1113"/>
      <c r="UAZ1" s="1113"/>
      <c r="UBA1" s="1113"/>
      <c r="UBB1" s="1113"/>
      <c r="UBC1" s="1113"/>
      <c r="UBD1" s="1113"/>
      <c r="UBE1" s="1113"/>
      <c r="UBF1" s="1113"/>
      <c r="UBG1" s="1113"/>
      <c r="UBH1" s="1113"/>
      <c r="UBI1" s="1113"/>
      <c r="UBJ1" s="1113"/>
      <c r="UBK1" s="1113"/>
      <c r="UBL1" s="1113"/>
      <c r="UBM1" s="1113"/>
      <c r="UBN1" s="1113"/>
      <c r="UBO1" s="1113"/>
      <c r="UBP1" s="1113"/>
      <c r="UBQ1" s="1113"/>
      <c r="UBR1" s="1113"/>
      <c r="UBS1" s="1113"/>
      <c r="UBT1" s="1113"/>
      <c r="UBU1" s="1113"/>
      <c r="UBV1" s="1113"/>
      <c r="UBW1" s="1113"/>
      <c r="UBX1" s="1113"/>
      <c r="UBY1" s="1113"/>
      <c r="UBZ1" s="1113"/>
      <c r="UCA1" s="1113"/>
      <c r="UCB1" s="1113"/>
      <c r="UCC1" s="1113"/>
      <c r="UCD1" s="1113"/>
      <c r="UCE1" s="1113"/>
      <c r="UCF1" s="1113"/>
      <c r="UCG1" s="1113"/>
      <c r="UCH1" s="1113"/>
      <c r="UCI1" s="1113"/>
      <c r="UCJ1" s="1113"/>
      <c r="UCK1" s="1113"/>
      <c r="UCL1" s="1113"/>
      <c r="UCM1" s="1113"/>
      <c r="UCN1" s="1113"/>
      <c r="UCO1" s="1113"/>
      <c r="UCP1" s="1113"/>
      <c r="UCQ1" s="1113"/>
      <c r="UCR1" s="1113"/>
      <c r="UCS1" s="1113"/>
      <c r="UCT1" s="1113"/>
      <c r="UCU1" s="1113"/>
      <c r="UCV1" s="1113"/>
      <c r="UCW1" s="1113"/>
      <c r="UCX1" s="1113"/>
      <c r="UCY1" s="1113"/>
      <c r="UCZ1" s="1113"/>
      <c r="UDA1" s="1113"/>
      <c r="UDB1" s="1113"/>
      <c r="UDC1" s="1113"/>
      <c r="UDD1" s="1113"/>
      <c r="UDE1" s="1113"/>
      <c r="UDF1" s="1113"/>
      <c r="UDG1" s="1113"/>
      <c r="UDH1" s="1113"/>
      <c r="UDI1" s="1113"/>
      <c r="UDJ1" s="1113"/>
      <c r="UDK1" s="1113"/>
      <c r="UDL1" s="1113"/>
      <c r="UDM1" s="1113"/>
      <c r="UDN1" s="1113"/>
      <c r="UDO1" s="1113"/>
      <c r="UDP1" s="1113"/>
      <c r="UDQ1" s="1113"/>
      <c r="UDR1" s="1113"/>
      <c r="UDS1" s="1113"/>
      <c r="UDT1" s="1113"/>
      <c r="UDU1" s="1113"/>
      <c r="UDV1" s="1113"/>
      <c r="UDW1" s="1113"/>
      <c r="UDX1" s="1113"/>
      <c r="UDY1" s="1113"/>
      <c r="UDZ1" s="1113"/>
      <c r="UEA1" s="1113"/>
      <c r="UEB1" s="1113"/>
      <c r="UEC1" s="1113"/>
      <c r="UED1" s="1113"/>
      <c r="UEE1" s="1113"/>
      <c r="UEF1" s="1113"/>
      <c r="UEG1" s="1113"/>
      <c r="UEH1" s="1113"/>
      <c r="UEI1" s="1113"/>
      <c r="UEJ1" s="1113"/>
      <c r="UEK1" s="1113"/>
      <c r="UEL1" s="1113"/>
      <c r="UEM1" s="1113"/>
      <c r="UEN1" s="1113"/>
      <c r="UEO1" s="1113"/>
      <c r="UEP1" s="1113"/>
      <c r="UEQ1" s="1113"/>
      <c r="UER1" s="1113"/>
      <c r="UES1" s="1113"/>
      <c r="UET1" s="1113"/>
      <c r="UEU1" s="1113"/>
      <c r="UEV1" s="1113"/>
      <c r="UEW1" s="1113"/>
      <c r="UEX1" s="1113"/>
      <c r="UEY1" s="1113"/>
      <c r="UEZ1" s="1113"/>
      <c r="UFA1" s="1113"/>
      <c r="UFB1" s="1113"/>
      <c r="UFC1" s="1113"/>
      <c r="UFD1" s="1113"/>
      <c r="UFE1" s="1113"/>
      <c r="UFF1" s="1113"/>
      <c r="UFG1" s="1113"/>
      <c r="UFH1" s="1113"/>
      <c r="UFI1" s="1113"/>
      <c r="UFJ1" s="1113"/>
      <c r="UFK1" s="1113"/>
      <c r="UFL1" s="1113"/>
      <c r="UFM1" s="1113"/>
      <c r="UFN1" s="1113"/>
      <c r="UFO1" s="1113"/>
      <c r="UFP1" s="1113"/>
      <c r="UFQ1" s="1113"/>
      <c r="UFR1" s="1113"/>
      <c r="UFS1" s="1113"/>
      <c r="UFT1" s="1113"/>
      <c r="UFU1" s="1113"/>
      <c r="UFV1" s="1113"/>
      <c r="UFW1" s="1113"/>
      <c r="UFX1" s="1113"/>
      <c r="UFY1" s="1113"/>
      <c r="UFZ1" s="1113"/>
      <c r="UGA1" s="1113"/>
      <c r="UGB1" s="1113"/>
      <c r="UGC1" s="1113"/>
      <c r="UGD1" s="1113"/>
      <c r="UGE1" s="1113"/>
      <c r="UGF1" s="1113"/>
      <c r="UGG1" s="1113"/>
      <c r="UGH1" s="1113"/>
      <c r="UGI1" s="1113"/>
      <c r="UGJ1" s="1113"/>
      <c r="UGK1" s="1113"/>
      <c r="UGL1" s="1113"/>
      <c r="UGM1" s="1113"/>
      <c r="UGN1" s="1113"/>
      <c r="UGO1" s="1113"/>
      <c r="UGP1" s="1113"/>
      <c r="UGQ1" s="1113"/>
      <c r="UGR1" s="1113"/>
      <c r="UGS1" s="1113"/>
      <c r="UGT1" s="1113"/>
      <c r="UGU1" s="1113"/>
      <c r="UGV1" s="1113"/>
      <c r="UGW1" s="1113"/>
      <c r="UGX1" s="1113"/>
      <c r="UGY1" s="1113"/>
      <c r="UGZ1" s="1113"/>
      <c r="UHA1" s="1113"/>
      <c r="UHB1" s="1113"/>
      <c r="UHC1" s="1113"/>
      <c r="UHD1" s="1113"/>
      <c r="UHE1" s="1113"/>
      <c r="UHF1" s="1113"/>
      <c r="UHG1" s="1113"/>
      <c r="UHH1" s="1113"/>
      <c r="UHI1" s="1113"/>
      <c r="UHJ1" s="1113"/>
      <c r="UHK1" s="1113"/>
      <c r="UHL1" s="1113"/>
      <c r="UHM1" s="1113"/>
      <c r="UHN1" s="1113"/>
      <c r="UHO1" s="1113"/>
      <c r="UHP1" s="1113"/>
      <c r="UHQ1" s="1113"/>
      <c r="UHR1" s="1113"/>
      <c r="UHS1" s="1113"/>
      <c r="UHT1" s="1113"/>
      <c r="UHU1" s="1113"/>
      <c r="UHV1" s="1113"/>
      <c r="UHW1" s="1113"/>
      <c r="UHX1" s="1113"/>
      <c r="UHY1" s="1113"/>
      <c r="UHZ1" s="1113"/>
      <c r="UIA1" s="1113"/>
      <c r="UIB1" s="1113"/>
      <c r="UIC1" s="1113"/>
      <c r="UID1" s="1113"/>
      <c r="UIE1" s="1113"/>
      <c r="UIF1" s="1113"/>
      <c r="UIG1" s="1113"/>
      <c r="UIH1" s="1113"/>
      <c r="UII1" s="1113"/>
      <c r="UIJ1" s="1113"/>
      <c r="UIK1" s="1113"/>
      <c r="UIL1" s="1113"/>
      <c r="UIM1" s="1113"/>
      <c r="UIN1" s="1113"/>
      <c r="UIO1" s="1113"/>
      <c r="UIP1" s="1113"/>
      <c r="UIQ1" s="1113"/>
      <c r="UIR1" s="1113"/>
      <c r="UIS1" s="1113"/>
      <c r="UIT1" s="1113"/>
      <c r="UIU1" s="1113"/>
      <c r="UIV1" s="1113"/>
      <c r="UIW1" s="1113"/>
      <c r="UIX1" s="1113"/>
      <c r="UIY1" s="1113"/>
      <c r="UIZ1" s="1113"/>
      <c r="UJA1" s="1113"/>
      <c r="UJB1" s="1113"/>
      <c r="UJC1" s="1113"/>
      <c r="UJD1" s="1113"/>
      <c r="UJE1" s="1113"/>
      <c r="UJF1" s="1113"/>
      <c r="UJG1" s="1113"/>
      <c r="UJH1" s="1113"/>
      <c r="UJI1" s="1113"/>
      <c r="UJJ1" s="1113"/>
      <c r="UJK1" s="1113"/>
      <c r="UJL1" s="1113"/>
      <c r="UJM1" s="1113"/>
      <c r="UJN1" s="1113"/>
      <c r="UJO1" s="1113"/>
      <c r="UJP1" s="1113"/>
      <c r="UJQ1" s="1113"/>
      <c r="UJR1" s="1113"/>
      <c r="UJS1" s="1113"/>
      <c r="UJT1" s="1113"/>
      <c r="UJU1" s="1113"/>
      <c r="UJV1" s="1113"/>
      <c r="UJW1" s="1113"/>
      <c r="UJX1" s="1113"/>
      <c r="UJY1" s="1113"/>
      <c r="UJZ1" s="1113"/>
      <c r="UKA1" s="1113"/>
      <c r="UKB1" s="1113"/>
      <c r="UKC1" s="1113"/>
      <c r="UKD1" s="1113"/>
      <c r="UKE1" s="1113"/>
      <c r="UKF1" s="1113"/>
      <c r="UKG1" s="1113"/>
      <c r="UKH1" s="1113"/>
      <c r="UKI1" s="1113"/>
      <c r="UKJ1" s="1113"/>
      <c r="UKK1" s="1113"/>
      <c r="UKL1" s="1113"/>
      <c r="UKM1" s="1113"/>
      <c r="UKN1" s="1113"/>
      <c r="UKO1" s="1113"/>
      <c r="UKP1" s="1113"/>
      <c r="UKQ1" s="1113"/>
      <c r="UKR1" s="1113"/>
      <c r="UKS1" s="1113"/>
      <c r="UKT1" s="1113"/>
      <c r="UKU1" s="1113"/>
      <c r="UKV1" s="1113"/>
      <c r="UKW1" s="1113"/>
      <c r="UKX1" s="1113"/>
      <c r="UKY1" s="1113"/>
      <c r="UKZ1" s="1113"/>
      <c r="ULA1" s="1113"/>
      <c r="ULB1" s="1113"/>
      <c r="ULC1" s="1113"/>
      <c r="ULD1" s="1113"/>
      <c r="ULE1" s="1113"/>
      <c r="ULF1" s="1113"/>
      <c r="ULG1" s="1113"/>
      <c r="ULH1" s="1113"/>
      <c r="ULI1" s="1113"/>
      <c r="ULJ1" s="1113"/>
      <c r="ULK1" s="1113"/>
      <c r="ULL1" s="1113"/>
      <c r="ULM1" s="1113"/>
      <c r="ULN1" s="1113"/>
      <c r="ULO1" s="1113"/>
      <c r="ULP1" s="1113"/>
      <c r="ULQ1" s="1113"/>
      <c r="ULR1" s="1113"/>
      <c r="ULS1" s="1113"/>
      <c r="ULT1" s="1113"/>
      <c r="ULU1" s="1113"/>
      <c r="ULV1" s="1113"/>
      <c r="ULW1" s="1113"/>
      <c r="ULX1" s="1113"/>
      <c r="ULY1" s="1113"/>
      <c r="ULZ1" s="1113"/>
      <c r="UMA1" s="1113"/>
      <c r="UMB1" s="1113"/>
      <c r="UMC1" s="1113"/>
      <c r="UMD1" s="1113"/>
      <c r="UME1" s="1113"/>
      <c r="UMF1" s="1113"/>
      <c r="UMG1" s="1113"/>
      <c r="UMH1" s="1113"/>
      <c r="UMI1" s="1113"/>
      <c r="UMJ1" s="1113"/>
      <c r="UMK1" s="1113"/>
      <c r="UML1" s="1113"/>
      <c r="UMM1" s="1113"/>
      <c r="UMN1" s="1113"/>
      <c r="UMO1" s="1113"/>
      <c r="UMP1" s="1113"/>
      <c r="UMQ1" s="1113"/>
      <c r="UMR1" s="1113"/>
      <c r="UMS1" s="1113"/>
      <c r="UMT1" s="1113"/>
      <c r="UMU1" s="1113"/>
      <c r="UMV1" s="1113"/>
      <c r="UMW1" s="1113"/>
      <c r="UMX1" s="1113"/>
      <c r="UMY1" s="1113"/>
      <c r="UMZ1" s="1113"/>
      <c r="UNA1" s="1113"/>
      <c r="UNB1" s="1113"/>
      <c r="UNC1" s="1113"/>
      <c r="UND1" s="1113"/>
      <c r="UNE1" s="1113"/>
      <c r="UNF1" s="1113"/>
      <c r="UNG1" s="1113"/>
      <c r="UNH1" s="1113"/>
      <c r="UNI1" s="1113"/>
      <c r="UNJ1" s="1113"/>
      <c r="UNK1" s="1113"/>
      <c r="UNL1" s="1113"/>
      <c r="UNM1" s="1113"/>
      <c r="UNN1" s="1113"/>
      <c r="UNO1" s="1113"/>
      <c r="UNP1" s="1113"/>
      <c r="UNQ1" s="1113"/>
      <c r="UNR1" s="1113"/>
      <c r="UNS1" s="1113"/>
      <c r="UNT1" s="1113"/>
      <c r="UNU1" s="1113"/>
      <c r="UNV1" s="1113"/>
      <c r="UNW1" s="1113"/>
      <c r="UNX1" s="1113"/>
      <c r="UNY1" s="1113"/>
      <c r="UNZ1" s="1113"/>
      <c r="UOA1" s="1113"/>
      <c r="UOB1" s="1113"/>
      <c r="UOC1" s="1113"/>
      <c r="UOD1" s="1113"/>
      <c r="UOE1" s="1113"/>
      <c r="UOF1" s="1113"/>
      <c r="UOG1" s="1113"/>
      <c r="UOH1" s="1113"/>
      <c r="UOI1" s="1113"/>
      <c r="UOJ1" s="1113"/>
      <c r="UOK1" s="1113"/>
      <c r="UOL1" s="1113"/>
      <c r="UOM1" s="1113"/>
      <c r="UON1" s="1113"/>
      <c r="UOO1" s="1113"/>
      <c r="UOP1" s="1113"/>
      <c r="UOQ1" s="1113"/>
      <c r="UOR1" s="1113"/>
      <c r="UOS1" s="1113"/>
      <c r="UOT1" s="1113"/>
      <c r="UOU1" s="1113"/>
      <c r="UOV1" s="1113"/>
      <c r="UOW1" s="1113"/>
      <c r="UOX1" s="1113"/>
      <c r="UOY1" s="1113"/>
      <c r="UOZ1" s="1113"/>
      <c r="UPA1" s="1113"/>
      <c r="UPB1" s="1113"/>
      <c r="UPC1" s="1113"/>
      <c r="UPD1" s="1113"/>
      <c r="UPE1" s="1113"/>
      <c r="UPF1" s="1113"/>
      <c r="UPG1" s="1113"/>
      <c r="UPH1" s="1113"/>
      <c r="UPI1" s="1113"/>
      <c r="UPJ1" s="1113"/>
      <c r="UPK1" s="1113"/>
      <c r="UPL1" s="1113"/>
      <c r="UPM1" s="1113"/>
      <c r="UPN1" s="1113"/>
      <c r="UPO1" s="1113"/>
      <c r="UPP1" s="1113"/>
      <c r="UPQ1" s="1113"/>
      <c r="UPR1" s="1113"/>
      <c r="UPS1" s="1113"/>
      <c r="UPT1" s="1113"/>
      <c r="UPU1" s="1113"/>
      <c r="UPV1" s="1113"/>
      <c r="UPW1" s="1113"/>
      <c r="UPX1" s="1113"/>
      <c r="UPY1" s="1113"/>
      <c r="UPZ1" s="1113"/>
      <c r="UQA1" s="1113"/>
      <c r="UQB1" s="1113"/>
      <c r="UQC1" s="1113"/>
      <c r="UQD1" s="1113"/>
      <c r="UQE1" s="1113"/>
      <c r="UQF1" s="1113"/>
      <c r="UQG1" s="1113"/>
      <c r="UQH1" s="1113"/>
      <c r="UQI1" s="1113"/>
      <c r="UQJ1" s="1113"/>
      <c r="UQK1" s="1113"/>
      <c r="UQL1" s="1113"/>
      <c r="UQM1" s="1113"/>
      <c r="UQN1" s="1113"/>
      <c r="UQO1" s="1113"/>
      <c r="UQP1" s="1113"/>
      <c r="UQQ1" s="1113"/>
      <c r="UQR1" s="1113"/>
      <c r="UQS1" s="1113"/>
      <c r="UQT1" s="1113"/>
      <c r="UQU1" s="1113"/>
      <c r="UQV1" s="1113"/>
      <c r="UQW1" s="1113"/>
      <c r="UQX1" s="1113"/>
      <c r="UQY1" s="1113"/>
      <c r="UQZ1" s="1113"/>
      <c r="URA1" s="1113"/>
      <c r="URB1" s="1113"/>
      <c r="URC1" s="1113"/>
      <c r="URD1" s="1113"/>
      <c r="URE1" s="1113"/>
      <c r="URF1" s="1113"/>
      <c r="URG1" s="1113"/>
      <c r="URH1" s="1113"/>
      <c r="URI1" s="1113"/>
      <c r="URJ1" s="1113"/>
      <c r="URK1" s="1113"/>
      <c r="URL1" s="1113"/>
      <c r="URM1" s="1113"/>
      <c r="URN1" s="1113"/>
      <c r="URO1" s="1113"/>
      <c r="URP1" s="1113"/>
      <c r="URQ1" s="1113"/>
      <c r="URR1" s="1113"/>
      <c r="URS1" s="1113"/>
      <c r="URT1" s="1113"/>
      <c r="URU1" s="1113"/>
      <c r="URV1" s="1113"/>
      <c r="URW1" s="1113"/>
      <c r="URX1" s="1113"/>
      <c r="URY1" s="1113"/>
      <c r="URZ1" s="1113"/>
      <c r="USA1" s="1113"/>
      <c r="USB1" s="1113"/>
      <c r="USC1" s="1113"/>
      <c r="USD1" s="1113"/>
      <c r="USE1" s="1113"/>
      <c r="USF1" s="1113"/>
      <c r="USG1" s="1113"/>
      <c r="USH1" s="1113"/>
      <c r="USI1" s="1113"/>
      <c r="USJ1" s="1113"/>
      <c r="USK1" s="1113"/>
      <c r="USL1" s="1113"/>
      <c r="USM1" s="1113"/>
      <c r="USN1" s="1113"/>
      <c r="USO1" s="1113"/>
      <c r="USP1" s="1113"/>
      <c r="USQ1" s="1113"/>
      <c r="USR1" s="1113"/>
      <c r="USS1" s="1113"/>
      <c r="UST1" s="1113"/>
      <c r="USU1" s="1113"/>
      <c r="USV1" s="1113"/>
      <c r="USW1" s="1113"/>
      <c r="USX1" s="1113"/>
      <c r="USY1" s="1113"/>
      <c r="USZ1" s="1113"/>
      <c r="UTA1" s="1113"/>
      <c r="UTB1" s="1113"/>
      <c r="UTC1" s="1113"/>
      <c r="UTD1" s="1113"/>
      <c r="UTE1" s="1113"/>
      <c r="UTF1" s="1113"/>
      <c r="UTG1" s="1113"/>
      <c r="UTH1" s="1113"/>
      <c r="UTI1" s="1113"/>
      <c r="UTJ1" s="1113"/>
      <c r="UTK1" s="1113"/>
      <c r="UTL1" s="1113"/>
      <c r="UTM1" s="1113"/>
      <c r="UTN1" s="1113"/>
      <c r="UTO1" s="1113"/>
      <c r="UTP1" s="1113"/>
      <c r="UTQ1" s="1113"/>
      <c r="UTR1" s="1113"/>
      <c r="UTS1" s="1113"/>
      <c r="UTT1" s="1113"/>
      <c r="UTU1" s="1113"/>
      <c r="UTV1" s="1113"/>
      <c r="UTW1" s="1113"/>
      <c r="UTX1" s="1113"/>
      <c r="UTY1" s="1113"/>
      <c r="UTZ1" s="1113"/>
      <c r="UUA1" s="1113"/>
      <c r="UUB1" s="1113"/>
      <c r="UUC1" s="1113"/>
      <c r="UUD1" s="1113"/>
      <c r="UUE1" s="1113"/>
      <c r="UUF1" s="1113"/>
      <c r="UUG1" s="1113"/>
      <c r="UUH1" s="1113"/>
      <c r="UUI1" s="1113"/>
      <c r="UUJ1" s="1113"/>
      <c r="UUK1" s="1113"/>
      <c r="UUL1" s="1113"/>
      <c r="UUM1" s="1113"/>
      <c r="UUN1" s="1113"/>
      <c r="UUO1" s="1113"/>
      <c r="UUP1" s="1113"/>
      <c r="UUQ1" s="1113"/>
      <c r="UUR1" s="1113"/>
      <c r="UUS1" s="1113"/>
      <c r="UUT1" s="1113"/>
      <c r="UUU1" s="1113"/>
      <c r="UUV1" s="1113"/>
      <c r="UUW1" s="1113"/>
      <c r="UUX1" s="1113"/>
      <c r="UUY1" s="1113"/>
      <c r="UUZ1" s="1113"/>
      <c r="UVA1" s="1113"/>
      <c r="UVB1" s="1113"/>
      <c r="UVC1" s="1113"/>
      <c r="UVD1" s="1113"/>
      <c r="UVE1" s="1113"/>
      <c r="UVF1" s="1113"/>
      <c r="UVG1" s="1113"/>
      <c r="UVH1" s="1113"/>
      <c r="UVI1" s="1113"/>
      <c r="UVJ1" s="1113"/>
      <c r="UVK1" s="1113"/>
      <c r="UVL1" s="1113"/>
      <c r="UVM1" s="1113"/>
      <c r="UVN1" s="1113"/>
      <c r="UVO1" s="1113"/>
      <c r="UVP1" s="1113"/>
      <c r="UVQ1" s="1113"/>
      <c r="UVR1" s="1113"/>
      <c r="UVS1" s="1113"/>
      <c r="UVT1" s="1113"/>
      <c r="UVU1" s="1113"/>
      <c r="UVV1" s="1113"/>
      <c r="UVW1" s="1113"/>
      <c r="UVX1" s="1113"/>
      <c r="UVY1" s="1113"/>
      <c r="UVZ1" s="1113"/>
      <c r="UWA1" s="1113"/>
      <c r="UWB1" s="1113"/>
      <c r="UWC1" s="1113"/>
      <c r="UWD1" s="1113"/>
      <c r="UWE1" s="1113"/>
      <c r="UWF1" s="1113"/>
      <c r="UWG1" s="1113"/>
      <c r="UWH1" s="1113"/>
      <c r="UWI1" s="1113"/>
      <c r="UWJ1" s="1113"/>
      <c r="UWK1" s="1113"/>
      <c r="UWL1" s="1113"/>
      <c r="UWM1" s="1113"/>
      <c r="UWN1" s="1113"/>
      <c r="UWO1" s="1113"/>
      <c r="UWP1" s="1113"/>
      <c r="UWQ1" s="1113"/>
      <c r="UWR1" s="1113"/>
      <c r="UWS1" s="1113"/>
      <c r="UWT1" s="1113"/>
      <c r="UWU1" s="1113"/>
      <c r="UWV1" s="1113"/>
      <c r="UWW1" s="1113"/>
      <c r="UWX1" s="1113"/>
      <c r="UWY1" s="1113"/>
      <c r="UWZ1" s="1113"/>
      <c r="UXA1" s="1113"/>
      <c r="UXB1" s="1113"/>
      <c r="UXC1" s="1113"/>
      <c r="UXD1" s="1113"/>
      <c r="UXE1" s="1113"/>
      <c r="UXF1" s="1113"/>
      <c r="UXG1" s="1113"/>
      <c r="UXH1" s="1113"/>
      <c r="UXI1" s="1113"/>
      <c r="UXJ1" s="1113"/>
      <c r="UXK1" s="1113"/>
      <c r="UXL1" s="1113"/>
      <c r="UXM1" s="1113"/>
      <c r="UXN1" s="1113"/>
      <c r="UXO1" s="1113"/>
      <c r="UXP1" s="1113"/>
      <c r="UXQ1" s="1113"/>
      <c r="UXR1" s="1113"/>
      <c r="UXS1" s="1113"/>
      <c r="UXT1" s="1113"/>
      <c r="UXU1" s="1113"/>
      <c r="UXV1" s="1113"/>
      <c r="UXW1" s="1113"/>
      <c r="UXX1" s="1113"/>
      <c r="UXY1" s="1113"/>
      <c r="UXZ1" s="1113"/>
      <c r="UYA1" s="1113"/>
      <c r="UYB1" s="1113"/>
      <c r="UYC1" s="1113"/>
      <c r="UYD1" s="1113"/>
      <c r="UYE1" s="1113"/>
      <c r="UYF1" s="1113"/>
      <c r="UYG1" s="1113"/>
      <c r="UYH1" s="1113"/>
      <c r="UYI1" s="1113"/>
      <c r="UYJ1" s="1113"/>
      <c r="UYK1" s="1113"/>
      <c r="UYL1" s="1113"/>
      <c r="UYM1" s="1113"/>
      <c r="UYN1" s="1113"/>
      <c r="UYO1" s="1113"/>
      <c r="UYP1" s="1113"/>
      <c r="UYQ1" s="1113"/>
      <c r="UYR1" s="1113"/>
      <c r="UYS1" s="1113"/>
      <c r="UYT1" s="1113"/>
      <c r="UYU1" s="1113"/>
      <c r="UYV1" s="1113"/>
      <c r="UYW1" s="1113"/>
      <c r="UYX1" s="1113"/>
      <c r="UYY1" s="1113"/>
      <c r="UYZ1" s="1113"/>
      <c r="UZA1" s="1113"/>
      <c r="UZB1" s="1113"/>
      <c r="UZC1" s="1113"/>
      <c r="UZD1" s="1113"/>
      <c r="UZE1" s="1113"/>
      <c r="UZF1" s="1113"/>
      <c r="UZG1" s="1113"/>
      <c r="UZH1" s="1113"/>
      <c r="UZI1" s="1113"/>
      <c r="UZJ1" s="1113"/>
      <c r="UZK1" s="1113"/>
      <c r="UZL1" s="1113"/>
      <c r="UZM1" s="1113"/>
      <c r="UZN1" s="1113"/>
      <c r="UZO1" s="1113"/>
      <c r="UZP1" s="1113"/>
      <c r="UZQ1" s="1113"/>
      <c r="UZR1" s="1113"/>
      <c r="UZS1" s="1113"/>
      <c r="UZT1" s="1113"/>
      <c r="UZU1" s="1113"/>
      <c r="UZV1" s="1113"/>
      <c r="UZW1" s="1113"/>
      <c r="UZX1" s="1113"/>
      <c r="UZY1" s="1113"/>
      <c r="UZZ1" s="1113"/>
      <c r="VAA1" s="1113"/>
      <c r="VAB1" s="1113"/>
      <c r="VAC1" s="1113"/>
      <c r="VAD1" s="1113"/>
      <c r="VAE1" s="1113"/>
      <c r="VAF1" s="1113"/>
      <c r="VAG1" s="1113"/>
      <c r="VAH1" s="1113"/>
      <c r="VAI1" s="1113"/>
      <c r="VAJ1" s="1113"/>
      <c r="VAK1" s="1113"/>
      <c r="VAL1" s="1113"/>
      <c r="VAM1" s="1113"/>
      <c r="VAN1" s="1113"/>
      <c r="VAO1" s="1113"/>
      <c r="VAP1" s="1113"/>
      <c r="VAQ1" s="1113"/>
      <c r="VAR1" s="1113"/>
      <c r="VAS1" s="1113"/>
      <c r="VAT1" s="1113"/>
      <c r="VAU1" s="1113"/>
      <c r="VAV1" s="1113"/>
      <c r="VAW1" s="1113"/>
      <c r="VAX1" s="1113"/>
      <c r="VAY1" s="1113"/>
      <c r="VAZ1" s="1113"/>
      <c r="VBA1" s="1113"/>
      <c r="VBB1" s="1113"/>
      <c r="VBC1" s="1113"/>
      <c r="VBD1" s="1113"/>
      <c r="VBE1" s="1113"/>
      <c r="VBF1" s="1113"/>
      <c r="VBG1" s="1113"/>
      <c r="VBH1" s="1113"/>
      <c r="VBI1" s="1113"/>
      <c r="VBJ1" s="1113"/>
      <c r="VBK1" s="1113"/>
      <c r="VBL1" s="1113"/>
      <c r="VBM1" s="1113"/>
      <c r="VBN1" s="1113"/>
      <c r="VBO1" s="1113"/>
      <c r="VBP1" s="1113"/>
      <c r="VBQ1" s="1113"/>
      <c r="VBR1" s="1113"/>
      <c r="VBS1" s="1113"/>
      <c r="VBT1" s="1113"/>
      <c r="VBU1" s="1113"/>
      <c r="VBV1" s="1113"/>
      <c r="VBW1" s="1113"/>
      <c r="VBX1" s="1113"/>
      <c r="VBY1" s="1113"/>
      <c r="VBZ1" s="1113"/>
      <c r="VCA1" s="1113"/>
      <c r="VCB1" s="1113"/>
      <c r="VCC1" s="1113"/>
      <c r="VCD1" s="1113"/>
      <c r="VCE1" s="1113"/>
      <c r="VCF1" s="1113"/>
      <c r="VCG1" s="1113"/>
      <c r="VCH1" s="1113"/>
      <c r="VCI1" s="1113"/>
      <c r="VCJ1" s="1113"/>
      <c r="VCK1" s="1113"/>
      <c r="VCL1" s="1113"/>
      <c r="VCM1" s="1113"/>
      <c r="VCN1" s="1113"/>
      <c r="VCO1" s="1113"/>
      <c r="VCP1" s="1113"/>
      <c r="VCQ1" s="1113"/>
      <c r="VCR1" s="1113"/>
      <c r="VCS1" s="1113"/>
      <c r="VCT1" s="1113"/>
      <c r="VCU1" s="1113"/>
      <c r="VCV1" s="1113"/>
      <c r="VCW1" s="1113"/>
      <c r="VCX1" s="1113"/>
      <c r="VCY1" s="1113"/>
      <c r="VCZ1" s="1113"/>
      <c r="VDA1" s="1113"/>
      <c r="VDB1" s="1113"/>
      <c r="VDC1" s="1113"/>
      <c r="VDD1" s="1113"/>
      <c r="VDE1" s="1113"/>
      <c r="VDF1" s="1113"/>
      <c r="VDG1" s="1113"/>
      <c r="VDH1" s="1113"/>
      <c r="VDI1" s="1113"/>
      <c r="VDJ1" s="1113"/>
      <c r="VDK1" s="1113"/>
      <c r="VDL1" s="1113"/>
      <c r="VDM1" s="1113"/>
      <c r="VDN1" s="1113"/>
      <c r="VDO1" s="1113"/>
      <c r="VDP1" s="1113"/>
      <c r="VDQ1" s="1113"/>
      <c r="VDR1" s="1113"/>
      <c r="VDS1" s="1113"/>
      <c r="VDT1" s="1113"/>
      <c r="VDU1" s="1113"/>
      <c r="VDV1" s="1113"/>
      <c r="VDW1" s="1113"/>
      <c r="VDX1" s="1113"/>
      <c r="VDY1" s="1113"/>
      <c r="VDZ1" s="1113"/>
      <c r="VEA1" s="1113"/>
      <c r="VEB1" s="1113"/>
      <c r="VEC1" s="1113"/>
      <c r="VED1" s="1113"/>
      <c r="VEE1" s="1113"/>
      <c r="VEF1" s="1113"/>
      <c r="VEG1" s="1113"/>
      <c r="VEH1" s="1113"/>
      <c r="VEI1" s="1113"/>
      <c r="VEJ1" s="1113"/>
      <c r="VEK1" s="1113"/>
      <c r="VEL1" s="1113"/>
      <c r="VEM1" s="1113"/>
      <c r="VEN1" s="1113"/>
      <c r="VEO1" s="1113"/>
      <c r="VEP1" s="1113"/>
      <c r="VEQ1" s="1113"/>
      <c r="VER1" s="1113"/>
      <c r="VES1" s="1113"/>
      <c r="VET1" s="1113"/>
      <c r="VEU1" s="1113"/>
      <c r="VEV1" s="1113"/>
      <c r="VEW1" s="1113"/>
      <c r="VEX1" s="1113"/>
      <c r="VEY1" s="1113"/>
      <c r="VEZ1" s="1113"/>
      <c r="VFA1" s="1113"/>
      <c r="VFB1" s="1113"/>
      <c r="VFC1" s="1113"/>
      <c r="VFD1" s="1113"/>
      <c r="VFE1" s="1113"/>
      <c r="VFF1" s="1113"/>
      <c r="VFG1" s="1113"/>
      <c r="VFH1" s="1113"/>
      <c r="VFI1" s="1113"/>
      <c r="VFJ1" s="1113"/>
      <c r="VFK1" s="1113"/>
      <c r="VFL1" s="1113"/>
      <c r="VFM1" s="1113"/>
      <c r="VFN1" s="1113"/>
      <c r="VFO1" s="1113"/>
      <c r="VFP1" s="1113"/>
      <c r="VFQ1" s="1113"/>
      <c r="VFR1" s="1113"/>
      <c r="VFS1" s="1113"/>
      <c r="VFT1" s="1113"/>
      <c r="VFU1" s="1113"/>
      <c r="VFV1" s="1113"/>
      <c r="VFW1" s="1113"/>
      <c r="VFX1" s="1113"/>
      <c r="VFY1" s="1113"/>
      <c r="VFZ1" s="1113"/>
      <c r="VGA1" s="1113"/>
      <c r="VGB1" s="1113"/>
      <c r="VGC1" s="1113"/>
      <c r="VGD1" s="1113"/>
      <c r="VGE1" s="1113"/>
      <c r="VGF1" s="1113"/>
      <c r="VGG1" s="1113"/>
      <c r="VGH1" s="1113"/>
      <c r="VGI1" s="1113"/>
      <c r="VGJ1" s="1113"/>
      <c r="VGK1" s="1113"/>
      <c r="VGL1" s="1113"/>
      <c r="VGM1" s="1113"/>
      <c r="VGN1" s="1113"/>
      <c r="VGO1" s="1113"/>
      <c r="VGP1" s="1113"/>
      <c r="VGQ1" s="1113"/>
      <c r="VGR1" s="1113"/>
      <c r="VGS1" s="1113"/>
      <c r="VGT1" s="1113"/>
      <c r="VGU1" s="1113"/>
      <c r="VGV1" s="1113"/>
      <c r="VGW1" s="1113"/>
      <c r="VGX1" s="1113"/>
      <c r="VGY1" s="1113"/>
      <c r="VGZ1" s="1113"/>
      <c r="VHA1" s="1113"/>
      <c r="VHB1" s="1113"/>
      <c r="VHC1" s="1113"/>
      <c r="VHD1" s="1113"/>
      <c r="VHE1" s="1113"/>
      <c r="VHF1" s="1113"/>
      <c r="VHG1" s="1113"/>
      <c r="VHH1" s="1113"/>
      <c r="VHI1" s="1113"/>
      <c r="VHJ1" s="1113"/>
      <c r="VHK1" s="1113"/>
      <c r="VHL1" s="1113"/>
      <c r="VHM1" s="1113"/>
      <c r="VHN1" s="1113"/>
      <c r="VHO1" s="1113"/>
      <c r="VHP1" s="1113"/>
      <c r="VHQ1" s="1113"/>
      <c r="VHR1" s="1113"/>
      <c r="VHS1" s="1113"/>
      <c r="VHT1" s="1113"/>
      <c r="VHU1" s="1113"/>
      <c r="VHV1" s="1113"/>
      <c r="VHW1" s="1113"/>
      <c r="VHX1" s="1113"/>
      <c r="VHY1" s="1113"/>
      <c r="VHZ1" s="1113"/>
      <c r="VIA1" s="1113"/>
      <c r="VIB1" s="1113"/>
      <c r="VIC1" s="1113"/>
      <c r="VID1" s="1113"/>
      <c r="VIE1" s="1113"/>
      <c r="VIF1" s="1113"/>
      <c r="VIG1" s="1113"/>
      <c r="VIH1" s="1113"/>
      <c r="VII1" s="1113"/>
      <c r="VIJ1" s="1113"/>
      <c r="VIK1" s="1113"/>
      <c r="VIL1" s="1113"/>
      <c r="VIM1" s="1113"/>
      <c r="VIN1" s="1113"/>
      <c r="VIO1" s="1113"/>
      <c r="VIP1" s="1113"/>
      <c r="VIQ1" s="1113"/>
      <c r="VIR1" s="1113"/>
      <c r="VIS1" s="1113"/>
      <c r="VIT1" s="1113"/>
      <c r="VIU1" s="1113"/>
      <c r="VIV1" s="1113"/>
      <c r="VIW1" s="1113"/>
      <c r="VIX1" s="1113"/>
      <c r="VIY1" s="1113"/>
      <c r="VIZ1" s="1113"/>
      <c r="VJA1" s="1113"/>
      <c r="VJB1" s="1113"/>
      <c r="VJC1" s="1113"/>
      <c r="VJD1" s="1113"/>
      <c r="VJE1" s="1113"/>
      <c r="VJF1" s="1113"/>
      <c r="VJG1" s="1113"/>
      <c r="VJH1" s="1113"/>
      <c r="VJI1" s="1113"/>
      <c r="VJJ1" s="1113"/>
      <c r="VJK1" s="1113"/>
      <c r="VJL1" s="1113"/>
      <c r="VJM1" s="1113"/>
      <c r="VJN1" s="1113"/>
      <c r="VJO1" s="1113"/>
      <c r="VJP1" s="1113"/>
      <c r="VJQ1" s="1113"/>
      <c r="VJR1" s="1113"/>
      <c r="VJS1" s="1113"/>
      <c r="VJT1" s="1113"/>
      <c r="VJU1" s="1113"/>
      <c r="VJV1" s="1113"/>
      <c r="VJW1" s="1113"/>
      <c r="VJX1" s="1113"/>
      <c r="VJY1" s="1113"/>
      <c r="VJZ1" s="1113"/>
      <c r="VKA1" s="1113"/>
      <c r="VKB1" s="1113"/>
      <c r="VKC1" s="1113"/>
      <c r="VKD1" s="1113"/>
      <c r="VKE1" s="1113"/>
      <c r="VKF1" s="1113"/>
      <c r="VKG1" s="1113"/>
      <c r="VKH1" s="1113"/>
      <c r="VKI1" s="1113"/>
      <c r="VKJ1" s="1113"/>
      <c r="VKK1" s="1113"/>
      <c r="VKL1" s="1113"/>
      <c r="VKM1" s="1113"/>
      <c r="VKN1" s="1113"/>
      <c r="VKO1" s="1113"/>
      <c r="VKP1" s="1113"/>
      <c r="VKQ1" s="1113"/>
      <c r="VKR1" s="1113"/>
      <c r="VKS1" s="1113"/>
      <c r="VKT1" s="1113"/>
      <c r="VKU1" s="1113"/>
      <c r="VKV1" s="1113"/>
      <c r="VKW1" s="1113"/>
      <c r="VKX1" s="1113"/>
      <c r="VKY1" s="1113"/>
      <c r="VKZ1" s="1113"/>
      <c r="VLA1" s="1113"/>
      <c r="VLB1" s="1113"/>
      <c r="VLC1" s="1113"/>
      <c r="VLD1" s="1113"/>
      <c r="VLE1" s="1113"/>
      <c r="VLF1" s="1113"/>
      <c r="VLG1" s="1113"/>
      <c r="VLH1" s="1113"/>
      <c r="VLI1" s="1113"/>
      <c r="VLJ1" s="1113"/>
      <c r="VLK1" s="1113"/>
      <c r="VLL1" s="1113"/>
      <c r="VLM1" s="1113"/>
      <c r="VLN1" s="1113"/>
      <c r="VLO1" s="1113"/>
      <c r="VLP1" s="1113"/>
      <c r="VLQ1" s="1113"/>
      <c r="VLR1" s="1113"/>
      <c r="VLS1" s="1113"/>
      <c r="VLT1" s="1113"/>
      <c r="VLU1" s="1113"/>
      <c r="VLV1" s="1113"/>
      <c r="VLW1" s="1113"/>
      <c r="VLX1" s="1113"/>
      <c r="VLY1" s="1113"/>
      <c r="VLZ1" s="1113"/>
      <c r="VMA1" s="1113"/>
      <c r="VMB1" s="1113"/>
      <c r="VMC1" s="1113"/>
      <c r="VMD1" s="1113"/>
      <c r="VME1" s="1113"/>
      <c r="VMF1" s="1113"/>
      <c r="VMG1" s="1113"/>
      <c r="VMH1" s="1113"/>
      <c r="VMI1" s="1113"/>
      <c r="VMJ1" s="1113"/>
      <c r="VMK1" s="1113"/>
      <c r="VML1" s="1113"/>
      <c r="VMM1" s="1113"/>
      <c r="VMN1" s="1113"/>
      <c r="VMO1" s="1113"/>
      <c r="VMP1" s="1113"/>
      <c r="VMQ1" s="1113"/>
      <c r="VMR1" s="1113"/>
      <c r="VMS1" s="1113"/>
      <c r="VMT1" s="1113"/>
      <c r="VMU1" s="1113"/>
      <c r="VMV1" s="1113"/>
      <c r="VMW1" s="1113"/>
      <c r="VMX1" s="1113"/>
      <c r="VMY1" s="1113"/>
      <c r="VMZ1" s="1113"/>
      <c r="VNA1" s="1113"/>
      <c r="VNB1" s="1113"/>
      <c r="VNC1" s="1113"/>
      <c r="VND1" s="1113"/>
      <c r="VNE1" s="1113"/>
      <c r="VNF1" s="1113"/>
      <c r="VNG1" s="1113"/>
      <c r="VNH1" s="1113"/>
      <c r="VNI1" s="1113"/>
      <c r="VNJ1" s="1113"/>
      <c r="VNK1" s="1113"/>
      <c r="VNL1" s="1113"/>
      <c r="VNM1" s="1113"/>
      <c r="VNN1" s="1113"/>
      <c r="VNO1" s="1113"/>
      <c r="VNP1" s="1113"/>
      <c r="VNQ1" s="1113"/>
      <c r="VNR1" s="1113"/>
      <c r="VNS1" s="1113"/>
      <c r="VNT1" s="1113"/>
      <c r="VNU1" s="1113"/>
      <c r="VNV1" s="1113"/>
      <c r="VNW1" s="1113"/>
      <c r="VNX1" s="1113"/>
      <c r="VNY1" s="1113"/>
      <c r="VNZ1" s="1113"/>
      <c r="VOA1" s="1113"/>
      <c r="VOB1" s="1113"/>
      <c r="VOC1" s="1113"/>
      <c r="VOD1" s="1113"/>
      <c r="VOE1" s="1113"/>
      <c r="VOF1" s="1113"/>
      <c r="VOG1" s="1113"/>
      <c r="VOH1" s="1113"/>
      <c r="VOI1" s="1113"/>
      <c r="VOJ1" s="1113"/>
      <c r="VOK1" s="1113"/>
      <c r="VOL1" s="1113"/>
      <c r="VOM1" s="1113"/>
      <c r="VON1" s="1113"/>
      <c r="VOO1" s="1113"/>
      <c r="VOP1" s="1113"/>
      <c r="VOQ1" s="1113"/>
      <c r="VOR1" s="1113"/>
      <c r="VOS1" s="1113"/>
      <c r="VOT1" s="1113"/>
      <c r="VOU1" s="1113"/>
      <c r="VOV1" s="1113"/>
      <c r="VOW1" s="1113"/>
      <c r="VOX1" s="1113"/>
      <c r="VOY1" s="1113"/>
      <c r="VOZ1" s="1113"/>
      <c r="VPA1" s="1113"/>
      <c r="VPB1" s="1113"/>
      <c r="VPC1" s="1113"/>
      <c r="VPD1" s="1113"/>
      <c r="VPE1" s="1113"/>
      <c r="VPF1" s="1113"/>
      <c r="VPG1" s="1113"/>
      <c r="VPH1" s="1113"/>
      <c r="VPI1" s="1113"/>
      <c r="VPJ1" s="1113"/>
      <c r="VPK1" s="1113"/>
      <c r="VPL1" s="1113"/>
      <c r="VPM1" s="1113"/>
      <c r="VPN1" s="1113"/>
      <c r="VPO1" s="1113"/>
      <c r="VPP1" s="1113"/>
      <c r="VPQ1" s="1113"/>
      <c r="VPR1" s="1113"/>
      <c r="VPS1" s="1113"/>
      <c r="VPT1" s="1113"/>
      <c r="VPU1" s="1113"/>
      <c r="VPV1" s="1113"/>
      <c r="VPW1" s="1113"/>
      <c r="VPX1" s="1113"/>
      <c r="VPY1" s="1113"/>
      <c r="VPZ1" s="1113"/>
      <c r="VQA1" s="1113"/>
      <c r="VQB1" s="1113"/>
      <c r="VQC1" s="1113"/>
      <c r="VQD1" s="1113"/>
      <c r="VQE1" s="1113"/>
      <c r="VQF1" s="1113"/>
      <c r="VQG1" s="1113"/>
      <c r="VQH1" s="1113"/>
      <c r="VQI1" s="1113"/>
      <c r="VQJ1" s="1113"/>
      <c r="VQK1" s="1113"/>
      <c r="VQL1" s="1113"/>
      <c r="VQM1" s="1113"/>
      <c r="VQN1" s="1113"/>
      <c r="VQO1" s="1113"/>
      <c r="VQP1" s="1113"/>
      <c r="VQQ1" s="1113"/>
      <c r="VQR1" s="1113"/>
      <c r="VQS1" s="1113"/>
      <c r="VQT1" s="1113"/>
      <c r="VQU1" s="1113"/>
      <c r="VQV1" s="1113"/>
      <c r="VQW1" s="1113"/>
      <c r="VQX1" s="1113"/>
      <c r="VQY1" s="1113"/>
      <c r="VQZ1" s="1113"/>
      <c r="VRA1" s="1113"/>
      <c r="VRB1" s="1113"/>
      <c r="VRC1" s="1113"/>
      <c r="VRD1" s="1113"/>
      <c r="VRE1" s="1113"/>
      <c r="VRF1" s="1113"/>
      <c r="VRG1" s="1113"/>
      <c r="VRH1" s="1113"/>
      <c r="VRI1" s="1113"/>
      <c r="VRJ1" s="1113"/>
      <c r="VRK1" s="1113"/>
      <c r="VRL1" s="1113"/>
      <c r="VRM1" s="1113"/>
      <c r="VRN1" s="1113"/>
      <c r="VRO1" s="1113"/>
      <c r="VRP1" s="1113"/>
      <c r="VRQ1" s="1113"/>
      <c r="VRR1" s="1113"/>
      <c r="VRS1" s="1113"/>
      <c r="VRT1" s="1113"/>
      <c r="VRU1" s="1113"/>
      <c r="VRV1" s="1113"/>
      <c r="VRW1" s="1113"/>
      <c r="VRX1" s="1113"/>
      <c r="VRY1" s="1113"/>
      <c r="VRZ1" s="1113"/>
      <c r="VSA1" s="1113"/>
      <c r="VSB1" s="1113"/>
      <c r="VSC1" s="1113"/>
      <c r="VSD1" s="1113"/>
      <c r="VSE1" s="1113"/>
      <c r="VSF1" s="1113"/>
      <c r="VSG1" s="1113"/>
      <c r="VSH1" s="1113"/>
      <c r="VSI1" s="1113"/>
      <c r="VSJ1" s="1113"/>
      <c r="VSK1" s="1113"/>
      <c r="VSL1" s="1113"/>
      <c r="VSM1" s="1113"/>
      <c r="VSN1" s="1113"/>
      <c r="VSO1" s="1113"/>
      <c r="VSP1" s="1113"/>
      <c r="VSQ1" s="1113"/>
      <c r="VSR1" s="1113"/>
      <c r="VSS1" s="1113"/>
      <c r="VST1" s="1113"/>
      <c r="VSU1" s="1113"/>
      <c r="VSV1" s="1113"/>
      <c r="VSW1" s="1113"/>
      <c r="VSX1" s="1113"/>
      <c r="VSY1" s="1113"/>
      <c r="VSZ1" s="1113"/>
      <c r="VTA1" s="1113"/>
      <c r="VTB1" s="1113"/>
      <c r="VTC1" s="1113"/>
      <c r="VTD1" s="1113"/>
      <c r="VTE1" s="1113"/>
      <c r="VTF1" s="1113"/>
      <c r="VTG1" s="1113"/>
      <c r="VTH1" s="1113"/>
      <c r="VTI1" s="1113"/>
      <c r="VTJ1" s="1113"/>
      <c r="VTK1" s="1113"/>
      <c r="VTL1" s="1113"/>
      <c r="VTM1" s="1113"/>
      <c r="VTN1" s="1113"/>
      <c r="VTO1" s="1113"/>
      <c r="VTP1" s="1113"/>
      <c r="VTQ1" s="1113"/>
      <c r="VTR1" s="1113"/>
      <c r="VTS1" s="1113"/>
      <c r="VTT1" s="1113"/>
      <c r="VTU1" s="1113"/>
      <c r="VTV1" s="1113"/>
      <c r="VTW1" s="1113"/>
      <c r="VTX1" s="1113"/>
      <c r="VTY1" s="1113"/>
      <c r="VTZ1" s="1113"/>
      <c r="VUA1" s="1113"/>
      <c r="VUB1" s="1113"/>
      <c r="VUC1" s="1113"/>
      <c r="VUD1" s="1113"/>
      <c r="VUE1" s="1113"/>
      <c r="VUF1" s="1113"/>
      <c r="VUG1" s="1113"/>
      <c r="VUH1" s="1113"/>
      <c r="VUI1" s="1113"/>
      <c r="VUJ1" s="1113"/>
      <c r="VUK1" s="1113"/>
      <c r="VUL1" s="1113"/>
      <c r="VUM1" s="1113"/>
      <c r="VUN1" s="1113"/>
      <c r="VUO1" s="1113"/>
      <c r="VUP1" s="1113"/>
      <c r="VUQ1" s="1113"/>
      <c r="VUR1" s="1113"/>
      <c r="VUS1" s="1113"/>
      <c r="VUT1" s="1113"/>
      <c r="VUU1" s="1113"/>
      <c r="VUV1" s="1113"/>
      <c r="VUW1" s="1113"/>
      <c r="VUX1" s="1113"/>
      <c r="VUY1" s="1113"/>
      <c r="VUZ1" s="1113"/>
      <c r="VVA1" s="1113"/>
      <c r="VVB1" s="1113"/>
      <c r="VVC1" s="1113"/>
      <c r="VVD1" s="1113"/>
      <c r="VVE1" s="1113"/>
      <c r="VVF1" s="1113"/>
      <c r="VVG1" s="1113"/>
      <c r="VVH1" s="1113"/>
      <c r="VVI1" s="1113"/>
      <c r="VVJ1" s="1113"/>
      <c r="VVK1" s="1113"/>
      <c r="VVL1" s="1113"/>
      <c r="VVM1" s="1113"/>
      <c r="VVN1" s="1113"/>
      <c r="VVO1" s="1113"/>
      <c r="VVP1" s="1113"/>
      <c r="VVQ1" s="1113"/>
      <c r="VVR1" s="1113"/>
      <c r="VVS1" s="1113"/>
      <c r="VVT1" s="1113"/>
      <c r="VVU1" s="1113"/>
      <c r="VVV1" s="1113"/>
      <c r="VVW1" s="1113"/>
      <c r="VVX1" s="1113"/>
      <c r="VVY1" s="1113"/>
      <c r="VVZ1" s="1113"/>
      <c r="VWA1" s="1113"/>
      <c r="VWB1" s="1113"/>
      <c r="VWC1" s="1113"/>
      <c r="VWD1" s="1113"/>
      <c r="VWE1" s="1113"/>
      <c r="VWF1" s="1113"/>
      <c r="VWG1" s="1113"/>
      <c r="VWH1" s="1113"/>
      <c r="VWI1" s="1113"/>
      <c r="VWJ1" s="1113"/>
      <c r="VWK1" s="1113"/>
      <c r="VWL1" s="1113"/>
      <c r="VWM1" s="1113"/>
      <c r="VWN1" s="1113"/>
      <c r="VWO1" s="1113"/>
      <c r="VWP1" s="1113"/>
      <c r="VWQ1" s="1113"/>
      <c r="VWR1" s="1113"/>
      <c r="VWS1" s="1113"/>
      <c r="VWT1" s="1113"/>
      <c r="VWU1" s="1113"/>
      <c r="VWV1" s="1113"/>
      <c r="VWW1" s="1113"/>
      <c r="VWX1" s="1113"/>
      <c r="VWY1" s="1113"/>
      <c r="VWZ1" s="1113"/>
      <c r="VXA1" s="1113"/>
      <c r="VXB1" s="1113"/>
      <c r="VXC1" s="1113"/>
      <c r="VXD1" s="1113"/>
      <c r="VXE1" s="1113"/>
      <c r="VXF1" s="1113"/>
      <c r="VXG1" s="1113"/>
      <c r="VXH1" s="1113"/>
      <c r="VXI1" s="1113"/>
      <c r="VXJ1" s="1113"/>
      <c r="VXK1" s="1113"/>
      <c r="VXL1" s="1113"/>
      <c r="VXM1" s="1113"/>
      <c r="VXN1" s="1113"/>
      <c r="VXO1" s="1113"/>
      <c r="VXP1" s="1113"/>
      <c r="VXQ1" s="1113"/>
      <c r="VXR1" s="1113"/>
      <c r="VXS1" s="1113"/>
      <c r="VXT1" s="1113"/>
      <c r="VXU1" s="1113"/>
      <c r="VXV1" s="1113"/>
      <c r="VXW1" s="1113"/>
      <c r="VXX1" s="1113"/>
      <c r="VXY1" s="1113"/>
      <c r="VXZ1" s="1113"/>
      <c r="VYA1" s="1113"/>
      <c r="VYB1" s="1113"/>
      <c r="VYC1" s="1113"/>
      <c r="VYD1" s="1113"/>
      <c r="VYE1" s="1113"/>
      <c r="VYF1" s="1113"/>
      <c r="VYG1" s="1113"/>
      <c r="VYH1" s="1113"/>
      <c r="VYI1" s="1113"/>
      <c r="VYJ1" s="1113"/>
      <c r="VYK1" s="1113"/>
      <c r="VYL1" s="1113"/>
      <c r="VYM1" s="1113"/>
      <c r="VYN1" s="1113"/>
      <c r="VYO1" s="1113"/>
      <c r="VYP1" s="1113"/>
      <c r="VYQ1" s="1113"/>
      <c r="VYR1" s="1113"/>
      <c r="VYS1" s="1113"/>
      <c r="VYT1" s="1113"/>
      <c r="VYU1" s="1113"/>
      <c r="VYV1" s="1113"/>
      <c r="VYW1" s="1113"/>
      <c r="VYX1" s="1113"/>
      <c r="VYY1" s="1113"/>
      <c r="VYZ1" s="1113"/>
      <c r="VZA1" s="1113"/>
      <c r="VZB1" s="1113"/>
      <c r="VZC1" s="1113"/>
      <c r="VZD1" s="1113"/>
      <c r="VZE1" s="1113"/>
      <c r="VZF1" s="1113"/>
      <c r="VZG1" s="1113"/>
      <c r="VZH1" s="1113"/>
      <c r="VZI1" s="1113"/>
      <c r="VZJ1" s="1113"/>
      <c r="VZK1" s="1113"/>
      <c r="VZL1" s="1113"/>
      <c r="VZM1" s="1113"/>
      <c r="VZN1" s="1113"/>
      <c r="VZO1" s="1113"/>
      <c r="VZP1" s="1113"/>
      <c r="VZQ1" s="1113"/>
      <c r="VZR1" s="1113"/>
      <c r="VZS1" s="1113"/>
      <c r="VZT1" s="1113"/>
      <c r="VZU1" s="1113"/>
      <c r="VZV1" s="1113"/>
      <c r="VZW1" s="1113"/>
      <c r="VZX1" s="1113"/>
      <c r="VZY1" s="1113"/>
      <c r="VZZ1" s="1113"/>
      <c r="WAA1" s="1113"/>
      <c r="WAB1" s="1113"/>
      <c r="WAC1" s="1113"/>
      <c r="WAD1" s="1113"/>
      <c r="WAE1" s="1113"/>
      <c r="WAF1" s="1113"/>
      <c r="WAG1" s="1113"/>
      <c r="WAH1" s="1113"/>
      <c r="WAI1" s="1113"/>
      <c r="WAJ1" s="1113"/>
      <c r="WAK1" s="1113"/>
      <c r="WAL1" s="1113"/>
      <c r="WAM1" s="1113"/>
      <c r="WAN1" s="1113"/>
      <c r="WAO1" s="1113"/>
      <c r="WAP1" s="1113"/>
      <c r="WAQ1" s="1113"/>
      <c r="WAR1" s="1113"/>
      <c r="WAS1" s="1113"/>
      <c r="WAT1" s="1113"/>
      <c r="WAU1" s="1113"/>
      <c r="WAV1" s="1113"/>
      <c r="WAW1" s="1113"/>
      <c r="WAX1" s="1113"/>
      <c r="WAY1" s="1113"/>
      <c r="WAZ1" s="1113"/>
      <c r="WBA1" s="1113"/>
      <c r="WBB1" s="1113"/>
      <c r="WBC1" s="1113"/>
      <c r="WBD1" s="1113"/>
      <c r="WBE1" s="1113"/>
      <c r="WBF1" s="1113"/>
      <c r="WBG1" s="1113"/>
      <c r="WBH1" s="1113"/>
      <c r="WBI1" s="1113"/>
      <c r="WBJ1" s="1113"/>
      <c r="WBK1" s="1113"/>
      <c r="WBL1" s="1113"/>
      <c r="WBM1" s="1113"/>
      <c r="WBN1" s="1113"/>
      <c r="WBO1" s="1113"/>
      <c r="WBP1" s="1113"/>
      <c r="WBQ1" s="1113"/>
      <c r="WBR1" s="1113"/>
      <c r="WBS1" s="1113"/>
      <c r="WBT1" s="1113"/>
      <c r="WBU1" s="1113"/>
      <c r="WBV1" s="1113"/>
      <c r="WBW1" s="1113"/>
      <c r="WBX1" s="1113"/>
      <c r="WBY1" s="1113"/>
      <c r="WBZ1" s="1113"/>
      <c r="WCA1" s="1113"/>
      <c r="WCB1" s="1113"/>
      <c r="WCC1" s="1113"/>
      <c r="WCD1" s="1113"/>
      <c r="WCE1" s="1113"/>
      <c r="WCF1" s="1113"/>
      <c r="WCG1" s="1113"/>
      <c r="WCH1" s="1113"/>
      <c r="WCI1" s="1113"/>
      <c r="WCJ1" s="1113"/>
      <c r="WCK1" s="1113"/>
      <c r="WCL1" s="1113"/>
      <c r="WCM1" s="1113"/>
      <c r="WCN1" s="1113"/>
      <c r="WCO1" s="1113"/>
      <c r="WCP1" s="1113"/>
      <c r="WCQ1" s="1113"/>
      <c r="WCR1" s="1113"/>
      <c r="WCS1" s="1113"/>
      <c r="WCT1" s="1113"/>
      <c r="WCU1" s="1113"/>
      <c r="WCV1" s="1113"/>
      <c r="WCW1" s="1113"/>
      <c r="WCX1" s="1113"/>
      <c r="WCY1" s="1113"/>
      <c r="WCZ1" s="1113"/>
      <c r="WDA1" s="1113"/>
      <c r="WDB1" s="1113"/>
      <c r="WDC1" s="1113"/>
      <c r="WDD1" s="1113"/>
      <c r="WDE1" s="1113"/>
      <c r="WDF1" s="1113"/>
      <c r="WDG1" s="1113"/>
      <c r="WDH1" s="1113"/>
      <c r="WDI1" s="1113"/>
      <c r="WDJ1" s="1113"/>
      <c r="WDK1" s="1113"/>
      <c r="WDL1" s="1113"/>
      <c r="WDM1" s="1113"/>
      <c r="WDN1" s="1113"/>
      <c r="WDO1" s="1113"/>
      <c r="WDP1" s="1113"/>
      <c r="WDQ1" s="1113"/>
      <c r="WDR1" s="1113"/>
      <c r="WDS1" s="1113"/>
      <c r="WDT1" s="1113"/>
      <c r="WDU1" s="1113"/>
      <c r="WDV1" s="1113"/>
      <c r="WDW1" s="1113"/>
      <c r="WDX1" s="1113"/>
      <c r="WDY1" s="1113"/>
      <c r="WDZ1" s="1113"/>
      <c r="WEA1" s="1113"/>
      <c r="WEB1" s="1113"/>
      <c r="WEC1" s="1113"/>
      <c r="WED1" s="1113"/>
      <c r="WEE1" s="1113"/>
      <c r="WEF1" s="1113"/>
      <c r="WEG1" s="1113"/>
      <c r="WEH1" s="1113"/>
      <c r="WEI1" s="1113"/>
      <c r="WEJ1" s="1113"/>
      <c r="WEK1" s="1113"/>
      <c r="WEL1" s="1113"/>
      <c r="WEM1" s="1113"/>
      <c r="WEN1" s="1113"/>
      <c r="WEO1" s="1113"/>
      <c r="WEP1" s="1113"/>
      <c r="WEQ1" s="1113"/>
      <c r="WER1" s="1113"/>
      <c r="WES1" s="1113"/>
      <c r="WET1" s="1113"/>
      <c r="WEU1" s="1113"/>
      <c r="WEV1" s="1113"/>
      <c r="WEW1" s="1113"/>
      <c r="WEX1" s="1113"/>
      <c r="WEY1" s="1113"/>
      <c r="WEZ1" s="1113"/>
      <c r="WFA1" s="1113"/>
      <c r="WFB1" s="1113"/>
      <c r="WFC1" s="1113"/>
      <c r="WFD1" s="1113"/>
      <c r="WFE1" s="1113"/>
      <c r="WFF1" s="1113"/>
      <c r="WFG1" s="1113"/>
      <c r="WFH1" s="1113"/>
      <c r="WFI1" s="1113"/>
      <c r="WFJ1" s="1113"/>
      <c r="WFK1" s="1113"/>
      <c r="WFL1" s="1113"/>
      <c r="WFM1" s="1113"/>
      <c r="WFN1" s="1113"/>
      <c r="WFO1" s="1113"/>
      <c r="WFP1" s="1113"/>
      <c r="WFQ1" s="1113"/>
      <c r="WFR1" s="1113"/>
      <c r="WFS1" s="1113"/>
      <c r="WFT1" s="1113"/>
      <c r="WFU1" s="1113"/>
      <c r="WFV1" s="1113"/>
      <c r="WFW1" s="1113"/>
      <c r="WFX1" s="1113"/>
      <c r="WFY1" s="1113"/>
      <c r="WFZ1" s="1113"/>
      <c r="WGA1" s="1113"/>
      <c r="WGB1" s="1113"/>
      <c r="WGC1" s="1113"/>
      <c r="WGD1" s="1113"/>
      <c r="WGE1" s="1113"/>
      <c r="WGF1" s="1113"/>
      <c r="WGG1" s="1113"/>
      <c r="WGH1" s="1113"/>
      <c r="WGI1" s="1113"/>
      <c r="WGJ1" s="1113"/>
      <c r="WGK1" s="1113"/>
      <c r="WGL1" s="1113"/>
      <c r="WGM1" s="1113"/>
      <c r="WGN1" s="1113"/>
      <c r="WGO1" s="1113"/>
      <c r="WGP1" s="1113"/>
      <c r="WGQ1" s="1113"/>
      <c r="WGR1" s="1113"/>
      <c r="WGS1" s="1113"/>
      <c r="WGT1" s="1113"/>
      <c r="WGU1" s="1113"/>
      <c r="WGV1" s="1113"/>
      <c r="WGW1" s="1113"/>
      <c r="WGX1" s="1113"/>
      <c r="WGY1" s="1113"/>
      <c r="WGZ1" s="1113"/>
      <c r="WHA1" s="1113"/>
      <c r="WHB1" s="1113"/>
      <c r="WHC1" s="1113"/>
      <c r="WHD1" s="1113"/>
      <c r="WHE1" s="1113"/>
      <c r="WHF1" s="1113"/>
      <c r="WHG1" s="1113"/>
      <c r="WHH1" s="1113"/>
      <c r="WHI1" s="1113"/>
      <c r="WHJ1" s="1113"/>
      <c r="WHK1" s="1113"/>
      <c r="WHL1" s="1113"/>
      <c r="WHM1" s="1113"/>
      <c r="WHN1" s="1113"/>
      <c r="WHO1" s="1113"/>
      <c r="WHP1" s="1113"/>
      <c r="WHQ1" s="1113"/>
      <c r="WHR1" s="1113"/>
      <c r="WHS1" s="1113"/>
      <c r="WHT1" s="1113"/>
      <c r="WHU1" s="1113"/>
      <c r="WHV1" s="1113"/>
      <c r="WHW1" s="1113"/>
      <c r="WHX1" s="1113"/>
      <c r="WHY1" s="1113"/>
      <c r="WHZ1" s="1113"/>
      <c r="WIA1" s="1113"/>
      <c r="WIB1" s="1113"/>
      <c r="WIC1" s="1113"/>
      <c r="WID1" s="1113"/>
      <c r="WIE1" s="1113"/>
      <c r="WIF1" s="1113"/>
      <c r="WIG1" s="1113"/>
      <c r="WIH1" s="1113"/>
      <c r="WII1" s="1113"/>
      <c r="WIJ1" s="1113"/>
      <c r="WIK1" s="1113"/>
      <c r="WIL1" s="1113"/>
      <c r="WIM1" s="1113"/>
      <c r="WIN1" s="1113"/>
      <c r="WIO1" s="1113"/>
      <c r="WIP1" s="1113"/>
      <c r="WIQ1" s="1113"/>
      <c r="WIR1" s="1113"/>
      <c r="WIS1" s="1113"/>
      <c r="WIT1" s="1113"/>
      <c r="WIU1" s="1113"/>
      <c r="WIV1" s="1113"/>
      <c r="WIW1" s="1113"/>
      <c r="WIX1" s="1113"/>
      <c r="WIY1" s="1113"/>
      <c r="WIZ1" s="1113"/>
      <c r="WJA1" s="1113"/>
      <c r="WJB1" s="1113"/>
      <c r="WJC1" s="1113"/>
      <c r="WJD1" s="1113"/>
      <c r="WJE1" s="1113"/>
      <c r="WJF1" s="1113"/>
      <c r="WJG1" s="1113"/>
      <c r="WJH1" s="1113"/>
      <c r="WJI1" s="1113"/>
      <c r="WJJ1" s="1113"/>
      <c r="WJK1" s="1113"/>
      <c r="WJL1" s="1113"/>
      <c r="WJM1" s="1113"/>
      <c r="WJN1" s="1113"/>
      <c r="WJO1" s="1113"/>
      <c r="WJP1" s="1113"/>
      <c r="WJQ1" s="1113"/>
      <c r="WJR1" s="1113"/>
      <c r="WJS1" s="1113"/>
      <c r="WJT1" s="1113"/>
      <c r="WJU1" s="1113"/>
      <c r="WJV1" s="1113"/>
      <c r="WJW1" s="1113"/>
      <c r="WJX1" s="1113"/>
      <c r="WJY1" s="1113"/>
      <c r="WJZ1" s="1113"/>
      <c r="WKA1" s="1113"/>
      <c r="WKB1" s="1113"/>
      <c r="WKC1" s="1113"/>
      <c r="WKD1" s="1113"/>
      <c r="WKE1" s="1113"/>
      <c r="WKF1" s="1113"/>
      <c r="WKG1" s="1113"/>
      <c r="WKH1" s="1113"/>
      <c r="WKI1" s="1113"/>
      <c r="WKJ1" s="1113"/>
      <c r="WKK1" s="1113"/>
      <c r="WKL1" s="1113"/>
      <c r="WKM1" s="1113"/>
      <c r="WKN1" s="1113"/>
      <c r="WKO1" s="1113"/>
      <c r="WKP1" s="1113"/>
      <c r="WKQ1" s="1113"/>
      <c r="WKR1" s="1113"/>
      <c r="WKS1" s="1113"/>
      <c r="WKT1" s="1113"/>
      <c r="WKU1" s="1113"/>
      <c r="WKV1" s="1113"/>
      <c r="WKW1" s="1113"/>
      <c r="WKX1" s="1113"/>
      <c r="WKY1" s="1113"/>
      <c r="WKZ1" s="1113"/>
      <c r="WLA1" s="1113"/>
      <c r="WLB1" s="1113"/>
      <c r="WLC1" s="1113"/>
      <c r="WLD1" s="1113"/>
      <c r="WLE1" s="1113"/>
      <c r="WLF1" s="1113"/>
      <c r="WLG1" s="1113"/>
      <c r="WLH1" s="1113"/>
      <c r="WLI1" s="1113"/>
      <c r="WLJ1" s="1113"/>
      <c r="WLK1" s="1113"/>
      <c r="WLL1" s="1113"/>
      <c r="WLM1" s="1113"/>
      <c r="WLN1" s="1113"/>
      <c r="WLO1" s="1113"/>
      <c r="WLP1" s="1113"/>
      <c r="WLQ1" s="1113"/>
      <c r="WLR1" s="1113"/>
      <c r="WLS1" s="1113"/>
      <c r="WLT1" s="1113"/>
      <c r="WLU1" s="1113"/>
      <c r="WLV1" s="1113"/>
      <c r="WLW1" s="1113"/>
      <c r="WLX1" s="1113"/>
      <c r="WLY1" s="1113"/>
      <c r="WLZ1" s="1113"/>
      <c r="WMA1" s="1113"/>
      <c r="WMB1" s="1113"/>
      <c r="WMC1" s="1113"/>
      <c r="WMD1" s="1113"/>
      <c r="WME1" s="1113"/>
      <c r="WMF1" s="1113"/>
      <c r="WMG1" s="1113"/>
      <c r="WMH1" s="1113"/>
      <c r="WMI1" s="1113"/>
      <c r="WMJ1" s="1113"/>
      <c r="WMK1" s="1113"/>
      <c r="WML1" s="1113"/>
      <c r="WMM1" s="1113"/>
      <c r="WMN1" s="1113"/>
      <c r="WMO1" s="1113"/>
      <c r="WMP1" s="1113"/>
      <c r="WMQ1" s="1113"/>
      <c r="WMR1" s="1113"/>
      <c r="WMS1" s="1113"/>
      <c r="WMT1" s="1113"/>
      <c r="WMU1" s="1113"/>
      <c r="WMV1" s="1113"/>
      <c r="WMW1" s="1113"/>
      <c r="WMX1" s="1113"/>
      <c r="WMY1" s="1113"/>
      <c r="WMZ1" s="1113"/>
      <c r="WNA1" s="1113"/>
      <c r="WNB1" s="1113"/>
      <c r="WNC1" s="1113"/>
      <c r="WND1" s="1113"/>
      <c r="WNE1" s="1113"/>
      <c r="WNF1" s="1113"/>
      <c r="WNG1" s="1113"/>
      <c r="WNH1" s="1113"/>
      <c r="WNI1" s="1113"/>
      <c r="WNJ1" s="1113"/>
      <c r="WNK1" s="1113"/>
      <c r="WNL1" s="1113"/>
      <c r="WNM1" s="1113"/>
      <c r="WNN1" s="1113"/>
      <c r="WNO1" s="1113"/>
      <c r="WNP1" s="1113"/>
      <c r="WNQ1" s="1113"/>
      <c r="WNR1" s="1113"/>
      <c r="WNS1" s="1113"/>
      <c r="WNT1" s="1113"/>
      <c r="WNU1" s="1113"/>
      <c r="WNV1" s="1113"/>
      <c r="WNW1" s="1113"/>
      <c r="WNX1" s="1113"/>
      <c r="WNY1" s="1113"/>
      <c r="WNZ1" s="1113"/>
      <c r="WOA1" s="1113"/>
      <c r="WOB1" s="1113"/>
      <c r="WOC1" s="1113"/>
      <c r="WOD1" s="1113"/>
      <c r="WOE1" s="1113"/>
      <c r="WOF1" s="1113"/>
      <c r="WOG1" s="1113"/>
      <c r="WOH1" s="1113"/>
      <c r="WOI1" s="1113"/>
      <c r="WOJ1" s="1113"/>
      <c r="WOK1" s="1113"/>
      <c r="WOL1" s="1113"/>
      <c r="WOM1" s="1113"/>
      <c r="WON1" s="1113"/>
      <c r="WOO1" s="1113"/>
      <c r="WOP1" s="1113"/>
      <c r="WOQ1" s="1113"/>
      <c r="WOR1" s="1113"/>
      <c r="WOS1" s="1113"/>
      <c r="WOT1" s="1113"/>
      <c r="WOU1" s="1113"/>
      <c r="WOV1" s="1113"/>
      <c r="WOW1" s="1113"/>
      <c r="WOX1" s="1113"/>
      <c r="WOY1" s="1113"/>
      <c r="WOZ1" s="1113"/>
      <c r="WPA1" s="1113"/>
      <c r="WPB1" s="1113"/>
      <c r="WPC1" s="1113"/>
      <c r="WPD1" s="1113"/>
      <c r="WPE1" s="1113"/>
      <c r="WPF1" s="1113"/>
      <c r="WPG1" s="1113"/>
      <c r="WPH1" s="1113"/>
      <c r="WPI1" s="1113"/>
      <c r="WPJ1" s="1113"/>
      <c r="WPK1" s="1113"/>
      <c r="WPL1" s="1113"/>
      <c r="WPM1" s="1113"/>
      <c r="WPN1" s="1113"/>
      <c r="WPO1" s="1113"/>
      <c r="WPP1" s="1113"/>
      <c r="WPQ1" s="1113"/>
      <c r="WPR1" s="1113"/>
      <c r="WPS1" s="1113"/>
      <c r="WPT1" s="1113"/>
      <c r="WPU1" s="1113"/>
      <c r="WPV1" s="1113"/>
      <c r="WPW1" s="1113"/>
      <c r="WPX1" s="1113"/>
      <c r="WPY1" s="1113"/>
      <c r="WPZ1" s="1113"/>
      <c r="WQA1" s="1113"/>
      <c r="WQB1" s="1113"/>
      <c r="WQC1" s="1113"/>
      <c r="WQD1" s="1113"/>
      <c r="WQE1" s="1113"/>
      <c r="WQF1" s="1113"/>
      <c r="WQG1" s="1113"/>
      <c r="WQH1" s="1113"/>
      <c r="WQI1" s="1113"/>
      <c r="WQJ1" s="1113"/>
      <c r="WQK1" s="1113"/>
      <c r="WQL1" s="1113"/>
      <c r="WQM1" s="1113"/>
      <c r="WQN1" s="1113"/>
      <c r="WQO1" s="1113"/>
      <c r="WQP1" s="1113"/>
      <c r="WQQ1" s="1113"/>
      <c r="WQR1" s="1113"/>
      <c r="WQS1" s="1113"/>
      <c r="WQT1" s="1113"/>
      <c r="WQU1" s="1113"/>
      <c r="WQV1" s="1113"/>
      <c r="WQW1" s="1113"/>
      <c r="WQX1" s="1113"/>
      <c r="WQY1" s="1113"/>
      <c r="WQZ1" s="1113"/>
      <c r="WRA1" s="1113"/>
      <c r="WRB1" s="1113"/>
      <c r="WRC1" s="1113"/>
      <c r="WRD1" s="1113"/>
      <c r="WRE1" s="1113"/>
      <c r="WRF1" s="1113"/>
      <c r="WRG1" s="1113"/>
      <c r="WRH1" s="1113"/>
      <c r="WRI1" s="1113"/>
      <c r="WRJ1" s="1113"/>
      <c r="WRK1" s="1113"/>
      <c r="WRL1" s="1113"/>
      <c r="WRM1" s="1113"/>
      <c r="WRN1" s="1113"/>
      <c r="WRO1" s="1113"/>
      <c r="WRP1" s="1113"/>
      <c r="WRQ1" s="1113"/>
      <c r="WRR1" s="1113"/>
      <c r="WRS1" s="1113"/>
      <c r="WRT1" s="1113"/>
      <c r="WRU1" s="1113"/>
      <c r="WRV1" s="1113"/>
      <c r="WRW1" s="1113"/>
      <c r="WRX1" s="1113"/>
      <c r="WRY1" s="1113"/>
      <c r="WRZ1" s="1113"/>
      <c r="WSA1" s="1113"/>
      <c r="WSB1" s="1113"/>
      <c r="WSC1" s="1113"/>
      <c r="WSD1" s="1113"/>
      <c r="WSE1" s="1113"/>
      <c r="WSF1" s="1113"/>
      <c r="WSG1" s="1113"/>
      <c r="WSH1" s="1113"/>
      <c r="WSI1" s="1113"/>
      <c r="WSJ1" s="1113"/>
      <c r="WSK1" s="1113"/>
      <c r="WSL1" s="1113"/>
      <c r="WSM1" s="1113"/>
      <c r="WSN1" s="1113"/>
      <c r="WSO1" s="1113"/>
      <c r="WSP1" s="1113"/>
      <c r="WSQ1" s="1113"/>
      <c r="WSR1" s="1113"/>
      <c r="WSS1" s="1113"/>
      <c r="WST1" s="1113"/>
      <c r="WSU1" s="1113"/>
      <c r="WSV1" s="1113"/>
      <c r="WSW1" s="1113"/>
      <c r="WSX1" s="1113"/>
      <c r="WSY1" s="1113"/>
      <c r="WSZ1" s="1113"/>
      <c r="WTA1" s="1113"/>
      <c r="WTB1" s="1113"/>
      <c r="WTC1" s="1113"/>
      <c r="WTD1" s="1113"/>
      <c r="WTE1" s="1113"/>
      <c r="WTF1" s="1113"/>
      <c r="WTG1" s="1113"/>
      <c r="WTH1" s="1113"/>
      <c r="WTI1" s="1113"/>
      <c r="WTJ1" s="1113"/>
      <c r="WTK1" s="1113"/>
      <c r="WTL1" s="1113"/>
      <c r="WTM1" s="1113"/>
      <c r="WTN1" s="1113"/>
      <c r="WTO1" s="1113"/>
      <c r="WTP1" s="1113"/>
      <c r="WTQ1" s="1113"/>
      <c r="WTR1" s="1113"/>
      <c r="WTS1" s="1113"/>
      <c r="WTT1" s="1113"/>
      <c r="WTU1" s="1113"/>
      <c r="WTV1" s="1113"/>
      <c r="WTW1" s="1113"/>
      <c r="WTX1" s="1113"/>
      <c r="WTY1" s="1113"/>
      <c r="WTZ1" s="1113"/>
      <c r="WUA1" s="1113"/>
      <c r="WUB1" s="1113"/>
      <c r="WUC1" s="1113"/>
      <c r="WUD1" s="1113"/>
      <c r="WUE1" s="1113"/>
      <c r="WUF1" s="1113"/>
      <c r="WUG1" s="1113"/>
      <c r="WUH1" s="1113"/>
      <c r="WUI1" s="1113"/>
      <c r="WUJ1" s="1113"/>
      <c r="WUK1" s="1113"/>
      <c r="WUL1" s="1113"/>
      <c r="WUM1" s="1113"/>
      <c r="WUN1" s="1113"/>
      <c r="WUO1" s="1113"/>
      <c r="WUP1" s="1113"/>
      <c r="WUQ1" s="1113"/>
      <c r="WUR1" s="1113"/>
      <c r="WUS1" s="1113"/>
      <c r="WUT1" s="1113"/>
      <c r="WUU1" s="1113"/>
      <c r="WUV1" s="1113"/>
      <c r="WUW1" s="1113"/>
      <c r="WUX1" s="1113"/>
      <c r="WUY1" s="1113"/>
      <c r="WUZ1" s="1113"/>
      <c r="WVA1" s="1113"/>
      <c r="WVB1" s="1113"/>
      <c r="WVC1" s="1113"/>
      <c r="WVD1" s="1113"/>
      <c r="WVE1" s="1113"/>
      <c r="WVF1" s="1113"/>
      <c r="WVG1" s="1113"/>
      <c r="WVH1" s="1113"/>
      <c r="WVI1" s="1113"/>
      <c r="WVJ1" s="1113"/>
      <c r="WVK1" s="1113"/>
      <c r="WVL1" s="1113"/>
      <c r="WVM1" s="1113"/>
      <c r="WVN1" s="1113"/>
      <c r="WVO1" s="1113"/>
      <c r="WVP1" s="1113"/>
      <c r="WVQ1" s="1113"/>
      <c r="WVR1" s="1113"/>
      <c r="WVS1" s="1113"/>
      <c r="WVT1" s="1113"/>
      <c r="WVU1" s="1113"/>
      <c r="WVV1" s="1113"/>
      <c r="WVW1" s="1113"/>
      <c r="WVX1" s="1113"/>
      <c r="WVY1" s="1113"/>
      <c r="WVZ1" s="1113"/>
      <c r="WWA1" s="1113"/>
      <c r="WWB1" s="1113"/>
      <c r="WWC1" s="1113"/>
      <c r="WWD1" s="1113"/>
      <c r="WWE1" s="1113"/>
      <c r="WWF1" s="1113"/>
      <c r="WWG1" s="1113"/>
      <c r="WWH1" s="1113"/>
      <c r="WWI1" s="1113"/>
      <c r="WWJ1" s="1113"/>
      <c r="WWK1" s="1113"/>
      <c r="WWL1" s="1113"/>
      <c r="WWM1" s="1113"/>
      <c r="WWN1" s="1113"/>
      <c r="WWO1" s="1113"/>
      <c r="WWP1" s="1113"/>
      <c r="WWQ1" s="1113"/>
      <c r="WWR1" s="1113"/>
      <c r="WWS1" s="1113"/>
      <c r="WWT1" s="1113"/>
      <c r="WWU1" s="1113"/>
      <c r="WWV1" s="1113"/>
      <c r="WWW1" s="1113"/>
      <c r="WWX1" s="1113"/>
      <c r="WWY1" s="1113"/>
      <c r="WWZ1" s="1113"/>
      <c r="WXA1" s="1113"/>
      <c r="WXB1" s="1113"/>
      <c r="WXC1" s="1113"/>
      <c r="WXD1" s="1113"/>
      <c r="WXE1" s="1113"/>
      <c r="WXF1" s="1113"/>
      <c r="WXG1" s="1113"/>
      <c r="WXH1" s="1113"/>
      <c r="WXI1" s="1113"/>
      <c r="WXJ1" s="1113"/>
      <c r="WXK1" s="1113"/>
      <c r="WXL1" s="1113"/>
      <c r="WXM1" s="1113"/>
      <c r="WXN1" s="1113"/>
      <c r="WXO1" s="1113"/>
      <c r="WXP1" s="1113"/>
      <c r="WXQ1" s="1113"/>
      <c r="WXR1" s="1113"/>
      <c r="WXS1" s="1113"/>
      <c r="WXT1" s="1113"/>
      <c r="WXU1" s="1113"/>
      <c r="WXV1" s="1113"/>
      <c r="WXW1" s="1113"/>
      <c r="WXX1" s="1113"/>
      <c r="WXY1" s="1113"/>
      <c r="WXZ1" s="1113"/>
      <c r="WYA1" s="1113"/>
      <c r="WYB1" s="1113"/>
      <c r="WYC1" s="1113"/>
      <c r="WYD1" s="1113"/>
      <c r="WYE1" s="1113"/>
      <c r="WYF1" s="1113"/>
      <c r="WYG1" s="1113"/>
      <c r="WYH1" s="1113"/>
      <c r="WYI1" s="1113"/>
      <c r="WYJ1" s="1113"/>
      <c r="WYK1" s="1113"/>
      <c r="WYL1" s="1113"/>
      <c r="WYM1" s="1113"/>
      <c r="WYN1" s="1113"/>
      <c r="WYO1" s="1113"/>
      <c r="WYP1" s="1113"/>
      <c r="WYQ1" s="1113"/>
      <c r="WYR1" s="1113"/>
      <c r="WYS1" s="1113"/>
      <c r="WYT1" s="1113"/>
      <c r="WYU1" s="1113"/>
      <c r="WYV1" s="1113"/>
      <c r="WYW1" s="1113"/>
      <c r="WYX1" s="1113"/>
      <c r="WYY1" s="1113"/>
      <c r="WYZ1" s="1113"/>
      <c r="WZA1" s="1113"/>
      <c r="WZB1" s="1113"/>
      <c r="WZC1" s="1113"/>
      <c r="WZD1" s="1113"/>
      <c r="WZE1" s="1113"/>
      <c r="WZF1" s="1113"/>
      <c r="WZG1" s="1113"/>
      <c r="WZH1" s="1113"/>
      <c r="WZI1" s="1113"/>
      <c r="WZJ1" s="1113"/>
      <c r="WZK1" s="1113"/>
      <c r="WZL1" s="1113"/>
      <c r="WZM1" s="1113"/>
      <c r="WZN1" s="1113"/>
      <c r="WZO1" s="1113"/>
      <c r="WZP1" s="1113"/>
      <c r="WZQ1" s="1113"/>
      <c r="WZR1" s="1113"/>
      <c r="WZS1" s="1113"/>
      <c r="WZT1" s="1113"/>
      <c r="WZU1" s="1113"/>
      <c r="WZV1" s="1113"/>
      <c r="WZW1" s="1113"/>
      <c r="WZX1" s="1113"/>
      <c r="WZY1" s="1113"/>
      <c r="WZZ1" s="1113"/>
      <c r="XAA1" s="1113"/>
      <c r="XAB1" s="1113"/>
      <c r="XAC1" s="1113"/>
      <c r="XAD1" s="1113"/>
      <c r="XAE1" s="1113"/>
      <c r="XAF1" s="1113"/>
      <c r="XAG1" s="1113"/>
      <c r="XAH1" s="1113"/>
      <c r="XAI1" s="1113"/>
      <c r="XAJ1" s="1113"/>
      <c r="XAK1" s="1113"/>
      <c r="XAL1" s="1113"/>
      <c r="XAM1" s="1113"/>
      <c r="XAN1" s="1113"/>
      <c r="XAO1" s="1113"/>
      <c r="XAP1" s="1113"/>
      <c r="XAQ1" s="1113"/>
      <c r="XAR1" s="1113"/>
      <c r="XAS1" s="1113"/>
      <c r="XAT1" s="1113"/>
      <c r="XAU1" s="1113"/>
      <c r="XAV1" s="1113"/>
      <c r="XAW1" s="1113"/>
      <c r="XAX1" s="1113"/>
      <c r="XAY1" s="1113"/>
      <c r="XAZ1" s="1113"/>
      <c r="XBA1" s="1113"/>
      <c r="XBB1" s="1113"/>
      <c r="XBC1" s="1113"/>
      <c r="XBD1" s="1113"/>
      <c r="XBE1" s="1113"/>
      <c r="XBF1" s="1113"/>
      <c r="XBG1" s="1113"/>
      <c r="XBH1" s="1113"/>
      <c r="XBI1" s="1113"/>
      <c r="XBJ1" s="1113"/>
      <c r="XBK1" s="1113"/>
      <c r="XBL1" s="1113"/>
      <c r="XBM1" s="1113"/>
      <c r="XBN1" s="1113"/>
      <c r="XBO1" s="1113"/>
      <c r="XBP1" s="1113"/>
      <c r="XBQ1" s="1113"/>
      <c r="XBR1" s="1113"/>
      <c r="XBS1" s="1113"/>
      <c r="XBT1" s="1113"/>
      <c r="XBU1" s="1113"/>
      <c r="XBV1" s="1113"/>
      <c r="XBW1" s="1113"/>
      <c r="XBX1" s="1113"/>
      <c r="XBY1" s="1113"/>
      <c r="XBZ1" s="1113"/>
      <c r="XCA1" s="1113"/>
      <c r="XCB1" s="1113"/>
      <c r="XCC1" s="1113"/>
      <c r="XCD1" s="1113"/>
      <c r="XCE1" s="1113"/>
      <c r="XCF1" s="1113"/>
      <c r="XCG1" s="1113"/>
      <c r="XCH1" s="1113"/>
      <c r="XCI1" s="1113"/>
      <c r="XCJ1" s="1113"/>
      <c r="XCK1" s="1113"/>
      <c r="XCL1" s="1113"/>
      <c r="XCM1" s="1113"/>
      <c r="XCN1" s="1113"/>
      <c r="XCO1" s="1113"/>
      <c r="XCP1" s="1113"/>
      <c r="XCQ1" s="1113"/>
      <c r="XCR1" s="1113"/>
      <c r="XCS1" s="1113"/>
      <c r="XCT1" s="1113"/>
      <c r="XCU1" s="1113"/>
      <c r="XCV1" s="1113"/>
      <c r="XCW1" s="1113"/>
      <c r="XCX1" s="1113"/>
      <c r="XCY1" s="1113"/>
      <c r="XCZ1" s="1113"/>
      <c r="XDA1" s="1113"/>
      <c r="XDB1" s="1113"/>
      <c r="XDC1" s="1113"/>
      <c r="XDD1" s="1113"/>
      <c r="XDE1" s="1113"/>
      <c r="XDF1" s="1113"/>
      <c r="XDG1" s="1113"/>
      <c r="XDH1" s="1113"/>
      <c r="XDI1" s="1113"/>
      <c r="XDJ1" s="1113"/>
      <c r="XDK1" s="1113"/>
      <c r="XDL1" s="1113"/>
      <c r="XDM1" s="1113"/>
      <c r="XDN1" s="1113"/>
      <c r="XDO1" s="1113"/>
      <c r="XDP1" s="1113"/>
      <c r="XDQ1" s="1113"/>
      <c r="XDR1" s="1113"/>
      <c r="XDS1" s="1113"/>
      <c r="XDT1" s="1113"/>
      <c r="XDU1" s="1113"/>
      <c r="XDV1" s="1113"/>
      <c r="XDW1" s="1113"/>
      <c r="XDX1" s="1113"/>
      <c r="XDY1" s="1113"/>
      <c r="XDZ1" s="1113"/>
      <c r="XEA1" s="1113"/>
      <c r="XEB1" s="1113"/>
      <c r="XEC1" s="1113"/>
      <c r="XED1" s="1113"/>
      <c r="XEE1" s="1113"/>
      <c r="XEF1" s="1113"/>
      <c r="XEG1" s="1113"/>
      <c r="XEH1" s="1113"/>
      <c r="XEI1" s="1113"/>
      <c r="XEJ1" s="1113"/>
      <c r="XEK1" s="1113"/>
      <c r="XEL1" s="1113"/>
      <c r="XEM1" s="1113"/>
      <c r="XEN1" s="1113"/>
      <c r="XEO1" s="1113"/>
      <c r="XEP1" s="1113"/>
      <c r="XEQ1" s="1113"/>
      <c r="XER1" s="1113"/>
      <c r="XES1" s="1113"/>
      <c r="XET1" s="1113"/>
      <c r="XEU1" s="1113"/>
      <c r="XEV1" s="1113"/>
      <c r="XEW1" s="1113"/>
      <c r="XEX1" s="1113"/>
      <c r="XEY1" s="1113"/>
      <c r="XEZ1" s="1113"/>
      <c r="XFA1" s="1113"/>
      <c r="XFB1" s="1113"/>
      <c r="XFC1" s="1113"/>
      <c r="XFD1" s="1113"/>
    </row>
    <row r="2" spans="1:16384" ht="18" customHeight="1" x14ac:dyDescent="0.35">
      <c r="B2" s="1342"/>
      <c r="D2" s="1343" t="s">
        <v>2849</v>
      </c>
      <c r="E2" s="1343"/>
      <c r="F2" s="1343"/>
      <c r="G2" s="1343"/>
      <c r="H2" s="1343"/>
      <c r="I2" s="1343"/>
      <c r="J2" s="1343"/>
      <c r="K2" s="1343"/>
      <c r="L2" s="1343"/>
      <c r="M2" s="1113"/>
      <c r="N2" s="1113"/>
      <c r="O2" s="1113"/>
      <c r="P2" s="1113"/>
      <c r="Q2" s="1113"/>
      <c r="R2" s="1113"/>
      <c r="S2" s="1113"/>
      <c r="T2" s="1113"/>
      <c r="U2" s="1113"/>
      <c r="V2" s="1113"/>
      <c r="W2" s="1113"/>
      <c r="X2" s="1113"/>
      <c r="Y2" s="1113"/>
      <c r="Z2" s="1113"/>
      <c r="AA2" s="1113"/>
      <c r="AB2" s="1113"/>
      <c r="AC2" s="1113"/>
      <c r="AD2" s="1113"/>
      <c r="AE2" s="1113"/>
      <c r="AF2" s="1113"/>
      <c r="AG2" s="1113"/>
      <c r="AH2" s="1113"/>
      <c r="AI2" s="1113"/>
      <c r="AJ2" s="1113"/>
      <c r="AK2" s="1113"/>
      <c r="AL2" s="1113"/>
      <c r="AM2" s="1113"/>
      <c r="AN2" s="1113"/>
      <c r="AO2" s="1113"/>
      <c r="AP2" s="1113"/>
      <c r="AQ2" s="1113"/>
      <c r="AR2" s="1113"/>
      <c r="AS2" s="1113"/>
      <c r="AT2" s="1113"/>
      <c r="AU2" s="1113"/>
      <c r="AV2" s="1113"/>
      <c r="AW2" s="1113"/>
      <c r="AX2" s="1113"/>
      <c r="AY2" s="1113"/>
      <c r="AZ2" s="1113"/>
      <c r="BA2" s="1113"/>
      <c r="BB2" s="1113"/>
      <c r="BC2" s="1113"/>
      <c r="BD2" s="1113"/>
      <c r="BE2" s="1113"/>
      <c r="BF2" s="1113"/>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1113"/>
      <c r="CJ2" s="1113"/>
      <c r="CK2" s="1113"/>
      <c r="CL2" s="1113"/>
      <c r="CM2" s="1113"/>
      <c r="CN2" s="1113"/>
      <c r="CO2" s="1113"/>
      <c r="CP2" s="1113"/>
      <c r="CQ2" s="1113"/>
      <c r="CR2" s="1113"/>
      <c r="CS2" s="1113"/>
      <c r="CT2" s="1113"/>
      <c r="CU2" s="1113"/>
      <c r="CV2" s="1113"/>
      <c r="CW2" s="1113"/>
      <c r="CX2" s="1113"/>
      <c r="CY2" s="1113"/>
      <c r="CZ2" s="1113"/>
      <c r="DA2" s="1113"/>
      <c r="DB2" s="1113"/>
      <c r="DC2" s="1113"/>
      <c r="DD2" s="1113"/>
      <c r="DE2" s="1113"/>
      <c r="DF2" s="1113"/>
      <c r="DG2" s="1113"/>
      <c r="DH2" s="1113"/>
      <c r="DI2" s="1113"/>
      <c r="DJ2" s="1113"/>
      <c r="DK2" s="1113"/>
      <c r="DL2" s="1113"/>
      <c r="DM2" s="1113"/>
      <c r="DN2" s="1113"/>
      <c r="DO2" s="1113"/>
      <c r="DP2" s="1113"/>
      <c r="DQ2" s="1113"/>
      <c r="DR2" s="1113"/>
      <c r="DS2" s="1113"/>
      <c r="DT2" s="1113"/>
      <c r="DU2" s="1113"/>
      <c r="DV2" s="1113"/>
      <c r="DW2" s="1113"/>
      <c r="DX2" s="1113"/>
      <c r="DY2" s="1113"/>
      <c r="DZ2" s="1113"/>
      <c r="EA2" s="1113"/>
      <c r="EB2" s="1113"/>
      <c r="EC2" s="1113"/>
      <c r="ED2" s="1113"/>
      <c r="EE2" s="1113"/>
      <c r="EF2" s="1113"/>
      <c r="EG2" s="1113"/>
      <c r="EH2" s="1113"/>
      <c r="EI2" s="1113"/>
      <c r="EJ2" s="1113"/>
      <c r="EK2" s="1113"/>
      <c r="EL2" s="1113"/>
      <c r="EM2" s="1113"/>
      <c r="EN2" s="1113"/>
      <c r="EO2" s="1113"/>
      <c r="EP2" s="1113"/>
      <c r="EQ2" s="1113"/>
      <c r="ER2" s="1113"/>
      <c r="ES2" s="1113"/>
      <c r="ET2" s="1113"/>
      <c r="EU2" s="1113"/>
      <c r="EV2" s="1113"/>
      <c r="EW2" s="1113"/>
      <c r="EX2" s="1113"/>
      <c r="EY2" s="1113"/>
      <c r="EZ2" s="1113"/>
      <c r="FA2" s="1113"/>
      <c r="FB2" s="1113"/>
      <c r="FC2" s="1113"/>
      <c r="FD2" s="1113"/>
      <c r="FE2" s="1113"/>
      <c r="FF2" s="1113"/>
      <c r="FG2" s="1113"/>
      <c r="FH2" s="1113"/>
      <c r="FI2" s="1113"/>
      <c r="FJ2" s="1113"/>
      <c r="FK2" s="1113"/>
      <c r="FL2" s="1113"/>
      <c r="FM2" s="1113"/>
      <c r="FN2" s="1113"/>
      <c r="FO2" s="1113"/>
      <c r="FP2" s="1113"/>
      <c r="FQ2" s="1113"/>
      <c r="FR2" s="1113"/>
      <c r="FS2" s="1113"/>
      <c r="FT2" s="1113"/>
      <c r="FU2" s="1113"/>
      <c r="FV2" s="1113"/>
      <c r="FW2" s="1113"/>
      <c r="FX2" s="1113"/>
      <c r="FY2" s="1113"/>
      <c r="FZ2" s="1113"/>
      <c r="GA2" s="1113"/>
      <c r="GB2" s="1113"/>
      <c r="GC2" s="1113"/>
      <c r="GD2" s="1113"/>
      <c r="GE2" s="1113"/>
      <c r="GF2" s="1113"/>
      <c r="GG2" s="1113"/>
      <c r="GH2" s="1113"/>
      <c r="GI2" s="1113"/>
      <c r="GJ2" s="1113"/>
      <c r="GK2" s="1113"/>
      <c r="GL2" s="1113"/>
      <c r="GM2" s="1113"/>
      <c r="GN2" s="1113"/>
      <c r="GO2" s="1113"/>
      <c r="GP2" s="1113"/>
      <c r="GQ2" s="1113"/>
      <c r="GR2" s="1113"/>
      <c r="GS2" s="1113"/>
      <c r="GT2" s="1113"/>
      <c r="GU2" s="1113"/>
      <c r="GV2" s="1113"/>
      <c r="GW2" s="1113"/>
      <c r="GX2" s="1113"/>
      <c r="GY2" s="1113"/>
      <c r="GZ2" s="1113"/>
      <c r="HA2" s="1113"/>
      <c r="HB2" s="1113"/>
      <c r="HC2" s="1113"/>
      <c r="HD2" s="1113"/>
      <c r="HE2" s="1113"/>
      <c r="HF2" s="1113"/>
      <c r="HG2" s="1113"/>
      <c r="HH2" s="1113"/>
      <c r="HI2" s="1113"/>
      <c r="HJ2" s="1113"/>
      <c r="HK2" s="1113"/>
      <c r="HL2" s="1113"/>
      <c r="HM2" s="1113"/>
      <c r="HN2" s="1113"/>
      <c r="HO2" s="1113"/>
      <c r="HP2" s="1113"/>
      <c r="HQ2" s="1113"/>
      <c r="HR2" s="1113"/>
      <c r="HS2" s="1113"/>
      <c r="HT2" s="1113"/>
      <c r="HU2" s="1113"/>
      <c r="HV2" s="1113"/>
      <c r="HW2" s="1113"/>
      <c r="HX2" s="1113"/>
      <c r="HY2" s="1113"/>
      <c r="HZ2" s="1113"/>
      <c r="IA2" s="1113"/>
      <c r="IB2" s="1113"/>
      <c r="IC2" s="1113"/>
      <c r="ID2" s="1113"/>
      <c r="IE2" s="1113"/>
      <c r="IF2" s="1113"/>
      <c r="IG2" s="1113"/>
      <c r="IH2" s="1113"/>
      <c r="II2" s="1113"/>
      <c r="IJ2" s="1113"/>
      <c r="IK2" s="1113"/>
      <c r="IL2" s="1113"/>
      <c r="IM2" s="1113"/>
      <c r="IN2" s="1113"/>
      <c r="IO2" s="1113"/>
      <c r="IP2" s="1113"/>
      <c r="IQ2" s="1113"/>
      <c r="IR2" s="1113"/>
      <c r="IS2" s="1113"/>
      <c r="IT2" s="1113"/>
      <c r="IU2" s="1113"/>
      <c r="IV2" s="1113"/>
      <c r="IW2" s="1113"/>
      <c r="IX2" s="1113"/>
      <c r="IY2" s="1113"/>
      <c r="IZ2" s="1113"/>
      <c r="JA2" s="1113"/>
      <c r="JB2" s="1113"/>
      <c r="JC2" s="1113"/>
      <c r="JD2" s="1113"/>
      <c r="JE2" s="1113"/>
      <c r="JF2" s="1113"/>
      <c r="JG2" s="1113"/>
      <c r="JH2" s="1113"/>
      <c r="JI2" s="1113"/>
      <c r="JJ2" s="1113"/>
      <c r="JK2" s="1113"/>
      <c r="JL2" s="1113"/>
      <c r="JM2" s="1113"/>
      <c r="JN2" s="1113"/>
      <c r="JO2" s="1113"/>
      <c r="JP2" s="1113"/>
      <c r="JQ2" s="1113"/>
      <c r="JR2" s="1113"/>
      <c r="JS2" s="1113"/>
      <c r="JT2" s="1113"/>
      <c r="JU2" s="1113"/>
      <c r="JV2" s="1113"/>
      <c r="JW2" s="1113"/>
      <c r="JX2" s="1113"/>
      <c r="JY2" s="1113"/>
      <c r="JZ2" s="1113"/>
      <c r="KA2" s="1113"/>
      <c r="KB2" s="1113"/>
      <c r="KC2" s="1113"/>
      <c r="KD2" s="1113"/>
      <c r="KE2" s="1113"/>
      <c r="KF2" s="1113"/>
      <c r="KG2" s="1113"/>
      <c r="KH2" s="1113"/>
      <c r="KI2" s="1113"/>
      <c r="KJ2" s="1113"/>
      <c r="KK2" s="1113"/>
      <c r="KL2" s="1113"/>
      <c r="KM2" s="1113"/>
      <c r="KN2" s="1113"/>
      <c r="KO2" s="1113"/>
      <c r="KP2" s="1113"/>
      <c r="KQ2" s="1113"/>
      <c r="KR2" s="1113"/>
      <c r="KS2" s="1113"/>
      <c r="KT2" s="1113"/>
      <c r="KU2" s="1113"/>
      <c r="KV2" s="1113"/>
      <c r="KW2" s="1113"/>
      <c r="KX2" s="1113"/>
      <c r="KY2" s="1113"/>
      <c r="KZ2" s="1113"/>
      <c r="LA2" s="1113"/>
      <c r="LB2" s="1113"/>
      <c r="LC2" s="1113"/>
      <c r="LD2" s="1113"/>
      <c r="LE2" s="1113"/>
      <c r="LF2" s="1113"/>
      <c r="LG2" s="1113"/>
      <c r="LH2" s="1113"/>
      <c r="LI2" s="1113"/>
      <c r="LJ2" s="1113"/>
      <c r="LK2" s="1113"/>
      <c r="LL2" s="1113"/>
      <c r="LM2" s="1113"/>
      <c r="LN2" s="1113"/>
      <c r="LO2" s="1113"/>
      <c r="LP2" s="1113"/>
      <c r="LQ2" s="1113"/>
      <c r="LR2" s="1113"/>
      <c r="LS2" s="1113"/>
      <c r="LT2" s="1113"/>
      <c r="LU2" s="1113"/>
      <c r="LV2" s="1113"/>
      <c r="LW2" s="1113"/>
      <c r="LX2" s="1113"/>
      <c r="LY2" s="1113"/>
      <c r="LZ2" s="1113"/>
      <c r="MA2" s="1113"/>
      <c r="MB2" s="1113"/>
      <c r="MC2" s="1113"/>
      <c r="MD2" s="1113"/>
      <c r="ME2" s="1113"/>
      <c r="MF2" s="1113"/>
      <c r="MG2" s="1113"/>
      <c r="MH2" s="1113"/>
      <c r="MI2" s="1113"/>
      <c r="MJ2" s="1113"/>
      <c r="MK2" s="1113"/>
      <c r="ML2" s="1113"/>
      <c r="MM2" s="1113"/>
      <c r="MN2" s="1113"/>
      <c r="MO2" s="1113"/>
      <c r="MP2" s="1113"/>
      <c r="MQ2" s="1113"/>
      <c r="MR2" s="1113"/>
      <c r="MS2" s="1113"/>
      <c r="MT2" s="1113"/>
      <c r="MU2" s="1113"/>
      <c r="MV2" s="1113"/>
      <c r="MW2" s="1113"/>
      <c r="MX2" s="1113"/>
      <c r="MY2" s="1113"/>
      <c r="MZ2" s="1113"/>
      <c r="NA2" s="1113"/>
      <c r="NB2" s="1113"/>
      <c r="NC2" s="1113"/>
      <c r="ND2" s="1113"/>
      <c r="NE2" s="1113"/>
      <c r="NF2" s="1113"/>
      <c r="NG2" s="1113"/>
      <c r="NH2" s="1113"/>
      <c r="NI2" s="1113"/>
      <c r="NJ2" s="1113"/>
      <c r="NK2" s="1113"/>
      <c r="NL2" s="1113"/>
      <c r="NM2" s="1113"/>
      <c r="NN2" s="1113"/>
      <c r="NO2" s="1113"/>
      <c r="NP2" s="1113"/>
      <c r="NQ2" s="1113"/>
      <c r="NR2" s="1113"/>
      <c r="NS2" s="1113"/>
      <c r="NT2" s="1113"/>
      <c r="NU2" s="1113"/>
      <c r="NV2" s="1113"/>
      <c r="NW2" s="1113"/>
      <c r="NX2" s="1113"/>
      <c r="NY2" s="1113"/>
      <c r="NZ2" s="1113"/>
      <c r="OA2" s="1113"/>
      <c r="OB2" s="1113"/>
      <c r="OC2" s="1113"/>
      <c r="OD2" s="1113"/>
      <c r="OE2" s="1113"/>
      <c r="OF2" s="1113"/>
      <c r="OG2" s="1113"/>
      <c r="OH2" s="1113"/>
      <c r="OI2" s="1113"/>
      <c r="OJ2" s="1113"/>
      <c r="OK2" s="1113"/>
      <c r="OL2" s="1113"/>
      <c r="OM2" s="1113"/>
      <c r="ON2" s="1113"/>
      <c r="OO2" s="1113"/>
      <c r="OP2" s="1113"/>
      <c r="OQ2" s="1113"/>
      <c r="OR2" s="1113"/>
      <c r="OS2" s="1113"/>
      <c r="OT2" s="1113"/>
      <c r="OU2" s="1113"/>
      <c r="OV2" s="1113"/>
      <c r="OW2" s="1113"/>
      <c r="OX2" s="1113"/>
      <c r="OY2" s="1113"/>
      <c r="OZ2" s="1113"/>
      <c r="PA2" s="1113"/>
      <c r="PB2" s="1113"/>
      <c r="PC2" s="1113"/>
      <c r="PD2" s="1113"/>
      <c r="PE2" s="1113"/>
      <c r="PF2" s="1113"/>
      <c r="PG2" s="1113"/>
      <c r="PH2" s="1113"/>
      <c r="PI2" s="1113"/>
      <c r="PJ2" s="1113"/>
      <c r="PK2" s="1113"/>
      <c r="PL2" s="1113"/>
      <c r="PM2" s="1113"/>
      <c r="PN2" s="1113"/>
      <c r="PO2" s="1113"/>
      <c r="PP2" s="1113"/>
      <c r="PQ2" s="1113"/>
      <c r="PR2" s="1113"/>
      <c r="PS2" s="1113"/>
      <c r="PT2" s="1113"/>
      <c r="PU2" s="1113"/>
      <c r="PV2" s="1113"/>
      <c r="PW2" s="1113"/>
      <c r="PX2" s="1113"/>
      <c r="PY2" s="1113"/>
      <c r="PZ2" s="1113"/>
      <c r="QA2" s="1113"/>
      <c r="QB2" s="1113"/>
      <c r="QC2" s="1113"/>
      <c r="QD2" s="1113"/>
      <c r="QE2" s="1113"/>
      <c r="QF2" s="1113"/>
      <c r="QG2" s="1113"/>
      <c r="QH2" s="1113"/>
      <c r="QI2" s="1113"/>
      <c r="QJ2" s="1113"/>
      <c r="QK2" s="1113"/>
      <c r="QL2" s="1113"/>
      <c r="QM2" s="1113"/>
      <c r="QN2" s="1113"/>
      <c r="QO2" s="1113"/>
      <c r="QP2" s="1113"/>
      <c r="QQ2" s="1113"/>
      <c r="QR2" s="1113"/>
      <c r="QS2" s="1113"/>
      <c r="QT2" s="1113"/>
      <c r="QU2" s="1113"/>
      <c r="QV2" s="1113"/>
      <c r="QW2" s="1113"/>
      <c r="QX2" s="1113"/>
      <c r="QY2" s="1113"/>
      <c r="QZ2" s="1113"/>
      <c r="RA2" s="1113"/>
      <c r="RB2" s="1113"/>
      <c r="RC2" s="1113"/>
      <c r="RD2" s="1113"/>
      <c r="RE2" s="1113"/>
      <c r="RF2" s="1113"/>
      <c r="RG2" s="1113"/>
      <c r="RH2" s="1113"/>
      <c r="RI2" s="1113"/>
      <c r="RJ2" s="1113"/>
      <c r="RK2" s="1113"/>
      <c r="RL2" s="1113"/>
      <c r="RM2" s="1113"/>
      <c r="RN2" s="1113"/>
      <c r="RO2" s="1113"/>
      <c r="RP2" s="1113"/>
      <c r="RQ2" s="1113"/>
      <c r="RR2" s="1113"/>
      <c r="RS2" s="1113"/>
      <c r="RT2" s="1113"/>
      <c r="RU2" s="1113"/>
      <c r="RV2" s="1113"/>
      <c r="RW2" s="1113"/>
      <c r="RX2" s="1113"/>
      <c r="RY2" s="1113"/>
      <c r="RZ2" s="1113"/>
      <c r="SA2" s="1113"/>
      <c r="SB2" s="1113"/>
      <c r="SC2" s="1113"/>
      <c r="SD2" s="1113"/>
      <c r="SE2" s="1113"/>
      <c r="SF2" s="1113"/>
      <c r="SG2" s="1113"/>
      <c r="SH2" s="1113"/>
      <c r="SI2" s="1113"/>
      <c r="SJ2" s="1113"/>
      <c r="SK2" s="1113"/>
      <c r="SL2" s="1113"/>
      <c r="SM2" s="1113"/>
      <c r="SN2" s="1113"/>
      <c r="SO2" s="1113"/>
      <c r="SP2" s="1113"/>
      <c r="SQ2" s="1113"/>
      <c r="SR2" s="1113"/>
      <c r="SS2" s="1113"/>
      <c r="ST2" s="1113"/>
      <c r="SU2" s="1113"/>
      <c r="SV2" s="1113"/>
      <c r="SW2" s="1113"/>
      <c r="SX2" s="1113"/>
      <c r="SY2" s="1113"/>
      <c r="SZ2" s="1113"/>
      <c r="TA2" s="1113"/>
      <c r="TB2" s="1113"/>
      <c r="TC2" s="1113"/>
      <c r="TD2" s="1113"/>
      <c r="TE2" s="1113"/>
      <c r="TF2" s="1113"/>
      <c r="TG2" s="1113"/>
      <c r="TH2" s="1113"/>
      <c r="TI2" s="1113"/>
      <c r="TJ2" s="1113"/>
      <c r="TK2" s="1113"/>
      <c r="TL2" s="1113"/>
      <c r="TM2" s="1113"/>
      <c r="TN2" s="1113"/>
      <c r="TO2" s="1113"/>
      <c r="TP2" s="1113"/>
      <c r="TQ2" s="1113"/>
      <c r="TR2" s="1113"/>
      <c r="TS2" s="1113"/>
      <c r="TT2" s="1113"/>
      <c r="TU2" s="1113"/>
      <c r="TV2" s="1113"/>
      <c r="TW2" s="1113"/>
      <c r="TX2" s="1113"/>
      <c r="TY2" s="1113"/>
      <c r="TZ2" s="1113"/>
      <c r="UA2" s="1113"/>
      <c r="UB2" s="1113"/>
      <c r="UC2" s="1113"/>
      <c r="UD2" s="1113"/>
      <c r="UE2" s="1113"/>
      <c r="UF2" s="1113"/>
      <c r="UG2" s="1113"/>
      <c r="UH2" s="1113"/>
      <c r="UI2" s="1113"/>
      <c r="UJ2" s="1113"/>
      <c r="UK2" s="1113"/>
      <c r="UL2" s="1113"/>
      <c r="UM2" s="1113"/>
      <c r="UN2" s="1113"/>
      <c r="UO2" s="1113"/>
      <c r="UP2" s="1113"/>
      <c r="UQ2" s="1113"/>
      <c r="UR2" s="1113"/>
      <c r="US2" s="1113"/>
      <c r="UT2" s="1113"/>
      <c r="UU2" s="1113"/>
      <c r="UV2" s="1113"/>
      <c r="UW2" s="1113"/>
      <c r="UX2" s="1113"/>
      <c r="UY2" s="1113"/>
      <c r="UZ2" s="1113"/>
      <c r="VA2" s="1113"/>
      <c r="VB2" s="1113"/>
      <c r="VC2" s="1113"/>
      <c r="VD2" s="1113"/>
      <c r="VE2" s="1113"/>
      <c r="VF2" s="1113"/>
      <c r="VG2" s="1113"/>
      <c r="VH2" s="1113"/>
      <c r="VI2" s="1113"/>
      <c r="VJ2" s="1113"/>
      <c r="VK2" s="1113"/>
      <c r="VL2" s="1113"/>
      <c r="VM2" s="1113"/>
      <c r="VN2" s="1113"/>
      <c r="VO2" s="1113"/>
      <c r="VP2" s="1113"/>
      <c r="VQ2" s="1113"/>
      <c r="VR2" s="1113"/>
      <c r="VS2" s="1113"/>
      <c r="VT2" s="1113"/>
      <c r="VU2" s="1113"/>
      <c r="VV2" s="1113"/>
      <c r="VW2" s="1113"/>
      <c r="VX2" s="1113"/>
      <c r="VY2" s="1113"/>
      <c r="VZ2" s="1113"/>
      <c r="WA2" s="1113"/>
      <c r="WB2" s="1113"/>
      <c r="WC2" s="1113"/>
      <c r="WD2" s="1113"/>
      <c r="WE2" s="1113"/>
      <c r="WF2" s="1113"/>
      <c r="WG2" s="1113"/>
      <c r="WH2" s="1113"/>
      <c r="WI2" s="1113"/>
      <c r="WJ2" s="1113"/>
      <c r="WK2" s="1113"/>
      <c r="WL2" s="1113"/>
      <c r="WM2" s="1113"/>
      <c r="WN2" s="1113"/>
      <c r="WO2" s="1113"/>
      <c r="WP2" s="1113"/>
      <c r="WQ2" s="1113"/>
      <c r="WR2" s="1113"/>
      <c r="WS2" s="1113"/>
      <c r="WT2" s="1113"/>
      <c r="WU2" s="1113"/>
      <c r="WV2" s="1113"/>
      <c r="WW2" s="1113"/>
      <c r="WX2" s="1113"/>
      <c r="WY2" s="1113"/>
      <c r="WZ2" s="1113"/>
      <c r="XA2" s="1113"/>
      <c r="XB2" s="1113"/>
      <c r="XC2" s="1113"/>
      <c r="XD2" s="1113"/>
      <c r="XE2" s="1113"/>
      <c r="XF2" s="1113"/>
      <c r="XG2" s="1113"/>
      <c r="XH2" s="1113"/>
      <c r="XI2" s="1113"/>
      <c r="XJ2" s="1113"/>
      <c r="XK2" s="1113"/>
      <c r="XL2" s="1113"/>
      <c r="XM2" s="1113"/>
      <c r="XN2" s="1113"/>
      <c r="XO2" s="1113"/>
      <c r="XP2" s="1113"/>
      <c r="XQ2" s="1113"/>
      <c r="XR2" s="1113"/>
      <c r="XS2" s="1113"/>
      <c r="XT2" s="1113"/>
      <c r="XU2" s="1113"/>
      <c r="XV2" s="1113"/>
      <c r="XW2" s="1113"/>
      <c r="XX2" s="1113"/>
      <c r="XY2" s="1113"/>
      <c r="XZ2" s="1113"/>
      <c r="YA2" s="1113"/>
      <c r="YB2" s="1113"/>
      <c r="YC2" s="1113"/>
      <c r="YD2" s="1113"/>
      <c r="YE2" s="1113"/>
      <c r="YF2" s="1113"/>
      <c r="YG2" s="1113"/>
      <c r="YH2" s="1113"/>
      <c r="YI2" s="1113"/>
      <c r="YJ2" s="1113"/>
      <c r="YK2" s="1113"/>
      <c r="YL2" s="1113"/>
      <c r="YM2" s="1113"/>
      <c r="YN2" s="1113"/>
      <c r="YO2" s="1113"/>
      <c r="YP2" s="1113"/>
      <c r="YQ2" s="1113"/>
      <c r="YR2" s="1113"/>
      <c r="YS2" s="1113"/>
      <c r="YT2" s="1113"/>
      <c r="YU2" s="1113"/>
      <c r="YV2" s="1113"/>
      <c r="YW2" s="1113"/>
      <c r="YX2" s="1113"/>
      <c r="YY2" s="1113"/>
      <c r="YZ2" s="1113"/>
      <c r="ZA2" s="1113"/>
      <c r="ZB2" s="1113"/>
      <c r="ZC2" s="1113"/>
      <c r="ZD2" s="1113"/>
      <c r="ZE2" s="1113"/>
      <c r="ZF2" s="1113"/>
      <c r="ZG2" s="1113"/>
      <c r="ZH2" s="1113"/>
      <c r="ZI2" s="1113"/>
      <c r="ZJ2" s="1113"/>
      <c r="ZK2" s="1113"/>
      <c r="ZL2" s="1113"/>
      <c r="ZM2" s="1113"/>
      <c r="ZN2" s="1113"/>
      <c r="ZO2" s="1113"/>
      <c r="ZP2" s="1113"/>
      <c r="ZQ2" s="1113"/>
      <c r="ZR2" s="1113"/>
      <c r="ZS2" s="1113"/>
      <c r="ZT2" s="1113"/>
      <c r="ZU2" s="1113"/>
      <c r="ZV2" s="1113"/>
      <c r="ZW2" s="1113"/>
      <c r="ZX2" s="1113"/>
      <c r="ZY2" s="1113"/>
      <c r="ZZ2" s="1113"/>
      <c r="AAA2" s="1113"/>
      <c r="AAB2" s="1113"/>
      <c r="AAC2" s="1113"/>
      <c r="AAD2" s="1113"/>
      <c r="AAE2" s="1113"/>
      <c r="AAF2" s="1113"/>
      <c r="AAG2" s="1113"/>
      <c r="AAH2" s="1113"/>
      <c r="AAI2" s="1113"/>
      <c r="AAJ2" s="1113"/>
      <c r="AAK2" s="1113"/>
      <c r="AAL2" s="1113"/>
      <c r="AAM2" s="1113"/>
      <c r="AAN2" s="1113"/>
      <c r="AAO2" s="1113"/>
      <c r="AAP2" s="1113"/>
      <c r="AAQ2" s="1113"/>
      <c r="AAR2" s="1113"/>
      <c r="AAS2" s="1113"/>
      <c r="AAT2" s="1113"/>
      <c r="AAU2" s="1113"/>
      <c r="AAV2" s="1113"/>
      <c r="AAW2" s="1113"/>
      <c r="AAX2" s="1113"/>
      <c r="AAY2" s="1113"/>
      <c r="AAZ2" s="1113"/>
      <c r="ABA2" s="1113"/>
      <c r="ABB2" s="1113"/>
      <c r="ABC2" s="1113"/>
      <c r="ABD2" s="1113"/>
      <c r="ABE2" s="1113"/>
      <c r="ABF2" s="1113"/>
      <c r="ABG2" s="1113"/>
      <c r="ABH2" s="1113"/>
      <c r="ABI2" s="1113"/>
      <c r="ABJ2" s="1113"/>
      <c r="ABK2" s="1113"/>
      <c r="ABL2" s="1113"/>
      <c r="ABM2" s="1113"/>
      <c r="ABN2" s="1113"/>
      <c r="ABO2" s="1113"/>
      <c r="ABP2" s="1113"/>
      <c r="ABQ2" s="1113"/>
      <c r="ABR2" s="1113"/>
      <c r="ABS2" s="1113"/>
      <c r="ABT2" s="1113"/>
      <c r="ABU2" s="1113"/>
      <c r="ABV2" s="1113"/>
      <c r="ABW2" s="1113"/>
      <c r="ABX2" s="1113"/>
      <c r="ABY2" s="1113"/>
      <c r="ABZ2" s="1113"/>
      <c r="ACA2" s="1113"/>
      <c r="ACB2" s="1113"/>
      <c r="ACC2" s="1113"/>
      <c r="ACD2" s="1113"/>
      <c r="ACE2" s="1113"/>
      <c r="ACF2" s="1113"/>
      <c r="ACG2" s="1113"/>
      <c r="ACH2" s="1113"/>
      <c r="ACI2" s="1113"/>
      <c r="ACJ2" s="1113"/>
      <c r="ACK2" s="1113"/>
      <c r="ACL2" s="1113"/>
      <c r="ACM2" s="1113"/>
      <c r="ACN2" s="1113"/>
      <c r="ACO2" s="1113"/>
      <c r="ACP2" s="1113"/>
      <c r="ACQ2" s="1113"/>
      <c r="ACR2" s="1113"/>
      <c r="ACS2" s="1113"/>
      <c r="ACT2" s="1113"/>
      <c r="ACU2" s="1113"/>
      <c r="ACV2" s="1113"/>
      <c r="ACW2" s="1113"/>
      <c r="ACX2" s="1113"/>
      <c r="ACY2" s="1113"/>
      <c r="ACZ2" s="1113"/>
      <c r="ADA2" s="1113"/>
      <c r="ADB2" s="1113"/>
      <c r="ADC2" s="1113"/>
      <c r="ADD2" s="1113"/>
      <c r="ADE2" s="1113"/>
      <c r="ADF2" s="1113"/>
      <c r="ADG2" s="1113"/>
      <c r="ADH2" s="1113"/>
      <c r="ADI2" s="1113"/>
      <c r="ADJ2" s="1113"/>
      <c r="ADK2" s="1113"/>
      <c r="ADL2" s="1113"/>
      <c r="ADM2" s="1113"/>
      <c r="ADN2" s="1113"/>
      <c r="ADO2" s="1113"/>
      <c r="ADP2" s="1113"/>
      <c r="ADQ2" s="1113"/>
      <c r="ADR2" s="1113"/>
      <c r="ADS2" s="1113"/>
      <c r="ADT2" s="1113"/>
      <c r="ADU2" s="1113"/>
      <c r="ADV2" s="1113"/>
      <c r="ADW2" s="1113"/>
      <c r="ADX2" s="1113"/>
      <c r="ADY2" s="1113"/>
      <c r="ADZ2" s="1113"/>
      <c r="AEA2" s="1113"/>
      <c r="AEB2" s="1113"/>
      <c r="AEC2" s="1113"/>
      <c r="AED2" s="1113"/>
      <c r="AEE2" s="1113"/>
      <c r="AEF2" s="1113"/>
      <c r="AEG2" s="1113"/>
      <c r="AEH2" s="1113"/>
      <c r="AEI2" s="1113"/>
      <c r="AEJ2" s="1113"/>
      <c r="AEK2" s="1113"/>
      <c r="AEL2" s="1113"/>
      <c r="AEM2" s="1113"/>
      <c r="AEN2" s="1113"/>
      <c r="AEO2" s="1113"/>
      <c r="AEP2" s="1113"/>
      <c r="AEQ2" s="1113"/>
      <c r="AER2" s="1113"/>
      <c r="AES2" s="1113"/>
      <c r="AET2" s="1113"/>
      <c r="AEU2" s="1113"/>
      <c r="AEV2" s="1113"/>
      <c r="AEW2" s="1113"/>
      <c r="AEX2" s="1113"/>
      <c r="AEY2" s="1113"/>
      <c r="AEZ2" s="1113"/>
      <c r="AFA2" s="1113"/>
      <c r="AFB2" s="1113"/>
      <c r="AFC2" s="1113"/>
      <c r="AFD2" s="1113"/>
      <c r="AFE2" s="1113"/>
      <c r="AFF2" s="1113"/>
      <c r="AFG2" s="1113"/>
      <c r="AFH2" s="1113"/>
      <c r="AFI2" s="1113"/>
      <c r="AFJ2" s="1113"/>
      <c r="AFK2" s="1113"/>
      <c r="AFL2" s="1113"/>
      <c r="AFM2" s="1113"/>
      <c r="AFN2" s="1113"/>
      <c r="AFO2" s="1113"/>
      <c r="AFP2" s="1113"/>
      <c r="AFQ2" s="1113"/>
      <c r="AFR2" s="1113"/>
      <c r="AFS2" s="1113"/>
      <c r="AFT2" s="1113"/>
      <c r="AFU2" s="1113"/>
      <c r="AFV2" s="1113"/>
      <c r="AFW2" s="1113"/>
      <c r="AFX2" s="1113"/>
      <c r="AFY2" s="1113"/>
      <c r="AFZ2" s="1113"/>
      <c r="AGA2" s="1113"/>
      <c r="AGB2" s="1113"/>
      <c r="AGC2" s="1113"/>
      <c r="AGD2" s="1113"/>
      <c r="AGE2" s="1113"/>
      <c r="AGF2" s="1113"/>
      <c r="AGG2" s="1113"/>
      <c r="AGH2" s="1113"/>
      <c r="AGI2" s="1113"/>
      <c r="AGJ2" s="1113"/>
      <c r="AGK2" s="1113"/>
      <c r="AGL2" s="1113"/>
      <c r="AGM2" s="1113"/>
      <c r="AGN2" s="1113"/>
      <c r="AGO2" s="1113"/>
      <c r="AGP2" s="1113"/>
      <c r="AGQ2" s="1113"/>
      <c r="AGR2" s="1113"/>
      <c r="AGS2" s="1113"/>
      <c r="AGT2" s="1113"/>
      <c r="AGU2" s="1113"/>
      <c r="AGV2" s="1113"/>
      <c r="AGW2" s="1113"/>
      <c r="AGX2" s="1113"/>
      <c r="AGY2" s="1113"/>
      <c r="AGZ2" s="1113"/>
      <c r="AHA2" s="1113"/>
      <c r="AHB2" s="1113"/>
      <c r="AHC2" s="1113"/>
      <c r="AHD2" s="1113"/>
      <c r="AHE2" s="1113"/>
      <c r="AHF2" s="1113"/>
      <c r="AHG2" s="1113"/>
      <c r="AHH2" s="1113"/>
      <c r="AHI2" s="1113"/>
      <c r="AHJ2" s="1113"/>
      <c r="AHK2" s="1113"/>
      <c r="AHL2" s="1113"/>
      <c r="AHM2" s="1113"/>
      <c r="AHN2" s="1113"/>
      <c r="AHO2" s="1113"/>
      <c r="AHP2" s="1113"/>
      <c r="AHQ2" s="1113"/>
      <c r="AHR2" s="1113"/>
      <c r="AHS2" s="1113"/>
      <c r="AHT2" s="1113"/>
      <c r="AHU2" s="1113"/>
      <c r="AHV2" s="1113"/>
      <c r="AHW2" s="1113"/>
      <c r="AHX2" s="1113"/>
      <c r="AHY2" s="1113"/>
      <c r="AHZ2" s="1113"/>
      <c r="AIA2" s="1113"/>
      <c r="AIB2" s="1113"/>
      <c r="AIC2" s="1113"/>
      <c r="AID2" s="1113"/>
      <c r="AIE2" s="1113"/>
      <c r="AIF2" s="1113"/>
      <c r="AIG2" s="1113"/>
      <c r="AIH2" s="1113"/>
      <c r="AII2" s="1113"/>
      <c r="AIJ2" s="1113"/>
      <c r="AIK2" s="1113"/>
      <c r="AIL2" s="1113"/>
      <c r="AIM2" s="1113"/>
      <c r="AIN2" s="1113"/>
      <c r="AIO2" s="1113"/>
      <c r="AIP2" s="1113"/>
      <c r="AIQ2" s="1113"/>
      <c r="AIR2" s="1113"/>
      <c r="AIS2" s="1113"/>
      <c r="AIT2" s="1113"/>
      <c r="AIU2" s="1113"/>
      <c r="AIV2" s="1113"/>
      <c r="AIW2" s="1113"/>
      <c r="AIX2" s="1113"/>
      <c r="AIY2" s="1113"/>
      <c r="AIZ2" s="1113"/>
      <c r="AJA2" s="1113"/>
      <c r="AJB2" s="1113"/>
      <c r="AJC2" s="1113"/>
      <c r="AJD2" s="1113"/>
      <c r="AJE2" s="1113"/>
      <c r="AJF2" s="1113"/>
      <c r="AJG2" s="1113"/>
      <c r="AJH2" s="1113"/>
      <c r="AJI2" s="1113"/>
      <c r="AJJ2" s="1113"/>
      <c r="AJK2" s="1113"/>
      <c r="AJL2" s="1113"/>
      <c r="AJM2" s="1113"/>
      <c r="AJN2" s="1113"/>
      <c r="AJO2" s="1113"/>
      <c r="AJP2" s="1113"/>
      <c r="AJQ2" s="1113"/>
      <c r="AJR2" s="1113"/>
      <c r="AJS2" s="1113"/>
      <c r="AJT2" s="1113"/>
      <c r="AJU2" s="1113"/>
      <c r="AJV2" s="1113"/>
      <c r="AJW2" s="1113"/>
      <c r="AJX2" s="1113"/>
      <c r="AJY2" s="1113"/>
      <c r="AJZ2" s="1113"/>
      <c r="AKA2" s="1113"/>
      <c r="AKB2" s="1113"/>
      <c r="AKC2" s="1113"/>
      <c r="AKD2" s="1113"/>
      <c r="AKE2" s="1113"/>
      <c r="AKF2" s="1113"/>
      <c r="AKG2" s="1113"/>
      <c r="AKH2" s="1113"/>
      <c r="AKI2" s="1113"/>
      <c r="AKJ2" s="1113"/>
      <c r="AKK2" s="1113"/>
      <c r="AKL2" s="1113"/>
      <c r="AKM2" s="1113"/>
      <c r="AKN2" s="1113"/>
      <c r="AKO2" s="1113"/>
      <c r="AKP2" s="1113"/>
      <c r="AKQ2" s="1113"/>
      <c r="AKR2" s="1113"/>
      <c r="AKS2" s="1113"/>
      <c r="AKT2" s="1113"/>
      <c r="AKU2" s="1113"/>
      <c r="AKV2" s="1113"/>
      <c r="AKW2" s="1113"/>
      <c r="AKX2" s="1113"/>
      <c r="AKY2" s="1113"/>
      <c r="AKZ2" s="1113"/>
      <c r="ALA2" s="1113"/>
      <c r="ALB2" s="1113"/>
      <c r="ALC2" s="1113"/>
      <c r="ALD2" s="1113"/>
      <c r="ALE2" s="1113"/>
      <c r="ALF2" s="1113"/>
      <c r="ALG2" s="1113"/>
      <c r="ALH2" s="1113"/>
      <c r="ALI2" s="1113"/>
      <c r="ALJ2" s="1113"/>
      <c r="ALK2" s="1113"/>
      <c r="ALL2" s="1113"/>
      <c r="ALM2" s="1113"/>
      <c r="ALN2" s="1113"/>
      <c r="ALO2" s="1113"/>
      <c r="ALP2" s="1113"/>
      <c r="ALQ2" s="1113"/>
      <c r="ALR2" s="1113"/>
      <c r="ALS2" s="1113"/>
      <c r="ALT2" s="1113"/>
      <c r="ALU2" s="1113"/>
      <c r="ALV2" s="1113"/>
      <c r="ALW2" s="1113"/>
      <c r="ALX2" s="1113"/>
      <c r="ALY2" s="1113"/>
      <c r="ALZ2" s="1113"/>
      <c r="AMA2" s="1113"/>
      <c r="AMB2" s="1113"/>
      <c r="AMC2" s="1113"/>
      <c r="AMD2" s="1113"/>
      <c r="AME2" s="1113"/>
      <c r="AMF2" s="1113"/>
      <c r="AMG2" s="1113"/>
      <c r="AMH2" s="1113"/>
      <c r="AMI2" s="1113"/>
      <c r="AMJ2" s="1113"/>
      <c r="AMK2" s="1113"/>
      <c r="AML2" s="1113"/>
      <c r="AMM2" s="1113"/>
      <c r="AMN2" s="1113"/>
      <c r="AMO2" s="1113"/>
      <c r="AMP2" s="1113"/>
      <c r="AMQ2" s="1113"/>
      <c r="AMR2" s="1113"/>
      <c r="AMS2" s="1113"/>
      <c r="AMT2" s="1113"/>
      <c r="AMU2" s="1113"/>
      <c r="AMV2" s="1113"/>
      <c r="AMW2" s="1113"/>
      <c r="AMX2" s="1113"/>
      <c r="AMY2" s="1113"/>
      <c r="AMZ2" s="1113"/>
      <c r="ANA2" s="1113"/>
      <c r="ANB2" s="1113"/>
      <c r="ANC2" s="1113"/>
      <c r="AND2" s="1113"/>
      <c r="ANE2" s="1113"/>
      <c r="ANF2" s="1113"/>
      <c r="ANG2" s="1113"/>
      <c r="ANH2" s="1113"/>
      <c r="ANI2" s="1113"/>
      <c r="ANJ2" s="1113"/>
      <c r="ANK2" s="1113"/>
      <c r="ANL2" s="1113"/>
      <c r="ANM2" s="1113"/>
      <c r="ANN2" s="1113"/>
      <c r="ANO2" s="1113"/>
      <c r="ANP2" s="1113"/>
      <c r="ANQ2" s="1113"/>
      <c r="ANR2" s="1113"/>
      <c r="ANS2" s="1113"/>
      <c r="ANT2" s="1113"/>
      <c r="ANU2" s="1113"/>
      <c r="ANV2" s="1113"/>
      <c r="ANW2" s="1113"/>
      <c r="ANX2" s="1113"/>
      <c r="ANY2" s="1113"/>
      <c r="ANZ2" s="1113"/>
      <c r="AOA2" s="1113"/>
      <c r="AOB2" s="1113"/>
      <c r="AOC2" s="1113"/>
      <c r="AOD2" s="1113"/>
      <c r="AOE2" s="1113"/>
      <c r="AOF2" s="1113"/>
      <c r="AOG2" s="1113"/>
      <c r="AOH2" s="1113"/>
      <c r="AOI2" s="1113"/>
      <c r="AOJ2" s="1113"/>
      <c r="AOK2" s="1113"/>
      <c r="AOL2" s="1113"/>
      <c r="AOM2" s="1113"/>
      <c r="AON2" s="1113"/>
      <c r="AOO2" s="1113"/>
      <c r="AOP2" s="1113"/>
      <c r="AOQ2" s="1113"/>
      <c r="AOR2" s="1113"/>
      <c r="AOS2" s="1113"/>
      <c r="AOT2" s="1113"/>
      <c r="AOU2" s="1113"/>
      <c r="AOV2" s="1113"/>
      <c r="AOW2" s="1113"/>
      <c r="AOX2" s="1113"/>
      <c r="AOY2" s="1113"/>
      <c r="AOZ2" s="1113"/>
      <c r="APA2" s="1113"/>
      <c r="APB2" s="1113"/>
      <c r="APC2" s="1113"/>
      <c r="APD2" s="1113"/>
      <c r="APE2" s="1113"/>
      <c r="APF2" s="1113"/>
      <c r="APG2" s="1113"/>
      <c r="APH2" s="1113"/>
      <c r="API2" s="1113"/>
      <c r="APJ2" s="1113"/>
      <c r="APK2" s="1113"/>
      <c r="APL2" s="1113"/>
      <c r="APM2" s="1113"/>
      <c r="APN2" s="1113"/>
      <c r="APO2" s="1113"/>
      <c r="APP2" s="1113"/>
      <c r="APQ2" s="1113"/>
      <c r="APR2" s="1113"/>
      <c r="APS2" s="1113"/>
      <c r="APT2" s="1113"/>
      <c r="APU2" s="1113"/>
      <c r="APV2" s="1113"/>
      <c r="APW2" s="1113"/>
      <c r="APX2" s="1113"/>
      <c r="APY2" s="1113"/>
      <c r="APZ2" s="1113"/>
      <c r="AQA2" s="1113"/>
      <c r="AQB2" s="1113"/>
      <c r="AQC2" s="1113"/>
      <c r="AQD2" s="1113"/>
      <c r="AQE2" s="1113"/>
      <c r="AQF2" s="1113"/>
      <c r="AQG2" s="1113"/>
      <c r="AQH2" s="1113"/>
      <c r="AQI2" s="1113"/>
      <c r="AQJ2" s="1113"/>
      <c r="AQK2" s="1113"/>
      <c r="AQL2" s="1113"/>
      <c r="AQM2" s="1113"/>
      <c r="AQN2" s="1113"/>
      <c r="AQO2" s="1113"/>
      <c r="AQP2" s="1113"/>
      <c r="AQQ2" s="1113"/>
      <c r="AQR2" s="1113"/>
      <c r="AQS2" s="1113"/>
      <c r="AQT2" s="1113"/>
      <c r="AQU2" s="1113"/>
      <c r="AQV2" s="1113"/>
      <c r="AQW2" s="1113"/>
      <c r="AQX2" s="1113"/>
      <c r="AQY2" s="1113"/>
      <c r="AQZ2" s="1113"/>
      <c r="ARA2" s="1113"/>
      <c r="ARB2" s="1113"/>
      <c r="ARC2" s="1113"/>
      <c r="ARD2" s="1113"/>
      <c r="ARE2" s="1113"/>
      <c r="ARF2" s="1113"/>
      <c r="ARG2" s="1113"/>
      <c r="ARH2" s="1113"/>
      <c r="ARI2" s="1113"/>
      <c r="ARJ2" s="1113"/>
      <c r="ARK2" s="1113"/>
      <c r="ARL2" s="1113"/>
      <c r="ARM2" s="1113"/>
      <c r="ARN2" s="1113"/>
      <c r="ARO2" s="1113"/>
      <c r="ARP2" s="1113"/>
      <c r="ARQ2" s="1113"/>
      <c r="ARR2" s="1113"/>
      <c r="ARS2" s="1113"/>
      <c r="ART2" s="1113"/>
      <c r="ARU2" s="1113"/>
      <c r="ARV2" s="1113"/>
      <c r="ARW2" s="1113"/>
      <c r="ARX2" s="1113"/>
      <c r="ARY2" s="1113"/>
      <c r="ARZ2" s="1113"/>
      <c r="ASA2" s="1113"/>
      <c r="ASB2" s="1113"/>
      <c r="ASC2" s="1113"/>
      <c r="ASD2" s="1113"/>
      <c r="ASE2" s="1113"/>
      <c r="ASF2" s="1113"/>
      <c r="ASG2" s="1113"/>
      <c r="ASH2" s="1113"/>
      <c r="ASI2" s="1113"/>
      <c r="ASJ2" s="1113"/>
      <c r="ASK2" s="1113"/>
      <c r="ASL2" s="1113"/>
      <c r="ASM2" s="1113"/>
      <c r="ASN2" s="1113"/>
      <c r="ASO2" s="1113"/>
      <c r="ASP2" s="1113"/>
      <c r="ASQ2" s="1113"/>
      <c r="ASR2" s="1113"/>
      <c r="ASS2" s="1113"/>
      <c r="AST2" s="1113"/>
      <c r="ASU2" s="1113"/>
      <c r="ASV2" s="1113"/>
      <c r="ASW2" s="1113"/>
      <c r="ASX2" s="1113"/>
      <c r="ASY2" s="1113"/>
      <c r="ASZ2" s="1113"/>
      <c r="ATA2" s="1113"/>
      <c r="ATB2" s="1113"/>
      <c r="ATC2" s="1113"/>
      <c r="ATD2" s="1113"/>
      <c r="ATE2" s="1113"/>
      <c r="ATF2" s="1113"/>
      <c r="ATG2" s="1113"/>
      <c r="ATH2" s="1113"/>
      <c r="ATI2" s="1113"/>
      <c r="ATJ2" s="1113"/>
      <c r="ATK2" s="1113"/>
      <c r="ATL2" s="1113"/>
      <c r="ATM2" s="1113"/>
      <c r="ATN2" s="1113"/>
      <c r="ATO2" s="1113"/>
      <c r="ATP2" s="1113"/>
      <c r="ATQ2" s="1113"/>
      <c r="ATR2" s="1113"/>
      <c r="ATS2" s="1113"/>
      <c r="ATT2" s="1113"/>
      <c r="ATU2" s="1113"/>
      <c r="ATV2" s="1113"/>
      <c r="ATW2" s="1113"/>
      <c r="ATX2" s="1113"/>
      <c r="ATY2" s="1113"/>
      <c r="ATZ2" s="1113"/>
      <c r="AUA2" s="1113"/>
      <c r="AUB2" s="1113"/>
      <c r="AUC2" s="1113"/>
      <c r="AUD2" s="1113"/>
      <c r="AUE2" s="1113"/>
      <c r="AUF2" s="1113"/>
      <c r="AUG2" s="1113"/>
      <c r="AUH2" s="1113"/>
      <c r="AUI2" s="1113"/>
      <c r="AUJ2" s="1113"/>
      <c r="AUK2" s="1113"/>
      <c r="AUL2" s="1113"/>
      <c r="AUM2" s="1113"/>
      <c r="AUN2" s="1113"/>
      <c r="AUO2" s="1113"/>
      <c r="AUP2" s="1113"/>
      <c r="AUQ2" s="1113"/>
      <c r="AUR2" s="1113"/>
      <c r="AUS2" s="1113"/>
      <c r="AUT2" s="1113"/>
      <c r="AUU2" s="1113"/>
      <c r="AUV2" s="1113"/>
      <c r="AUW2" s="1113"/>
      <c r="AUX2" s="1113"/>
      <c r="AUY2" s="1113"/>
      <c r="AUZ2" s="1113"/>
      <c r="AVA2" s="1113"/>
      <c r="AVB2" s="1113"/>
      <c r="AVC2" s="1113"/>
      <c r="AVD2" s="1113"/>
      <c r="AVE2" s="1113"/>
      <c r="AVF2" s="1113"/>
      <c r="AVG2" s="1113"/>
      <c r="AVH2" s="1113"/>
      <c r="AVI2" s="1113"/>
      <c r="AVJ2" s="1113"/>
      <c r="AVK2" s="1113"/>
      <c r="AVL2" s="1113"/>
      <c r="AVM2" s="1113"/>
      <c r="AVN2" s="1113"/>
      <c r="AVO2" s="1113"/>
      <c r="AVP2" s="1113"/>
      <c r="AVQ2" s="1113"/>
      <c r="AVR2" s="1113"/>
      <c r="AVS2" s="1113"/>
      <c r="AVT2" s="1113"/>
      <c r="AVU2" s="1113"/>
      <c r="AVV2" s="1113"/>
      <c r="AVW2" s="1113"/>
      <c r="AVX2" s="1113"/>
      <c r="AVY2" s="1113"/>
      <c r="AVZ2" s="1113"/>
      <c r="AWA2" s="1113"/>
      <c r="AWB2" s="1113"/>
      <c r="AWC2" s="1113"/>
      <c r="AWD2" s="1113"/>
      <c r="AWE2" s="1113"/>
      <c r="AWF2" s="1113"/>
      <c r="AWG2" s="1113"/>
      <c r="AWH2" s="1113"/>
      <c r="AWI2" s="1113"/>
      <c r="AWJ2" s="1113"/>
      <c r="AWK2" s="1113"/>
      <c r="AWL2" s="1113"/>
      <c r="AWM2" s="1113"/>
      <c r="AWN2" s="1113"/>
      <c r="AWO2" s="1113"/>
      <c r="AWP2" s="1113"/>
      <c r="AWQ2" s="1113"/>
      <c r="AWR2" s="1113"/>
      <c r="AWS2" s="1113"/>
      <c r="AWT2" s="1113"/>
      <c r="AWU2" s="1113"/>
      <c r="AWV2" s="1113"/>
      <c r="AWW2" s="1113"/>
      <c r="AWX2" s="1113"/>
      <c r="AWY2" s="1113"/>
      <c r="AWZ2" s="1113"/>
      <c r="AXA2" s="1113"/>
      <c r="AXB2" s="1113"/>
      <c r="AXC2" s="1113"/>
      <c r="AXD2" s="1113"/>
      <c r="AXE2" s="1113"/>
      <c r="AXF2" s="1113"/>
      <c r="AXG2" s="1113"/>
      <c r="AXH2" s="1113"/>
      <c r="AXI2" s="1113"/>
      <c r="AXJ2" s="1113"/>
      <c r="AXK2" s="1113"/>
      <c r="AXL2" s="1113"/>
      <c r="AXM2" s="1113"/>
      <c r="AXN2" s="1113"/>
      <c r="AXO2" s="1113"/>
      <c r="AXP2" s="1113"/>
      <c r="AXQ2" s="1113"/>
      <c r="AXR2" s="1113"/>
      <c r="AXS2" s="1113"/>
      <c r="AXT2" s="1113"/>
      <c r="AXU2" s="1113"/>
      <c r="AXV2" s="1113"/>
      <c r="AXW2" s="1113"/>
      <c r="AXX2" s="1113"/>
      <c r="AXY2" s="1113"/>
      <c r="AXZ2" s="1113"/>
      <c r="AYA2" s="1113"/>
      <c r="AYB2" s="1113"/>
      <c r="AYC2" s="1113"/>
      <c r="AYD2" s="1113"/>
      <c r="AYE2" s="1113"/>
      <c r="AYF2" s="1113"/>
      <c r="AYG2" s="1113"/>
      <c r="AYH2" s="1113"/>
      <c r="AYI2" s="1113"/>
      <c r="AYJ2" s="1113"/>
      <c r="AYK2" s="1113"/>
      <c r="AYL2" s="1113"/>
      <c r="AYM2" s="1113"/>
      <c r="AYN2" s="1113"/>
      <c r="AYO2" s="1113"/>
      <c r="AYP2" s="1113"/>
      <c r="AYQ2" s="1113"/>
      <c r="AYR2" s="1113"/>
      <c r="AYS2" s="1113"/>
      <c r="AYT2" s="1113"/>
      <c r="AYU2" s="1113"/>
      <c r="AYV2" s="1113"/>
      <c r="AYW2" s="1113"/>
      <c r="AYX2" s="1113"/>
      <c r="AYY2" s="1113"/>
      <c r="AYZ2" s="1113"/>
      <c r="AZA2" s="1113"/>
      <c r="AZB2" s="1113"/>
      <c r="AZC2" s="1113"/>
      <c r="AZD2" s="1113"/>
      <c r="AZE2" s="1113"/>
      <c r="AZF2" s="1113"/>
      <c r="AZG2" s="1113"/>
      <c r="AZH2" s="1113"/>
      <c r="AZI2" s="1113"/>
      <c r="AZJ2" s="1113"/>
      <c r="AZK2" s="1113"/>
      <c r="AZL2" s="1113"/>
      <c r="AZM2" s="1113"/>
      <c r="AZN2" s="1113"/>
      <c r="AZO2" s="1113"/>
      <c r="AZP2" s="1113"/>
      <c r="AZQ2" s="1113"/>
      <c r="AZR2" s="1113"/>
      <c r="AZS2" s="1113"/>
      <c r="AZT2" s="1113"/>
      <c r="AZU2" s="1113"/>
      <c r="AZV2" s="1113"/>
      <c r="AZW2" s="1113"/>
      <c r="AZX2" s="1113"/>
      <c r="AZY2" s="1113"/>
      <c r="AZZ2" s="1113"/>
      <c r="BAA2" s="1113"/>
      <c r="BAB2" s="1113"/>
      <c r="BAC2" s="1113"/>
      <c r="BAD2" s="1113"/>
      <c r="BAE2" s="1113"/>
      <c r="BAF2" s="1113"/>
      <c r="BAG2" s="1113"/>
      <c r="BAH2" s="1113"/>
      <c r="BAI2" s="1113"/>
      <c r="BAJ2" s="1113"/>
      <c r="BAK2" s="1113"/>
      <c r="BAL2" s="1113"/>
      <c r="BAM2" s="1113"/>
      <c r="BAN2" s="1113"/>
      <c r="BAO2" s="1113"/>
      <c r="BAP2" s="1113"/>
      <c r="BAQ2" s="1113"/>
      <c r="BAR2" s="1113"/>
      <c r="BAS2" s="1113"/>
      <c r="BAT2" s="1113"/>
      <c r="BAU2" s="1113"/>
      <c r="BAV2" s="1113"/>
      <c r="BAW2" s="1113"/>
      <c r="BAX2" s="1113"/>
      <c r="BAY2" s="1113"/>
      <c r="BAZ2" s="1113"/>
      <c r="BBA2" s="1113"/>
      <c r="BBB2" s="1113"/>
      <c r="BBC2" s="1113"/>
      <c r="BBD2" s="1113"/>
      <c r="BBE2" s="1113"/>
      <c r="BBF2" s="1113"/>
      <c r="BBG2" s="1113"/>
      <c r="BBH2" s="1113"/>
      <c r="BBI2" s="1113"/>
      <c r="BBJ2" s="1113"/>
      <c r="BBK2" s="1113"/>
      <c r="BBL2" s="1113"/>
      <c r="BBM2" s="1113"/>
      <c r="BBN2" s="1113"/>
      <c r="BBO2" s="1113"/>
      <c r="BBP2" s="1113"/>
      <c r="BBQ2" s="1113"/>
      <c r="BBR2" s="1113"/>
      <c r="BBS2" s="1113"/>
      <c r="BBT2" s="1113"/>
      <c r="BBU2" s="1113"/>
      <c r="BBV2" s="1113"/>
      <c r="BBW2" s="1113"/>
      <c r="BBX2" s="1113"/>
      <c r="BBY2" s="1113"/>
      <c r="BBZ2" s="1113"/>
      <c r="BCA2" s="1113"/>
      <c r="BCB2" s="1113"/>
      <c r="BCC2" s="1113"/>
      <c r="BCD2" s="1113"/>
      <c r="BCE2" s="1113"/>
      <c r="BCF2" s="1113"/>
      <c r="BCG2" s="1113"/>
      <c r="BCH2" s="1113"/>
      <c r="BCI2" s="1113"/>
      <c r="BCJ2" s="1113"/>
      <c r="BCK2" s="1113"/>
      <c r="BCL2" s="1113"/>
      <c r="BCM2" s="1113"/>
      <c r="BCN2" s="1113"/>
      <c r="BCO2" s="1113"/>
      <c r="BCP2" s="1113"/>
      <c r="BCQ2" s="1113"/>
      <c r="BCR2" s="1113"/>
      <c r="BCS2" s="1113"/>
      <c r="BCT2" s="1113"/>
      <c r="BCU2" s="1113"/>
      <c r="BCV2" s="1113"/>
      <c r="BCW2" s="1113"/>
      <c r="BCX2" s="1113"/>
      <c r="BCY2" s="1113"/>
      <c r="BCZ2" s="1113"/>
      <c r="BDA2" s="1113"/>
      <c r="BDB2" s="1113"/>
      <c r="BDC2" s="1113"/>
      <c r="BDD2" s="1113"/>
      <c r="BDE2" s="1113"/>
      <c r="BDF2" s="1113"/>
      <c r="BDG2" s="1113"/>
      <c r="BDH2" s="1113"/>
      <c r="BDI2" s="1113"/>
      <c r="BDJ2" s="1113"/>
      <c r="BDK2" s="1113"/>
      <c r="BDL2" s="1113"/>
      <c r="BDM2" s="1113"/>
      <c r="BDN2" s="1113"/>
      <c r="BDO2" s="1113"/>
      <c r="BDP2" s="1113"/>
      <c r="BDQ2" s="1113"/>
      <c r="BDR2" s="1113"/>
      <c r="BDS2" s="1113"/>
      <c r="BDT2" s="1113"/>
      <c r="BDU2" s="1113"/>
      <c r="BDV2" s="1113"/>
      <c r="BDW2" s="1113"/>
      <c r="BDX2" s="1113"/>
      <c r="BDY2" s="1113"/>
      <c r="BDZ2" s="1113"/>
      <c r="BEA2" s="1113"/>
      <c r="BEB2" s="1113"/>
      <c r="BEC2" s="1113"/>
      <c r="BED2" s="1113"/>
      <c r="BEE2" s="1113"/>
      <c r="BEF2" s="1113"/>
      <c r="BEG2" s="1113"/>
      <c r="BEH2" s="1113"/>
      <c r="BEI2" s="1113"/>
      <c r="BEJ2" s="1113"/>
      <c r="BEK2" s="1113"/>
      <c r="BEL2" s="1113"/>
      <c r="BEM2" s="1113"/>
      <c r="BEN2" s="1113"/>
      <c r="BEO2" s="1113"/>
      <c r="BEP2" s="1113"/>
      <c r="BEQ2" s="1113"/>
      <c r="BER2" s="1113"/>
      <c r="BES2" s="1113"/>
      <c r="BET2" s="1113"/>
      <c r="BEU2" s="1113"/>
      <c r="BEV2" s="1113"/>
      <c r="BEW2" s="1113"/>
      <c r="BEX2" s="1113"/>
      <c r="BEY2" s="1113"/>
      <c r="BEZ2" s="1113"/>
      <c r="BFA2" s="1113"/>
      <c r="BFB2" s="1113"/>
      <c r="BFC2" s="1113"/>
      <c r="BFD2" s="1113"/>
      <c r="BFE2" s="1113"/>
      <c r="BFF2" s="1113"/>
      <c r="BFG2" s="1113"/>
      <c r="BFH2" s="1113"/>
      <c r="BFI2" s="1113"/>
      <c r="BFJ2" s="1113"/>
      <c r="BFK2" s="1113"/>
      <c r="BFL2" s="1113"/>
      <c r="BFM2" s="1113"/>
      <c r="BFN2" s="1113"/>
      <c r="BFO2" s="1113"/>
      <c r="BFP2" s="1113"/>
      <c r="BFQ2" s="1113"/>
      <c r="BFR2" s="1113"/>
      <c r="BFS2" s="1113"/>
      <c r="BFT2" s="1113"/>
      <c r="BFU2" s="1113"/>
      <c r="BFV2" s="1113"/>
      <c r="BFW2" s="1113"/>
      <c r="BFX2" s="1113"/>
      <c r="BFY2" s="1113"/>
      <c r="BFZ2" s="1113"/>
      <c r="BGA2" s="1113"/>
      <c r="BGB2" s="1113"/>
      <c r="BGC2" s="1113"/>
      <c r="BGD2" s="1113"/>
      <c r="BGE2" s="1113"/>
      <c r="BGF2" s="1113"/>
      <c r="BGG2" s="1113"/>
      <c r="BGH2" s="1113"/>
      <c r="BGI2" s="1113"/>
      <c r="BGJ2" s="1113"/>
      <c r="BGK2" s="1113"/>
      <c r="BGL2" s="1113"/>
      <c r="BGM2" s="1113"/>
      <c r="BGN2" s="1113"/>
      <c r="BGO2" s="1113"/>
      <c r="BGP2" s="1113"/>
      <c r="BGQ2" s="1113"/>
      <c r="BGR2" s="1113"/>
      <c r="BGS2" s="1113"/>
      <c r="BGT2" s="1113"/>
      <c r="BGU2" s="1113"/>
      <c r="BGV2" s="1113"/>
      <c r="BGW2" s="1113"/>
      <c r="BGX2" s="1113"/>
      <c r="BGY2" s="1113"/>
      <c r="BGZ2" s="1113"/>
      <c r="BHA2" s="1113"/>
      <c r="BHB2" s="1113"/>
      <c r="BHC2" s="1113"/>
      <c r="BHD2" s="1113"/>
      <c r="BHE2" s="1113"/>
      <c r="BHF2" s="1113"/>
      <c r="BHG2" s="1113"/>
      <c r="BHH2" s="1113"/>
      <c r="BHI2" s="1113"/>
      <c r="BHJ2" s="1113"/>
      <c r="BHK2" s="1113"/>
      <c r="BHL2" s="1113"/>
      <c r="BHM2" s="1113"/>
      <c r="BHN2" s="1113"/>
      <c r="BHO2" s="1113"/>
      <c r="BHP2" s="1113"/>
      <c r="BHQ2" s="1113"/>
      <c r="BHR2" s="1113"/>
      <c r="BHS2" s="1113"/>
      <c r="BHT2" s="1113"/>
      <c r="BHU2" s="1113"/>
      <c r="BHV2" s="1113"/>
      <c r="BHW2" s="1113"/>
      <c r="BHX2" s="1113"/>
      <c r="BHY2" s="1113"/>
      <c r="BHZ2" s="1113"/>
      <c r="BIA2" s="1113"/>
      <c r="BIB2" s="1113"/>
      <c r="BIC2" s="1113"/>
      <c r="BID2" s="1113"/>
      <c r="BIE2" s="1113"/>
      <c r="BIF2" s="1113"/>
      <c r="BIG2" s="1113"/>
      <c r="BIH2" s="1113"/>
      <c r="BII2" s="1113"/>
      <c r="BIJ2" s="1113"/>
      <c r="BIK2" s="1113"/>
      <c r="BIL2" s="1113"/>
      <c r="BIM2" s="1113"/>
      <c r="BIN2" s="1113"/>
      <c r="BIO2" s="1113"/>
      <c r="BIP2" s="1113"/>
      <c r="BIQ2" s="1113"/>
      <c r="BIR2" s="1113"/>
      <c r="BIS2" s="1113"/>
      <c r="BIT2" s="1113"/>
      <c r="BIU2" s="1113"/>
      <c r="BIV2" s="1113"/>
      <c r="BIW2" s="1113"/>
      <c r="BIX2" s="1113"/>
      <c r="BIY2" s="1113"/>
      <c r="BIZ2" s="1113"/>
      <c r="BJA2" s="1113"/>
      <c r="BJB2" s="1113"/>
      <c r="BJC2" s="1113"/>
      <c r="BJD2" s="1113"/>
      <c r="BJE2" s="1113"/>
      <c r="BJF2" s="1113"/>
      <c r="BJG2" s="1113"/>
      <c r="BJH2" s="1113"/>
      <c r="BJI2" s="1113"/>
      <c r="BJJ2" s="1113"/>
      <c r="BJK2" s="1113"/>
      <c r="BJL2" s="1113"/>
      <c r="BJM2" s="1113"/>
      <c r="BJN2" s="1113"/>
      <c r="BJO2" s="1113"/>
      <c r="BJP2" s="1113"/>
      <c r="BJQ2" s="1113"/>
      <c r="BJR2" s="1113"/>
      <c r="BJS2" s="1113"/>
      <c r="BJT2" s="1113"/>
      <c r="BJU2" s="1113"/>
      <c r="BJV2" s="1113"/>
      <c r="BJW2" s="1113"/>
      <c r="BJX2" s="1113"/>
      <c r="BJY2" s="1113"/>
      <c r="BJZ2" s="1113"/>
      <c r="BKA2" s="1113"/>
      <c r="BKB2" s="1113"/>
      <c r="BKC2" s="1113"/>
      <c r="BKD2" s="1113"/>
      <c r="BKE2" s="1113"/>
      <c r="BKF2" s="1113"/>
      <c r="BKG2" s="1113"/>
      <c r="BKH2" s="1113"/>
      <c r="BKI2" s="1113"/>
      <c r="BKJ2" s="1113"/>
      <c r="BKK2" s="1113"/>
      <c r="BKL2" s="1113"/>
      <c r="BKM2" s="1113"/>
      <c r="BKN2" s="1113"/>
      <c r="BKO2" s="1113"/>
      <c r="BKP2" s="1113"/>
      <c r="BKQ2" s="1113"/>
      <c r="BKR2" s="1113"/>
      <c r="BKS2" s="1113"/>
      <c r="BKT2" s="1113"/>
      <c r="BKU2" s="1113"/>
      <c r="BKV2" s="1113"/>
      <c r="BKW2" s="1113"/>
      <c r="BKX2" s="1113"/>
      <c r="BKY2" s="1113"/>
      <c r="BKZ2" s="1113"/>
      <c r="BLA2" s="1113"/>
      <c r="BLB2" s="1113"/>
      <c r="BLC2" s="1113"/>
      <c r="BLD2" s="1113"/>
      <c r="BLE2" s="1113"/>
      <c r="BLF2" s="1113"/>
      <c r="BLG2" s="1113"/>
      <c r="BLH2" s="1113"/>
      <c r="BLI2" s="1113"/>
      <c r="BLJ2" s="1113"/>
      <c r="BLK2" s="1113"/>
      <c r="BLL2" s="1113"/>
      <c r="BLM2" s="1113"/>
      <c r="BLN2" s="1113"/>
      <c r="BLO2" s="1113"/>
      <c r="BLP2" s="1113"/>
      <c r="BLQ2" s="1113"/>
      <c r="BLR2" s="1113"/>
      <c r="BLS2" s="1113"/>
      <c r="BLT2" s="1113"/>
      <c r="BLU2" s="1113"/>
      <c r="BLV2" s="1113"/>
      <c r="BLW2" s="1113"/>
      <c r="BLX2" s="1113"/>
      <c r="BLY2" s="1113"/>
      <c r="BLZ2" s="1113"/>
      <c r="BMA2" s="1113"/>
      <c r="BMB2" s="1113"/>
      <c r="BMC2" s="1113"/>
      <c r="BMD2" s="1113"/>
      <c r="BME2" s="1113"/>
      <c r="BMF2" s="1113"/>
      <c r="BMG2" s="1113"/>
      <c r="BMH2" s="1113"/>
      <c r="BMI2" s="1113"/>
      <c r="BMJ2" s="1113"/>
      <c r="BMK2" s="1113"/>
      <c r="BML2" s="1113"/>
      <c r="BMM2" s="1113"/>
      <c r="BMN2" s="1113"/>
      <c r="BMO2" s="1113"/>
      <c r="BMP2" s="1113"/>
      <c r="BMQ2" s="1113"/>
      <c r="BMR2" s="1113"/>
      <c r="BMS2" s="1113"/>
      <c r="BMT2" s="1113"/>
      <c r="BMU2" s="1113"/>
      <c r="BMV2" s="1113"/>
      <c r="BMW2" s="1113"/>
      <c r="BMX2" s="1113"/>
      <c r="BMY2" s="1113"/>
      <c r="BMZ2" s="1113"/>
      <c r="BNA2" s="1113"/>
      <c r="BNB2" s="1113"/>
      <c r="BNC2" s="1113"/>
      <c r="BND2" s="1113"/>
      <c r="BNE2" s="1113"/>
      <c r="BNF2" s="1113"/>
      <c r="BNG2" s="1113"/>
      <c r="BNH2" s="1113"/>
      <c r="BNI2" s="1113"/>
      <c r="BNJ2" s="1113"/>
      <c r="BNK2" s="1113"/>
      <c r="BNL2" s="1113"/>
      <c r="BNM2" s="1113"/>
      <c r="BNN2" s="1113"/>
      <c r="BNO2" s="1113"/>
      <c r="BNP2" s="1113"/>
      <c r="BNQ2" s="1113"/>
      <c r="BNR2" s="1113"/>
      <c r="BNS2" s="1113"/>
      <c r="BNT2" s="1113"/>
      <c r="BNU2" s="1113"/>
      <c r="BNV2" s="1113"/>
      <c r="BNW2" s="1113"/>
      <c r="BNX2" s="1113"/>
      <c r="BNY2" s="1113"/>
      <c r="BNZ2" s="1113"/>
      <c r="BOA2" s="1113"/>
      <c r="BOB2" s="1113"/>
      <c r="BOC2" s="1113"/>
      <c r="BOD2" s="1113"/>
      <c r="BOE2" s="1113"/>
      <c r="BOF2" s="1113"/>
      <c r="BOG2" s="1113"/>
      <c r="BOH2" s="1113"/>
      <c r="BOI2" s="1113"/>
      <c r="BOJ2" s="1113"/>
      <c r="BOK2" s="1113"/>
      <c r="BOL2" s="1113"/>
      <c r="BOM2" s="1113"/>
      <c r="BON2" s="1113"/>
      <c r="BOO2" s="1113"/>
      <c r="BOP2" s="1113"/>
      <c r="BOQ2" s="1113"/>
      <c r="BOR2" s="1113"/>
      <c r="BOS2" s="1113"/>
      <c r="BOT2" s="1113"/>
      <c r="BOU2" s="1113"/>
      <c r="BOV2" s="1113"/>
      <c r="BOW2" s="1113"/>
      <c r="BOX2" s="1113"/>
      <c r="BOY2" s="1113"/>
      <c r="BOZ2" s="1113"/>
      <c r="BPA2" s="1113"/>
      <c r="BPB2" s="1113"/>
      <c r="BPC2" s="1113"/>
      <c r="BPD2" s="1113"/>
      <c r="BPE2" s="1113"/>
      <c r="BPF2" s="1113"/>
      <c r="BPG2" s="1113"/>
      <c r="BPH2" s="1113"/>
      <c r="BPI2" s="1113"/>
      <c r="BPJ2" s="1113"/>
      <c r="BPK2" s="1113"/>
      <c r="BPL2" s="1113"/>
      <c r="BPM2" s="1113"/>
      <c r="BPN2" s="1113"/>
      <c r="BPO2" s="1113"/>
      <c r="BPP2" s="1113"/>
      <c r="BPQ2" s="1113"/>
      <c r="BPR2" s="1113"/>
      <c r="BPS2" s="1113"/>
      <c r="BPT2" s="1113"/>
      <c r="BPU2" s="1113"/>
      <c r="BPV2" s="1113"/>
      <c r="BPW2" s="1113"/>
      <c r="BPX2" s="1113"/>
      <c r="BPY2" s="1113"/>
      <c r="BPZ2" s="1113"/>
      <c r="BQA2" s="1113"/>
      <c r="BQB2" s="1113"/>
      <c r="BQC2" s="1113"/>
      <c r="BQD2" s="1113"/>
      <c r="BQE2" s="1113"/>
      <c r="BQF2" s="1113"/>
      <c r="BQG2" s="1113"/>
      <c r="BQH2" s="1113"/>
      <c r="BQI2" s="1113"/>
      <c r="BQJ2" s="1113"/>
      <c r="BQK2" s="1113"/>
      <c r="BQL2" s="1113"/>
      <c r="BQM2" s="1113"/>
      <c r="BQN2" s="1113"/>
      <c r="BQO2" s="1113"/>
      <c r="BQP2" s="1113"/>
      <c r="BQQ2" s="1113"/>
      <c r="BQR2" s="1113"/>
      <c r="BQS2" s="1113"/>
      <c r="BQT2" s="1113"/>
      <c r="BQU2" s="1113"/>
      <c r="BQV2" s="1113"/>
      <c r="BQW2" s="1113"/>
      <c r="BQX2" s="1113"/>
      <c r="BQY2" s="1113"/>
      <c r="BQZ2" s="1113"/>
      <c r="BRA2" s="1113"/>
      <c r="BRB2" s="1113"/>
      <c r="BRC2" s="1113"/>
      <c r="BRD2" s="1113"/>
      <c r="BRE2" s="1113"/>
      <c r="BRF2" s="1113"/>
      <c r="BRG2" s="1113"/>
      <c r="BRH2" s="1113"/>
      <c r="BRI2" s="1113"/>
      <c r="BRJ2" s="1113"/>
      <c r="BRK2" s="1113"/>
      <c r="BRL2" s="1113"/>
      <c r="BRM2" s="1113"/>
      <c r="BRN2" s="1113"/>
      <c r="BRO2" s="1113"/>
      <c r="BRP2" s="1113"/>
      <c r="BRQ2" s="1113"/>
      <c r="BRR2" s="1113"/>
      <c r="BRS2" s="1113"/>
      <c r="BRT2" s="1113"/>
      <c r="BRU2" s="1113"/>
      <c r="BRV2" s="1113"/>
      <c r="BRW2" s="1113"/>
      <c r="BRX2" s="1113"/>
      <c r="BRY2" s="1113"/>
      <c r="BRZ2" s="1113"/>
      <c r="BSA2" s="1113"/>
      <c r="BSB2" s="1113"/>
      <c r="BSC2" s="1113"/>
      <c r="BSD2" s="1113"/>
      <c r="BSE2" s="1113"/>
      <c r="BSF2" s="1113"/>
      <c r="BSG2" s="1113"/>
      <c r="BSH2" s="1113"/>
      <c r="BSI2" s="1113"/>
      <c r="BSJ2" s="1113"/>
      <c r="BSK2" s="1113"/>
      <c r="BSL2" s="1113"/>
      <c r="BSM2" s="1113"/>
      <c r="BSN2" s="1113"/>
      <c r="BSO2" s="1113"/>
      <c r="BSP2" s="1113"/>
      <c r="BSQ2" s="1113"/>
      <c r="BSR2" s="1113"/>
      <c r="BSS2" s="1113"/>
      <c r="BST2" s="1113"/>
      <c r="BSU2" s="1113"/>
      <c r="BSV2" s="1113"/>
      <c r="BSW2" s="1113"/>
      <c r="BSX2" s="1113"/>
      <c r="BSY2" s="1113"/>
      <c r="BSZ2" s="1113"/>
      <c r="BTA2" s="1113"/>
      <c r="BTB2" s="1113"/>
      <c r="BTC2" s="1113"/>
      <c r="BTD2" s="1113"/>
      <c r="BTE2" s="1113"/>
      <c r="BTF2" s="1113"/>
      <c r="BTG2" s="1113"/>
      <c r="BTH2" s="1113"/>
      <c r="BTI2" s="1113"/>
      <c r="BTJ2" s="1113"/>
      <c r="BTK2" s="1113"/>
      <c r="BTL2" s="1113"/>
      <c r="BTM2" s="1113"/>
      <c r="BTN2" s="1113"/>
      <c r="BTO2" s="1113"/>
      <c r="BTP2" s="1113"/>
      <c r="BTQ2" s="1113"/>
      <c r="BTR2" s="1113"/>
      <c r="BTS2" s="1113"/>
      <c r="BTT2" s="1113"/>
      <c r="BTU2" s="1113"/>
      <c r="BTV2" s="1113"/>
      <c r="BTW2" s="1113"/>
      <c r="BTX2" s="1113"/>
      <c r="BTY2" s="1113"/>
      <c r="BTZ2" s="1113"/>
      <c r="BUA2" s="1113"/>
      <c r="BUB2" s="1113"/>
      <c r="BUC2" s="1113"/>
      <c r="BUD2" s="1113"/>
      <c r="BUE2" s="1113"/>
      <c r="BUF2" s="1113"/>
      <c r="BUG2" s="1113"/>
      <c r="BUH2" s="1113"/>
      <c r="BUI2" s="1113"/>
      <c r="BUJ2" s="1113"/>
      <c r="BUK2" s="1113"/>
      <c r="BUL2" s="1113"/>
      <c r="BUM2" s="1113"/>
      <c r="BUN2" s="1113"/>
      <c r="BUO2" s="1113"/>
      <c r="BUP2" s="1113"/>
      <c r="BUQ2" s="1113"/>
      <c r="BUR2" s="1113"/>
      <c r="BUS2" s="1113"/>
      <c r="BUT2" s="1113"/>
      <c r="BUU2" s="1113"/>
      <c r="BUV2" s="1113"/>
      <c r="BUW2" s="1113"/>
      <c r="BUX2" s="1113"/>
      <c r="BUY2" s="1113"/>
      <c r="BUZ2" s="1113"/>
      <c r="BVA2" s="1113"/>
      <c r="BVB2" s="1113"/>
      <c r="BVC2" s="1113"/>
      <c r="BVD2" s="1113"/>
      <c r="BVE2" s="1113"/>
      <c r="BVF2" s="1113"/>
      <c r="BVG2" s="1113"/>
      <c r="BVH2" s="1113"/>
      <c r="BVI2" s="1113"/>
      <c r="BVJ2" s="1113"/>
      <c r="BVK2" s="1113"/>
      <c r="BVL2" s="1113"/>
      <c r="BVM2" s="1113"/>
      <c r="BVN2" s="1113"/>
      <c r="BVO2" s="1113"/>
      <c r="BVP2" s="1113"/>
      <c r="BVQ2" s="1113"/>
      <c r="BVR2" s="1113"/>
      <c r="BVS2" s="1113"/>
      <c r="BVT2" s="1113"/>
      <c r="BVU2" s="1113"/>
      <c r="BVV2" s="1113"/>
      <c r="BVW2" s="1113"/>
      <c r="BVX2" s="1113"/>
      <c r="BVY2" s="1113"/>
      <c r="BVZ2" s="1113"/>
      <c r="BWA2" s="1113"/>
      <c r="BWB2" s="1113"/>
      <c r="BWC2" s="1113"/>
      <c r="BWD2" s="1113"/>
      <c r="BWE2" s="1113"/>
      <c r="BWF2" s="1113"/>
      <c r="BWG2" s="1113"/>
      <c r="BWH2" s="1113"/>
      <c r="BWI2" s="1113"/>
      <c r="BWJ2" s="1113"/>
      <c r="BWK2" s="1113"/>
      <c r="BWL2" s="1113"/>
      <c r="BWM2" s="1113"/>
      <c r="BWN2" s="1113"/>
      <c r="BWO2" s="1113"/>
      <c r="BWP2" s="1113"/>
      <c r="BWQ2" s="1113"/>
      <c r="BWR2" s="1113"/>
      <c r="BWS2" s="1113"/>
      <c r="BWT2" s="1113"/>
      <c r="BWU2" s="1113"/>
      <c r="BWV2" s="1113"/>
      <c r="BWW2" s="1113"/>
      <c r="BWX2" s="1113"/>
      <c r="BWY2" s="1113"/>
      <c r="BWZ2" s="1113"/>
      <c r="BXA2" s="1113"/>
      <c r="BXB2" s="1113"/>
      <c r="BXC2" s="1113"/>
      <c r="BXD2" s="1113"/>
      <c r="BXE2" s="1113"/>
      <c r="BXF2" s="1113"/>
      <c r="BXG2" s="1113"/>
      <c r="BXH2" s="1113"/>
      <c r="BXI2" s="1113"/>
      <c r="BXJ2" s="1113"/>
      <c r="BXK2" s="1113"/>
      <c r="BXL2" s="1113"/>
      <c r="BXM2" s="1113"/>
      <c r="BXN2" s="1113"/>
      <c r="BXO2" s="1113"/>
      <c r="BXP2" s="1113"/>
      <c r="BXQ2" s="1113"/>
      <c r="BXR2" s="1113"/>
      <c r="BXS2" s="1113"/>
      <c r="BXT2" s="1113"/>
      <c r="BXU2" s="1113"/>
      <c r="BXV2" s="1113"/>
      <c r="BXW2" s="1113"/>
      <c r="BXX2" s="1113"/>
      <c r="BXY2" s="1113"/>
      <c r="BXZ2" s="1113"/>
      <c r="BYA2" s="1113"/>
      <c r="BYB2" s="1113"/>
      <c r="BYC2" s="1113"/>
      <c r="BYD2" s="1113"/>
      <c r="BYE2" s="1113"/>
      <c r="BYF2" s="1113"/>
      <c r="BYG2" s="1113"/>
      <c r="BYH2" s="1113"/>
      <c r="BYI2" s="1113"/>
      <c r="BYJ2" s="1113"/>
      <c r="BYK2" s="1113"/>
      <c r="BYL2" s="1113"/>
      <c r="BYM2" s="1113"/>
      <c r="BYN2" s="1113"/>
      <c r="BYO2" s="1113"/>
      <c r="BYP2" s="1113"/>
      <c r="BYQ2" s="1113"/>
      <c r="BYR2" s="1113"/>
      <c r="BYS2" s="1113"/>
      <c r="BYT2" s="1113"/>
      <c r="BYU2" s="1113"/>
      <c r="BYV2" s="1113"/>
      <c r="BYW2" s="1113"/>
      <c r="BYX2" s="1113"/>
      <c r="BYY2" s="1113"/>
      <c r="BYZ2" s="1113"/>
      <c r="BZA2" s="1113"/>
      <c r="BZB2" s="1113"/>
      <c r="BZC2" s="1113"/>
      <c r="BZD2" s="1113"/>
      <c r="BZE2" s="1113"/>
      <c r="BZF2" s="1113"/>
      <c r="BZG2" s="1113"/>
      <c r="BZH2" s="1113"/>
      <c r="BZI2" s="1113"/>
      <c r="BZJ2" s="1113"/>
      <c r="BZK2" s="1113"/>
      <c r="BZL2" s="1113"/>
      <c r="BZM2" s="1113"/>
      <c r="BZN2" s="1113"/>
      <c r="BZO2" s="1113"/>
      <c r="BZP2" s="1113"/>
      <c r="BZQ2" s="1113"/>
      <c r="BZR2" s="1113"/>
      <c r="BZS2" s="1113"/>
      <c r="BZT2" s="1113"/>
      <c r="BZU2" s="1113"/>
      <c r="BZV2" s="1113"/>
      <c r="BZW2" s="1113"/>
      <c r="BZX2" s="1113"/>
      <c r="BZY2" s="1113"/>
      <c r="BZZ2" s="1113"/>
      <c r="CAA2" s="1113"/>
      <c r="CAB2" s="1113"/>
      <c r="CAC2" s="1113"/>
      <c r="CAD2" s="1113"/>
      <c r="CAE2" s="1113"/>
      <c r="CAF2" s="1113"/>
      <c r="CAG2" s="1113"/>
      <c r="CAH2" s="1113"/>
      <c r="CAI2" s="1113"/>
      <c r="CAJ2" s="1113"/>
      <c r="CAK2" s="1113"/>
      <c r="CAL2" s="1113"/>
      <c r="CAM2" s="1113"/>
      <c r="CAN2" s="1113"/>
      <c r="CAO2" s="1113"/>
      <c r="CAP2" s="1113"/>
      <c r="CAQ2" s="1113"/>
      <c r="CAR2" s="1113"/>
      <c r="CAS2" s="1113"/>
      <c r="CAT2" s="1113"/>
      <c r="CAU2" s="1113"/>
      <c r="CAV2" s="1113"/>
      <c r="CAW2" s="1113"/>
      <c r="CAX2" s="1113"/>
      <c r="CAY2" s="1113"/>
      <c r="CAZ2" s="1113"/>
      <c r="CBA2" s="1113"/>
      <c r="CBB2" s="1113"/>
      <c r="CBC2" s="1113"/>
      <c r="CBD2" s="1113"/>
      <c r="CBE2" s="1113"/>
      <c r="CBF2" s="1113"/>
      <c r="CBG2" s="1113"/>
      <c r="CBH2" s="1113"/>
      <c r="CBI2" s="1113"/>
      <c r="CBJ2" s="1113"/>
      <c r="CBK2" s="1113"/>
      <c r="CBL2" s="1113"/>
      <c r="CBM2" s="1113"/>
      <c r="CBN2" s="1113"/>
      <c r="CBO2" s="1113"/>
      <c r="CBP2" s="1113"/>
      <c r="CBQ2" s="1113"/>
      <c r="CBR2" s="1113"/>
      <c r="CBS2" s="1113"/>
      <c r="CBT2" s="1113"/>
      <c r="CBU2" s="1113"/>
      <c r="CBV2" s="1113"/>
      <c r="CBW2" s="1113"/>
      <c r="CBX2" s="1113"/>
      <c r="CBY2" s="1113"/>
      <c r="CBZ2" s="1113"/>
      <c r="CCA2" s="1113"/>
      <c r="CCB2" s="1113"/>
      <c r="CCC2" s="1113"/>
      <c r="CCD2" s="1113"/>
      <c r="CCE2" s="1113"/>
      <c r="CCF2" s="1113"/>
      <c r="CCG2" s="1113"/>
      <c r="CCH2" s="1113"/>
      <c r="CCI2" s="1113"/>
      <c r="CCJ2" s="1113"/>
      <c r="CCK2" s="1113"/>
      <c r="CCL2" s="1113"/>
      <c r="CCM2" s="1113"/>
      <c r="CCN2" s="1113"/>
      <c r="CCO2" s="1113"/>
      <c r="CCP2" s="1113"/>
      <c r="CCQ2" s="1113"/>
      <c r="CCR2" s="1113"/>
      <c r="CCS2" s="1113"/>
      <c r="CCT2" s="1113"/>
      <c r="CCU2" s="1113"/>
      <c r="CCV2" s="1113"/>
      <c r="CCW2" s="1113"/>
      <c r="CCX2" s="1113"/>
      <c r="CCY2" s="1113"/>
      <c r="CCZ2" s="1113"/>
      <c r="CDA2" s="1113"/>
      <c r="CDB2" s="1113"/>
      <c r="CDC2" s="1113"/>
      <c r="CDD2" s="1113"/>
      <c r="CDE2" s="1113"/>
      <c r="CDF2" s="1113"/>
      <c r="CDG2" s="1113"/>
      <c r="CDH2" s="1113"/>
      <c r="CDI2" s="1113"/>
      <c r="CDJ2" s="1113"/>
      <c r="CDK2" s="1113"/>
      <c r="CDL2" s="1113"/>
      <c r="CDM2" s="1113"/>
      <c r="CDN2" s="1113"/>
      <c r="CDO2" s="1113"/>
      <c r="CDP2" s="1113"/>
      <c r="CDQ2" s="1113"/>
      <c r="CDR2" s="1113"/>
      <c r="CDS2" s="1113"/>
      <c r="CDT2" s="1113"/>
      <c r="CDU2" s="1113"/>
      <c r="CDV2" s="1113"/>
      <c r="CDW2" s="1113"/>
      <c r="CDX2" s="1113"/>
      <c r="CDY2" s="1113"/>
      <c r="CDZ2" s="1113"/>
      <c r="CEA2" s="1113"/>
      <c r="CEB2" s="1113"/>
      <c r="CEC2" s="1113"/>
      <c r="CED2" s="1113"/>
      <c r="CEE2" s="1113"/>
      <c r="CEF2" s="1113"/>
      <c r="CEG2" s="1113"/>
      <c r="CEH2" s="1113"/>
      <c r="CEI2" s="1113"/>
      <c r="CEJ2" s="1113"/>
      <c r="CEK2" s="1113"/>
      <c r="CEL2" s="1113"/>
      <c r="CEM2" s="1113"/>
      <c r="CEN2" s="1113"/>
      <c r="CEO2" s="1113"/>
      <c r="CEP2" s="1113"/>
      <c r="CEQ2" s="1113"/>
      <c r="CER2" s="1113"/>
      <c r="CES2" s="1113"/>
      <c r="CET2" s="1113"/>
      <c r="CEU2" s="1113"/>
      <c r="CEV2" s="1113"/>
      <c r="CEW2" s="1113"/>
      <c r="CEX2" s="1113"/>
      <c r="CEY2" s="1113"/>
      <c r="CEZ2" s="1113"/>
      <c r="CFA2" s="1113"/>
      <c r="CFB2" s="1113"/>
      <c r="CFC2" s="1113"/>
      <c r="CFD2" s="1113"/>
      <c r="CFE2" s="1113"/>
      <c r="CFF2" s="1113"/>
      <c r="CFG2" s="1113"/>
      <c r="CFH2" s="1113"/>
      <c r="CFI2" s="1113"/>
      <c r="CFJ2" s="1113"/>
      <c r="CFK2" s="1113"/>
      <c r="CFL2" s="1113"/>
      <c r="CFM2" s="1113"/>
      <c r="CFN2" s="1113"/>
      <c r="CFO2" s="1113"/>
      <c r="CFP2" s="1113"/>
      <c r="CFQ2" s="1113"/>
      <c r="CFR2" s="1113"/>
      <c r="CFS2" s="1113"/>
      <c r="CFT2" s="1113"/>
      <c r="CFU2" s="1113"/>
      <c r="CFV2" s="1113"/>
      <c r="CFW2" s="1113"/>
      <c r="CFX2" s="1113"/>
      <c r="CFY2" s="1113"/>
      <c r="CFZ2" s="1113"/>
      <c r="CGA2" s="1113"/>
      <c r="CGB2" s="1113"/>
      <c r="CGC2" s="1113"/>
      <c r="CGD2" s="1113"/>
      <c r="CGE2" s="1113"/>
      <c r="CGF2" s="1113"/>
      <c r="CGG2" s="1113"/>
      <c r="CGH2" s="1113"/>
      <c r="CGI2" s="1113"/>
      <c r="CGJ2" s="1113"/>
      <c r="CGK2" s="1113"/>
      <c r="CGL2" s="1113"/>
      <c r="CGM2" s="1113"/>
      <c r="CGN2" s="1113"/>
      <c r="CGO2" s="1113"/>
      <c r="CGP2" s="1113"/>
      <c r="CGQ2" s="1113"/>
      <c r="CGR2" s="1113"/>
      <c r="CGS2" s="1113"/>
      <c r="CGT2" s="1113"/>
      <c r="CGU2" s="1113"/>
      <c r="CGV2" s="1113"/>
      <c r="CGW2" s="1113"/>
      <c r="CGX2" s="1113"/>
      <c r="CGY2" s="1113"/>
      <c r="CGZ2" s="1113"/>
      <c r="CHA2" s="1113"/>
      <c r="CHB2" s="1113"/>
      <c r="CHC2" s="1113"/>
      <c r="CHD2" s="1113"/>
      <c r="CHE2" s="1113"/>
      <c r="CHF2" s="1113"/>
      <c r="CHG2" s="1113"/>
      <c r="CHH2" s="1113"/>
      <c r="CHI2" s="1113"/>
      <c r="CHJ2" s="1113"/>
      <c r="CHK2" s="1113"/>
      <c r="CHL2" s="1113"/>
      <c r="CHM2" s="1113"/>
      <c r="CHN2" s="1113"/>
      <c r="CHO2" s="1113"/>
      <c r="CHP2" s="1113"/>
      <c r="CHQ2" s="1113"/>
      <c r="CHR2" s="1113"/>
      <c r="CHS2" s="1113"/>
      <c r="CHT2" s="1113"/>
      <c r="CHU2" s="1113"/>
      <c r="CHV2" s="1113"/>
      <c r="CHW2" s="1113"/>
      <c r="CHX2" s="1113"/>
      <c r="CHY2" s="1113"/>
      <c r="CHZ2" s="1113"/>
      <c r="CIA2" s="1113"/>
      <c r="CIB2" s="1113"/>
      <c r="CIC2" s="1113"/>
      <c r="CID2" s="1113"/>
      <c r="CIE2" s="1113"/>
      <c r="CIF2" s="1113"/>
      <c r="CIG2" s="1113"/>
      <c r="CIH2" s="1113"/>
      <c r="CII2" s="1113"/>
      <c r="CIJ2" s="1113"/>
      <c r="CIK2" s="1113"/>
      <c r="CIL2" s="1113"/>
      <c r="CIM2" s="1113"/>
      <c r="CIN2" s="1113"/>
      <c r="CIO2" s="1113"/>
      <c r="CIP2" s="1113"/>
      <c r="CIQ2" s="1113"/>
      <c r="CIR2" s="1113"/>
      <c r="CIS2" s="1113"/>
      <c r="CIT2" s="1113"/>
      <c r="CIU2" s="1113"/>
      <c r="CIV2" s="1113"/>
      <c r="CIW2" s="1113"/>
      <c r="CIX2" s="1113"/>
      <c r="CIY2" s="1113"/>
      <c r="CIZ2" s="1113"/>
      <c r="CJA2" s="1113"/>
      <c r="CJB2" s="1113"/>
      <c r="CJC2" s="1113"/>
      <c r="CJD2" s="1113"/>
      <c r="CJE2" s="1113"/>
      <c r="CJF2" s="1113"/>
      <c r="CJG2" s="1113"/>
      <c r="CJH2" s="1113"/>
      <c r="CJI2" s="1113"/>
      <c r="CJJ2" s="1113"/>
      <c r="CJK2" s="1113"/>
      <c r="CJL2" s="1113"/>
      <c r="CJM2" s="1113"/>
      <c r="CJN2" s="1113"/>
      <c r="CJO2" s="1113"/>
      <c r="CJP2" s="1113"/>
      <c r="CJQ2" s="1113"/>
      <c r="CJR2" s="1113"/>
      <c r="CJS2" s="1113"/>
      <c r="CJT2" s="1113"/>
      <c r="CJU2" s="1113"/>
      <c r="CJV2" s="1113"/>
      <c r="CJW2" s="1113"/>
      <c r="CJX2" s="1113"/>
      <c r="CJY2" s="1113"/>
      <c r="CJZ2" s="1113"/>
      <c r="CKA2" s="1113"/>
      <c r="CKB2" s="1113"/>
      <c r="CKC2" s="1113"/>
      <c r="CKD2" s="1113"/>
      <c r="CKE2" s="1113"/>
      <c r="CKF2" s="1113"/>
      <c r="CKG2" s="1113"/>
      <c r="CKH2" s="1113"/>
      <c r="CKI2" s="1113"/>
      <c r="CKJ2" s="1113"/>
      <c r="CKK2" s="1113"/>
      <c r="CKL2" s="1113"/>
      <c r="CKM2" s="1113"/>
      <c r="CKN2" s="1113"/>
      <c r="CKO2" s="1113"/>
      <c r="CKP2" s="1113"/>
      <c r="CKQ2" s="1113"/>
      <c r="CKR2" s="1113"/>
      <c r="CKS2" s="1113"/>
      <c r="CKT2" s="1113"/>
      <c r="CKU2" s="1113"/>
      <c r="CKV2" s="1113"/>
      <c r="CKW2" s="1113"/>
      <c r="CKX2" s="1113"/>
      <c r="CKY2" s="1113"/>
      <c r="CKZ2" s="1113"/>
      <c r="CLA2" s="1113"/>
      <c r="CLB2" s="1113"/>
      <c r="CLC2" s="1113"/>
      <c r="CLD2" s="1113"/>
      <c r="CLE2" s="1113"/>
      <c r="CLF2" s="1113"/>
      <c r="CLG2" s="1113"/>
      <c r="CLH2" s="1113"/>
      <c r="CLI2" s="1113"/>
      <c r="CLJ2" s="1113"/>
      <c r="CLK2" s="1113"/>
      <c r="CLL2" s="1113"/>
      <c r="CLM2" s="1113"/>
      <c r="CLN2" s="1113"/>
      <c r="CLO2" s="1113"/>
      <c r="CLP2" s="1113"/>
      <c r="CLQ2" s="1113"/>
      <c r="CLR2" s="1113"/>
      <c r="CLS2" s="1113"/>
      <c r="CLT2" s="1113"/>
      <c r="CLU2" s="1113"/>
      <c r="CLV2" s="1113"/>
      <c r="CLW2" s="1113"/>
      <c r="CLX2" s="1113"/>
      <c r="CLY2" s="1113"/>
      <c r="CLZ2" s="1113"/>
      <c r="CMA2" s="1113"/>
      <c r="CMB2" s="1113"/>
      <c r="CMC2" s="1113"/>
      <c r="CMD2" s="1113"/>
      <c r="CME2" s="1113"/>
      <c r="CMF2" s="1113"/>
      <c r="CMG2" s="1113"/>
      <c r="CMH2" s="1113"/>
      <c r="CMI2" s="1113"/>
      <c r="CMJ2" s="1113"/>
      <c r="CMK2" s="1113"/>
      <c r="CML2" s="1113"/>
      <c r="CMM2" s="1113"/>
      <c r="CMN2" s="1113"/>
      <c r="CMO2" s="1113"/>
      <c r="CMP2" s="1113"/>
      <c r="CMQ2" s="1113"/>
      <c r="CMR2" s="1113"/>
      <c r="CMS2" s="1113"/>
      <c r="CMT2" s="1113"/>
      <c r="CMU2" s="1113"/>
      <c r="CMV2" s="1113"/>
      <c r="CMW2" s="1113"/>
      <c r="CMX2" s="1113"/>
      <c r="CMY2" s="1113"/>
      <c r="CMZ2" s="1113"/>
      <c r="CNA2" s="1113"/>
      <c r="CNB2" s="1113"/>
      <c r="CNC2" s="1113"/>
      <c r="CND2" s="1113"/>
      <c r="CNE2" s="1113"/>
      <c r="CNF2" s="1113"/>
      <c r="CNG2" s="1113"/>
      <c r="CNH2" s="1113"/>
      <c r="CNI2" s="1113"/>
      <c r="CNJ2" s="1113"/>
      <c r="CNK2" s="1113"/>
      <c r="CNL2" s="1113"/>
      <c r="CNM2" s="1113"/>
      <c r="CNN2" s="1113"/>
      <c r="CNO2" s="1113"/>
      <c r="CNP2" s="1113"/>
      <c r="CNQ2" s="1113"/>
      <c r="CNR2" s="1113"/>
      <c r="CNS2" s="1113"/>
      <c r="CNT2" s="1113"/>
      <c r="CNU2" s="1113"/>
      <c r="CNV2" s="1113"/>
      <c r="CNW2" s="1113"/>
      <c r="CNX2" s="1113"/>
      <c r="CNY2" s="1113"/>
      <c r="CNZ2" s="1113"/>
      <c r="COA2" s="1113"/>
      <c r="COB2" s="1113"/>
      <c r="COC2" s="1113"/>
      <c r="COD2" s="1113"/>
      <c r="COE2" s="1113"/>
      <c r="COF2" s="1113"/>
      <c r="COG2" s="1113"/>
      <c r="COH2" s="1113"/>
      <c r="COI2" s="1113"/>
      <c r="COJ2" s="1113"/>
      <c r="COK2" s="1113"/>
      <c r="COL2" s="1113"/>
      <c r="COM2" s="1113"/>
      <c r="CON2" s="1113"/>
      <c r="COO2" s="1113"/>
      <c r="COP2" s="1113"/>
      <c r="COQ2" s="1113"/>
      <c r="COR2" s="1113"/>
      <c r="COS2" s="1113"/>
      <c r="COT2" s="1113"/>
      <c r="COU2" s="1113"/>
      <c r="COV2" s="1113"/>
      <c r="COW2" s="1113"/>
      <c r="COX2" s="1113"/>
      <c r="COY2" s="1113"/>
      <c r="COZ2" s="1113"/>
      <c r="CPA2" s="1113"/>
      <c r="CPB2" s="1113"/>
      <c r="CPC2" s="1113"/>
      <c r="CPD2" s="1113"/>
      <c r="CPE2" s="1113"/>
      <c r="CPF2" s="1113"/>
      <c r="CPG2" s="1113"/>
      <c r="CPH2" s="1113"/>
      <c r="CPI2" s="1113"/>
      <c r="CPJ2" s="1113"/>
      <c r="CPK2" s="1113"/>
      <c r="CPL2" s="1113"/>
      <c r="CPM2" s="1113"/>
      <c r="CPN2" s="1113"/>
      <c r="CPO2" s="1113"/>
      <c r="CPP2" s="1113"/>
      <c r="CPQ2" s="1113"/>
      <c r="CPR2" s="1113"/>
      <c r="CPS2" s="1113"/>
      <c r="CPT2" s="1113"/>
      <c r="CPU2" s="1113"/>
      <c r="CPV2" s="1113"/>
      <c r="CPW2" s="1113"/>
      <c r="CPX2" s="1113"/>
      <c r="CPY2" s="1113"/>
      <c r="CPZ2" s="1113"/>
      <c r="CQA2" s="1113"/>
      <c r="CQB2" s="1113"/>
      <c r="CQC2" s="1113"/>
      <c r="CQD2" s="1113"/>
      <c r="CQE2" s="1113"/>
      <c r="CQF2" s="1113"/>
      <c r="CQG2" s="1113"/>
      <c r="CQH2" s="1113"/>
      <c r="CQI2" s="1113"/>
      <c r="CQJ2" s="1113"/>
      <c r="CQK2" s="1113"/>
      <c r="CQL2" s="1113"/>
      <c r="CQM2" s="1113"/>
      <c r="CQN2" s="1113"/>
      <c r="CQO2" s="1113"/>
      <c r="CQP2" s="1113"/>
      <c r="CQQ2" s="1113"/>
      <c r="CQR2" s="1113"/>
      <c r="CQS2" s="1113"/>
      <c r="CQT2" s="1113"/>
      <c r="CQU2" s="1113"/>
      <c r="CQV2" s="1113"/>
      <c r="CQW2" s="1113"/>
      <c r="CQX2" s="1113"/>
      <c r="CQY2" s="1113"/>
      <c r="CQZ2" s="1113"/>
      <c r="CRA2" s="1113"/>
      <c r="CRB2" s="1113"/>
      <c r="CRC2" s="1113"/>
      <c r="CRD2" s="1113"/>
      <c r="CRE2" s="1113"/>
      <c r="CRF2" s="1113"/>
      <c r="CRG2" s="1113"/>
      <c r="CRH2" s="1113"/>
      <c r="CRI2" s="1113"/>
      <c r="CRJ2" s="1113"/>
      <c r="CRK2" s="1113"/>
      <c r="CRL2" s="1113"/>
      <c r="CRM2" s="1113"/>
      <c r="CRN2" s="1113"/>
      <c r="CRO2" s="1113"/>
      <c r="CRP2" s="1113"/>
      <c r="CRQ2" s="1113"/>
      <c r="CRR2" s="1113"/>
      <c r="CRS2" s="1113"/>
      <c r="CRT2" s="1113"/>
      <c r="CRU2" s="1113"/>
      <c r="CRV2" s="1113"/>
      <c r="CRW2" s="1113"/>
      <c r="CRX2" s="1113"/>
      <c r="CRY2" s="1113"/>
      <c r="CRZ2" s="1113"/>
      <c r="CSA2" s="1113"/>
      <c r="CSB2" s="1113"/>
      <c r="CSC2" s="1113"/>
      <c r="CSD2" s="1113"/>
      <c r="CSE2" s="1113"/>
      <c r="CSF2" s="1113"/>
      <c r="CSG2" s="1113"/>
      <c r="CSH2" s="1113"/>
      <c r="CSI2" s="1113"/>
      <c r="CSJ2" s="1113"/>
      <c r="CSK2" s="1113"/>
      <c r="CSL2" s="1113"/>
      <c r="CSM2" s="1113"/>
      <c r="CSN2" s="1113"/>
      <c r="CSO2" s="1113"/>
      <c r="CSP2" s="1113"/>
      <c r="CSQ2" s="1113"/>
      <c r="CSR2" s="1113"/>
      <c r="CSS2" s="1113"/>
      <c r="CST2" s="1113"/>
      <c r="CSU2" s="1113"/>
      <c r="CSV2" s="1113"/>
      <c r="CSW2" s="1113"/>
      <c r="CSX2" s="1113"/>
      <c r="CSY2" s="1113"/>
      <c r="CSZ2" s="1113"/>
      <c r="CTA2" s="1113"/>
      <c r="CTB2" s="1113"/>
      <c r="CTC2" s="1113"/>
      <c r="CTD2" s="1113"/>
      <c r="CTE2" s="1113"/>
      <c r="CTF2" s="1113"/>
      <c r="CTG2" s="1113"/>
      <c r="CTH2" s="1113"/>
      <c r="CTI2" s="1113"/>
      <c r="CTJ2" s="1113"/>
      <c r="CTK2" s="1113"/>
      <c r="CTL2" s="1113"/>
      <c r="CTM2" s="1113"/>
      <c r="CTN2" s="1113"/>
      <c r="CTO2" s="1113"/>
      <c r="CTP2" s="1113"/>
      <c r="CTQ2" s="1113"/>
      <c r="CTR2" s="1113"/>
      <c r="CTS2" s="1113"/>
      <c r="CTT2" s="1113"/>
      <c r="CTU2" s="1113"/>
      <c r="CTV2" s="1113"/>
      <c r="CTW2" s="1113"/>
      <c r="CTX2" s="1113"/>
      <c r="CTY2" s="1113"/>
      <c r="CTZ2" s="1113"/>
      <c r="CUA2" s="1113"/>
      <c r="CUB2" s="1113"/>
      <c r="CUC2" s="1113"/>
      <c r="CUD2" s="1113"/>
      <c r="CUE2" s="1113"/>
      <c r="CUF2" s="1113"/>
      <c r="CUG2" s="1113"/>
      <c r="CUH2" s="1113"/>
      <c r="CUI2" s="1113"/>
      <c r="CUJ2" s="1113"/>
      <c r="CUK2" s="1113"/>
      <c r="CUL2" s="1113"/>
      <c r="CUM2" s="1113"/>
      <c r="CUN2" s="1113"/>
      <c r="CUO2" s="1113"/>
      <c r="CUP2" s="1113"/>
      <c r="CUQ2" s="1113"/>
      <c r="CUR2" s="1113"/>
      <c r="CUS2" s="1113"/>
      <c r="CUT2" s="1113"/>
      <c r="CUU2" s="1113"/>
      <c r="CUV2" s="1113"/>
      <c r="CUW2" s="1113"/>
      <c r="CUX2" s="1113"/>
      <c r="CUY2" s="1113"/>
      <c r="CUZ2" s="1113"/>
      <c r="CVA2" s="1113"/>
      <c r="CVB2" s="1113"/>
      <c r="CVC2" s="1113"/>
      <c r="CVD2" s="1113"/>
      <c r="CVE2" s="1113"/>
      <c r="CVF2" s="1113"/>
      <c r="CVG2" s="1113"/>
      <c r="CVH2" s="1113"/>
      <c r="CVI2" s="1113"/>
      <c r="CVJ2" s="1113"/>
      <c r="CVK2" s="1113"/>
      <c r="CVL2" s="1113"/>
      <c r="CVM2" s="1113"/>
      <c r="CVN2" s="1113"/>
      <c r="CVO2" s="1113"/>
      <c r="CVP2" s="1113"/>
      <c r="CVQ2" s="1113"/>
      <c r="CVR2" s="1113"/>
      <c r="CVS2" s="1113"/>
      <c r="CVT2" s="1113"/>
      <c r="CVU2" s="1113"/>
      <c r="CVV2" s="1113"/>
      <c r="CVW2" s="1113"/>
      <c r="CVX2" s="1113"/>
      <c r="CVY2" s="1113"/>
      <c r="CVZ2" s="1113"/>
      <c r="CWA2" s="1113"/>
      <c r="CWB2" s="1113"/>
      <c r="CWC2" s="1113"/>
      <c r="CWD2" s="1113"/>
      <c r="CWE2" s="1113"/>
      <c r="CWF2" s="1113"/>
      <c r="CWG2" s="1113"/>
      <c r="CWH2" s="1113"/>
      <c r="CWI2" s="1113"/>
      <c r="CWJ2" s="1113"/>
      <c r="CWK2" s="1113"/>
      <c r="CWL2" s="1113"/>
      <c r="CWM2" s="1113"/>
      <c r="CWN2" s="1113"/>
      <c r="CWO2" s="1113"/>
      <c r="CWP2" s="1113"/>
      <c r="CWQ2" s="1113"/>
      <c r="CWR2" s="1113"/>
      <c r="CWS2" s="1113"/>
      <c r="CWT2" s="1113"/>
      <c r="CWU2" s="1113"/>
      <c r="CWV2" s="1113"/>
      <c r="CWW2" s="1113"/>
      <c r="CWX2" s="1113"/>
      <c r="CWY2" s="1113"/>
      <c r="CWZ2" s="1113"/>
      <c r="CXA2" s="1113"/>
      <c r="CXB2" s="1113"/>
      <c r="CXC2" s="1113"/>
      <c r="CXD2" s="1113"/>
      <c r="CXE2" s="1113"/>
      <c r="CXF2" s="1113"/>
      <c r="CXG2" s="1113"/>
      <c r="CXH2" s="1113"/>
      <c r="CXI2" s="1113"/>
      <c r="CXJ2" s="1113"/>
      <c r="CXK2" s="1113"/>
      <c r="CXL2" s="1113"/>
      <c r="CXM2" s="1113"/>
      <c r="CXN2" s="1113"/>
      <c r="CXO2" s="1113"/>
      <c r="CXP2" s="1113"/>
      <c r="CXQ2" s="1113"/>
      <c r="CXR2" s="1113"/>
      <c r="CXS2" s="1113"/>
      <c r="CXT2" s="1113"/>
      <c r="CXU2" s="1113"/>
      <c r="CXV2" s="1113"/>
      <c r="CXW2" s="1113"/>
      <c r="CXX2" s="1113"/>
      <c r="CXY2" s="1113"/>
      <c r="CXZ2" s="1113"/>
      <c r="CYA2" s="1113"/>
      <c r="CYB2" s="1113"/>
      <c r="CYC2" s="1113"/>
      <c r="CYD2" s="1113"/>
      <c r="CYE2" s="1113"/>
      <c r="CYF2" s="1113"/>
      <c r="CYG2" s="1113"/>
      <c r="CYH2" s="1113"/>
      <c r="CYI2" s="1113"/>
      <c r="CYJ2" s="1113"/>
      <c r="CYK2" s="1113"/>
      <c r="CYL2" s="1113"/>
      <c r="CYM2" s="1113"/>
      <c r="CYN2" s="1113"/>
      <c r="CYO2" s="1113"/>
      <c r="CYP2" s="1113"/>
      <c r="CYQ2" s="1113"/>
      <c r="CYR2" s="1113"/>
      <c r="CYS2" s="1113"/>
      <c r="CYT2" s="1113"/>
      <c r="CYU2" s="1113"/>
      <c r="CYV2" s="1113"/>
      <c r="CYW2" s="1113"/>
      <c r="CYX2" s="1113"/>
      <c r="CYY2" s="1113"/>
      <c r="CYZ2" s="1113"/>
      <c r="CZA2" s="1113"/>
      <c r="CZB2" s="1113"/>
      <c r="CZC2" s="1113"/>
      <c r="CZD2" s="1113"/>
      <c r="CZE2" s="1113"/>
      <c r="CZF2" s="1113"/>
      <c r="CZG2" s="1113"/>
      <c r="CZH2" s="1113"/>
      <c r="CZI2" s="1113"/>
      <c r="CZJ2" s="1113"/>
      <c r="CZK2" s="1113"/>
      <c r="CZL2" s="1113"/>
      <c r="CZM2" s="1113"/>
      <c r="CZN2" s="1113"/>
      <c r="CZO2" s="1113"/>
      <c r="CZP2" s="1113"/>
      <c r="CZQ2" s="1113"/>
      <c r="CZR2" s="1113"/>
      <c r="CZS2" s="1113"/>
      <c r="CZT2" s="1113"/>
      <c r="CZU2" s="1113"/>
      <c r="CZV2" s="1113"/>
      <c r="CZW2" s="1113"/>
      <c r="CZX2" s="1113"/>
      <c r="CZY2" s="1113"/>
      <c r="CZZ2" s="1113"/>
      <c r="DAA2" s="1113"/>
      <c r="DAB2" s="1113"/>
      <c r="DAC2" s="1113"/>
      <c r="DAD2" s="1113"/>
      <c r="DAE2" s="1113"/>
      <c r="DAF2" s="1113"/>
      <c r="DAG2" s="1113"/>
      <c r="DAH2" s="1113"/>
      <c r="DAI2" s="1113"/>
      <c r="DAJ2" s="1113"/>
      <c r="DAK2" s="1113"/>
      <c r="DAL2" s="1113"/>
      <c r="DAM2" s="1113"/>
      <c r="DAN2" s="1113"/>
      <c r="DAO2" s="1113"/>
      <c r="DAP2" s="1113"/>
      <c r="DAQ2" s="1113"/>
      <c r="DAR2" s="1113"/>
      <c r="DAS2" s="1113"/>
      <c r="DAT2" s="1113"/>
      <c r="DAU2" s="1113"/>
      <c r="DAV2" s="1113"/>
      <c r="DAW2" s="1113"/>
      <c r="DAX2" s="1113"/>
      <c r="DAY2" s="1113"/>
      <c r="DAZ2" s="1113"/>
      <c r="DBA2" s="1113"/>
      <c r="DBB2" s="1113"/>
      <c r="DBC2" s="1113"/>
      <c r="DBD2" s="1113"/>
      <c r="DBE2" s="1113"/>
      <c r="DBF2" s="1113"/>
      <c r="DBG2" s="1113"/>
      <c r="DBH2" s="1113"/>
      <c r="DBI2" s="1113"/>
      <c r="DBJ2" s="1113"/>
      <c r="DBK2" s="1113"/>
      <c r="DBL2" s="1113"/>
      <c r="DBM2" s="1113"/>
      <c r="DBN2" s="1113"/>
      <c r="DBO2" s="1113"/>
      <c r="DBP2" s="1113"/>
      <c r="DBQ2" s="1113"/>
      <c r="DBR2" s="1113"/>
      <c r="DBS2" s="1113"/>
      <c r="DBT2" s="1113"/>
      <c r="DBU2" s="1113"/>
      <c r="DBV2" s="1113"/>
      <c r="DBW2" s="1113"/>
      <c r="DBX2" s="1113"/>
      <c r="DBY2" s="1113"/>
      <c r="DBZ2" s="1113"/>
      <c r="DCA2" s="1113"/>
      <c r="DCB2" s="1113"/>
      <c r="DCC2" s="1113"/>
      <c r="DCD2" s="1113"/>
      <c r="DCE2" s="1113"/>
      <c r="DCF2" s="1113"/>
      <c r="DCG2" s="1113"/>
      <c r="DCH2" s="1113"/>
      <c r="DCI2" s="1113"/>
      <c r="DCJ2" s="1113"/>
      <c r="DCK2" s="1113"/>
      <c r="DCL2" s="1113"/>
      <c r="DCM2" s="1113"/>
      <c r="DCN2" s="1113"/>
      <c r="DCO2" s="1113"/>
      <c r="DCP2" s="1113"/>
      <c r="DCQ2" s="1113"/>
      <c r="DCR2" s="1113"/>
      <c r="DCS2" s="1113"/>
      <c r="DCT2" s="1113"/>
      <c r="DCU2" s="1113"/>
      <c r="DCV2" s="1113"/>
      <c r="DCW2" s="1113"/>
      <c r="DCX2" s="1113"/>
      <c r="DCY2" s="1113"/>
      <c r="DCZ2" s="1113"/>
      <c r="DDA2" s="1113"/>
      <c r="DDB2" s="1113"/>
      <c r="DDC2" s="1113"/>
      <c r="DDD2" s="1113"/>
      <c r="DDE2" s="1113"/>
      <c r="DDF2" s="1113"/>
      <c r="DDG2" s="1113"/>
      <c r="DDH2" s="1113"/>
      <c r="DDI2" s="1113"/>
      <c r="DDJ2" s="1113"/>
      <c r="DDK2" s="1113"/>
      <c r="DDL2" s="1113"/>
      <c r="DDM2" s="1113"/>
      <c r="DDN2" s="1113"/>
      <c r="DDO2" s="1113"/>
      <c r="DDP2" s="1113"/>
      <c r="DDQ2" s="1113"/>
      <c r="DDR2" s="1113"/>
      <c r="DDS2" s="1113"/>
      <c r="DDT2" s="1113"/>
      <c r="DDU2" s="1113"/>
      <c r="DDV2" s="1113"/>
      <c r="DDW2" s="1113"/>
      <c r="DDX2" s="1113"/>
      <c r="DDY2" s="1113"/>
      <c r="DDZ2" s="1113"/>
      <c r="DEA2" s="1113"/>
      <c r="DEB2" s="1113"/>
      <c r="DEC2" s="1113"/>
      <c r="DED2" s="1113"/>
      <c r="DEE2" s="1113"/>
      <c r="DEF2" s="1113"/>
      <c r="DEG2" s="1113"/>
      <c r="DEH2" s="1113"/>
      <c r="DEI2" s="1113"/>
      <c r="DEJ2" s="1113"/>
      <c r="DEK2" s="1113"/>
      <c r="DEL2" s="1113"/>
      <c r="DEM2" s="1113"/>
      <c r="DEN2" s="1113"/>
      <c r="DEO2" s="1113"/>
      <c r="DEP2" s="1113"/>
      <c r="DEQ2" s="1113"/>
      <c r="DER2" s="1113"/>
      <c r="DES2" s="1113"/>
      <c r="DET2" s="1113"/>
      <c r="DEU2" s="1113"/>
      <c r="DEV2" s="1113"/>
      <c r="DEW2" s="1113"/>
      <c r="DEX2" s="1113"/>
      <c r="DEY2" s="1113"/>
      <c r="DEZ2" s="1113"/>
      <c r="DFA2" s="1113"/>
      <c r="DFB2" s="1113"/>
      <c r="DFC2" s="1113"/>
      <c r="DFD2" s="1113"/>
      <c r="DFE2" s="1113"/>
      <c r="DFF2" s="1113"/>
      <c r="DFG2" s="1113"/>
      <c r="DFH2" s="1113"/>
      <c r="DFI2" s="1113"/>
      <c r="DFJ2" s="1113"/>
      <c r="DFK2" s="1113"/>
      <c r="DFL2" s="1113"/>
      <c r="DFM2" s="1113"/>
      <c r="DFN2" s="1113"/>
      <c r="DFO2" s="1113"/>
      <c r="DFP2" s="1113"/>
      <c r="DFQ2" s="1113"/>
      <c r="DFR2" s="1113"/>
      <c r="DFS2" s="1113"/>
      <c r="DFT2" s="1113"/>
      <c r="DFU2" s="1113"/>
      <c r="DFV2" s="1113"/>
      <c r="DFW2" s="1113"/>
      <c r="DFX2" s="1113"/>
      <c r="DFY2" s="1113"/>
      <c r="DFZ2" s="1113"/>
      <c r="DGA2" s="1113"/>
      <c r="DGB2" s="1113"/>
      <c r="DGC2" s="1113"/>
      <c r="DGD2" s="1113"/>
      <c r="DGE2" s="1113"/>
      <c r="DGF2" s="1113"/>
      <c r="DGG2" s="1113"/>
      <c r="DGH2" s="1113"/>
      <c r="DGI2" s="1113"/>
      <c r="DGJ2" s="1113"/>
      <c r="DGK2" s="1113"/>
      <c r="DGL2" s="1113"/>
      <c r="DGM2" s="1113"/>
      <c r="DGN2" s="1113"/>
      <c r="DGO2" s="1113"/>
      <c r="DGP2" s="1113"/>
      <c r="DGQ2" s="1113"/>
      <c r="DGR2" s="1113"/>
      <c r="DGS2" s="1113"/>
      <c r="DGT2" s="1113"/>
      <c r="DGU2" s="1113"/>
      <c r="DGV2" s="1113"/>
      <c r="DGW2" s="1113"/>
      <c r="DGX2" s="1113"/>
      <c r="DGY2" s="1113"/>
      <c r="DGZ2" s="1113"/>
      <c r="DHA2" s="1113"/>
      <c r="DHB2" s="1113"/>
      <c r="DHC2" s="1113"/>
      <c r="DHD2" s="1113"/>
      <c r="DHE2" s="1113"/>
      <c r="DHF2" s="1113"/>
      <c r="DHG2" s="1113"/>
      <c r="DHH2" s="1113"/>
      <c r="DHI2" s="1113"/>
      <c r="DHJ2" s="1113"/>
      <c r="DHK2" s="1113"/>
      <c r="DHL2" s="1113"/>
      <c r="DHM2" s="1113"/>
      <c r="DHN2" s="1113"/>
      <c r="DHO2" s="1113"/>
      <c r="DHP2" s="1113"/>
      <c r="DHQ2" s="1113"/>
      <c r="DHR2" s="1113"/>
      <c r="DHS2" s="1113"/>
      <c r="DHT2" s="1113"/>
      <c r="DHU2" s="1113"/>
      <c r="DHV2" s="1113"/>
      <c r="DHW2" s="1113"/>
      <c r="DHX2" s="1113"/>
      <c r="DHY2" s="1113"/>
      <c r="DHZ2" s="1113"/>
      <c r="DIA2" s="1113"/>
      <c r="DIB2" s="1113"/>
      <c r="DIC2" s="1113"/>
      <c r="DID2" s="1113"/>
      <c r="DIE2" s="1113"/>
      <c r="DIF2" s="1113"/>
      <c r="DIG2" s="1113"/>
      <c r="DIH2" s="1113"/>
      <c r="DII2" s="1113"/>
      <c r="DIJ2" s="1113"/>
      <c r="DIK2" s="1113"/>
      <c r="DIL2" s="1113"/>
      <c r="DIM2" s="1113"/>
      <c r="DIN2" s="1113"/>
      <c r="DIO2" s="1113"/>
      <c r="DIP2" s="1113"/>
      <c r="DIQ2" s="1113"/>
      <c r="DIR2" s="1113"/>
      <c r="DIS2" s="1113"/>
      <c r="DIT2" s="1113"/>
      <c r="DIU2" s="1113"/>
      <c r="DIV2" s="1113"/>
      <c r="DIW2" s="1113"/>
      <c r="DIX2" s="1113"/>
      <c r="DIY2" s="1113"/>
      <c r="DIZ2" s="1113"/>
      <c r="DJA2" s="1113"/>
      <c r="DJB2" s="1113"/>
      <c r="DJC2" s="1113"/>
      <c r="DJD2" s="1113"/>
      <c r="DJE2" s="1113"/>
      <c r="DJF2" s="1113"/>
      <c r="DJG2" s="1113"/>
      <c r="DJH2" s="1113"/>
      <c r="DJI2" s="1113"/>
      <c r="DJJ2" s="1113"/>
      <c r="DJK2" s="1113"/>
      <c r="DJL2" s="1113"/>
      <c r="DJM2" s="1113"/>
      <c r="DJN2" s="1113"/>
      <c r="DJO2" s="1113"/>
      <c r="DJP2" s="1113"/>
      <c r="DJQ2" s="1113"/>
      <c r="DJR2" s="1113"/>
      <c r="DJS2" s="1113"/>
      <c r="DJT2" s="1113"/>
      <c r="DJU2" s="1113"/>
      <c r="DJV2" s="1113"/>
      <c r="DJW2" s="1113"/>
      <c r="DJX2" s="1113"/>
      <c r="DJY2" s="1113"/>
      <c r="DJZ2" s="1113"/>
      <c r="DKA2" s="1113"/>
      <c r="DKB2" s="1113"/>
      <c r="DKC2" s="1113"/>
      <c r="DKD2" s="1113"/>
      <c r="DKE2" s="1113"/>
      <c r="DKF2" s="1113"/>
      <c r="DKG2" s="1113"/>
      <c r="DKH2" s="1113"/>
      <c r="DKI2" s="1113"/>
      <c r="DKJ2" s="1113"/>
      <c r="DKK2" s="1113"/>
      <c r="DKL2" s="1113"/>
      <c r="DKM2" s="1113"/>
      <c r="DKN2" s="1113"/>
      <c r="DKO2" s="1113"/>
      <c r="DKP2" s="1113"/>
      <c r="DKQ2" s="1113"/>
      <c r="DKR2" s="1113"/>
      <c r="DKS2" s="1113"/>
      <c r="DKT2" s="1113"/>
      <c r="DKU2" s="1113"/>
      <c r="DKV2" s="1113"/>
      <c r="DKW2" s="1113"/>
      <c r="DKX2" s="1113"/>
      <c r="DKY2" s="1113"/>
      <c r="DKZ2" s="1113"/>
      <c r="DLA2" s="1113"/>
      <c r="DLB2" s="1113"/>
      <c r="DLC2" s="1113"/>
      <c r="DLD2" s="1113"/>
      <c r="DLE2" s="1113"/>
      <c r="DLF2" s="1113"/>
      <c r="DLG2" s="1113"/>
      <c r="DLH2" s="1113"/>
      <c r="DLI2" s="1113"/>
      <c r="DLJ2" s="1113"/>
      <c r="DLK2" s="1113"/>
      <c r="DLL2" s="1113"/>
      <c r="DLM2" s="1113"/>
      <c r="DLN2" s="1113"/>
      <c r="DLO2" s="1113"/>
      <c r="DLP2" s="1113"/>
      <c r="DLQ2" s="1113"/>
      <c r="DLR2" s="1113"/>
      <c r="DLS2" s="1113"/>
      <c r="DLT2" s="1113"/>
      <c r="DLU2" s="1113"/>
      <c r="DLV2" s="1113"/>
      <c r="DLW2" s="1113"/>
      <c r="DLX2" s="1113"/>
      <c r="DLY2" s="1113"/>
      <c r="DLZ2" s="1113"/>
      <c r="DMA2" s="1113"/>
      <c r="DMB2" s="1113"/>
      <c r="DMC2" s="1113"/>
      <c r="DMD2" s="1113"/>
      <c r="DME2" s="1113"/>
      <c r="DMF2" s="1113"/>
      <c r="DMG2" s="1113"/>
      <c r="DMH2" s="1113"/>
      <c r="DMI2" s="1113"/>
      <c r="DMJ2" s="1113"/>
      <c r="DMK2" s="1113"/>
      <c r="DML2" s="1113"/>
      <c r="DMM2" s="1113"/>
      <c r="DMN2" s="1113"/>
      <c r="DMO2" s="1113"/>
      <c r="DMP2" s="1113"/>
      <c r="DMQ2" s="1113"/>
      <c r="DMR2" s="1113"/>
      <c r="DMS2" s="1113"/>
      <c r="DMT2" s="1113"/>
      <c r="DMU2" s="1113"/>
      <c r="DMV2" s="1113"/>
      <c r="DMW2" s="1113"/>
      <c r="DMX2" s="1113"/>
      <c r="DMY2" s="1113"/>
      <c r="DMZ2" s="1113"/>
      <c r="DNA2" s="1113"/>
      <c r="DNB2" s="1113"/>
      <c r="DNC2" s="1113"/>
      <c r="DND2" s="1113"/>
      <c r="DNE2" s="1113"/>
      <c r="DNF2" s="1113"/>
      <c r="DNG2" s="1113"/>
      <c r="DNH2" s="1113"/>
      <c r="DNI2" s="1113"/>
      <c r="DNJ2" s="1113"/>
      <c r="DNK2" s="1113"/>
      <c r="DNL2" s="1113"/>
      <c r="DNM2" s="1113"/>
      <c r="DNN2" s="1113"/>
      <c r="DNO2" s="1113"/>
      <c r="DNP2" s="1113"/>
      <c r="DNQ2" s="1113"/>
      <c r="DNR2" s="1113"/>
      <c r="DNS2" s="1113"/>
      <c r="DNT2" s="1113"/>
      <c r="DNU2" s="1113"/>
      <c r="DNV2" s="1113"/>
      <c r="DNW2" s="1113"/>
      <c r="DNX2" s="1113"/>
      <c r="DNY2" s="1113"/>
      <c r="DNZ2" s="1113"/>
      <c r="DOA2" s="1113"/>
      <c r="DOB2" s="1113"/>
      <c r="DOC2" s="1113"/>
      <c r="DOD2" s="1113"/>
      <c r="DOE2" s="1113"/>
      <c r="DOF2" s="1113"/>
      <c r="DOG2" s="1113"/>
      <c r="DOH2" s="1113"/>
      <c r="DOI2" s="1113"/>
      <c r="DOJ2" s="1113"/>
      <c r="DOK2" s="1113"/>
      <c r="DOL2" s="1113"/>
      <c r="DOM2" s="1113"/>
      <c r="DON2" s="1113"/>
      <c r="DOO2" s="1113"/>
      <c r="DOP2" s="1113"/>
      <c r="DOQ2" s="1113"/>
      <c r="DOR2" s="1113"/>
      <c r="DOS2" s="1113"/>
      <c r="DOT2" s="1113"/>
      <c r="DOU2" s="1113"/>
      <c r="DOV2" s="1113"/>
      <c r="DOW2" s="1113"/>
      <c r="DOX2" s="1113"/>
      <c r="DOY2" s="1113"/>
      <c r="DOZ2" s="1113"/>
      <c r="DPA2" s="1113"/>
      <c r="DPB2" s="1113"/>
      <c r="DPC2" s="1113"/>
      <c r="DPD2" s="1113"/>
      <c r="DPE2" s="1113"/>
      <c r="DPF2" s="1113"/>
      <c r="DPG2" s="1113"/>
      <c r="DPH2" s="1113"/>
      <c r="DPI2" s="1113"/>
      <c r="DPJ2" s="1113"/>
      <c r="DPK2" s="1113"/>
      <c r="DPL2" s="1113"/>
      <c r="DPM2" s="1113"/>
      <c r="DPN2" s="1113"/>
      <c r="DPO2" s="1113"/>
      <c r="DPP2" s="1113"/>
      <c r="DPQ2" s="1113"/>
      <c r="DPR2" s="1113"/>
      <c r="DPS2" s="1113"/>
      <c r="DPT2" s="1113"/>
      <c r="DPU2" s="1113"/>
      <c r="DPV2" s="1113"/>
      <c r="DPW2" s="1113"/>
      <c r="DPX2" s="1113"/>
      <c r="DPY2" s="1113"/>
      <c r="DPZ2" s="1113"/>
      <c r="DQA2" s="1113"/>
      <c r="DQB2" s="1113"/>
      <c r="DQC2" s="1113"/>
      <c r="DQD2" s="1113"/>
      <c r="DQE2" s="1113"/>
      <c r="DQF2" s="1113"/>
      <c r="DQG2" s="1113"/>
      <c r="DQH2" s="1113"/>
      <c r="DQI2" s="1113"/>
      <c r="DQJ2" s="1113"/>
      <c r="DQK2" s="1113"/>
      <c r="DQL2" s="1113"/>
      <c r="DQM2" s="1113"/>
      <c r="DQN2" s="1113"/>
      <c r="DQO2" s="1113"/>
      <c r="DQP2" s="1113"/>
      <c r="DQQ2" s="1113"/>
      <c r="DQR2" s="1113"/>
      <c r="DQS2" s="1113"/>
      <c r="DQT2" s="1113"/>
      <c r="DQU2" s="1113"/>
      <c r="DQV2" s="1113"/>
      <c r="DQW2" s="1113"/>
      <c r="DQX2" s="1113"/>
      <c r="DQY2" s="1113"/>
      <c r="DQZ2" s="1113"/>
      <c r="DRA2" s="1113"/>
      <c r="DRB2" s="1113"/>
      <c r="DRC2" s="1113"/>
      <c r="DRD2" s="1113"/>
      <c r="DRE2" s="1113"/>
      <c r="DRF2" s="1113"/>
      <c r="DRG2" s="1113"/>
      <c r="DRH2" s="1113"/>
      <c r="DRI2" s="1113"/>
      <c r="DRJ2" s="1113"/>
      <c r="DRK2" s="1113"/>
      <c r="DRL2" s="1113"/>
      <c r="DRM2" s="1113"/>
      <c r="DRN2" s="1113"/>
      <c r="DRO2" s="1113"/>
      <c r="DRP2" s="1113"/>
      <c r="DRQ2" s="1113"/>
      <c r="DRR2" s="1113"/>
      <c r="DRS2" s="1113"/>
      <c r="DRT2" s="1113"/>
      <c r="DRU2" s="1113"/>
      <c r="DRV2" s="1113"/>
      <c r="DRW2" s="1113"/>
      <c r="DRX2" s="1113"/>
      <c r="DRY2" s="1113"/>
      <c r="DRZ2" s="1113"/>
      <c r="DSA2" s="1113"/>
      <c r="DSB2" s="1113"/>
      <c r="DSC2" s="1113"/>
      <c r="DSD2" s="1113"/>
      <c r="DSE2" s="1113"/>
      <c r="DSF2" s="1113"/>
      <c r="DSG2" s="1113"/>
      <c r="DSH2" s="1113"/>
      <c r="DSI2" s="1113"/>
      <c r="DSJ2" s="1113"/>
      <c r="DSK2" s="1113"/>
      <c r="DSL2" s="1113"/>
      <c r="DSM2" s="1113"/>
      <c r="DSN2" s="1113"/>
      <c r="DSO2" s="1113"/>
      <c r="DSP2" s="1113"/>
      <c r="DSQ2" s="1113"/>
      <c r="DSR2" s="1113"/>
      <c r="DSS2" s="1113"/>
      <c r="DST2" s="1113"/>
      <c r="DSU2" s="1113"/>
      <c r="DSV2" s="1113"/>
      <c r="DSW2" s="1113"/>
      <c r="DSX2" s="1113"/>
      <c r="DSY2" s="1113"/>
      <c r="DSZ2" s="1113"/>
      <c r="DTA2" s="1113"/>
      <c r="DTB2" s="1113"/>
      <c r="DTC2" s="1113"/>
      <c r="DTD2" s="1113"/>
      <c r="DTE2" s="1113"/>
      <c r="DTF2" s="1113"/>
      <c r="DTG2" s="1113"/>
      <c r="DTH2" s="1113"/>
      <c r="DTI2" s="1113"/>
      <c r="DTJ2" s="1113"/>
      <c r="DTK2" s="1113"/>
      <c r="DTL2" s="1113"/>
      <c r="DTM2" s="1113"/>
      <c r="DTN2" s="1113"/>
      <c r="DTO2" s="1113"/>
      <c r="DTP2" s="1113"/>
      <c r="DTQ2" s="1113"/>
      <c r="DTR2" s="1113"/>
      <c r="DTS2" s="1113"/>
      <c r="DTT2" s="1113"/>
      <c r="DTU2" s="1113"/>
      <c r="DTV2" s="1113"/>
      <c r="DTW2" s="1113"/>
      <c r="DTX2" s="1113"/>
      <c r="DTY2" s="1113"/>
      <c r="DTZ2" s="1113"/>
      <c r="DUA2" s="1113"/>
      <c r="DUB2" s="1113"/>
      <c r="DUC2" s="1113"/>
      <c r="DUD2" s="1113"/>
      <c r="DUE2" s="1113"/>
      <c r="DUF2" s="1113"/>
      <c r="DUG2" s="1113"/>
      <c r="DUH2" s="1113"/>
      <c r="DUI2" s="1113"/>
      <c r="DUJ2" s="1113"/>
      <c r="DUK2" s="1113"/>
      <c r="DUL2" s="1113"/>
      <c r="DUM2" s="1113"/>
      <c r="DUN2" s="1113"/>
      <c r="DUO2" s="1113"/>
      <c r="DUP2" s="1113"/>
      <c r="DUQ2" s="1113"/>
      <c r="DUR2" s="1113"/>
      <c r="DUS2" s="1113"/>
      <c r="DUT2" s="1113"/>
      <c r="DUU2" s="1113"/>
      <c r="DUV2" s="1113"/>
      <c r="DUW2" s="1113"/>
      <c r="DUX2" s="1113"/>
      <c r="DUY2" s="1113"/>
      <c r="DUZ2" s="1113"/>
      <c r="DVA2" s="1113"/>
      <c r="DVB2" s="1113"/>
      <c r="DVC2" s="1113"/>
      <c r="DVD2" s="1113"/>
      <c r="DVE2" s="1113"/>
      <c r="DVF2" s="1113"/>
      <c r="DVG2" s="1113"/>
      <c r="DVH2" s="1113"/>
      <c r="DVI2" s="1113"/>
      <c r="DVJ2" s="1113"/>
      <c r="DVK2" s="1113"/>
      <c r="DVL2" s="1113"/>
      <c r="DVM2" s="1113"/>
      <c r="DVN2" s="1113"/>
      <c r="DVO2" s="1113"/>
      <c r="DVP2" s="1113"/>
      <c r="DVQ2" s="1113"/>
      <c r="DVR2" s="1113"/>
      <c r="DVS2" s="1113"/>
      <c r="DVT2" s="1113"/>
      <c r="DVU2" s="1113"/>
      <c r="DVV2" s="1113"/>
      <c r="DVW2" s="1113"/>
      <c r="DVX2" s="1113"/>
      <c r="DVY2" s="1113"/>
      <c r="DVZ2" s="1113"/>
      <c r="DWA2" s="1113"/>
      <c r="DWB2" s="1113"/>
      <c r="DWC2" s="1113"/>
      <c r="DWD2" s="1113"/>
      <c r="DWE2" s="1113"/>
      <c r="DWF2" s="1113"/>
      <c r="DWG2" s="1113"/>
      <c r="DWH2" s="1113"/>
      <c r="DWI2" s="1113"/>
      <c r="DWJ2" s="1113"/>
      <c r="DWK2" s="1113"/>
      <c r="DWL2" s="1113"/>
      <c r="DWM2" s="1113"/>
      <c r="DWN2" s="1113"/>
      <c r="DWO2" s="1113"/>
      <c r="DWP2" s="1113"/>
      <c r="DWQ2" s="1113"/>
      <c r="DWR2" s="1113"/>
      <c r="DWS2" s="1113"/>
      <c r="DWT2" s="1113"/>
      <c r="DWU2" s="1113"/>
      <c r="DWV2" s="1113"/>
      <c r="DWW2" s="1113"/>
      <c r="DWX2" s="1113"/>
      <c r="DWY2" s="1113"/>
      <c r="DWZ2" s="1113"/>
      <c r="DXA2" s="1113"/>
      <c r="DXB2" s="1113"/>
      <c r="DXC2" s="1113"/>
      <c r="DXD2" s="1113"/>
      <c r="DXE2" s="1113"/>
      <c r="DXF2" s="1113"/>
      <c r="DXG2" s="1113"/>
      <c r="DXH2" s="1113"/>
      <c r="DXI2" s="1113"/>
      <c r="DXJ2" s="1113"/>
      <c r="DXK2" s="1113"/>
      <c r="DXL2" s="1113"/>
      <c r="DXM2" s="1113"/>
      <c r="DXN2" s="1113"/>
      <c r="DXO2" s="1113"/>
      <c r="DXP2" s="1113"/>
      <c r="DXQ2" s="1113"/>
      <c r="DXR2" s="1113"/>
      <c r="DXS2" s="1113"/>
      <c r="DXT2" s="1113"/>
      <c r="DXU2" s="1113"/>
      <c r="DXV2" s="1113"/>
      <c r="DXW2" s="1113"/>
      <c r="DXX2" s="1113"/>
      <c r="DXY2" s="1113"/>
      <c r="DXZ2" s="1113"/>
      <c r="DYA2" s="1113"/>
      <c r="DYB2" s="1113"/>
      <c r="DYC2" s="1113"/>
      <c r="DYD2" s="1113"/>
      <c r="DYE2" s="1113"/>
      <c r="DYF2" s="1113"/>
      <c r="DYG2" s="1113"/>
      <c r="DYH2" s="1113"/>
      <c r="DYI2" s="1113"/>
      <c r="DYJ2" s="1113"/>
      <c r="DYK2" s="1113"/>
      <c r="DYL2" s="1113"/>
      <c r="DYM2" s="1113"/>
      <c r="DYN2" s="1113"/>
      <c r="DYO2" s="1113"/>
      <c r="DYP2" s="1113"/>
      <c r="DYQ2" s="1113"/>
      <c r="DYR2" s="1113"/>
      <c r="DYS2" s="1113"/>
      <c r="DYT2" s="1113"/>
      <c r="DYU2" s="1113"/>
      <c r="DYV2" s="1113"/>
      <c r="DYW2" s="1113"/>
      <c r="DYX2" s="1113"/>
      <c r="DYY2" s="1113"/>
      <c r="DYZ2" s="1113"/>
      <c r="DZA2" s="1113"/>
      <c r="DZB2" s="1113"/>
      <c r="DZC2" s="1113"/>
      <c r="DZD2" s="1113"/>
      <c r="DZE2" s="1113"/>
      <c r="DZF2" s="1113"/>
      <c r="DZG2" s="1113"/>
      <c r="DZH2" s="1113"/>
      <c r="DZI2" s="1113"/>
      <c r="DZJ2" s="1113"/>
      <c r="DZK2" s="1113"/>
      <c r="DZL2" s="1113"/>
      <c r="DZM2" s="1113"/>
      <c r="DZN2" s="1113"/>
      <c r="DZO2" s="1113"/>
      <c r="DZP2" s="1113"/>
      <c r="DZQ2" s="1113"/>
      <c r="DZR2" s="1113"/>
      <c r="DZS2" s="1113"/>
      <c r="DZT2" s="1113"/>
      <c r="DZU2" s="1113"/>
      <c r="DZV2" s="1113"/>
      <c r="DZW2" s="1113"/>
      <c r="DZX2" s="1113"/>
      <c r="DZY2" s="1113"/>
      <c r="DZZ2" s="1113"/>
      <c r="EAA2" s="1113"/>
      <c r="EAB2" s="1113"/>
      <c r="EAC2" s="1113"/>
      <c r="EAD2" s="1113"/>
      <c r="EAE2" s="1113"/>
      <c r="EAF2" s="1113"/>
      <c r="EAG2" s="1113"/>
      <c r="EAH2" s="1113"/>
      <c r="EAI2" s="1113"/>
      <c r="EAJ2" s="1113"/>
      <c r="EAK2" s="1113"/>
      <c r="EAL2" s="1113"/>
      <c r="EAM2" s="1113"/>
      <c r="EAN2" s="1113"/>
      <c r="EAO2" s="1113"/>
      <c r="EAP2" s="1113"/>
      <c r="EAQ2" s="1113"/>
      <c r="EAR2" s="1113"/>
      <c r="EAS2" s="1113"/>
      <c r="EAT2" s="1113"/>
      <c r="EAU2" s="1113"/>
      <c r="EAV2" s="1113"/>
      <c r="EAW2" s="1113"/>
      <c r="EAX2" s="1113"/>
      <c r="EAY2" s="1113"/>
      <c r="EAZ2" s="1113"/>
      <c r="EBA2" s="1113"/>
      <c r="EBB2" s="1113"/>
      <c r="EBC2" s="1113"/>
      <c r="EBD2" s="1113"/>
      <c r="EBE2" s="1113"/>
      <c r="EBF2" s="1113"/>
      <c r="EBG2" s="1113"/>
      <c r="EBH2" s="1113"/>
      <c r="EBI2" s="1113"/>
      <c r="EBJ2" s="1113"/>
      <c r="EBK2" s="1113"/>
      <c r="EBL2" s="1113"/>
      <c r="EBM2" s="1113"/>
      <c r="EBN2" s="1113"/>
      <c r="EBO2" s="1113"/>
      <c r="EBP2" s="1113"/>
      <c r="EBQ2" s="1113"/>
      <c r="EBR2" s="1113"/>
      <c r="EBS2" s="1113"/>
      <c r="EBT2" s="1113"/>
      <c r="EBU2" s="1113"/>
      <c r="EBV2" s="1113"/>
      <c r="EBW2" s="1113"/>
      <c r="EBX2" s="1113"/>
      <c r="EBY2" s="1113"/>
      <c r="EBZ2" s="1113"/>
      <c r="ECA2" s="1113"/>
      <c r="ECB2" s="1113"/>
      <c r="ECC2" s="1113"/>
      <c r="ECD2" s="1113"/>
      <c r="ECE2" s="1113"/>
      <c r="ECF2" s="1113"/>
      <c r="ECG2" s="1113"/>
      <c r="ECH2" s="1113"/>
      <c r="ECI2" s="1113"/>
      <c r="ECJ2" s="1113"/>
      <c r="ECK2" s="1113"/>
      <c r="ECL2" s="1113"/>
      <c r="ECM2" s="1113"/>
      <c r="ECN2" s="1113"/>
      <c r="ECO2" s="1113"/>
      <c r="ECP2" s="1113"/>
      <c r="ECQ2" s="1113"/>
      <c r="ECR2" s="1113"/>
      <c r="ECS2" s="1113"/>
      <c r="ECT2" s="1113"/>
      <c r="ECU2" s="1113"/>
      <c r="ECV2" s="1113"/>
      <c r="ECW2" s="1113"/>
      <c r="ECX2" s="1113"/>
      <c r="ECY2" s="1113"/>
      <c r="ECZ2" s="1113"/>
      <c r="EDA2" s="1113"/>
      <c r="EDB2" s="1113"/>
      <c r="EDC2" s="1113"/>
      <c r="EDD2" s="1113"/>
      <c r="EDE2" s="1113"/>
      <c r="EDF2" s="1113"/>
      <c r="EDG2" s="1113"/>
      <c r="EDH2" s="1113"/>
      <c r="EDI2" s="1113"/>
      <c r="EDJ2" s="1113"/>
      <c r="EDK2" s="1113"/>
      <c r="EDL2" s="1113"/>
      <c r="EDM2" s="1113"/>
      <c r="EDN2" s="1113"/>
      <c r="EDO2" s="1113"/>
      <c r="EDP2" s="1113"/>
      <c r="EDQ2" s="1113"/>
      <c r="EDR2" s="1113"/>
      <c r="EDS2" s="1113"/>
      <c r="EDT2" s="1113"/>
      <c r="EDU2" s="1113"/>
      <c r="EDV2" s="1113"/>
      <c r="EDW2" s="1113"/>
      <c r="EDX2" s="1113"/>
      <c r="EDY2" s="1113"/>
      <c r="EDZ2" s="1113"/>
      <c r="EEA2" s="1113"/>
      <c r="EEB2" s="1113"/>
      <c r="EEC2" s="1113"/>
      <c r="EED2" s="1113"/>
      <c r="EEE2" s="1113"/>
      <c r="EEF2" s="1113"/>
      <c r="EEG2" s="1113"/>
      <c r="EEH2" s="1113"/>
      <c r="EEI2" s="1113"/>
      <c r="EEJ2" s="1113"/>
      <c r="EEK2" s="1113"/>
      <c r="EEL2" s="1113"/>
      <c r="EEM2" s="1113"/>
      <c r="EEN2" s="1113"/>
      <c r="EEO2" s="1113"/>
      <c r="EEP2" s="1113"/>
      <c r="EEQ2" s="1113"/>
      <c r="EER2" s="1113"/>
      <c r="EES2" s="1113"/>
      <c r="EET2" s="1113"/>
      <c r="EEU2" s="1113"/>
      <c r="EEV2" s="1113"/>
      <c r="EEW2" s="1113"/>
      <c r="EEX2" s="1113"/>
      <c r="EEY2" s="1113"/>
      <c r="EEZ2" s="1113"/>
      <c r="EFA2" s="1113"/>
      <c r="EFB2" s="1113"/>
      <c r="EFC2" s="1113"/>
      <c r="EFD2" s="1113"/>
      <c r="EFE2" s="1113"/>
      <c r="EFF2" s="1113"/>
      <c r="EFG2" s="1113"/>
      <c r="EFH2" s="1113"/>
      <c r="EFI2" s="1113"/>
      <c r="EFJ2" s="1113"/>
      <c r="EFK2" s="1113"/>
      <c r="EFL2" s="1113"/>
      <c r="EFM2" s="1113"/>
      <c r="EFN2" s="1113"/>
      <c r="EFO2" s="1113"/>
      <c r="EFP2" s="1113"/>
      <c r="EFQ2" s="1113"/>
      <c r="EFR2" s="1113"/>
      <c r="EFS2" s="1113"/>
      <c r="EFT2" s="1113"/>
      <c r="EFU2" s="1113"/>
      <c r="EFV2" s="1113"/>
      <c r="EFW2" s="1113"/>
      <c r="EFX2" s="1113"/>
      <c r="EFY2" s="1113"/>
      <c r="EFZ2" s="1113"/>
      <c r="EGA2" s="1113"/>
      <c r="EGB2" s="1113"/>
      <c r="EGC2" s="1113"/>
      <c r="EGD2" s="1113"/>
      <c r="EGE2" s="1113"/>
      <c r="EGF2" s="1113"/>
      <c r="EGG2" s="1113"/>
      <c r="EGH2" s="1113"/>
      <c r="EGI2" s="1113"/>
      <c r="EGJ2" s="1113"/>
      <c r="EGK2" s="1113"/>
      <c r="EGL2" s="1113"/>
      <c r="EGM2" s="1113"/>
      <c r="EGN2" s="1113"/>
      <c r="EGO2" s="1113"/>
      <c r="EGP2" s="1113"/>
      <c r="EGQ2" s="1113"/>
      <c r="EGR2" s="1113"/>
      <c r="EGS2" s="1113"/>
      <c r="EGT2" s="1113"/>
      <c r="EGU2" s="1113"/>
      <c r="EGV2" s="1113"/>
      <c r="EGW2" s="1113"/>
      <c r="EGX2" s="1113"/>
      <c r="EGY2" s="1113"/>
      <c r="EGZ2" s="1113"/>
      <c r="EHA2" s="1113"/>
      <c r="EHB2" s="1113"/>
      <c r="EHC2" s="1113"/>
      <c r="EHD2" s="1113"/>
      <c r="EHE2" s="1113"/>
      <c r="EHF2" s="1113"/>
      <c r="EHG2" s="1113"/>
      <c r="EHH2" s="1113"/>
      <c r="EHI2" s="1113"/>
      <c r="EHJ2" s="1113"/>
      <c r="EHK2" s="1113"/>
      <c r="EHL2" s="1113"/>
      <c r="EHM2" s="1113"/>
      <c r="EHN2" s="1113"/>
      <c r="EHO2" s="1113"/>
      <c r="EHP2" s="1113"/>
      <c r="EHQ2" s="1113"/>
      <c r="EHR2" s="1113"/>
      <c r="EHS2" s="1113"/>
      <c r="EHT2" s="1113"/>
      <c r="EHU2" s="1113"/>
      <c r="EHV2" s="1113"/>
      <c r="EHW2" s="1113"/>
      <c r="EHX2" s="1113"/>
      <c r="EHY2" s="1113"/>
      <c r="EHZ2" s="1113"/>
      <c r="EIA2" s="1113"/>
      <c r="EIB2" s="1113"/>
      <c r="EIC2" s="1113"/>
      <c r="EID2" s="1113"/>
      <c r="EIE2" s="1113"/>
      <c r="EIF2" s="1113"/>
      <c r="EIG2" s="1113"/>
      <c r="EIH2" s="1113"/>
      <c r="EII2" s="1113"/>
      <c r="EIJ2" s="1113"/>
      <c r="EIK2" s="1113"/>
      <c r="EIL2" s="1113"/>
      <c r="EIM2" s="1113"/>
      <c r="EIN2" s="1113"/>
      <c r="EIO2" s="1113"/>
      <c r="EIP2" s="1113"/>
      <c r="EIQ2" s="1113"/>
      <c r="EIR2" s="1113"/>
      <c r="EIS2" s="1113"/>
      <c r="EIT2" s="1113"/>
      <c r="EIU2" s="1113"/>
      <c r="EIV2" s="1113"/>
      <c r="EIW2" s="1113"/>
      <c r="EIX2" s="1113"/>
      <c r="EIY2" s="1113"/>
      <c r="EIZ2" s="1113"/>
      <c r="EJA2" s="1113"/>
      <c r="EJB2" s="1113"/>
      <c r="EJC2" s="1113"/>
      <c r="EJD2" s="1113"/>
      <c r="EJE2" s="1113"/>
      <c r="EJF2" s="1113"/>
      <c r="EJG2" s="1113"/>
      <c r="EJH2" s="1113"/>
      <c r="EJI2" s="1113"/>
      <c r="EJJ2" s="1113"/>
      <c r="EJK2" s="1113"/>
      <c r="EJL2" s="1113"/>
      <c r="EJM2" s="1113"/>
      <c r="EJN2" s="1113"/>
      <c r="EJO2" s="1113"/>
      <c r="EJP2" s="1113"/>
      <c r="EJQ2" s="1113"/>
      <c r="EJR2" s="1113"/>
      <c r="EJS2" s="1113"/>
      <c r="EJT2" s="1113"/>
      <c r="EJU2" s="1113"/>
      <c r="EJV2" s="1113"/>
      <c r="EJW2" s="1113"/>
      <c r="EJX2" s="1113"/>
      <c r="EJY2" s="1113"/>
      <c r="EJZ2" s="1113"/>
      <c r="EKA2" s="1113"/>
      <c r="EKB2" s="1113"/>
      <c r="EKC2" s="1113"/>
      <c r="EKD2" s="1113"/>
      <c r="EKE2" s="1113"/>
      <c r="EKF2" s="1113"/>
      <c r="EKG2" s="1113"/>
      <c r="EKH2" s="1113"/>
      <c r="EKI2" s="1113"/>
      <c r="EKJ2" s="1113"/>
      <c r="EKK2" s="1113"/>
      <c r="EKL2" s="1113"/>
      <c r="EKM2" s="1113"/>
      <c r="EKN2" s="1113"/>
      <c r="EKO2" s="1113"/>
      <c r="EKP2" s="1113"/>
      <c r="EKQ2" s="1113"/>
      <c r="EKR2" s="1113"/>
      <c r="EKS2" s="1113"/>
      <c r="EKT2" s="1113"/>
      <c r="EKU2" s="1113"/>
      <c r="EKV2" s="1113"/>
      <c r="EKW2" s="1113"/>
      <c r="EKX2" s="1113"/>
      <c r="EKY2" s="1113"/>
      <c r="EKZ2" s="1113"/>
      <c r="ELA2" s="1113"/>
      <c r="ELB2" s="1113"/>
      <c r="ELC2" s="1113"/>
      <c r="ELD2" s="1113"/>
      <c r="ELE2" s="1113"/>
      <c r="ELF2" s="1113"/>
      <c r="ELG2" s="1113"/>
      <c r="ELH2" s="1113"/>
      <c r="ELI2" s="1113"/>
      <c r="ELJ2" s="1113"/>
      <c r="ELK2" s="1113"/>
      <c r="ELL2" s="1113"/>
      <c r="ELM2" s="1113"/>
      <c r="ELN2" s="1113"/>
      <c r="ELO2" s="1113"/>
      <c r="ELP2" s="1113"/>
      <c r="ELQ2" s="1113"/>
      <c r="ELR2" s="1113"/>
      <c r="ELS2" s="1113"/>
      <c r="ELT2" s="1113"/>
      <c r="ELU2" s="1113"/>
      <c r="ELV2" s="1113"/>
      <c r="ELW2" s="1113"/>
      <c r="ELX2" s="1113"/>
      <c r="ELY2" s="1113"/>
      <c r="ELZ2" s="1113"/>
      <c r="EMA2" s="1113"/>
      <c r="EMB2" s="1113"/>
      <c r="EMC2" s="1113"/>
      <c r="EMD2" s="1113"/>
      <c r="EME2" s="1113"/>
      <c r="EMF2" s="1113"/>
      <c r="EMG2" s="1113"/>
      <c r="EMH2" s="1113"/>
      <c r="EMI2" s="1113"/>
      <c r="EMJ2" s="1113"/>
      <c r="EMK2" s="1113"/>
      <c r="EML2" s="1113"/>
      <c r="EMM2" s="1113"/>
      <c r="EMN2" s="1113"/>
      <c r="EMO2" s="1113"/>
      <c r="EMP2" s="1113"/>
      <c r="EMQ2" s="1113"/>
      <c r="EMR2" s="1113"/>
      <c r="EMS2" s="1113"/>
      <c r="EMT2" s="1113"/>
      <c r="EMU2" s="1113"/>
      <c r="EMV2" s="1113"/>
      <c r="EMW2" s="1113"/>
      <c r="EMX2" s="1113"/>
      <c r="EMY2" s="1113"/>
      <c r="EMZ2" s="1113"/>
      <c r="ENA2" s="1113"/>
      <c r="ENB2" s="1113"/>
      <c r="ENC2" s="1113"/>
      <c r="END2" s="1113"/>
      <c r="ENE2" s="1113"/>
      <c r="ENF2" s="1113"/>
      <c r="ENG2" s="1113"/>
      <c r="ENH2" s="1113"/>
      <c r="ENI2" s="1113"/>
      <c r="ENJ2" s="1113"/>
      <c r="ENK2" s="1113"/>
      <c r="ENL2" s="1113"/>
      <c r="ENM2" s="1113"/>
      <c r="ENN2" s="1113"/>
      <c r="ENO2" s="1113"/>
      <c r="ENP2" s="1113"/>
      <c r="ENQ2" s="1113"/>
      <c r="ENR2" s="1113"/>
      <c r="ENS2" s="1113"/>
      <c r="ENT2" s="1113"/>
      <c r="ENU2" s="1113"/>
      <c r="ENV2" s="1113"/>
      <c r="ENW2" s="1113"/>
      <c r="ENX2" s="1113"/>
      <c r="ENY2" s="1113"/>
      <c r="ENZ2" s="1113"/>
      <c r="EOA2" s="1113"/>
      <c r="EOB2" s="1113"/>
      <c r="EOC2" s="1113"/>
      <c r="EOD2" s="1113"/>
      <c r="EOE2" s="1113"/>
      <c r="EOF2" s="1113"/>
      <c r="EOG2" s="1113"/>
      <c r="EOH2" s="1113"/>
      <c r="EOI2" s="1113"/>
      <c r="EOJ2" s="1113"/>
      <c r="EOK2" s="1113"/>
      <c r="EOL2" s="1113"/>
      <c r="EOM2" s="1113"/>
      <c r="EON2" s="1113"/>
      <c r="EOO2" s="1113"/>
      <c r="EOP2" s="1113"/>
      <c r="EOQ2" s="1113"/>
      <c r="EOR2" s="1113"/>
      <c r="EOS2" s="1113"/>
      <c r="EOT2" s="1113"/>
      <c r="EOU2" s="1113"/>
      <c r="EOV2" s="1113"/>
      <c r="EOW2" s="1113"/>
      <c r="EOX2" s="1113"/>
      <c r="EOY2" s="1113"/>
      <c r="EOZ2" s="1113"/>
      <c r="EPA2" s="1113"/>
      <c r="EPB2" s="1113"/>
      <c r="EPC2" s="1113"/>
      <c r="EPD2" s="1113"/>
      <c r="EPE2" s="1113"/>
      <c r="EPF2" s="1113"/>
      <c r="EPG2" s="1113"/>
      <c r="EPH2" s="1113"/>
      <c r="EPI2" s="1113"/>
      <c r="EPJ2" s="1113"/>
      <c r="EPK2" s="1113"/>
      <c r="EPL2" s="1113"/>
      <c r="EPM2" s="1113"/>
      <c r="EPN2" s="1113"/>
      <c r="EPO2" s="1113"/>
      <c r="EPP2" s="1113"/>
      <c r="EPQ2" s="1113"/>
      <c r="EPR2" s="1113"/>
      <c r="EPS2" s="1113"/>
      <c r="EPT2" s="1113"/>
      <c r="EPU2" s="1113"/>
      <c r="EPV2" s="1113"/>
      <c r="EPW2" s="1113"/>
      <c r="EPX2" s="1113"/>
      <c r="EPY2" s="1113"/>
      <c r="EPZ2" s="1113"/>
      <c r="EQA2" s="1113"/>
      <c r="EQB2" s="1113"/>
      <c r="EQC2" s="1113"/>
      <c r="EQD2" s="1113"/>
      <c r="EQE2" s="1113"/>
      <c r="EQF2" s="1113"/>
      <c r="EQG2" s="1113"/>
      <c r="EQH2" s="1113"/>
      <c r="EQI2" s="1113"/>
      <c r="EQJ2" s="1113"/>
      <c r="EQK2" s="1113"/>
      <c r="EQL2" s="1113"/>
      <c r="EQM2" s="1113"/>
      <c r="EQN2" s="1113"/>
      <c r="EQO2" s="1113"/>
      <c r="EQP2" s="1113"/>
      <c r="EQQ2" s="1113"/>
      <c r="EQR2" s="1113"/>
      <c r="EQS2" s="1113"/>
      <c r="EQT2" s="1113"/>
      <c r="EQU2" s="1113"/>
      <c r="EQV2" s="1113"/>
      <c r="EQW2" s="1113"/>
      <c r="EQX2" s="1113"/>
      <c r="EQY2" s="1113"/>
      <c r="EQZ2" s="1113"/>
      <c r="ERA2" s="1113"/>
      <c r="ERB2" s="1113"/>
      <c r="ERC2" s="1113"/>
      <c r="ERD2" s="1113"/>
      <c r="ERE2" s="1113"/>
      <c r="ERF2" s="1113"/>
      <c r="ERG2" s="1113"/>
      <c r="ERH2" s="1113"/>
      <c r="ERI2" s="1113"/>
      <c r="ERJ2" s="1113"/>
      <c r="ERK2" s="1113"/>
      <c r="ERL2" s="1113"/>
      <c r="ERM2" s="1113"/>
      <c r="ERN2" s="1113"/>
      <c r="ERO2" s="1113"/>
      <c r="ERP2" s="1113"/>
      <c r="ERQ2" s="1113"/>
      <c r="ERR2" s="1113"/>
      <c r="ERS2" s="1113"/>
      <c r="ERT2" s="1113"/>
      <c r="ERU2" s="1113"/>
      <c r="ERV2" s="1113"/>
      <c r="ERW2" s="1113"/>
      <c r="ERX2" s="1113"/>
      <c r="ERY2" s="1113"/>
      <c r="ERZ2" s="1113"/>
      <c r="ESA2" s="1113"/>
      <c r="ESB2" s="1113"/>
      <c r="ESC2" s="1113"/>
      <c r="ESD2" s="1113"/>
      <c r="ESE2" s="1113"/>
      <c r="ESF2" s="1113"/>
      <c r="ESG2" s="1113"/>
      <c r="ESH2" s="1113"/>
      <c r="ESI2" s="1113"/>
      <c r="ESJ2" s="1113"/>
      <c r="ESK2" s="1113"/>
      <c r="ESL2" s="1113"/>
      <c r="ESM2" s="1113"/>
      <c r="ESN2" s="1113"/>
      <c r="ESO2" s="1113"/>
      <c r="ESP2" s="1113"/>
      <c r="ESQ2" s="1113"/>
      <c r="ESR2" s="1113"/>
      <c r="ESS2" s="1113"/>
      <c r="EST2" s="1113"/>
      <c r="ESU2" s="1113"/>
      <c r="ESV2" s="1113"/>
      <c r="ESW2" s="1113"/>
      <c r="ESX2" s="1113"/>
      <c r="ESY2" s="1113"/>
      <c r="ESZ2" s="1113"/>
      <c r="ETA2" s="1113"/>
      <c r="ETB2" s="1113"/>
      <c r="ETC2" s="1113"/>
      <c r="ETD2" s="1113"/>
      <c r="ETE2" s="1113"/>
      <c r="ETF2" s="1113"/>
      <c r="ETG2" s="1113"/>
      <c r="ETH2" s="1113"/>
      <c r="ETI2" s="1113"/>
      <c r="ETJ2" s="1113"/>
      <c r="ETK2" s="1113"/>
      <c r="ETL2" s="1113"/>
      <c r="ETM2" s="1113"/>
      <c r="ETN2" s="1113"/>
      <c r="ETO2" s="1113"/>
      <c r="ETP2" s="1113"/>
      <c r="ETQ2" s="1113"/>
      <c r="ETR2" s="1113"/>
      <c r="ETS2" s="1113"/>
      <c r="ETT2" s="1113"/>
      <c r="ETU2" s="1113"/>
      <c r="ETV2" s="1113"/>
      <c r="ETW2" s="1113"/>
      <c r="ETX2" s="1113"/>
      <c r="ETY2" s="1113"/>
      <c r="ETZ2" s="1113"/>
      <c r="EUA2" s="1113"/>
      <c r="EUB2" s="1113"/>
      <c r="EUC2" s="1113"/>
      <c r="EUD2" s="1113"/>
      <c r="EUE2" s="1113"/>
      <c r="EUF2" s="1113"/>
      <c r="EUG2" s="1113"/>
      <c r="EUH2" s="1113"/>
      <c r="EUI2" s="1113"/>
      <c r="EUJ2" s="1113"/>
      <c r="EUK2" s="1113"/>
      <c r="EUL2" s="1113"/>
      <c r="EUM2" s="1113"/>
      <c r="EUN2" s="1113"/>
      <c r="EUO2" s="1113"/>
      <c r="EUP2" s="1113"/>
      <c r="EUQ2" s="1113"/>
      <c r="EUR2" s="1113"/>
      <c r="EUS2" s="1113"/>
      <c r="EUT2" s="1113"/>
      <c r="EUU2" s="1113"/>
      <c r="EUV2" s="1113"/>
      <c r="EUW2" s="1113"/>
      <c r="EUX2" s="1113"/>
      <c r="EUY2" s="1113"/>
      <c r="EUZ2" s="1113"/>
      <c r="EVA2" s="1113"/>
      <c r="EVB2" s="1113"/>
      <c r="EVC2" s="1113"/>
      <c r="EVD2" s="1113"/>
      <c r="EVE2" s="1113"/>
      <c r="EVF2" s="1113"/>
      <c r="EVG2" s="1113"/>
      <c r="EVH2" s="1113"/>
      <c r="EVI2" s="1113"/>
      <c r="EVJ2" s="1113"/>
      <c r="EVK2" s="1113"/>
      <c r="EVL2" s="1113"/>
      <c r="EVM2" s="1113"/>
      <c r="EVN2" s="1113"/>
      <c r="EVO2" s="1113"/>
      <c r="EVP2" s="1113"/>
      <c r="EVQ2" s="1113"/>
      <c r="EVR2" s="1113"/>
      <c r="EVS2" s="1113"/>
      <c r="EVT2" s="1113"/>
      <c r="EVU2" s="1113"/>
      <c r="EVV2" s="1113"/>
      <c r="EVW2" s="1113"/>
      <c r="EVX2" s="1113"/>
      <c r="EVY2" s="1113"/>
      <c r="EVZ2" s="1113"/>
      <c r="EWA2" s="1113"/>
      <c r="EWB2" s="1113"/>
      <c r="EWC2" s="1113"/>
      <c r="EWD2" s="1113"/>
      <c r="EWE2" s="1113"/>
      <c r="EWF2" s="1113"/>
      <c r="EWG2" s="1113"/>
      <c r="EWH2" s="1113"/>
      <c r="EWI2" s="1113"/>
      <c r="EWJ2" s="1113"/>
      <c r="EWK2" s="1113"/>
      <c r="EWL2" s="1113"/>
      <c r="EWM2" s="1113"/>
      <c r="EWN2" s="1113"/>
      <c r="EWO2" s="1113"/>
      <c r="EWP2" s="1113"/>
      <c r="EWQ2" s="1113"/>
      <c r="EWR2" s="1113"/>
      <c r="EWS2" s="1113"/>
      <c r="EWT2" s="1113"/>
      <c r="EWU2" s="1113"/>
      <c r="EWV2" s="1113"/>
      <c r="EWW2" s="1113"/>
      <c r="EWX2" s="1113"/>
      <c r="EWY2" s="1113"/>
      <c r="EWZ2" s="1113"/>
      <c r="EXA2" s="1113"/>
      <c r="EXB2" s="1113"/>
      <c r="EXC2" s="1113"/>
      <c r="EXD2" s="1113"/>
      <c r="EXE2" s="1113"/>
      <c r="EXF2" s="1113"/>
      <c r="EXG2" s="1113"/>
      <c r="EXH2" s="1113"/>
      <c r="EXI2" s="1113"/>
      <c r="EXJ2" s="1113"/>
      <c r="EXK2" s="1113"/>
      <c r="EXL2" s="1113"/>
      <c r="EXM2" s="1113"/>
      <c r="EXN2" s="1113"/>
      <c r="EXO2" s="1113"/>
      <c r="EXP2" s="1113"/>
      <c r="EXQ2" s="1113"/>
      <c r="EXR2" s="1113"/>
      <c r="EXS2" s="1113"/>
      <c r="EXT2" s="1113"/>
      <c r="EXU2" s="1113"/>
      <c r="EXV2" s="1113"/>
      <c r="EXW2" s="1113"/>
      <c r="EXX2" s="1113"/>
      <c r="EXY2" s="1113"/>
      <c r="EXZ2" s="1113"/>
      <c r="EYA2" s="1113"/>
      <c r="EYB2" s="1113"/>
      <c r="EYC2" s="1113"/>
      <c r="EYD2" s="1113"/>
      <c r="EYE2" s="1113"/>
      <c r="EYF2" s="1113"/>
      <c r="EYG2" s="1113"/>
      <c r="EYH2" s="1113"/>
      <c r="EYI2" s="1113"/>
      <c r="EYJ2" s="1113"/>
      <c r="EYK2" s="1113"/>
      <c r="EYL2" s="1113"/>
      <c r="EYM2" s="1113"/>
      <c r="EYN2" s="1113"/>
      <c r="EYO2" s="1113"/>
      <c r="EYP2" s="1113"/>
      <c r="EYQ2" s="1113"/>
      <c r="EYR2" s="1113"/>
      <c r="EYS2" s="1113"/>
      <c r="EYT2" s="1113"/>
      <c r="EYU2" s="1113"/>
      <c r="EYV2" s="1113"/>
      <c r="EYW2" s="1113"/>
      <c r="EYX2" s="1113"/>
      <c r="EYY2" s="1113"/>
      <c r="EYZ2" s="1113"/>
      <c r="EZA2" s="1113"/>
      <c r="EZB2" s="1113"/>
      <c r="EZC2" s="1113"/>
      <c r="EZD2" s="1113"/>
      <c r="EZE2" s="1113"/>
      <c r="EZF2" s="1113"/>
      <c r="EZG2" s="1113"/>
      <c r="EZH2" s="1113"/>
      <c r="EZI2" s="1113"/>
      <c r="EZJ2" s="1113"/>
      <c r="EZK2" s="1113"/>
      <c r="EZL2" s="1113"/>
      <c r="EZM2" s="1113"/>
      <c r="EZN2" s="1113"/>
      <c r="EZO2" s="1113"/>
      <c r="EZP2" s="1113"/>
      <c r="EZQ2" s="1113"/>
      <c r="EZR2" s="1113"/>
      <c r="EZS2" s="1113"/>
      <c r="EZT2" s="1113"/>
      <c r="EZU2" s="1113"/>
      <c r="EZV2" s="1113"/>
      <c r="EZW2" s="1113"/>
      <c r="EZX2" s="1113"/>
      <c r="EZY2" s="1113"/>
      <c r="EZZ2" s="1113"/>
      <c r="FAA2" s="1113"/>
      <c r="FAB2" s="1113"/>
      <c r="FAC2" s="1113"/>
      <c r="FAD2" s="1113"/>
      <c r="FAE2" s="1113"/>
      <c r="FAF2" s="1113"/>
      <c r="FAG2" s="1113"/>
      <c r="FAH2" s="1113"/>
      <c r="FAI2" s="1113"/>
      <c r="FAJ2" s="1113"/>
      <c r="FAK2" s="1113"/>
      <c r="FAL2" s="1113"/>
      <c r="FAM2" s="1113"/>
      <c r="FAN2" s="1113"/>
      <c r="FAO2" s="1113"/>
      <c r="FAP2" s="1113"/>
      <c r="FAQ2" s="1113"/>
      <c r="FAR2" s="1113"/>
      <c r="FAS2" s="1113"/>
      <c r="FAT2" s="1113"/>
      <c r="FAU2" s="1113"/>
      <c r="FAV2" s="1113"/>
      <c r="FAW2" s="1113"/>
      <c r="FAX2" s="1113"/>
      <c r="FAY2" s="1113"/>
      <c r="FAZ2" s="1113"/>
      <c r="FBA2" s="1113"/>
      <c r="FBB2" s="1113"/>
      <c r="FBC2" s="1113"/>
      <c r="FBD2" s="1113"/>
      <c r="FBE2" s="1113"/>
      <c r="FBF2" s="1113"/>
      <c r="FBG2" s="1113"/>
      <c r="FBH2" s="1113"/>
      <c r="FBI2" s="1113"/>
      <c r="FBJ2" s="1113"/>
      <c r="FBK2" s="1113"/>
      <c r="FBL2" s="1113"/>
      <c r="FBM2" s="1113"/>
      <c r="FBN2" s="1113"/>
      <c r="FBO2" s="1113"/>
      <c r="FBP2" s="1113"/>
      <c r="FBQ2" s="1113"/>
      <c r="FBR2" s="1113"/>
      <c r="FBS2" s="1113"/>
      <c r="FBT2" s="1113"/>
      <c r="FBU2" s="1113"/>
      <c r="FBV2" s="1113"/>
      <c r="FBW2" s="1113"/>
      <c r="FBX2" s="1113"/>
      <c r="FBY2" s="1113"/>
      <c r="FBZ2" s="1113"/>
      <c r="FCA2" s="1113"/>
      <c r="FCB2" s="1113"/>
      <c r="FCC2" s="1113"/>
      <c r="FCD2" s="1113"/>
      <c r="FCE2" s="1113"/>
      <c r="FCF2" s="1113"/>
      <c r="FCG2" s="1113"/>
      <c r="FCH2" s="1113"/>
      <c r="FCI2" s="1113"/>
      <c r="FCJ2" s="1113"/>
      <c r="FCK2" s="1113"/>
      <c r="FCL2" s="1113"/>
      <c r="FCM2" s="1113"/>
      <c r="FCN2" s="1113"/>
      <c r="FCO2" s="1113"/>
      <c r="FCP2" s="1113"/>
      <c r="FCQ2" s="1113"/>
      <c r="FCR2" s="1113"/>
      <c r="FCS2" s="1113"/>
      <c r="FCT2" s="1113"/>
      <c r="FCU2" s="1113"/>
      <c r="FCV2" s="1113"/>
      <c r="FCW2" s="1113"/>
      <c r="FCX2" s="1113"/>
      <c r="FCY2" s="1113"/>
      <c r="FCZ2" s="1113"/>
      <c r="FDA2" s="1113"/>
      <c r="FDB2" s="1113"/>
      <c r="FDC2" s="1113"/>
      <c r="FDD2" s="1113"/>
      <c r="FDE2" s="1113"/>
      <c r="FDF2" s="1113"/>
      <c r="FDG2" s="1113"/>
      <c r="FDH2" s="1113"/>
      <c r="FDI2" s="1113"/>
      <c r="FDJ2" s="1113"/>
      <c r="FDK2" s="1113"/>
      <c r="FDL2" s="1113"/>
      <c r="FDM2" s="1113"/>
      <c r="FDN2" s="1113"/>
      <c r="FDO2" s="1113"/>
      <c r="FDP2" s="1113"/>
      <c r="FDQ2" s="1113"/>
      <c r="FDR2" s="1113"/>
      <c r="FDS2" s="1113"/>
      <c r="FDT2" s="1113"/>
      <c r="FDU2" s="1113"/>
      <c r="FDV2" s="1113"/>
      <c r="FDW2" s="1113"/>
      <c r="FDX2" s="1113"/>
      <c r="FDY2" s="1113"/>
      <c r="FDZ2" s="1113"/>
      <c r="FEA2" s="1113"/>
      <c r="FEB2" s="1113"/>
      <c r="FEC2" s="1113"/>
      <c r="FED2" s="1113"/>
      <c r="FEE2" s="1113"/>
      <c r="FEF2" s="1113"/>
      <c r="FEG2" s="1113"/>
      <c r="FEH2" s="1113"/>
      <c r="FEI2" s="1113"/>
      <c r="FEJ2" s="1113"/>
      <c r="FEK2" s="1113"/>
      <c r="FEL2" s="1113"/>
      <c r="FEM2" s="1113"/>
      <c r="FEN2" s="1113"/>
      <c r="FEO2" s="1113"/>
      <c r="FEP2" s="1113"/>
      <c r="FEQ2" s="1113"/>
      <c r="FER2" s="1113"/>
      <c r="FES2" s="1113"/>
      <c r="FET2" s="1113"/>
      <c r="FEU2" s="1113"/>
      <c r="FEV2" s="1113"/>
      <c r="FEW2" s="1113"/>
      <c r="FEX2" s="1113"/>
      <c r="FEY2" s="1113"/>
      <c r="FEZ2" s="1113"/>
      <c r="FFA2" s="1113"/>
      <c r="FFB2" s="1113"/>
      <c r="FFC2" s="1113"/>
      <c r="FFD2" s="1113"/>
      <c r="FFE2" s="1113"/>
      <c r="FFF2" s="1113"/>
      <c r="FFG2" s="1113"/>
      <c r="FFH2" s="1113"/>
      <c r="FFI2" s="1113"/>
      <c r="FFJ2" s="1113"/>
      <c r="FFK2" s="1113"/>
      <c r="FFL2" s="1113"/>
      <c r="FFM2" s="1113"/>
      <c r="FFN2" s="1113"/>
      <c r="FFO2" s="1113"/>
      <c r="FFP2" s="1113"/>
      <c r="FFQ2" s="1113"/>
      <c r="FFR2" s="1113"/>
      <c r="FFS2" s="1113"/>
      <c r="FFT2" s="1113"/>
      <c r="FFU2" s="1113"/>
      <c r="FFV2" s="1113"/>
      <c r="FFW2" s="1113"/>
      <c r="FFX2" s="1113"/>
      <c r="FFY2" s="1113"/>
      <c r="FFZ2" s="1113"/>
      <c r="FGA2" s="1113"/>
      <c r="FGB2" s="1113"/>
      <c r="FGC2" s="1113"/>
      <c r="FGD2" s="1113"/>
      <c r="FGE2" s="1113"/>
      <c r="FGF2" s="1113"/>
      <c r="FGG2" s="1113"/>
      <c r="FGH2" s="1113"/>
      <c r="FGI2" s="1113"/>
      <c r="FGJ2" s="1113"/>
      <c r="FGK2" s="1113"/>
      <c r="FGL2" s="1113"/>
      <c r="FGM2" s="1113"/>
      <c r="FGN2" s="1113"/>
      <c r="FGO2" s="1113"/>
      <c r="FGP2" s="1113"/>
      <c r="FGQ2" s="1113"/>
      <c r="FGR2" s="1113"/>
      <c r="FGS2" s="1113"/>
      <c r="FGT2" s="1113"/>
      <c r="FGU2" s="1113"/>
      <c r="FGV2" s="1113"/>
      <c r="FGW2" s="1113"/>
      <c r="FGX2" s="1113"/>
      <c r="FGY2" s="1113"/>
      <c r="FGZ2" s="1113"/>
      <c r="FHA2" s="1113"/>
      <c r="FHB2" s="1113"/>
      <c r="FHC2" s="1113"/>
      <c r="FHD2" s="1113"/>
      <c r="FHE2" s="1113"/>
      <c r="FHF2" s="1113"/>
      <c r="FHG2" s="1113"/>
      <c r="FHH2" s="1113"/>
      <c r="FHI2" s="1113"/>
      <c r="FHJ2" s="1113"/>
      <c r="FHK2" s="1113"/>
      <c r="FHL2" s="1113"/>
      <c r="FHM2" s="1113"/>
      <c r="FHN2" s="1113"/>
      <c r="FHO2" s="1113"/>
      <c r="FHP2" s="1113"/>
      <c r="FHQ2" s="1113"/>
      <c r="FHR2" s="1113"/>
      <c r="FHS2" s="1113"/>
      <c r="FHT2" s="1113"/>
      <c r="FHU2" s="1113"/>
      <c r="FHV2" s="1113"/>
      <c r="FHW2" s="1113"/>
      <c r="FHX2" s="1113"/>
      <c r="FHY2" s="1113"/>
      <c r="FHZ2" s="1113"/>
      <c r="FIA2" s="1113"/>
      <c r="FIB2" s="1113"/>
      <c r="FIC2" s="1113"/>
      <c r="FID2" s="1113"/>
      <c r="FIE2" s="1113"/>
      <c r="FIF2" s="1113"/>
      <c r="FIG2" s="1113"/>
      <c r="FIH2" s="1113"/>
      <c r="FII2" s="1113"/>
      <c r="FIJ2" s="1113"/>
      <c r="FIK2" s="1113"/>
      <c r="FIL2" s="1113"/>
      <c r="FIM2" s="1113"/>
      <c r="FIN2" s="1113"/>
      <c r="FIO2" s="1113"/>
      <c r="FIP2" s="1113"/>
      <c r="FIQ2" s="1113"/>
      <c r="FIR2" s="1113"/>
      <c r="FIS2" s="1113"/>
      <c r="FIT2" s="1113"/>
      <c r="FIU2" s="1113"/>
      <c r="FIV2" s="1113"/>
      <c r="FIW2" s="1113"/>
      <c r="FIX2" s="1113"/>
      <c r="FIY2" s="1113"/>
      <c r="FIZ2" s="1113"/>
      <c r="FJA2" s="1113"/>
      <c r="FJB2" s="1113"/>
      <c r="FJC2" s="1113"/>
      <c r="FJD2" s="1113"/>
      <c r="FJE2" s="1113"/>
      <c r="FJF2" s="1113"/>
      <c r="FJG2" s="1113"/>
      <c r="FJH2" s="1113"/>
      <c r="FJI2" s="1113"/>
      <c r="FJJ2" s="1113"/>
      <c r="FJK2" s="1113"/>
      <c r="FJL2" s="1113"/>
      <c r="FJM2" s="1113"/>
      <c r="FJN2" s="1113"/>
      <c r="FJO2" s="1113"/>
      <c r="FJP2" s="1113"/>
      <c r="FJQ2" s="1113"/>
      <c r="FJR2" s="1113"/>
      <c r="FJS2" s="1113"/>
      <c r="FJT2" s="1113"/>
      <c r="FJU2" s="1113"/>
      <c r="FJV2" s="1113"/>
      <c r="FJW2" s="1113"/>
      <c r="FJX2" s="1113"/>
      <c r="FJY2" s="1113"/>
      <c r="FJZ2" s="1113"/>
      <c r="FKA2" s="1113"/>
      <c r="FKB2" s="1113"/>
      <c r="FKC2" s="1113"/>
      <c r="FKD2" s="1113"/>
      <c r="FKE2" s="1113"/>
      <c r="FKF2" s="1113"/>
      <c r="FKG2" s="1113"/>
      <c r="FKH2" s="1113"/>
      <c r="FKI2" s="1113"/>
      <c r="FKJ2" s="1113"/>
      <c r="FKK2" s="1113"/>
      <c r="FKL2" s="1113"/>
      <c r="FKM2" s="1113"/>
      <c r="FKN2" s="1113"/>
      <c r="FKO2" s="1113"/>
      <c r="FKP2" s="1113"/>
      <c r="FKQ2" s="1113"/>
      <c r="FKR2" s="1113"/>
      <c r="FKS2" s="1113"/>
      <c r="FKT2" s="1113"/>
      <c r="FKU2" s="1113"/>
      <c r="FKV2" s="1113"/>
      <c r="FKW2" s="1113"/>
      <c r="FKX2" s="1113"/>
      <c r="FKY2" s="1113"/>
      <c r="FKZ2" s="1113"/>
      <c r="FLA2" s="1113"/>
      <c r="FLB2" s="1113"/>
      <c r="FLC2" s="1113"/>
      <c r="FLD2" s="1113"/>
      <c r="FLE2" s="1113"/>
      <c r="FLF2" s="1113"/>
      <c r="FLG2" s="1113"/>
      <c r="FLH2" s="1113"/>
      <c r="FLI2" s="1113"/>
      <c r="FLJ2" s="1113"/>
      <c r="FLK2" s="1113"/>
      <c r="FLL2" s="1113"/>
      <c r="FLM2" s="1113"/>
      <c r="FLN2" s="1113"/>
      <c r="FLO2" s="1113"/>
      <c r="FLP2" s="1113"/>
      <c r="FLQ2" s="1113"/>
      <c r="FLR2" s="1113"/>
      <c r="FLS2" s="1113"/>
      <c r="FLT2" s="1113"/>
      <c r="FLU2" s="1113"/>
      <c r="FLV2" s="1113"/>
      <c r="FLW2" s="1113"/>
      <c r="FLX2" s="1113"/>
      <c r="FLY2" s="1113"/>
      <c r="FLZ2" s="1113"/>
      <c r="FMA2" s="1113"/>
      <c r="FMB2" s="1113"/>
      <c r="FMC2" s="1113"/>
      <c r="FMD2" s="1113"/>
      <c r="FME2" s="1113"/>
      <c r="FMF2" s="1113"/>
      <c r="FMG2" s="1113"/>
      <c r="FMH2" s="1113"/>
      <c r="FMI2" s="1113"/>
      <c r="FMJ2" s="1113"/>
      <c r="FMK2" s="1113"/>
      <c r="FML2" s="1113"/>
      <c r="FMM2" s="1113"/>
      <c r="FMN2" s="1113"/>
      <c r="FMO2" s="1113"/>
      <c r="FMP2" s="1113"/>
      <c r="FMQ2" s="1113"/>
      <c r="FMR2" s="1113"/>
      <c r="FMS2" s="1113"/>
      <c r="FMT2" s="1113"/>
      <c r="FMU2" s="1113"/>
      <c r="FMV2" s="1113"/>
      <c r="FMW2" s="1113"/>
      <c r="FMX2" s="1113"/>
      <c r="FMY2" s="1113"/>
      <c r="FMZ2" s="1113"/>
      <c r="FNA2" s="1113"/>
      <c r="FNB2" s="1113"/>
      <c r="FNC2" s="1113"/>
      <c r="FND2" s="1113"/>
      <c r="FNE2" s="1113"/>
      <c r="FNF2" s="1113"/>
      <c r="FNG2" s="1113"/>
      <c r="FNH2" s="1113"/>
      <c r="FNI2" s="1113"/>
      <c r="FNJ2" s="1113"/>
      <c r="FNK2" s="1113"/>
      <c r="FNL2" s="1113"/>
      <c r="FNM2" s="1113"/>
      <c r="FNN2" s="1113"/>
      <c r="FNO2" s="1113"/>
      <c r="FNP2" s="1113"/>
      <c r="FNQ2" s="1113"/>
      <c r="FNR2" s="1113"/>
      <c r="FNS2" s="1113"/>
      <c r="FNT2" s="1113"/>
      <c r="FNU2" s="1113"/>
      <c r="FNV2" s="1113"/>
      <c r="FNW2" s="1113"/>
      <c r="FNX2" s="1113"/>
      <c r="FNY2" s="1113"/>
      <c r="FNZ2" s="1113"/>
      <c r="FOA2" s="1113"/>
      <c r="FOB2" s="1113"/>
      <c r="FOC2" s="1113"/>
      <c r="FOD2" s="1113"/>
      <c r="FOE2" s="1113"/>
      <c r="FOF2" s="1113"/>
      <c r="FOG2" s="1113"/>
      <c r="FOH2" s="1113"/>
      <c r="FOI2" s="1113"/>
      <c r="FOJ2" s="1113"/>
      <c r="FOK2" s="1113"/>
      <c r="FOL2" s="1113"/>
      <c r="FOM2" s="1113"/>
      <c r="FON2" s="1113"/>
      <c r="FOO2" s="1113"/>
      <c r="FOP2" s="1113"/>
      <c r="FOQ2" s="1113"/>
      <c r="FOR2" s="1113"/>
      <c r="FOS2" s="1113"/>
      <c r="FOT2" s="1113"/>
      <c r="FOU2" s="1113"/>
      <c r="FOV2" s="1113"/>
      <c r="FOW2" s="1113"/>
      <c r="FOX2" s="1113"/>
      <c r="FOY2" s="1113"/>
      <c r="FOZ2" s="1113"/>
      <c r="FPA2" s="1113"/>
      <c r="FPB2" s="1113"/>
      <c r="FPC2" s="1113"/>
      <c r="FPD2" s="1113"/>
      <c r="FPE2" s="1113"/>
      <c r="FPF2" s="1113"/>
      <c r="FPG2" s="1113"/>
      <c r="FPH2" s="1113"/>
      <c r="FPI2" s="1113"/>
      <c r="FPJ2" s="1113"/>
      <c r="FPK2" s="1113"/>
      <c r="FPL2" s="1113"/>
      <c r="FPM2" s="1113"/>
      <c r="FPN2" s="1113"/>
      <c r="FPO2" s="1113"/>
      <c r="FPP2" s="1113"/>
      <c r="FPQ2" s="1113"/>
      <c r="FPR2" s="1113"/>
      <c r="FPS2" s="1113"/>
      <c r="FPT2" s="1113"/>
      <c r="FPU2" s="1113"/>
      <c r="FPV2" s="1113"/>
      <c r="FPW2" s="1113"/>
      <c r="FPX2" s="1113"/>
      <c r="FPY2" s="1113"/>
      <c r="FPZ2" s="1113"/>
      <c r="FQA2" s="1113"/>
      <c r="FQB2" s="1113"/>
      <c r="FQC2" s="1113"/>
      <c r="FQD2" s="1113"/>
      <c r="FQE2" s="1113"/>
      <c r="FQF2" s="1113"/>
      <c r="FQG2" s="1113"/>
      <c r="FQH2" s="1113"/>
      <c r="FQI2" s="1113"/>
      <c r="FQJ2" s="1113"/>
      <c r="FQK2" s="1113"/>
      <c r="FQL2" s="1113"/>
      <c r="FQM2" s="1113"/>
      <c r="FQN2" s="1113"/>
      <c r="FQO2" s="1113"/>
      <c r="FQP2" s="1113"/>
      <c r="FQQ2" s="1113"/>
      <c r="FQR2" s="1113"/>
      <c r="FQS2" s="1113"/>
      <c r="FQT2" s="1113"/>
      <c r="FQU2" s="1113"/>
      <c r="FQV2" s="1113"/>
      <c r="FQW2" s="1113"/>
      <c r="FQX2" s="1113"/>
      <c r="FQY2" s="1113"/>
      <c r="FQZ2" s="1113"/>
      <c r="FRA2" s="1113"/>
      <c r="FRB2" s="1113"/>
      <c r="FRC2" s="1113"/>
      <c r="FRD2" s="1113"/>
      <c r="FRE2" s="1113"/>
      <c r="FRF2" s="1113"/>
      <c r="FRG2" s="1113"/>
      <c r="FRH2" s="1113"/>
      <c r="FRI2" s="1113"/>
      <c r="FRJ2" s="1113"/>
      <c r="FRK2" s="1113"/>
      <c r="FRL2" s="1113"/>
      <c r="FRM2" s="1113"/>
      <c r="FRN2" s="1113"/>
      <c r="FRO2" s="1113"/>
      <c r="FRP2" s="1113"/>
      <c r="FRQ2" s="1113"/>
      <c r="FRR2" s="1113"/>
      <c r="FRS2" s="1113"/>
      <c r="FRT2" s="1113"/>
      <c r="FRU2" s="1113"/>
      <c r="FRV2" s="1113"/>
      <c r="FRW2" s="1113"/>
      <c r="FRX2" s="1113"/>
      <c r="FRY2" s="1113"/>
      <c r="FRZ2" s="1113"/>
      <c r="FSA2" s="1113"/>
      <c r="FSB2" s="1113"/>
      <c r="FSC2" s="1113"/>
      <c r="FSD2" s="1113"/>
      <c r="FSE2" s="1113"/>
      <c r="FSF2" s="1113"/>
      <c r="FSG2" s="1113"/>
      <c r="FSH2" s="1113"/>
      <c r="FSI2" s="1113"/>
      <c r="FSJ2" s="1113"/>
      <c r="FSK2" s="1113"/>
      <c r="FSL2" s="1113"/>
      <c r="FSM2" s="1113"/>
      <c r="FSN2" s="1113"/>
      <c r="FSO2" s="1113"/>
      <c r="FSP2" s="1113"/>
      <c r="FSQ2" s="1113"/>
      <c r="FSR2" s="1113"/>
      <c r="FSS2" s="1113"/>
      <c r="FST2" s="1113"/>
      <c r="FSU2" s="1113"/>
      <c r="FSV2" s="1113"/>
      <c r="FSW2" s="1113"/>
      <c r="FSX2" s="1113"/>
      <c r="FSY2" s="1113"/>
      <c r="FSZ2" s="1113"/>
      <c r="FTA2" s="1113"/>
      <c r="FTB2" s="1113"/>
      <c r="FTC2" s="1113"/>
      <c r="FTD2" s="1113"/>
      <c r="FTE2" s="1113"/>
      <c r="FTF2" s="1113"/>
      <c r="FTG2" s="1113"/>
      <c r="FTH2" s="1113"/>
      <c r="FTI2" s="1113"/>
      <c r="FTJ2" s="1113"/>
      <c r="FTK2" s="1113"/>
      <c r="FTL2" s="1113"/>
      <c r="FTM2" s="1113"/>
      <c r="FTN2" s="1113"/>
      <c r="FTO2" s="1113"/>
      <c r="FTP2" s="1113"/>
      <c r="FTQ2" s="1113"/>
      <c r="FTR2" s="1113"/>
      <c r="FTS2" s="1113"/>
      <c r="FTT2" s="1113"/>
      <c r="FTU2" s="1113"/>
      <c r="FTV2" s="1113"/>
      <c r="FTW2" s="1113"/>
      <c r="FTX2" s="1113"/>
      <c r="FTY2" s="1113"/>
      <c r="FTZ2" s="1113"/>
      <c r="FUA2" s="1113"/>
      <c r="FUB2" s="1113"/>
      <c r="FUC2" s="1113"/>
      <c r="FUD2" s="1113"/>
      <c r="FUE2" s="1113"/>
      <c r="FUF2" s="1113"/>
      <c r="FUG2" s="1113"/>
      <c r="FUH2" s="1113"/>
      <c r="FUI2" s="1113"/>
      <c r="FUJ2" s="1113"/>
      <c r="FUK2" s="1113"/>
      <c r="FUL2" s="1113"/>
      <c r="FUM2" s="1113"/>
      <c r="FUN2" s="1113"/>
      <c r="FUO2" s="1113"/>
      <c r="FUP2" s="1113"/>
      <c r="FUQ2" s="1113"/>
      <c r="FUR2" s="1113"/>
      <c r="FUS2" s="1113"/>
      <c r="FUT2" s="1113"/>
      <c r="FUU2" s="1113"/>
      <c r="FUV2" s="1113"/>
      <c r="FUW2" s="1113"/>
      <c r="FUX2" s="1113"/>
      <c r="FUY2" s="1113"/>
      <c r="FUZ2" s="1113"/>
      <c r="FVA2" s="1113"/>
      <c r="FVB2" s="1113"/>
      <c r="FVC2" s="1113"/>
      <c r="FVD2" s="1113"/>
      <c r="FVE2" s="1113"/>
      <c r="FVF2" s="1113"/>
      <c r="FVG2" s="1113"/>
      <c r="FVH2" s="1113"/>
      <c r="FVI2" s="1113"/>
      <c r="FVJ2" s="1113"/>
      <c r="FVK2" s="1113"/>
      <c r="FVL2" s="1113"/>
      <c r="FVM2" s="1113"/>
      <c r="FVN2" s="1113"/>
      <c r="FVO2" s="1113"/>
      <c r="FVP2" s="1113"/>
      <c r="FVQ2" s="1113"/>
      <c r="FVR2" s="1113"/>
      <c r="FVS2" s="1113"/>
      <c r="FVT2" s="1113"/>
      <c r="FVU2" s="1113"/>
      <c r="FVV2" s="1113"/>
      <c r="FVW2" s="1113"/>
      <c r="FVX2" s="1113"/>
      <c r="FVY2" s="1113"/>
      <c r="FVZ2" s="1113"/>
      <c r="FWA2" s="1113"/>
      <c r="FWB2" s="1113"/>
      <c r="FWC2" s="1113"/>
      <c r="FWD2" s="1113"/>
      <c r="FWE2" s="1113"/>
      <c r="FWF2" s="1113"/>
      <c r="FWG2" s="1113"/>
      <c r="FWH2" s="1113"/>
      <c r="FWI2" s="1113"/>
      <c r="FWJ2" s="1113"/>
      <c r="FWK2" s="1113"/>
      <c r="FWL2" s="1113"/>
      <c r="FWM2" s="1113"/>
      <c r="FWN2" s="1113"/>
      <c r="FWO2" s="1113"/>
      <c r="FWP2" s="1113"/>
      <c r="FWQ2" s="1113"/>
      <c r="FWR2" s="1113"/>
      <c r="FWS2" s="1113"/>
      <c r="FWT2" s="1113"/>
      <c r="FWU2" s="1113"/>
      <c r="FWV2" s="1113"/>
      <c r="FWW2" s="1113"/>
      <c r="FWX2" s="1113"/>
      <c r="FWY2" s="1113"/>
      <c r="FWZ2" s="1113"/>
      <c r="FXA2" s="1113"/>
      <c r="FXB2" s="1113"/>
      <c r="FXC2" s="1113"/>
      <c r="FXD2" s="1113"/>
      <c r="FXE2" s="1113"/>
      <c r="FXF2" s="1113"/>
      <c r="FXG2" s="1113"/>
      <c r="FXH2" s="1113"/>
      <c r="FXI2" s="1113"/>
      <c r="FXJ2" s="1113"/>
      <c r="FXK2" s="1113"/>
      <c r="FXL2" s="1113"/>
      <c r="FXM2" s="1113"/>
      <c r="FXN2" s="1113"/>
      <c r="FXO2" s="1113"/>
      <c r="FXP2" s="1113"/>
      <c r="FXQ2" s="1113"/>
      <c r="FXR2" s="1113"/>
      <c r="FXS2" s="1113"/>
      <c r="FXT2" s="1113"/>
      <c r="FXU2" s="1113"/>
      <c r="FXV2" s="1113"/>
      <c r="FXW2" s="1113"/>
      <c r="FXX2" s="1113"/>
      <c r="FXY2" s="1113"/>
      <c r="FXZ2" s="1113"/>
      <c r="FYA2" s="1113"/>
      <c r="FYB2" s="1113"/>
      <c r="FYC2" s="1113"/>
      <c r="FYD2" s="1113"/>
      <c r="FYE2" s="1113"/>
      <c r="FYF2" s="1113"/>
      <c r="FYG2" s="1113"/>
      <c r="FYH2" s="1113"/>
      <c r="FYI2" s="1113"/>
      <c r="FYJ2" s="1113"/>
      <c r="FYK2" s="1113"/>
      <c r="FYL2" s="1113"/>
      <c r="FYM2" s="1113"/>
      <c r="FYN2" s="1113"/>
      <c r="FYO2" s="1113"/>
      <c r="FYP2" s="1113"/>
      <c r="FYQ2" s="1113"/>
      <c r="FYR2" s="1113"/>
      <c r="FYS2" s="1113"/>
      <c r="FYT2" s="1113"/>
      <c r="FYU2" s="1113"/>
      <c r="FYV2" s="1113"/>
      <c r="FYW2" s="1113"/>
      <c r="FYX2" s="1113"/>
      <c r="FYY2" s="1113"/>
      <c r="FYZ2" s="1113"/>
      <c r="FZA2" s="1113"/>
      <c r="FZB2" s="1113"/>
      <c r="FZC2" s="1113"/>
      <c r="FZD2" s="1113"/>
      <c r="FZE2" s="1113"/>
      <c r="FZF2" s="1113"/>
      <c r="FZG2" s="1113"/>
      <c r="FZH2" s="1113"/>
      <c r="FZI2" s="1113"/>
      <c r="FZJ2" s="1113"/>
      <c r="FZK2" s="1113"/>
      <c r="FZL2" s="1113"/>
      <c r="FZM2" s="1113"/>
      <c r="FZN2" s="1113"/>
      <c r="FZO2" s="1113"/>
      <c r="FZP2" s="1113"/>
      <c r="FZQ2" s="1113"/>
      <c r="FZR2" s="1113"/>
      <c r="FZS2" s="1113"/>
      <c r="FZT2" s="1113"/>
      <c r="FZU2" s="1113"/>
      <c r="FZV2" s="1113"/>
      <c r="FZW2" s="1113"/>
      <c r="FZX2" s="1113"/>
      <c r="FZY2" s="1113"/>
      <c r="FZZ2" s="1113"/>
      <c r="GAA2" s="1113"/>
      <c r="GAB2" s="1113"/>
      <c r="GAC2" s="1113"/>
      <c r="GAD2" s="1113"/>
      <c r="GAE2" s="1113"/>
      <c r="GAF2" s="1113"/>
      <c r="GAG2" s="1113"/>
      <c r="GAH2" s="1113"/>
      <c r="GAI2" s="1113"/>
      <c r="GAJ2" s="1113"/>
      <c r="GAK2" s="1113"/>
      <c r="GAL2" s="1113"/>
      <c r="GAM2" s="1113"/>
      <c r="GAN2" s="1113"/>
      <c r="GAO2" s="1113"/>
      <c r="GAP2" s="1113"/>
      <c r="GAQ2" s="1113"/>
      <c r="GAR2" s="1113"/>
      <c r="GAS2" s="1113"/>
      <c r="GAT2" s="1113"/>
      <c r="GAU2" s="1113"/>
      <c r="GAV2" s="1113"/>
      <c r="GAW2" s="1113"/>
      <c r="GAX2" s="1113"/>
      <c r="GAY2" s="1113"/>
      <c r="GAZ2" s="1113"/>
      <c r="GBA2" s="1113"/>
      <c r="GBB2" s="1113"/>
      <c r="GBC2" s="1113"/>
      <c r="GBD2" s="1113"/>
      <c r="GBE2" s="1113"/>
      <c r="GBF2" s="1113"/>
      <c r="GBG2" s="1113"/>
      <c r="GBH2" s="1113"/>
      <c r="GBI2" s="1113"/>
      <c r="GBJ2" s="1113"/>
      <c r="GBK2" s="1113"/>
      <c r="GBL2" s="1113"/>
      <c r="GBM2" s="1113"/>
      <c r="GBN2" s="1113"/>
      <c r="GBO2" s="1113"/>
      <c r="GBP2" s="1113"/>
      <c r="GBQ2" s="1113"/>
      <c r="GBR2" s="1113"/>
      <c r="GBS2" s="1113"/>
      <c r="GBT2" s="1113"/>
      <c r="GBU2" s="1113"/>
      <c r="GBV2" s="1113"/>
      <c r="GBW2" s="1113"/>
      <c r="GBX2" s="1113"/>
      <c r="GBY2" s="1113"/>
      <c r="GBZ2" s="1113"/>
      <c r="GCA2" s="1113"/>
      <c r="GCB2" s="1113"/>
      <c r="GCC2" s="1113"/>
      <c r="GCD2" s="1113"/>
      <c r="GCE2" s="1113"/>
      <c r="GCF2" s="1113"/>
      <c r="GCG2" s="1113"/>
      <c r="GCH2" s="1113"/>
      <c r="GCI2" s="1113"/>
      <c r="GCJ2" s="1113"/>
      <c r="GCK2" s="1113"/>
      <c r="GCL2" s="1113"/>
      <c r="GCM2" s="1113"/>
      <c r="GCN2" s="1113"/>
      <c r="GCO2" s="1113"/>
      <c r="GCP2" s="1113"/>
      <c r="GCQ2" s="1113"/>
      <c r="GCR2" s="1113"/>
      <c r="GCS2" s="1113"/>
      <c r="GCT2" s="1113"/>
      <c r="GCU2" s="1113"/>
      <c r="GCV2" s="1113"/>
      <c r="GCW2" s="1113"/>
      <c r="GCX2" s="1113"/>
      <c r="GCY2" s="1113"/>
      <c r="GCZ2" s="1113"/>
      <c r="GDA2" s="1113"/>
      <c r="GDB2" s="1113"/>
      <c r="GDC2" s="1113"/>
      <c r="GDD2" s="1113"/>
      <c r="GDE2" s="1113"/>
      <c r="GDF2" s="1113"/>
      <c r="GDG2" s="1113"/>
      <c r="GDH2" s="1113"/>
      <c r="GDI2" s="1113"/>
      <c r="GDJ2" s="1113"/>
      <c r="GDK2" s="1113"/>
      <c r="GDL2" s="1113"/>
      <c r="GDM2" s="1113"/>
      <c r="GDN2" s="1113"/>
      <c r="GDO2" s="1113"/>
      <c r="GDP2" s="1113"/>
      <c r="GDQ2" s="1113"/>
      <c r="GDR2" s="1113"/>
      <c r="GDS2" s="1113"/>
      <c r="GDT2" s="1113"/>
      <c r="GDU2" s="1113"/>
      <c r="GDV2" s="1113"/>
      <c r="GDW2" s="1113"/>
      <c r="GDX2" s="1113"/>
      <c r="GDY2" s="1113"/>
      <c r="GDZ2" s="1113"/>
      <c r="GEA2" s="1113"/>
      <c r="GEB2" s="1113"/>
      <c r="GEC2" s="1113"/>
      <c r="GED2" s="1113"/>
      <c r="GEE2" s="1113"/>
      <c r="GEF2" s="1113"/>
      <c r="GEG2" s="1113"/>
      <c r="GEH2" s="1113"/>
      <c r="GEI2" s="1113"/>
      <c r="GEJ2" s="1113"/>
      <c r="GEK2" s="1113"/>
      <c r="GEL2" s="1113"/>
      <c r="GEM2" s="1113"/>
      <c r="GEN2" s="1113"/>
      <c r="GEO2" s="1113"/>
      <c r="GEP2" s="1113"/>
      <c r="GEQ2" s="1113"/>
      <c r="GER2" s="1113"/>
      <c r="GES2" s="1113"/>
      <c r="GET2" s="1113"/>
      <c r="GEU2" s="1113"/>
      <c r="GEV2" s="1113"/>
      <c r="GEW2" s="1113"/>
      <c r="GEX2" s="1113"/>
      <c r="GEY2" s="1113"/>
      <c r="GEZ2" s="1113"/>
      <c r="GFA2" s="1113"/>
      <c r="GFB2" s="1113"/>
      <c r="GFC2" s="1113"/>
      <c r="GFD2" s="1113"/>
      <c r="GFE2" s="1113"/>
      <c r="GFF2" s="1113"/>
      <c r="GFG2" s="1113"/>
      <c r="GFH2" s="1113"/>
      <c r="GFI2" s="1113"/>
      <c r="GFJ2" s="1113"/>
      <c r="GFK2" s="1113"/>
      <c r="GFL2" s="1113"/>
      <c r="GFM2" s="1113"/>
      <c r="GFN2" s="1113"/>
      <c r="GFO2" s="1113"/>
      <c r="GFP2" s="1113"/>
      <c r="GFQ2" s="1113"/>
      <c r="GFR2" s="1113"/>
      <c r="GFS2" s="1113"/>
      <c r="GFT2" s="1113"/>
      <c r="GFU2" s="1113"/>
      <c r="GFV2" s="1113"/>
      <c r="GFW2" s="1113"/>
      <c r="GFX2" s="1113"/>
      <c r="GFY2" s="1113"/>
      <c r="GFZ2" s="1113"/>
      <c r="GGA2" s="1113"/>
      <c r="GGB2" s="1113"/>
      <c r="GGC2" s="1113"/>
      <c r="GGD2" s="1113"/>
      <c r="GGE2" s="1113"/>
      <c r="GGF2" s="1113"/>
      <c r="GGG2" s="1113"/>
      <c r="GGH2" s="1113"/>
      <c r="GGI2" s="1113"/>
      <c r="GGJ2" s="1113"/>
      <c r="GGK2" s="1113"/>
      <c r="GGL2" s="1113"/>
      <c r="GGM2" s="1113"/>
      <c r="GGN2" s="1113"/>
      <c r="GGO2" s="1113"/>
      <c r="GGP2" s="1113"/>
      <c r="GGQ2" s="1113"/>
      <c r="GGR2" s="1113"/>
      <c r="GGS2" s="1113"/>
      <c r="GGT2" s="1113"/>
      <c r="GGU2" s="1113"/>
      <c r="GGV2" s="1113"/>
      <c r="GGW2" s="1113"/>
      <c r="GGX2" s="1113"/>
      <c r="GGY2" s="1113"/>
      <c r="GGZ2" s="1113"/>
      <c r="GHA2" s="1113"/>
      <c r="GHB2" s="1113"/>
      <c r="GHC2" s="1113"/>
      <c r="GHD2" s="1113"/>
      <c r="GHE2" s="1113"/>
      <c r="GHF2" s="1113"/>
      <c r="GHG2" s="1113"/>
      <c r="GHH2" s="1113"/>
      <c r="GHI2" s="1113"/>
      <c r="GHJ2" s="1113"/>
      <c r="GHK2" s="1113"/>
      <c r="GHL2" s="1113"/>
      <c r="GHM2" s="1113"/>
      <c r="GHN2" s="1113"/>
      <c r="GHO2" s="1113"/>
      <c r="GHP2" s="1113"/>
      <c r="GHQ2" s="1113"/>
      <c r="GHR2" s="1113"/>
      <c r="GHS2" s="1113"/>
      <c r="GHT2" s="1113"/>
      <c r="GHU2" s="1113"/>
      <c r="GHV2" s="1113"/>
      <c r="GHW2" s="1113"/>
      <c r="GHX2" s="1113"/>
      <c r="GHY2" s="1113"/>
      <c r="GHZ2" s="1113"/>
      <c r="GIA2" s="1113"/>
      <c r="GIB2" s="1113"/>
      <c r="GIC2" s="1113"/>
      <c r="GID2" s="1113"/>
      <c r="GIE2" s="1113"/>
      <c r="GIF2" s="1113"/>
      <c r="GIG2" s="1113"/>
      <c r="GIH2" s="1113"/>
      <c r="GII2" s="1113"/>
      <c r="GIJ2" s="1113"/>
      <c r="GIK2" s="1113"/>
      <c r="GIL2" s="1113"/>
      <c r="GIM2" s="1113"/>
      <c r="GIN2" s="1113"/>
      <c r="GIO2" s="1113"/>
      <c r="GIP2" s="1113"/>
      <c r="GIQ2" s="1113"/>
      <c r="GIR2" s="1113"/>
      <c r="GIS2" s="1113"/>
      <c r="GIT2" s="1113"/>
      <c r="GIU2" s="1113"/>
      <c r="GIV2" s="1113"/>
      <c r="GIW2" s="1113"/>
      <c r="GIX2" s="1113"/>
      <c r="GIY2" s="1113"/>
      <c r="GIZ2" s="1113"/>
      <c r="GJA2" s="1113"/>
      <c r="GJB2" s="1113"/>
      <c r="GJC2" s="1113"/>
      <c r="GJD2" s="1113"/>
      <c r="GJE2" s="1113"/>
      <c r="GJF2" s="1113"/>
      <c r="GJG2" s="1113"/>
      <c r="GJH2" s="1113"/>
      <c r="GJI2" s="1113"/>
      <c r="GJJ2" s="1113"/>
      <c r="GJK2" s="1113"/>
      <c r="GJL2" s="1113"/>
      <c r="GJM2" s="1113"/>
      <c r="GJN2" s="1113"/>
      <c r="GJO2" s="1113"/>
      <c r="GJP2" s="1113"/>
      <c r="GJQ2" s="1113"/>
      <c r="GJR2" s="1113"/>
      <c r="GJS2" s="1113"/>
      <c r="GJT2" s="1113"/>
      <c r="GJU2" s="1113"/>
      <c r="GJV2" s="1113"/>
      <c r="GJW2" s="1113"/>
      <c r="GJX2" s="1113"/>
      <c r="GJY2" s="1113"/>
      <c r="GJZ2" s="1113"/>
      <c r="GKA2" s="1113"/>
      <c r="GKB2" s="1113"/>
      <c r="GKC2" s="1113"/>
      <c r="GKD2" s="1113"/>
      <c r="GKE2" s="1113"/>
      <c r="GKF2" s="1113"/>
      <c r="GKG2" s="1113"/>
      <c r="GKH2" s="1113"/>
      <c r="GKI2" s="1113"/>
      <c r="GKJ2" s="1113"/>
      <c r="GKK2" s="1113"/>
      <c r="GKL2" s="1113"/>
      <c r="GKM2" s="1113"/>
      <c r="GKN2" s="1113"/>
      <c r="GKO2" s="1113"/>
      <c r="GKP2" s="1113"/>
      <c r="GKQ2" s="1113"/>
      <c r="GKR2" s="1113"/>
      <c r="GKS2" s="1113"/>
      <c r="GKT2" s="1113"/>
      <c r="GKU2" s="1113"/>
      <c r="GKV2" s="1113"/>
      <c r="GKW2" s="1113"/>
      <c r="GKX2" s="1113"/>
      <c r="GKY2" s="1113"/>
      <c r="GKZ2" s="1113"/>
      <c r="GLA2" s="1113"/>
      <c r="GLB2" s="1113"/>
      <c r="GLC2" s="1113"/>
      <c r="GLD2" s="1113"/>
      <c r="GLE2" s="1113"/>
      <c r="GLF2" s="1113"/>
      <c r="GLG2" s="1113"/>
      <c r="GLH2" s="1113"/>
      <c r="GLI2" s="1113"/>
      <c r="GLJ2" s="1113"/>
      <c r="GLK2" s="1113"/>
      <c r="GLL2" s="1113"/>
      <c r="GLM2" s="1113"/>
      <c r="GLN2" s="1113"/>
      <c r="GLO2" s="1113"/>
      <c r="GLP2" s="1113"/>
      <c r="GLQ2" s="1113"/>
      <c r="GLR2" s="1113"/>
      <c r="GLS2" s="1113"/>
      <c r="GLT2" s="1113"/>
      <c r="GLU2" s="1113"/>
      <c r="GLV2" s="1113"/>
      <c r="GLW2" s="1113"/>
      <c r="GLX2" s="1113"/>
      <c r="GLY2" s="1113"/>
      <c r="GLZ2" s="1113"/>
      <c r="GMA2" s="1113"/>
      <c r="GMB2" s="1113"/>
      <c r="GMC2" s="1113"/>
      <c r="GMD2" s="1113"/>
      <c r="GME2" s="1113"/>
      <c r="GMF2" s="1113"/>
      <c r="GMG2" s="1113"/>
      <c r="GMH2" s="1113"/>
      <c r="GMI2" s="1113"/>
      <c r="GMJ2" s="1113"/>
      <c r="GMK2" s="1113"/>
      <c r="GML2" s="1113"/>
      <c r="GMM2" s="1113"/>
      <c r="GMN2" s="1113"/>
      <c r="GMO2" s="1113"/>
      <c r="GMP2" s="1113"/>
      <c r="GMQ2" s="1113"/>
      <c r="GMR2" s="1113"/>
      <c r="GMS2" s="1113"/>
      <c r="GMT2" s="1113"/>
      <c r="GMU2" s="1113"/>
      <c r="GMV2" s="1113"/>
      <c r="GMW2" s="1113"/>
      <c r="GMX2" s="1113"/>
      <c r="GMY2" s="1113"/>
      <c r="GMZ2" s="1113"/>
      <c r="GNA2" s="1113"/>
      <c r="GNB2" s="1113"/>
      <c r="GNC2" s="1113"/>
      <c r="GND2" s="1113"/>
      <c r="GNE2" s="1113"/>
      <c r="GNF2" s="1113"/>
      <c r="GNG2" s="1113"/>
      <c r="GNH2" s="1113"/>
      <c r="GNI2" s="1113"/>
      <c r="GNJ2" s="1113"/>
      <c r="GNK2" s="1113"/>
      <c r="GNL2" s="1113"/>
      <c r="GNM2" s="1113"/>
      <c r="GNN2" s="1113"/>
      <c r="GNO2" s="1113"/>
      <c r="GNP2" s="1113"/>
      <c r="GNQ2" s="1113"/>
      <c r="GNR2" s="1113"/>
      <c r="GNS2" s="1113"/>
      <c r="GNT2" s="1113"/>
      <c r="GNU2" s="1113"/>
      <c r="GNV2" s="1113"/>
      <c r="GNW2" s="1113"/>
      <c r="GNX2" s="1113"/>
      <c r="GNY2" s="1113"/>
      <c r="GNZ2" s="1113"/>
      <c r="GOA2" s="1113"/>
      <c r="GOB2" s="1113"/>
      <c r="GOC2" s="1113"/>
      <c r="GOD2" s="1113"/>
      <c r="GOE2" s="1113"/>
      <c r="GOF2" s="1113"/>
      <c r="GOG2" s="1113"/>
      <c r="GOH2" s="1113"/>
      <c r="GOI2" s="1113"/>
      <c r="GOJ2" s="1113"/>
      <c r="GOK2" s="1113"/>
      <c r="GOL2" s="1113"/>
      <c r="GOM2" s="1113"/>
      <c r="GON2" s="1113"/>
      <c r="GOO2" s="1113"/>
      <c r="GOP2" s="1113"/>
      <c r="GOQ2" s="1113"/>
      <c r="GOR2" s="1113"/>
      <c r="GOS2" s="1113"/>
      <c r="GOT2" s="1113"/>
      <c r="GOU2" s="1113"/>
      <c r="GOV2" s="1113"/>
      <c r="GOW2" s="1113"/>
      <c r="GOX2" s="1113"/>
      <c r="GOY2" s="1113"/>
      <c r="GOZ2" s="1113"/>
      <c r="GPA2" s="1113"/>
      <c r="GPB2" s="1113"/>
      <c r="GPC2" s="1113"/>
      <c r="GPD2" s="1113"/>
      <c r="GPE2" s="1113"/>
      <c r="GPF2" s="1113"/>
      <c r="GPG2" s="1113"/>
      <c r="GPH2" s="1113"/>
      <c r="GPI2" s="1113"/>
      <c r="GPJ2" s="1113"/>
      <c r="GPK2" s="1113"/>
      <c r="GPL2" s="1113"/>
      <c r="GPM2" s="1113"/>
      <c r="GPN2" s="1113"/>
      <c r="GPO2" s="1113"/>
      <c r="GPP2" s="1113"/>
      <c r="GPQ2" s="1113"/>
      <c r="GPR2" s="1113"/>
      <c r="GPS2" s="1113"/>
      <c r="GPT2" s="1113"/>
      <c r="GPU2" s="1113"/>
      <c r="GPV2" s="1113"/>
      <c r="GPW2" s="1113"/>
      <c r="GPX2" s="1113"/>
      <c r="GPY2" s="1113"/>
      <c r="GPZ2" s="1113"/>
      <c r="GQA2" s="1113"/>
      <c r="GQB2" s="1113"/>
      <c r="GQC2" s="1113"/>
      <c r="GQD2" s="1113"/>
      <c r="GQE2" s="1113"/>
      <c r="GQF2" s="1113"/>
      <c r="GQG2" s="1113"/>
      <c r="GQH2" s="1113"/>
      <c r="GQI2" s="1113"/>
      <c r="GQJ2" s="1113"/>
      <c r="GQK2" s="1113"/>
      <c r="GQL2" s="1113"/>
      <c r="GQM2" s="1113"/>
      <c r="GQN2" s="1113"/>
      <c r="GQO2" s="1113"/>
      <c r="GQP2" s="1113"/>
      <c r="GQQ2" s="1113"/>
      <c r="GQR2" s="1113"/>
      <c r="GQS2" s="1113"/>
      <c r="GQT2" s="1113"/>
      <c r="GQU2" s="1113"/>
      <c r="GQV2" s="1113"/>
      <c r="GQW2" s="1113"/>
      <c r="GQX2" s="1113"/>
      <c r="GQY2" s="1113"/>
      <c r="GQZ2" s="1113"/>
      <c r="GRA2" s="1113"/>
      <c r="GRB2" s="1113"/>
      <c r="GRC2" s="1113"/>
      <c r="GRD2" s="1113"/>
      <c r="GRE2" s="1113"/>
      <c r="GRF2" s="1113"/>
      <c r="GRG2" s="1113"/>
      <c r="GRH2" s="1113"/>
      <c r="GRI2" s="1113"/>
      <c r="GRJ2" s="1113"/>
      <c r="GRK2" s="1113"/>
      <c r="GRL2" s="1113"/>
      <c r="GRM2" s="1113"/>
      <c r="GRN2" s="1113"/>
      <c r="GRO2" s="1113"/>
      <c r="GRP2" s="1113"/>
      <c r="GRQ2" s="1113"/>
      <c r="GRR2" s="1113"/>
      <c r="GRS2" s="1113"/>
      <c r="GRT2" s="1113"/>
      <c r="GRU2" s="1113"/>
      <c r="GRV2" s="1113"/>
      <c r="GRW2" s="1113"/>
      <c r="GRX2" s="1113"/>
      <c r="GRY2" s="1113"/>
      <c r="GRZ2" s="1113"/>
      <c r="GSA2" s="1113"/>
      <c r="GSB2" s="1113"/>
      <c r="GSC2" s="1113"/>
      <c r="GSD2" s="1113"/>
      <c r="GSE2" s="1113"/>
      <c r="GSF2" s="1113"/>
      <c r="GSG2" s="1113"/>
      <c r="GSH2" s="1113"/>
      <c r="GSI2" s="1113"/>
      <c r="GSJ2" s="1113"/>
      <c r="GSK2" s="1113"/>
      <c r="GSL2" s="1113"/>
      <c r="GSM2" s="1113"/>
      <c r="GSN2" s="1113"/>
      <c r="GSO2" s="1113"/>
      <c r="GSP2" s="1113"/>
      <c r="GSQ2" s="1113"/>
      <c r="GSR2" s="1113"/>
      <c r="GSS2" s="1113"/>
      <c r="GST2" s="1113"/>
      <c r="GSU2" s="1113"/>
      <c r="GSV2" s="1113"/>
      <c r="GSW2" s="1113"/>
      <c r="GSX2" s="1113"/>
      <c r="GSY2" s="1113"/>
      <c r="GSZ2" s="1113"/>
      <c r="GTA2" s="1113"/>
      <c r="GTB2" s="1113"/>
      <c r="GTC2" s="1113"/>
      <c r="GTD2" s="1113"/>
      <c r="GTE2" s="1113"/>
      <c r="GTF2" s="1113"/>
      <c r="GTG2" s="1113"/>
      <c r="GTH2" s="1113"/>
      <c r="GTI2" s="1113"/>
      <c r="GTJ2" s="1113"/>
      <c r="GTK2" s="1113"/>
      <c r="GTL2" s="1113"/>
      <c r="GTM2" s="1113"/>
      <c r="GTN2" s="1113"/>
      <c r="GTO2" s="1113"/>
      <c r="GTP2" s="1113"/>
      <c r="GTQ2" s="1113"/>
      <c r="GTR2" s="1113"/>
      <c r="GTS2" s="1113"/>
      <c r="GTT2" s="1113"/>
      <c r="GTU2" s="1113"/>
      <c r="GTV2" s="1113"/>
      <c r="GTW2" s="1113"/>
      <c r="GTX2" s="1113"/>
      <c r="GTY2" s="1113"/>
      <c r="GTZ2" s="1113"/>
      <c r="GUA2" s="1113"/>
      <c r="GUB2" s="1113"/>
      <c r="GUC2" s="1113"/>
      <c r="GUD2" s="1113"/>
      <c r="GUE2" s="1113"/>
      <c r="GUF2" s="1113"/>
      <c r="GUG2" s="1113"/>
      <c r="GUH2" s="1113"/>
      <c r="GUI2" s="1113"/>
      <c r="GUJ2" s="1113"/>
      <c r="GUK2" s="1113"/>
      <c r="GUL2" s="1113"/>
      <c r="GUM2" s="1113"/>
      <c r="GUN2" s="1113"/>
      <c r="GUO2" s="1113"/>
      <c r="GUP2" s="1113"/>
      <c r="GUQ2" s="1113"/>
      <c r="GUR2" s="1113"/>
      <c r="GUS2" s="1113"/>
      <c r="GUT2" s="1113"/>
      <c r="GUU2" s="1113"/>
      <c r="GUV2" s="1113"/>
      <c r="GUW2" s="1113"/>
      <c r="GUX2" s="1113"/>
      <c r="GUY2" s="1113"/>
      <c r="GUZ2" s="1113"/>
      <c r="GVA2" s="1113"/>
      <c r="GVB2" s="1113"/>
      <c r="GVC2" s="1113"/>
      <c r="GVD2" s="1113"/>
      <c r="GVE2" s="1113"/>
      <c r="GVF2" s="1113"/>
      <c r="GVG2" s="1113"/>
      <c r="GVH2" s="1113"/>
      <c r="GVI2" s="1113"/>
      <c r="GVJ2" s="1113"/>
      <c r="GVK2" s="1113"/>
      <c r="GVL2" s="1113"/>
      <c r="GVM2" s="1113"/>
      <c r="GVN2" s="1113"/>
      <c r="GVO2" s="1113"/>
      <c r="GVP2" s="1113"/>
      <c r="GVQ2" s="1113"/>
      <c r="GVR2" s="1113"/>
      <c r="GVS2" s="1113"/>
      <c r="GVT2" s="1113"/>
      <c r="GVU2" s="1113"/>
      <c r="GVV2" s="1113"/>
      <c r="GVW2" s="1113"/>
      <c r="GVX2" s="1113"/>
      <c r="GVY2" s="1113"/>
      <c r="GVZ2" s="1113"/>
      <c r="GWA2" s="1113"/>
      <c r="GWB2" s="1113"/>
      <c r="GWC2" s="1113"/>
      <c r="GWD2" s="1113"/>
      <c r="GWE2" s="1113"/>
      <c r="GWF2" s="1113"/>
      <c r="GWG2" s="1113"/>
      <c r="GWH2" s="1113"/>
      <c r="GWI2" s="1113"/>
      <c r="GWJ2" s="1113"/>
      <c r="GWK2" s="1113"/>
      <c r="GWL2" s="1113"/>
      <c r="GWM2" s="1113"/>
      <c r="GWN2" s="1113"/>
      <c r="GWO2" s="1113"/>
      <c r="GWP2" s="1113"/>
      <c r="GWQ2" s="1113"/>
      <c r="GWR2" s="1113"/>
      <c r="GWS2" s="1113"/>
      <c r="GWT2" s="1113"/>
      <c r="GWU2" s="1113"/>
      <c r="GWV2" s="1113"/>
      <c r="GWW2" s="1113"/>
      <c r="GWX2" s="1113"/>
      <c r="GWY2" s="1113"/>
      <c r="GWZ2" s="1113"/>
      <c r="GXA2" s="1113"/>
      <c r="GXB2" s="1113"/>
      <c r="GXC2" s="1113"/>
      <c r="GXD2" s="1113"/>
      <c r="GXE2" s="1113"/>
      <c r="GXF2" s="1113"/>
      <c r="GXG2" s="1113"/>
      <c r="GXH2" s="1113"/>
      <c r="GXI2" s="1113"/>
      <c r="GXJ2" s="1113"/>
      <c r="GXK2" s="1113"/>
      <c r="GXL2" s="1113"/>
      <c r="GXM2" s="1113"/>
      <c r="GXN2" s="1113"/>
      <c r="GXO2" s="1113"/>
      <c r="GXP2" s="1113"/>
      <c r="GXQ2" s="1113"/>
      <c r="GXR2" s="1113"/>
      <c r="GXS2" s="1113"/>
      <c r="GXT2" s="1113"/>
      <c r="GXU2" s="1113"/>
      <c r="GXV2" s="1113"/>
      <c r="GXW2" s="1113"/>
      <c r="GXX2" s="1113"/>
      <c r="GXY2" s="1113"/>
      <c r="GXZ2" s="1113"/>
      <c r="GYA2" s="1113"/>
      <c r="GYB2" s="1113"/>
      <c r="GYC2" s="1113"/>
      <c r="GYD2" s="1113"/>
      <c r="GYE2" s="1113"/>
      <c r="GYF2" s="1113"/>
      <c r="GYG2" s="1113"/>
      <c r="GYH2" s="1113"/>
      <c r="GYI2" s="1113"/>
      <c r="GYJ2" s="1113"/>
      <c r="GYK2" s="1113"/>
      <c r="GYL2" s="1113"/>
      <c r="GYM2" s="1113"/>
      <c r="GYN2" s="1113"/>
      <c r="GYO2" s="1113"/>
      <c r="GYP2" s="1113"/>
      <c r="GYQ2" s="1113"/>
      <c r="GYR2" s="1113"/>
      <c r="GYS2" s="1113"/>
      <c r="GYT2" s="1113"/>
      <c r="GYU2" s="1113"/>
      <c r="GYV2" s="1113"/>
      <c r="GYW2" s="1113"/>
      <c r="GYX2" s="1113"/>
      <c r="GYY2" s="1113"/>
      <c r="GYZ2" s="1113"/>
      <c r="GZA2" s="1113"/>
      <c r="GZB2" s="1113"/>
      <c r="GZC2" s="1113"/>
      <c r="GZD2" s="1113"/>
      <c r="GZE2" s="1113"/>
      <c r="GZF2" s="1113"/>
      <c r="GZG2" s="1113"/>
      <c r="GZH2" s="1113"/>
      <c r="GZI2" s="1113"/>
      <c r="GZJ2" s="1113"/>
      <c r="GZK2" s="1113"/>
      <c r="GZL2" s="1113"/>
      <c r="GZM2" s="1113"/>
      <c r="GZN2" s="1113"/>
      <c r="GZO2" s="1113"/>
      <c r="GZP2" s="1113"/>
      <c r="GZQ2" s="1113"/>
      <c r="GZR2" s="1113"/>
      <c r="GZS2" s="1113"/>
      <c r="GZT2" s="1113"/>
      <c r="GZU2" s="1113"/>
      <c r="GZV2" s="1113"/>
      <c r="GZW2" s="1113"/>
      <c r="GZX2" s="1113"/>
      <c r="GZY2" s="1113"/>
      <c r="GZZ2" s="1113"/>
      <c r="HAA2" s="1113"/>
      <c r="HAB2" s="1113"/>
      <c r="HAC2" s="1113"/>
      <c r="HAD2" s="1113"/>
      <c r="HAE2" s="1113"/>
      <c r="HAF2" s="1113"/>
      <c r="HAG2" s="1113"/>
      <c r="HAH2" s="1113"/>
      <c r="HAI2" s="1113"/>
      <c r="HAJ2" s="1113"/>
      <c r="HAK2" s="1113"/>
      <c r="HAL2" s="1113"/>
      <c r="HAM2" s="1113"/>
      <c r="HAN2" s="1113"/>
      <c r="HAO2" s="1113"/>
      <c r="HAP2" s="1113"/>
      <c r="HAQ2" s="1113"/>
      <c r="HAR2" s="1113"/>
      <c r="HAS2" s="1113"/>
      <c r="HAT2" s="1113"/>
      <c r="HAU2" s="1113"/>
      <c r="HAV2" s="1113"/>
      <c r="HAW2" s="1113"/>
      <c r="HAX2" s="1113"/>
      <c r="HAY2" s="1113"/>
      <c r="HAZ2" s="1113"/>
      <c r="HBA2" s="1113"/>
      <c r="HBB2" s="1113"/>
      <c r="HBC2" s="1113"/>
      <c r="HBD2" s="1113"/>
      <c r="HBE2" s="1113"/>
      <c r="HBF2" s="1113"/>
      <c r="HBG2" s="1113"/>
      <c r="HBH2" s="1113"/>
      <c r="HBI2" s="1113"/>
      <c r="HBJ2" s="1113"/>
      <c r="HBK2" s="1113"/>
      <c r="HBL2" s="1113"/>
      <c r="HBM2" s="1113"/>
      <c r="HBN2" s="1113"/>
      <c r="HBO2" s="1113"/>
      <c r="HBP2" s="1113"/>
      <c r="HBQ2" s="1113"/>
      <c r="HBR2" s="1113"/>
      <c r="HBS2" s="1113"/>
      <c r="HBT2" s="1113"/>
      <c r="HBU2" s="1113"/>
      <c r="HBV2" s="1113"/>
      <c r="HBW2" s="1113"/>
      <c r="HBX2" s="1113"/>
      <c r="HBY2" s="1113"/>
      <c r="HBZ2" s="1113"/>
      <c r="HCA2" s="1113"/>
      <c r="HCB2" s="1113"/>
      <c r="HCC2" s="1113"/>
      <c r="HCD2" s="1113"/>
      <c r="HCE2" s="1113"/>
      <c r="HCF2" s="1113"/>
      <c r="HCG2" s="1113"/>
      <c r="HCH2" s="1113"/>
      <c r="HCI2" s="1113"/>
      <c r="HCJ2" s="1113"/>
      <c r="HCK2" s="1113"/>
      <c r="HCL2" s="1113"/>
      <c r="HCM2" s="1113"/>
      <c r="HCN2" s="1113"/>
      <c r="HCO2" s="1113"/>
      <c r="HCP2" s="1113"/>
      <c r="HCQ2" s="1113"/>
      <c r="HCR2" s="1113"/>
      <c r="HCS2" s="1113"/>
      <c r="HCT2" s="1113"/>
      <c r="HCU2" s="1113"/>
      <c r="HCV2" s="1113"/>
      <c r="HCW2" s="1113"/>
      <c r="HCX2" s="1113"/>
      <c r="HCY2" s="1113"/>
      <c r="HCZ2" s="1113"/>
      <c r="HDA2" s="1113"/>
      <c r="HDB2" s="1113"/>
      <c r="HDC2" s="1113"/>
      <c r="HDD2" s="1113"/>
      <c r="HDE2" s="1113"/>
      <c r="HDF2" s="1113"/>
      <c r="HDG2" s="1113"/>
      <c r="HDH2" s="1113"/>
      <c r="HDI2" s="1113"/>
      <c r="HDJ2" s="1113"/>
      <c r="HDK2" s="1113"/>
      <c r="HDL2" s="1113"/>
      <c r="HDM2" s="1113"/>
      <c r="HDN2" s="1113"/>
      <c r="HDO2" s="1113"/>
      <c r="HDP2" s="1113"/>
      <c r="HDQ2" s="1113"/>
      <c r="HDR2" s="1113"/>
      <c r="HDS2" s="1113"/>
      <c r="HDT2" s="1113"/>
      <c r="HDU2" s="1113"/>
      <c r="HDV2" s="1113"/>
      <c r="HDW2" s="1113"/>
      <c r="HDX2" s="1113"/>
      <c r="HDY2" s="1113"/>
      <c r="HDZ2" s="1113"/>
      <c r="HEA2" s="1113"/>
      <c r="HEB2" s="1113"/>
      <c r="HEC2" s="1113"/>
      <c r="HED2" s="1113"/>
      <c r="HEE2" s="1113"/>
      <c r="HEF2" s="1113"/>
      <c r="HEG2" s="1113"/>
      <c r="HEH2" s="1113"/>
      <c r="HEI2" s="1113"/>
      <c r="HEJ2" s="1113"/>
      <c r="HEK2" s="1113"/>
      <c r="HEL2" s="1113"/>
      <c r="HEM2" s="1113"/>
      <c r="HEN2" s="1113"/>
      <c r="HEO2" s="1113"/>
      <c r="HEP2" s="1113"/>
      <c r="HEQ2" s="1113"/>
      <c r="HER2" s="1113"/>
      <c r="HES2" s="1113"/>
      <c r="HET2" s="1113"/>
      <c r="HEU2" s="1113"/>
      <c r="HEV2" s="1113"/>
      <c r="HEW2" s="1113"/>
      <c r="HEX2" s="1113"/>
      <c r="HEY2" s="1113"/>
      <c r="HEZ2" s="1113"/>
      <c r="HFA2" s="1113"/>
      <c r="HFB2" s="1113"/>
      <c r="HFC2" s="1113"/>
      <c r="HFD2" s="1113"/>
      <c r="HFE2" s="1113"/>
      <c r="HFF2" s="1113"/>
      <c r="HFG2" s="1113"/>
      <c r="HFH2" s="1113"/>
      <c r="HFI2" s="1113"/>
      <c r="HFJ2" s="1113"/>
      <c r="HFK2" s="1113"/>
      <c r="HFL2" s="1113"/>
      <c r="HFM2" s="1113"/>
      <c r="HFN2" s="1113"/>
      <c r="HFO2" s="1113"/>
      <c r="HFP2" s="1113"/>
      <c r="HFQ2" s="1113"/>
      <c r="HFR2" s="1113"/>
      <c r="HFS2" s="1113"/>
      <c r="HFT2" s="1113"/>
      <c r="HFU2" s="1113"/>
      <c r="HFV2" s="1113"/>
      <c r="HFW2" s="1113"/>
      <c r="HFX2" s="1113"/>
      <c r="HFY2" s="1113"/>
      <c r="HFZ2" s="1113"/>
      <c r="HGA2" s="1113"/>
      <c r="HGB2" s="1113"/>
      <c r="HGC2" s="1113"/>
      <c r="HGD2" s="1113"/>
      <c r="HGE2" s="1113"/>
      <c r="HGF2" s="1113"/>
      <c r="HGG2" s="1113"/>
      <c r="HGH2" s="1113"/>
      <c r="HGI2" s="1113"/>
      <c r="HGJ2" s="1113"/>
      <c r="HGK2" s="1113"/>
      <c r="HGL2" s="1113"/>
      <c r="HGM2" s="1113"/>
      <c r="HGN2" s="1113"/>
      <c r="HGO2" s="1113"/>
      <c r="HGP2" s="1113"/>
      <c r="HGQ2" s="1113"/>
      <c r="HGR2" s="1113"/>
      <c r="HGS2" s="1113"/>
      <c r="HGT2" s="1113"/>
      <c r="HGU2" s="1113"/>
      <c r="HGV2" s="1113"/>
      <c r="HGW2" s="1113"/>
      <c r="HGX2" s="1113"/>
      <c r="HGY2" s="1113"/>
      <c r="HGZ2" s="1113"/>
      <c r="HHA2" s="1113"/>
      <c r="HHB2" s="1113"/>
      <c r="HHC2" s="1113"/>
      <c r="HHD2" s="1113"/>
      <c r="HHE2" s="1113"/>
      <c r="HHF2" s="1113"/>
      <c r="HHG2" s="1113"/>
      <c r="HHH2" s="1113"/>
      <c r="HHI2" s="1113"/>
      <c r="HHJ2" s="1113"/>
      <c r="HHK2" s="1113"/>
      <c r="HHL2" s="1113"/>
      <c r="HHM2" s="1113"/>
      <c r="HHN2" s="1113"/>
      <c r="HHO2" s="1113"/>
      <c r="HHP2" s="1113"/>
      <c r="HHQ2" s="1113"/>
      <c r="HHR2" s="1113"/>
      <c r="HHS2" s="1113"/>
      <c r="HHT2" s="1113"/>
      <c r="HHU2" s="1113"/>
      <c r="HHV2" s="1113"/>
      <c r="HHW2" s="1113"/>
      <c r="HHX2" s="1113"/>
      <c r="HHY2" s="1113"/>
      <c r="HHZ2" s="1113"/>
      <c r="HIA2" s="1113"/>
      <c r="HIB2" s="1113"/>
      <c r="HIC2" s="1113"/>
      <c r="HID2" s="1113"/>
      <c r="HIE2" s="1113"/>
      <c r="HIF2" s="1113"/>
      <c r="HIG2" s="1113"/>
      <c r="HIH2" s="1113"/>
      <c r="HII2" s="1113"/>
      <c r="HIJ2" s="1113"/>
      <c r="HIK2" s="1113"/>
      <c r="HIL2" s="1113"/>
      <c r="HIM2" s="1113"/>
      <c r="HIN2" s="1113"/>
      <c r="HIO2" s="1113"/>
      <c r="HIP2" s="1113"/>
      <c r="HIQ2" s="1113"/>
      <c r="HIR2" s="1113"/>
      <c r="HIS2" s="1113"/>
      <c r="HIT2" s="1113"/>
      <c r="HIU2" s="1113"/>
      <c r="HIV2" s="1113"/>
      <c r="HIW2" s="1113"/>
      <c r="HIX2" s="1113"/>
      <c r="HIY2" s="1113"/>
      <c r="HIZ2" s="1113"/>
      <c r="HJA2" s="1113"/>
      <c r="HJB2" s="1113"/>
      <c r="HJC2" s="1113"/>
      <c r="HJD2" s="1113"/>
      <c r="HJE2" s="1113"/>
      <c r="HJF2" s="1113"/>
      <c r="HJG2" s="1113"/>
      <c r="HJH2" s="1113"/>
      <c r="HJI2" s="1113"/>
      <c r="HJJ2" s="1113"/>
      <c r="HJK2" s="1113"/>
      <c r="HJL2" s="1113"/>
      <c r="HJM2" s="1113"/>
      <c r="HJN2" s="1113"/>
      <c r="HJO2" s="1113"/>
      <c r="HJP2" s="1113"/>
      <c r="HJQ2" s="1113"/>
      <c r="HJR2" s="1113"/>
      <c r="HJS2" s="1113"/>
      <c r="HJT2" s="1113"/>
      <c r="HJU2" s="1113"/>
      <c r="HJV2" s="1113"/>
      <c r="HJW2" s="1113"/>
      <c r="HJX2" s="1113"/>
      <c r="HJY2" s="1113"/>
      <c r="HJZ2" s="1113"/>
      <c r="HKA2" s="1113"/>
      <c r="HKB2" s="1113"/>
      <c r="HKC2" s="1113"/>
      <c r="HKD2" s="1113"/>
      <c r="HKE2" s="1113"/>
      <c r="HKF2" s="1113"/>
      <c r="HKG2" s="1113"/>
      <c r="HKH2" s="1113"/>
      <c r="HKI2" s="1113"/>
      <c r="HKJ2" s="1113"/>
      <c r="HKK2" s="1113"/>
      <c r="HKL2" s="1113"/>
      <c r="HKM2" s="1113"/>
      <c r="HKN2" s="1113"/>
      <c r="HKO2" s="1113"/>
      <c r="HKP2" s="1113"/>
      <c r="HKQ2" s="1113"/>
      <c r="HKR2" s="1113"/>
      <c r="HKS2" s="1113"/>
      <c r="HKT2" s="1113"/>
      <c r="HKU2" s="1113"/>
      <c r="HKV2" s="1113"/>
      <c r="HKW2" s="1113"/>
      <c r="HKX2" s="1113"/>
      <c r="HKY2" s="1113"/>
      <c r="HKZ2" s="1113"/>
      <c r="HLA2" s="1113"/>
      <c r="HLB2" s="1113"/>
      <c r="HLC2" s="1113"/>
      <c r="HLD2" s="1113"/>
      <c r="HLE2" s="1113"/>
      <c r="HLF2" s="1113"/>
      <c r="HLG2" s="1113"/>
      <c r="HLH2" s="1113"/>
      <c r="HLI2" s="1113"/>
      <c r="HLJ2" s="1113"/>
      <c r="HLK2" s="1113"/>
      <c r="HLL2" s="1113"/>
      <c r="HLM2" s="1113"/>
      <c r="HLN2" s="1113"/>
      <c r="HLO2" s="1113"/>
      <c r="HLP2" s="1113"/>
      <c r="HLQ2" s="1113"/>
      <c r="HLR2" s="1113"/>
      <c r="HLS2" s="1113"/>
      <c r="HLT2" s="1113"/>
      <c r="HLU2" s="1113"/>
      <c r="HLV2" s="1113"/>
      <c r="HLW2" s="1113"/>
      <c r="HLX2" s="1113"/>
      <c r="HLY2" s="1113"/>
      <c r="HLZ2" s="1113"/>
      <c r="HMA2" s="1113"/>
      <c r="HMB2" s="1113"/>
      <c r="HMC2" s="1113"/>
      <c r="HMD2" s="1113"/>
      <c r="HME2" s="1113"/>
      <c r="HMF2" s="1113"/>
      <c r="HMG2" s="1113"/>
      <c r="HMH2" s="1113"/>
      <c r="HMI2" s="1113"/>
      <c r="HMJ2" s="1113"/>
      <c r="HMK2" s="1113"/>
      <c r="HML2" s="1113"/>
      <c r="HMM2" s="1113"/>
      <c r="HMN2" s="1113"/>
      <c r="HMO2" s="1113"/>
      <c r="HMP2" s="1113"/>
      <c r="HMQ2" s="1113"/>
      <c r="HMR2" s="1113"/>
      <c r="HMS2" s="1113"/>
      <c r="HMT2" s="1113"/>
      <c r="HMU2" s="1113"/>
      <c r="HMV2" s="1113"/>
      <c r="HMW2" s="1113"/>
      <c r="HMX2" s="1113"/>
      <c r="HMY2" s="1113"/>
      <c r="HMZ2" s="1113"/>
      <c r="HNA2" s="1113"/>
      <c r="HNB2" s="1113"/>
      <c r="HNC2" s="1113"/>
      <c r="HND2" s="1113"/>
      <c r="HNE2" s="1113"/>
      <c r="HNF2" s="1113"/>
      <c r="HNG2" s="1113"/>
      <c r="HNH2" s="1113"/>
      <c r="HNI2" s="1113"/>
      <c r="HNJ2" s="1113"/>
      <c r="HNK2" s="1113"/>
      <c r="HNL2" s="1113"/>
      <c r="HNM2" s="1113"/>
      <c r="HNN2" s="1113"/>
      <c r="HNO2" s="1113"/>
      <c r="HNP2" s="1113"/>
      <c r="HNQ2" s="1113"/>
      <c r="HNR2" s="1113"/>
      <c r="HNS2" s="1113"/>
      <c r="HNT2" s="1113"/>
      <c r="HNU2" s="1113"/>
      <c r="HNV2" s="1113"/>
      <c r="HNW2" s="1113"/>
      <c r="HNX2" s="1113"/>
      <c r="HNY2" s="1113"/>
      <c r="HNZ2" s="1113"/>
      <c r="HOA2" s="1113"/>
      <c r="HOB2" s="1113"/>
      <c r="HOC2" s="1113"/>
      <c r="HOD2" s="1113"/>
      <c r="HOE2" s="1113"/>
      <c r="HOF2" s="1113"/>
      <c r="HOG2" s="1113"/>
      <c r="HOH2" s="1113"/>
      <c r="HOI2" s="1113"/>
      <c r="HOJ2" s="1113"/>
      <c r="HOK2" s="1113"/>
      <c r="HOL2" s="1113"/>
      <c r="HOM2" s="1113"/>
      <c r="HON2" s="1113"/>
      <c r="HOO2" s="1113"/>
      <c r="HOP2" s="1113"/>
      <c r="HOQ2" s="1113"/>
      <c r="HOR2" s="1113"/>
      <c r="HOS2" s="1113"/>
      <c r="HOT2" s="1113"/>
      <c r="HOU2" s="1113"/>
      <c r="HOV2" s="1113"/>
      <c r="HOW2" s="1113"/>
      <c r="HOX2" s="1113"/>
      <c r="HOY2" s="1113"/>
      <c r="HOZ2" s="1113"/>
      <c r="HPA2" s="1113"/>
      <c r="HPB2" s="1113"/>
      <c r="HPC2" s="1113"/>
      <c r="HPD2" s="1113"/>
      <c r="HPE2" s="1113"/>
      <c r="HPF2" s="1113"/>
      <c r="HPG2" s="1113"/>
      <c r="HPH2" s="1113"/>
      <c r="HPI2" s="1113"/>
      <c r="HPJ2" s="1113"/>
      <c r="HPK2" s="1113"/>
      <c r="HPL2" s="1113"/>
      <c r="HPM2" s="1113"/>
      <c r="HPN2" s="1113"/>
      <c r="HPO2" s="1113"/>
      <c r="HPP2" s="1113"/>
      <c r="HPQ2" s="1113"/>
      <c r="HPR2" s="1113"/>
      <c r="HPS2" s="1113"/>
      <c r="HPT2" s="1113"/>
      <c r="HPU2" s="1113"/>
      <c r="HPV2" s="1113"/>
      <c r="HPW2" s="1113"/>
      <c r="HPX2" s="1113"/>
      <c r="HPY2" s="1113"/>
      <c r="HPZ2" s="1113"/>
      <c r="HQA2" s="1113"/>
      <c r="HQB2" s="1113"/>
      <c r="HQC2" s="1113"/>
      <c r="HQD2" s="1113"/>
      <c r="HQE2" s="1113"/>
      <c r="HQF2" s="1113"/>
      <c r="HQG2" s="1113"/>
      <c r="HQH2" s="1113"/>
      <c r="HQI2" s="1113"/>
      <c r="HQJ2" s="1113"/>
      <c r="HQK2" s="1113"/>
      <c r="HQL2" s="1113"/>
      <c r="HQM2" s="1113"/>
      <c r="HQN2" s="1113"/>
      <c r="HQO2" s="1113"/>
      <c r="HQP2" s="1113"/>
      <c r="HQQ2" s="1113"/>
      <c r="HQR2" s="1113"/>
      <c r="HQS2" s="1113"/>
      <c r="HQT2" s="1113"/>
      <c r="HQU2" s="1113"/>
      <c r="HQV2" s="1113"/>
      <c r="HQW2" s="1113"/>
      <c r="HQX2" s="1113"/>
      <c r="HQY2" s="1113"/>
      <c r="HQZ2" s="1113"/>
      <c r="HRA2" s="1113"/>
      <c r="HRB2" s="1113"/>
      <c r="HRC2" s="1113"/>
      <c r="HRD2" s="1113"/>
      <c r="HRE2" s="1113"/>
      <c r="HRF2" s="1113"/>
      <c r="HRG2" s="1113"/>
      <c r="HRH2" s="1113"/>
      <c r="HRI2" s="1113"/>
      <c r="HRJ2" s="1113"/>
      <c r="HRK2" s="1113"/>
      <c r="HRL2" s="1113"/>
      <c r="HRM2" s="1113"/>
      <c r="HRN2" s="1113"/>
      <c r="HRO2" s="1113"/>
      <c r="HRP2" s="1113"/>
      <c r="HRQ2" s="1113"/>
      <c r="HRR2" s="1113"/>
      <c r="HRS2" s="1113"/>
      <c r="HRT2" s="1113"/>
      <c r="HRU2" s="1113"/>
      <c r="HRV2" s="1113"/>
      <c r="HRW2" s="1113"/>
      <c r="HRX2" s="1113"/>
      <c r="HRY2" s="1113"/>
      <c r="HRZ2" s="1113"/>
      <c r="HSA2" s="1113"/>
      <c r="HSB2" s="1113"/>
      <c r="HSC2" s="1113"/>
      <c r="HSD2" s="1113"/>
      <c r="HSE2" s="1113"/>
      <c r="HSF2" s="1113"/>
      <c r="HSG2" s="1113"/>
      <c r="HSH2" s="1113"/>
      <c r="HSI2" s="1113"/>
      <c r="HSJ2" s="1113"/>
      <c r="HSK2" s="1113"/>
      <c r="HSL2" s="1113"/>
      <c r="HSM2" s="1113"/>
      <c r="HSN2" s="1113"/>
      <c r="HSO2" s="1113"/>
      <c r="HSP2" s="1113"/>
      <c r="HSQ2" s="1113"/>
      <c r="HSR2" s="1113"/>
      <c r="HSS2" s="1113"/>
      <c r="HST2" s="1113"/>
      <c r="HSU2" s="1113"/>
      <c r="HSV2" s="1113"/>
      <c r="HSW2" s="1113"/>
      <c r="HSX2" s="1113"/>
      <c r="HSY2" s="1113"/>
      <c r="HSZ2" s="1113"/>
      <c r="HTA2" s="1113"/>
      <c r="HTB2" s="1113"/>
      <c r="HTC2" s="1113"/>
      <c r="HTD2" s="1113"/>
      <c r="HTE2" s="1113"/>
      <c r="HTF2" s="1113"/>
      <c r="HTG2" s="1113"/>
      <c r="HTH2" s="1113"/>
      <c r="HTI2" s="1113"/>
      <c r="HTJ2" s="1113"/>
      <c r="HTK2" s="1113"/>
      <c r="HTL2" s="1113"/>
      <c r="HTM2" s="1113"/>
      <c r="HTN2" s="1113"/>
      <c r="HTO2" s="1113"/>
      <c r="HTP2" s="1113"/>
      <c r="HTQ2" s="1113"/>
      <c r="HTR2" s="1113"/>
      <c r="HTS2" s="1113"/>
      <c r="HTT2" s="1113"/>
      <c r="HTU2" s="1113"/>
      <c r="HTV2" s="1113"/>
      <c r="HTW2" s="1113"/>
      <c r="HTX2" s="1113"/>
      <c r="HTY2" s="1113"/>
      <c r="HTZ2" s="1113"/>
      <c r="HUA2" s="1113"/>
      <c r="HUB2" s="1113"/>
      <c r="HUC2" s="1113"/>
      <c r="HUD2" s="1113"/>
      <c r="HUE2" s="1113"/>
      <c r="HUF2" s="1113"/>
      <c r="HUG2" s="1113"/>
      <c r="HUH2" s="1113"/>
      <c r="HUI2" s="1113"/>
      <c r="HUJ2" s="1113"/>
      <c r="HUK2" s="1113"/>
      <c r="HUL2" s="1113"/>
      <c r="HUM2" s="1113"/>
      <c r="HUN2" s="1113"/>
      <c r="HUO2" s="1113"/>
      <c r="HUP2" s="1113"/>
      <c r="HUQ2" s="1113"/>
      <c r="HUR2" s="1113"/>
      <c r="HUS2" s="1113"/>
      <c r="HUT2" s="1113"/>
      <c r="HUU2" s="1113"/>
      <c r="HUV2" s="1113"/>
      <c r="HUW2" s="1113"/>
      <c r="HUX2" s="1113"/>
      <c r="HUY2" s="1113"/>
      <c r="HUZ2" s="1113"/>
      <c r="HVA2" s="1113"/>
      <c r="HVB2" s="1113"/>
      <c r="HVC2" s="1113"/>
      <c r="HVD2" s="1113"/>
      <c r="HVE2" s="1113"/>
      <c r="HVF2" s="1113"/>
      <c r="HVG2" s="1113"/>
      <c r="HVH2" s="1113"/>
      <c r="HVI2" s="1113"/>
      <c r="HVJ2" s="1113"/>
      <c r="HVK2" s="1113"/>
      <c r="HVL2" s="1113"/>
      <c r="HVM2" s="1113"/>
      <c r="HVN2" s="1113"/>
      <c r="HVO2" s="1113"/>
      <c r="HVP2" s="1113"/>
      <c r="HVQ2" s="1113"/>
      <c r="HVR2" s="1113"/>
      <c r="HVS2" s="1113"/>
      <c r="HVT2" s="1113"/>
      <c r="HVU2" s="1113"/>
      <c r="HVV2" s="1113"/>
      <c r="HVW2" s="1113"/>
      <c r="HVX2" s="1113"/>
      <c r="HVY2" s="1113"/>
      <c r="HVZ2" s="1113"/>
      <c r="HWA2" s="1113"/>
      <c r="HWB2" s="1113"/>
      <c r="HWC2" s="1113"/>
      <c r="HWD2" s="1113"/>
      <c r="HWE2" s="1113"/>
      <c r="HWF2" s="1113"/>
      <c r="HWG2" s="1113"/>
      <c r="HWH2" s="1113"/>
      <c r="HWI2" s="1113"/>
      <c r="HWJ2" s="1113"/>
      <c r="HWK2" s="1113"/>
      <c r="HWL2" s="1113"/>
      <c r="HWM2" s="1113"/>
      <c r="HWN2" s="1113"/>
      <c r="HWO2" s="1113"/>
      <c r="HWP2" s="1113"/>
      <c r="HWQ2" s="1113"/>
      <c r="HWR2" s="1113"/>
      <c r="HWS2" s="1113"/>
      <c r="HWT2" s="1113"/>
      <c r="HWU2" s="1113"/>
      <c r="HWV2" s="1113"/>
      <c r="HWW2" s="1113"/>
      <c r="HWX2" s="1113"/>
      <c r="HWY2" s="1113"/>
      <c r="HWZ2" s="1113"/>
      <c r="HXA2" s="1113"/>
      <c r="HXB2" s="1113"/>
      <c r="HXC2" s="1113"/>
      <c r="HXD2" s="1113"/>
      <c r="HXE2" s="1113"/>
      <c r="HXF2" s="1113"/>
      <c r="HXG2" s="1113"/>
      <c r="HXH2" s="1113"/>
      <c r="HXI2" s="1113"/>
      <c r="HXJ2" s="1113"/>
      <c r="HXK2" s="1113"/>
      <c r="HXL2" s="1113"/>
      <c r="HXM2" s="1113"/>
      <c r="HXN2" s="1113"/>
      <c r="HXO2" s="1113"/>
      <c r="HXP2" s="1113"/>
      <c r="HXQ2" s="1113"/>
      <c r="HXR2" s="1113"/>
      <c r="HXS2" s="1113"/>
      <c r="HXT2" s="1113"/>
      <c r="HXU2" s="1113"/>
      <c r="HXV2" s="1113"/>
      <c r="HXW2" s="1113"/>
      <c r="HXX2" s="1113"/>
      <c r="HXY2" s="1113"/>
      <c r="HXZ2" s="1113"/>
      <c r="HYA2" s="1113"/>
      <c r="HYB2" s="1113"/>
      <c r="HYC2" s="1113"/>
      <c r="HYD2" s="1113"/>
      <c r="HYE2" s="1113"/>
      <c r="HYF2" s="1113"/>
      <c r="HYG2" s="1113"/>
      <c r="HYH2" s="1113"/>
      <c r="HYI2" s="1113"/>
      <c r="HYJ2" s="1113"/>
      <c r="HYK2" s="1113"/>
      <c r="HYL2" s="1113"/>
      <c r="HYM2" s="1113"/>
      <c r="HYN2" s="1113"/>
      <c r="HYO2" s="1113"/>
      <c r="HYP2" s="1113"/>
      <c r="HYQ2" s="1113"/>
      <c r="HYR2" s="1113"/>
      <c r="HYS2" s="1113"/>
      <c r="HYT2" s="1113"/>
      <c r="HYU2" s="1113"/>
      <c r="HYV2" s="1113"/>
      <c r="HYW2" s="1113"/>
      <c r="HYX2" s="1113"/>
      <c r="HYY2" s="1113"/>
      <c r="HYZ2" s="1113"/>
      <c r="HZA2" s="1113"/>
      <c r="HZB2" s="1113"/>
      <c r="HZC2" s="1113"/>
      <c r="HZD2" s="1113"/>
      <c r="HZE2" s="1113"/>
      <c r="HZF2" s="1113"/>
      <c r="HZG2" s="1113"/>
      <c r="HZH2" s="1113"/>
      <c r="HZI2" s="1113"/>
      <c r="HZJ2" s="1113"/>
      <c r="HZK2" s="1113"/>
      <c r="HZL2" s="1113"/>
      <c r="HZM2" s="1113"/>
      <c r="HZN2" s="1113"/>
      <c r="HZO2" s="1113"/>
      <c r="HZP2" s="1113"/>
      <c r="HZQ2" s="1113"/>
      <c r="HZR2" s="1113"/>
      <c r="HZS2" s="1113"/>
      <c r="HZT2" s="1113"/>
      <c r="HZU2" s="1113"/>
      <c r="HZV2" s="1113"/>
      <c r="HZW2" s="1113"/>
      <c r="HZX2" s="1113"/>
      <c r="HZY2" s="1113"/>
      <c r="HZZ2" s="1113"/>
      <c r="IAA2" s="1113"/>
      <c r="IAB2" s="1113"/>
      <c r="IAC2" s="1113"/>
      <c r="IAD2" s="1113"/>
      <c r="IAE2" s="1113"/>
      <c r="IAF2" s="1113"/>
      <c r="IAG2" s="1113"/>
      <c r="IAH2" s="1113"/>
      <c r="IAI2" s="1113"/>
      <c r="IAJ2" s="1113"/>
      <c r="IAK2" s="1113"/>
      <c r="IAL2" s="1113"/>
      <c r="IAM2" s="1113"/>
      <c r="IAN2" s="1113"/>
      <c r="IAO2" s="1113"/>
      <c r="IAP2" s="1113"/>
      <c r="IAQ2" s="1113"/>
      <c r="IAR2" s="1113"/>
      <c r="IAS2" s="1113"/>
      <c r="IAT2" s="1113"/>
      <c r="IAU2" s="1113"/>
      <c r="IAV2" s="1113"/>
      <c r="IAW2" s="1113"/>
      <c r="IAX2" s="1113"/>
      <c r="IAY2" s="1113"/>
      <c r="IAZ2" s="1113"/>
      <c r="IBA2" s="1113"/>
      <c r="IBB2" s="1113"/>
      <c r="IBC2" s="1113"/>
      <c r="IBD2" s="1113"/>
      <c r="IBE2" s="1113"/>
      <c r="IBF2" s="1113"/>
      <c r="IBG2" s="1113"/>
      <c r="IBH2" s="1113"/>
      <c r="IBI2" s="1113"/>
      <c r="IBJ2" s="1113"/>
      <c r="IBK2" s="1113"/>
      <c r="IBL2" s="1113"/>
      <c r="IBM2" s="1113"/>
      <c r="IBN2" s="1113"/>
      <c r="IBO2" s="1113"/>
      <c r="IBP2" s="1113"/>
      <c r="IBQ2" s="1113"/>
      <c r="IBR2" s="1113"/>
      <c r="IBS2" s="1113"/>
      <c r="IBT2" s="1113"/>
      <c r="IBU2" s="1113"/>
      <c r="IBV2" s="1113"/>
      <c r="IBW2" s="1113"/>
      <c r="IBX2" s="1113"/>
      <c r="IBY2" s="1113"/>
      <c r="IBZ2" s="1113"/>
      <c r="ICA2" s="1113"/>
      <c r="ICB2" s="1113"/>
      <c r="ICC2" s="1113"/>
      <c r="ICD2" s="1113"/>
      <c r="ICE2" s="1113"/>
      <c r="ICF2" s="1113"/>
      <c r="ICG2" s="1113"/>
      <c r="ICH2" s="1113"/>
      <c r="ICI2" s="1113"/>
      <c r="ICJ2" s="1113"/>
      <c r="ICK2" s="1113"/>
      <c r="ICL2" s="1113"/>
      <c r="ICM2" s="1113"/>
      <c r="ICN2" s="1113"/>
      <c r="ICO2" s="1113"/>
      <c r="ICP2" s="1113"/>
      <c r="ICQ2" s="1113"/>
      <c r="ICR2" s="1113"/>
      <c r="ICS2" s="1113"/>
      <c r="ICT2" s="1113"/>
      <c r="ICU2" s="1113"/>
      <c r="ICV2" s="1113"/>
      <c r="ICW2" s="1113"/>
      <c r="ICX2" s="1113"/>
      <c r="ICY2" s="1113"/>
      <c r="ICZ2" s="1113"/>
      <c r="IDA2" s="1113"/>
      <c r="IDB2" s="1113"/>
      <c r="IDC2" s="1113"/>
      <c r="IDD2" s="1113"/>
      <c r="IDE2" s="1113"/>
      <c r="IDF2" s="1113"/>
      <c r="IDG2" s="1113"/>
      <c r="IDH2" s="1113"/>
      <c r="IDI2" s="1113"/>
      <c r="IDJ2" s="1113"/>
      <c r="IDK2" s="1113"/>
      <c r="IDL2" s="1113"/>
      <c r="IDM2" s="1113"/>
      <c r="IDN2" s="1113"/>
      <c r="IDO2" s="1113"/>
      <c r="IDP2" s="1113"/>
      <c r="IDQ2" s="1113"/>
      <c r="IDR2" s="1113"/>
      <c r="IDS2" s="1113"/>
      <c r="IDT2" s="1113"/>
      <c r="IDU2" s="1113"/>
      <c r="IDV2" s="1113"/>
      <c r="IDW2" s="1113"/>
      <c r="IDX2" s="1113"/>
      <c r="IDY2" s="1113"/>
      <c r="IDZ2" s="1113"/>
      <c r="IEA2" s="1113"/>
      <c r="IEB2" s="1113"/>
      <c r="IEC2" s="1113"/>
      <c r="IED2" s="1113"/>
      <c r="IEE2" s="1113"/>
      <c r="IEF2" s="1113"/>
      <c r="IEG2" s="1113"/>
      <c r="IEH2" s="1113"/>
      <c r="IEI2" s="1113"/>
      <c r="IEJ2" s="1113"/>
      <c r="IEK2" s="1113"/>
      <c r="IEL2" s="1113"/>
      <c r="IEM2" s="1113"/>
      <c r="IEN2" s="1113"/>
      <c r="IEO2" s="1113"/>
      <c r="IEP2" s="1113"/>
      <c r="IEQ2" s="1113"/>
      <c r="IER2" s="1113"/>
      <c r="IES2" s="1113"/>
      <c r="IET2" s="1113"/>
      <c r="IEU2" s="1113"/>
      <c r="IEV2" s="1113"/>
      <c r="IEW2" s="1113"/>
      <c r="IEX2" s="1113"/>
      <c r="IEY2" s="1113"/>
      <c r="IEZ2" s="1113"/>
      <c r="IFA2" s="1113"/>
      <c r="IFB2" s="1113"/>
      <c r="IFC2" s="1113"/>
      <c r="IFD2" s="1113"/>
      <c r="IFE2" s="1113"/>
      <c r="IFF2" s="1113"/>
      <c r="IFG2" s="1113"/>
      <c r="IFH2" s="1113"/>
      <c r="IFI2" s="1113"/>
      <c r="IFJ2" s="1113"/>
      <c r="IFK2" s="1113"/>
      <c r="IFL2" s="1113"/>
      <c r="IFM2" s="1113"/>
      <c r="IFN2" s="1113"/>
      <c r="IFO2" s="1113"/>
      <c r="IFP2" s="1113"/>
      <c r="IFQ2" s="1113"/>
      <c r="IFR2" s="1113"/>
      <c r="IFS2" s="1113"/>
      <c r="IFT2" s="1113"/>
      <c r="IFU2" s="1113"/>
      <c r="IFV2" s="1113"/>
      <c r="IFW2" s="1113"/>
      <c r="IFX2" s="1113"/>
      <c r="IFY2" s="1113"/>
      <c r="IFZ2" s="1113"/>
      <c r="IGA2" s="1113"/>
      <c r="IGB2" s="1113"/>
      <c r="IGC2" s="1113"/>
      <c r="IGD2" s="1113"/>
      <c r="IGE2" s="1113"/>
      <c r="IGF2" s="1113"/>
      <c r="IGG2" s="1113"/>
      <c r="IGH2" s="1113"/>
      <c r="IGI2" s="1113"/>
      <c r="IGJ2" s="1113"/>
      <c r="IGK2" s="1113"/>
      <c r="IGL2" s="1113"/>
      <c r="IGM2" s="1113"/>
      <c r="IGN2" s="1113"/>
      <c r="IGO2" s="1113"/>
      <c r="IGP2" s="1113"/>
      <c r="IGQ2" s="1113"/>
      <c r="IGR2" s="1113"/>
      <c r="IGS2" s="1113"/>
      <c r="IGT2" s="1113"/>
      <c r="IGU2" s="1113"/>
      <c r="IGV2" s="1113"/>
      <c r="IGW2" s="1113"/>
      <c r="IGX2" s="1113"/>
      <c r="IGY2" s="1113"/>
      <c r="IGZ2" s="1113"/>
      <c r="IHA2" s="1113"/>
      <c r="IHB2" s="1113"/>
      <c r="IHC2" s="1113"/>
      <c r="IHD2" s="1113"/>
      <c r="IHE2" s="1113"/>
      <c r="IHF2" s="1113"/>
      <c r="IHG2" s="1113"/>
      <c r="IHH2" s="1113"/>
      <c r="IHI2" s="1113"/>
      <c r="IHJ2" s="1113"/>
      <c r="IHK2" s="1113"/>
      <c r="IHL2" s="1113"/>
      <c r="IHM2" s="1113"/>
      <c r="IHN2" s="1113"/>
      <c r="IHO2" s="1113"/>
      <c r="IHP2" s="1113"/>
      <c r="IHQ2" s="1113"/>
      <c r="IHR2" s="1113"/>
      <c r="IHS2" s="1113"/>
      <c r="IHT2" s="1113"/>
      <c r="IHU2" s="1113"/>
      <c r="IHV2" s="1113"/>
      <c r="IHW2" s="1113"/>
      <c r="IHX2" s="1113"/>
      <c r="IHY2" s="1113"/>
      <c r="IHZ2" s="1113"/>
      <c r="IIA2" s="1113"/>
      <c r="IIB2" s="1113"/>
      <c r="IIC2" s="1113"/>
      <c r="IID2" s="1113"/>
      <c r="IIE2" s="1113"/>
      <c r="IIF2" s="1113"/>
      <c r="IIG2" s="1113"/>
      <c r="IIH2" s="1113"/>
      <c r="III2" s="1113"/>
      <c r="IIJ2" s="1113"/>
      <c r="IIK2" s="1113"/>
      <c r="IIL2" s="1113"/>
      <c r="IIM2" s="1113"/>
      <c r="IIN2" s="1113"/>
      <c r="IIO2" s="1113"/>
      <c r="IIP2" s="1113"/>
      <c r="IIQ2" s="1113"/>
      <c r="IIR2" s="1113"/>
      <c r="IIS2" s="1113"/>
      <c r="IIT2" s="1113"/>
      <c r="IIU2" s="1113"/>
      <c r="IIV2" s="1113"/>
      <c r="IIW2" s="1113"/>
      <c r="IIX2" s="1113"/>
      <c r="IIY2" s="1113"/>
      <c r="IIZ2" s="1113"/>
      <c r="IJA2" s="1113"/>
      <c r="IJB2" s="1113"/>
      <c r="IJC2" s="1113"/>
      <c r="IJD2" s="1113"/>
      <c r="IJE2" s="1113"/>
      <c r="IJF2" s="1113"/>
      <c r="IJG2" s="1113"/>
      <c r="IJH2" s="1113"/>
      <c r="IJI2" s="1113"/>
      <c r="IJJ2" s="1113"/>
      <c r="IJK2" s="1113"/>
      <c r="IJL2" s="1113"/>
      <c r="IJM2" s="1113"/>
      <c r="IJN2" s="1113"/>
      <c r="IJO2" s="1113"/>
      <c r="IJP2" s="1113"/>
      <c r="IJQ2" s="1113"/>
      <c r="IJR2" s="1113"/>
      <c r="IJS2" s="1113"/>
      <c r="IJT2" s="1113"/>
      <c r="IJU2" s="1113"/>
      <c r="IJV2" s="1113"/>
      <c r="IJW2" s="1113"/>
      <c r="IJX2" s="1113"/>
      <c r="IJY2" s="1113"/>
      <c r="IJZ2" s="1113"/>
      <c r="IKA2" s="1113"/>
      <c r="IKB2" s="1113"/>
      <c r="IKC2" s="1113"/>
      <c r="IKD2" s="1113"/>
      <c r="IKE2" s="1113"/>
      <c r="IKF2" s="1113"/>
      <c r="IKG2" s="1113"/>
      <c r="IKH2" s="1113"/>
      <c r="IKI2" s="1113"/>
      <c r="IKJ2" s="1113"/>
      <c r="IKK2" s="1113"/>
      <c r="IKL2" s="1113"/>
      <c r="IKM2" s="1113"/>
      <c r="IKN2" s="1113"/>
      <c r="IKO2" s="1113"/>
      <c r="IKP2" s="1113"/>
      <c r="IKQ2" s="1113"/>
      <c r="IKR2" s="1113"/>
      <c r="IKS2" s="1113"/>
      <c r="IKT2" s="1113"/>
      <c r="IKU2" s="1113"/>
      <c r="IKV2" s="1113"/>
      <c r="IKW2" s="1113"/>
      <c r="IKX2" s="1113"/>
      <c r="IKY2" s="1113"/>
      <c r="IKZ2" s="1113"/>
      <c r="ILA2" s="1113"/>
      <c r="ILB2" s="1113"/>
      <c r="ILC2" s="1113"/>
      <c r="ILD2" s="1113"/>
      <c r="ILE2" s="1113"/>
      <c r="ILF2" s="1113"/>
      <c r="ILG2" s="1113"/>
      <c r="ILH2" s="1113"/>
      <c r="ILI2" s="1113"/>
      <c r="ILJ2" s="1113"/>
      <c r="ILK2" s="1113"/>
      <c r="ILL2" s="1113"/>
      <c r="ILM2" s="1113"/>
      <c r="ILN2" s="1113"/>
      <c r="ILO2" s="1113"/>
      <c r="ILP2" s="1113"/>
      <c r="ILQ2" s="1113"/>
      <c r="ILR2" s="1113"/>
      <c r="ILS2" s="1113"/>
      <c r="ILT2" s="1113"/>
      <c r="ILU2" s="1113"/>
      <c r="ILV2" s="1113"/>
      <c r="ILW2" s="1113"/>
      <c r="ILX2" s="1113"/>
      <c r="ILY2" s="1113"/>
      <c r="ILZ2" s="1113"/>
      <c r="IMA2" s="1113"/>
      <c r="IMB2" s="1113"/>
      <c r="IMC2" s="1113"/>
      <c r="IMD2" s="1113"/>
      <c r="IME2" s="1113"/>
      <c r="IMF2" s="1113"/>
      <c r="IMG2" s="1113"/>
      <c r="IMH2" s="1113"/>
      <c r="IMI2" s="1113"/>
      <c r="IMJ2" s="1113"/>
      <c r="IMK2" s="1113"/>
      <c r="IML2" s="1113"/>
      <c r="IMM2" s="1113"/>
      <c r="IMN2" s="1113"/>
      <c r="IMO2" s="1113"/>
      <c r="IMP2" s="1113"/>
      <c r="IMQ2" s="1113"/>
      <c r="IMR2" s="1113"/>
      <c r="IMS2" s="1113"/>
      <c r="IMT2" s="1113"/>
      <c r="IMU2" s="1113"/>
      <c r="IMV2" s="1113"/>
      <c r="IMW2" s="1113"/>
      <c r="IMX2" s="1113"/>
      <c r="IMY2" s="1113"/>
      <c r="IMZ2" s="1113"/>
      <c r="INA2" s="1113"/>
      <c r="INB2" s="1113"/>
      <c r="INC2" s="1113"/>
      <c r="IND2" s="1113"/>
      <c r="INE2" s="1113"/>
      <c r="INF2" s="1113"/>
      <c r="ING2" s="1113"/>
      <c r="INH2" s="1113"/>
      <c r="INI2" s="1113"/>
      <c r="INJ2" s="1113"/>
      <c r="INK2" s="1113"/>
      <c r="INL2" s="1113"/>
      <c r="INM2" s="1113"/>
      <c r="INN2" s="1113"/>
      <c r="INO2" s="1113"/>
      <c r="INP2" s="1113"/>
      <c r="INQ2" s="1113"/>
      <c r="INR2" s="1113"/>
      <c r="INS2" s="1113"/>
      <c r="INT2" s="1113"/>
      <c r="INU2" s="1113"/>
      <c r="INV2" s="1113"/>
      <c r="INW2" s="1113"/>
      <c r="INX2" s="1113"/>
      <c r="INY2" s="1113"/>
      <c r="INZ2" s="1113"/>
      <c r="IOA2" s="1113"/>
      <c r="IOB2" s="1113"/>
      <c r="IOC2" s="1113"/>
      <c r="IOD2" s="1113"/>
      <c r="IOE2" s="1113"/>
      <c r="IOF2" s="1113"/>
      <c r="IOG2" s="1113"/>
      <c r="IOH2" s="1113"/>
      <c r="IOI2" s="1113"/>
      <c r="IOJ2" s="1113"/>
      <c r="IOK2" s="1113"/>
      <c r="IOL2" s="1113"/>
      <c r="IOM2" s="1113"/>
      <c r="ION2" s="1113"/>
      <c r="IOO2" s="1113"/>
      <c r="IOP2" s="1113"/>
      <c r="IOQ2" s="1113"/>
      <c r="IOR2" s="1113"/>
      <c r="IOS2" s="1113"/>
      <c r="IOT2" s="1113"/>
      <c r="IOU2" s="1113"/>
      <c r="IOV2" s="1113"/>
      <c r="IOW2" s="1113"/>
      <c r="IOX2" s="1113"/>
      <c r="IOY2" s="1113"/>
      <c r="IOZ2" s="1113"/>
      <c r="IPA2" s="1113"/>
      <c r="IPB2" s="1113"/>
      <c r="IPC2" s="1113"/>
      <c r="IPD2" s="1113"/>
      <c r="IPE2" s="1113"/>
      <c r="IPF2" s="1113"/>
      <c r="IPG2" s="1113"/>
      <c r="IPH2" s="1113"/>
      <c r="IPI2" s="1113"/>
      <c r="IPJ2" s="1113"/>
      <c r="IPK2" s="1113"/>
      <c r="IPL2" s="1113"/>
      <c r="IPM2" s="1113"/>
      <c r="IPN2" s="1113"/>
      <c r="IPO2" s="1113"/>
      <c r="IPP2" s="1113"/>
      <c r="IPQ2" s="1113"/>
      <c r="IPR2" s="1113"/>
      <c r="IPS2" s="1113"/>
      <c r="IPT2" s="1113"/>
      <c r="IPU2" s="1113"/>
      <c r="IPV2" s="1113"/>
      <c r="IPW2" s="1113"/>
      <c r="IPX2" s="1113"/>
      <c r="IPY2" s="1113"/>
      <c r="IPZ2" s="1113"/>
      <c r="IQA2" s="1113"/>
      <c r="IQB2" s="1113"/>
      <c r="IQC2" s="1113"/>
      <c r="IQD2" s="1113"/>
      <c r="IQE2" s="1113"/>
      <c r="IQF2" s="1113"/>
      <c r="IQG2" s="1113"/>
      <c r="IQH2" s="1113"/>
      <c r="IQI2" s="1113"/>
      <c r="IQJ2" s="1113"/>
      <c r="IQK2" s="1113"/>
      <c r="IQL2" s="1113"/>
      <c r="IQM2" s="1113"/>
      <c r="IQN2" s="1113"/>
      <c r="IQO2" s="1113"/>
      <c r="IQP2" s="1113"/>
      <c r="IQQ2" s="1113"/>
      <c r="IQR2" s="1113"/>
      <c r="IQS2" s="1113"/>
      <c r="IQT2" s="1113"/>
      <c r="IQU2" s="1113"/>
      <c r="IQV2" s="1113"/>
      <c r="IQW2" s="1113"/>
      <c r="IQX2" s="1113"/>
      <c r="IQY2" s="1113"/>
      <c r="IQZ2" s="1113"/>
      <c r="IRA2" s="1113"/>
      <c r="IRB2" s="1113"/>
      <c r="IRC2" s="1113"/>
      <c r="IRD2" s="1113"/>
      <c r="IRE2" s="1113"/>
      <c r="IRF2" s="1113"/>
      <c r="IRG2" s="1113"/>
      <c r="IRH2" s="1113"/>
      <c r="IRI2" s="1113"/>
      <c r="IRJ2" s="1113"/>
      <c r="IRK2" s="1113"/>
      <c r="IRL2" s="1113"/>
      <c r="IRM2" s="1113"/>
      <c r="IRN2" s="1113"/>
      <c r="IRO2" s="1113"/>
      <c r="IRP2" s="1113"/>
      <c r="IRQ2" s="1113"/>
      <c r="IRR2" s="1113"/>
      <c r="IRS2" s="1113"/>
      <c r="IRT2" s="1113"/>
      <c r="IRU2" s="1113"/>
      <c r="IRV2" s="1113"/>
      <c r="IRW2" s="1113"/>
      <c r="IRX2" s="1113"/>
      <c r="IRY2" s="1113"/>
      <c r="IRZ2" s="1113"/>
      <c r="ISA2" s="1113"/>
      <c r="ISB2" s="1113"/>
      <c r="ISC2" s="1113"/>
      <c r="ISD2" s="1113"/>
      <c r="ISE2" s="1113"/>
      <c r="ISF2" s="1113"/>
      <c r="ISG2" s="1113"/>
      <c r="ISH2" s="1113"/>
      <c r="ISI2" s="1113"/>
      <c r="ISJ2" s="1113"/>
      <c r="ISK2" s="1113"/>
      <c r="ISL2" s="1113"/>
      <c r="ISM2" s="1113"/>
      <c r="ISN2" s="1113"/>
      <c r="ISO2" s="1113"/>
      <c r="ISP2" s="1113"/>
      <c r="ISQ2" s="1113"/>
      <c r="ISR2" s="1113"/>
      <c r="ISS2" s="1113"/>
      <c r="IST2" s="1113"/>
      <c r="ISU2" s="1113"/>
      <c r="ISV2" s="1113"/>
      <c r="ISW2" s="1113"/>
      <c r="ISX2" s="1113"/>
      <c r="ISY2" s="1113"/>
      <c r="ISZ2" s="1113"/>
      <c r="ITA2" s="1113"/>
      <c r="ITB2" s="1113"/>
      <c r="ITC2" s="1113"/>
      <c r="ITD2" s="1113"/>
      <c r="ITE2" s="1113"/>
      <c r="ITF2" s="1113"/>
      <c r="ITG2" s="1113"/>
      <c r="ITH2" s="1113"/>
      <c r="ITI2" s="1113"/>
      <c r="ITJ2" s="1113"/>
      <c r="ITK2" s="1113"/>
      <c r="ITL2" s="1113"/>
      <c r="ITM2" s="1113"/>
      <c r="ITN2" s="1113"/>
      <c r="ITO2" s="1113"/>
      <c r="ITP2" s="1113"/>
      <c r="ITQ2" s="1113"/>
      <c r="ITR2" s="1113"/>
      <c r="ITS2" s="1113"/>
      <c r="ITT2" s="1113"/>
      <c r="ITU2" s="1113"/>
      <c r="ITV2" s="1113"/>
      <c r="ITW2" s="1113"/>
      <c r="ITX2" s="1113"/>
      <c r="ITY2" s="1113"/>
      <c r="ITZ2" s="1113"/>
      <c r="IUA2" s="1113"/>
      <c r="IUB2" s="1113"/>
      <c r="IUC2" s="1113"/>
      <c r="IUD2" s="1113"/>
      <c r="IUE2" s="1113"/>
      <c r="IUF2" s="1113"/>
      <c r="IUG2" s="1113"/>
      <c r="IUH2" s="1113"/>
      <c r="IUI2" s="1113"/>
      <c r="IUJ2" s="1113"/>
      <c r="IUK2" s="1113"/>
      <c r="IUL2" s="1113"/>
      <c r="IUM2" s="1113"/>
      <c r="IUN2" s="1113"/>
      <c r="IUO2" s="1113"/>
      <c r="IUP2" s="1113"/>
      <c r="IUQ2" s="1113"/>
      <c r="IUR2" s="1113"/>
      <c r="IUS2" s="1113"/>
      <c r="IUT2" s="1113"/>
      <c r="IUU2" s="1113"/>
      <c r="IUV2" s="1113"/>
      <c r="IUW2" s="1113"/>
      <c r="IUX2" s="1113"/>
      <c r="IUY2" s="1113"/>
      <c r="IUZ2" s="1113"/>
      <c r="IVA2" s="1113"/>
      <c r="IVB2" s="1113"/>
      <c r="IVC2" s="1113"/>
      <c r="IVD2" s="1113"/>
      <c r="IVE2" s="1113"/>
      <c r="IVF2" s="1113"/>
      <c r="IVG2" s="1113"/>
      <c r="IVH2" s="1113"/>
      <c r="IVI2" s="1113"/>
      <c r="IVJ2" s="1113"/>
      <c r="IVK2" s="1113"/>
      <c r="IVL2" s="1113"/>
      <c r="IVM2" s="1113"/>
      <c r="IVN2" s="1113"/>
      <c r="IVO2" s="1113"/>
      <c r="IVP2" s="1113"/>
      <c r="IVQ2" s="1113"/>
      <c r="IVR2" s="1113"/>
      <c r="IVS2" s="1113"/>
      <c r="IVT2" s="1113"/>
      <c r="IVU2" s="1113"/>
      <c r="IVV2" s="1113"/>
      <c r="IVW2" s="1113"/>
      <c r="IVX2" s="1113"/>
      <c r="IVY2" s="1113"/>
      <c r="IVZ2" s="1113"/>
      <c r="IWA2" s="1113"/>
      <c r="IWB2" s="1113"/>
      <c r="IWC2" s="1113"/>
      <c r="IWD2" s="1113"/>
      <c r="IWE2" s="1113"/>
      <c r="IWF2" s="1113"/>
      <c r="IWG2" s="1113"/>
      <c r="IWH2" s="1113"/>
      <c r="IWI2" s="1113"/>
      <c r="IWJ2" s="1113"/>
      <c r="IWK2" s="1113"/>
      <c r="IWL2" s="1113"/>
      <c r="IWM2" s="1113"/>
      <c r="IWN2" s="1113"/>
      <c r="IWO2" s="1113"/>
      <c r="IWP2" s="1113"/>
      <c r="IWQ2" s="1113"/>
      <c r="IWR2" s="1113"/>
      <c r="IWS2" s="1113"/>
      <c r="IWT2" s="1113"/>
      <c r="IWU2" s="1113"/>
      <c r="IWV2" s="1113"/>
      <c r="IWW2" s="1113"/>
      <c r="IWX2" s="1113"/>
      <c r="IWY2" s="1113"/>
      <c r="IWZ2" s="1113"/>
      <c r="IXA2" s="1113"/>
      <c r="IXB2" s="1113"/>
      <c r="IXC2" s="1113"/>
      <c r="IXD2" s="1113"/>
      <c r="IXE2" s="1113"/>
      <c r="IXF2" s="1113"/>
      <c r="IXG2" s="1113"/>
      <c r="IXH2" s="1113"/>
      <c r="IXI2" s="1113"/>
      <c r="IXJ2" s="1113"/>
      <c r="IXK2" s="1113"/>
      <c r="IXL2" s="1113"/>
      <c r="IXM2" s="1113"/>
      <c r="IXN2" s="1113"/>
      <c r="IXO2" s="1113"/>
      <c r="IXP2" s="1113"/>
      <c r="IXQ2" s="1113"/>
      <c r="IXR2" s="1113"/>
      <c r="IXS2" s="1113"/>
      <c r="IXT2" s="1113"/>
      <c r="IXU2" s="1113"/>
      <c r="IXV2" s="1113"/>
      <c r="IXW2" s="1113"/>
      <c r="IXX2" s="1113"/>
      <c r="IXY2" s="1113"/>
      <c r="IXZ2" s="1113"/>
      <c r="IYA2" s="1113"/>
      <c r="IYB2" s="1113"/>
      <c r="IYC2" s="1113"/>
      <c r="IYD2" s="1113"/>
      <c r="IYE2" s="1113"/>
      <c r="IYF2" s="1113"/>
      <c r="IYG2" s="1113"/>
      <c r="IYH2" s="1113"/>
      <c r="IYI2" s="1113"/>
      <c r="IYJ2" s="1113"/>
      <c r="IYK2" s="1113"/>
      <c r="IYL2" s="1113"/>
      <c r="IYM2" s="1113"/>
      <c r="IYN2" s="1113"/>
      <c r="IYO2" s="1113"/>
      <c r="IYP2" s="1113"/>
      <c r="IYQ2" s="1113"/>
      <c r="IYR2" s="1113"/>
      <c r="IYS2" s="1113"/>
      <c r="IYT2" s="1113"/>
      <c r="IYU2" s="1113"/>
      <c r="IYV2" s="1113"/>
      <c r="IYW2" s="1113"/>
      <c r="IYX2" s="1113"/>
      <c r="IYY2" s="1113"/>
      <c r="IYZ2" s="1113"/>
      <c r="IZA2" s="1113"/>
      <c r="IZB2" s="1113"/>
      <c r="IZC2" s="1113"/>
      <c r="IZD2" s="1113"/>
      <c r="IZE2" s="1113"/>
      <c r="IZF2" s="1113"/>
      <c r="IZG2" s="1113"/>
      <c r="IZH2" s="1113"/>
      <c r="IZI2" s="1113"/>
      <c r="IZJ2" s="1113"/>
      <c r="IZK2" s="1113"/>
      <c r="IZL2" s="1113"/>
      <c r="IZM2" s="1113"/>
      <c r="IZN2" s="1113"/>
      <c r="IZO2" s="1113"/>
      <c r="IZP2" s="1113"/>
      <c r="IZQ2" s="1113"/>
      <c r="IZR2" s="1113"/>
      <c r="IZS2" s="1113"/>
      <c r="IZT2" s="1113"/>
      <c r="IZU2" s="1113"/>
      <c r="IZV2" s="1113"/>
      <c r="IZW2" s="1113"/>
      <c r="IZX2" s="1113"/>
      <c r="IZY2" s="1113"/>
      <c r="IZZ2" s="1113"/>
      <c r="JAA2" s="1113"/>
      <c r="JAB2" s="1113"/>
      <c r="JAC2" s="1113"/>
      <c r="JAD2" s="1113"/>
      <c r="JAE2" s="1113"/>
      <c r="JAF2" s="1113"/>
      <c r="JAG2" s="1113"/>
      <c r="JAH2" s="1113"/>
      <c r="JAI2" s="1113"/>
      <c r="JAJ2" s="1113"/>
      <c r="JAK2" s="1113"/>
      <c r="JAL2" s="1113"/>
      <c r="JAM2" s="1113"/>
      <c r="JAN2" s="1113"/>
      <c r="JAO2" s="1113"/>
      <c r="JAP2" s="1113"/>
      <c r="JAQ2" s="1113"/>
      <c r="JAR2" s="1113"/>
      <c r="JAS2" s="1113"/>
      <c r="JAT2" s="1113"/>
      <c r="JAU2" s="1113"/>
      <c r="JAV2" s="1113"/>
      <c r="JAW2" s="1113"/>
      <c r="JAX2" s="1113"/>
      <c r="JAY2" s="1113"/>
      <c r="JAZ2" s="1113"/>
      <c r="JBA2" s="1113"/>
      <c r="JBB2" s="1113"/>
      <c r="JBC2" s="1113"/>
      <c r="JBD2" s="1113"/>
      <c r="JBE2" s="1113"/>
      <c r="JBF2" s="1113"/>
      <c r="JBG2" s="1113"/>
      <c r="JBH2" s="1113"/>
      <c r="JBI2" s="1113"/>
      <c r="JBJ2" s="1113"/>
      <c r="JBK2" s="1113"/>
      <c r="JBL2" s="1113"/>
      <c r="JBM2" s="1113"/>
      <c r="JBN2" s="1113"/>
      <c r="JBO2" s="1113"/>
      <c r="JBP2" s="1113"/>
      <c r="JBQ2" s="1113"/>
      <c r="JBR2" s="1113"/>
      <c r="JBS2" s="1113"/>
      <c r="JBT2" s="1113"/>
      <c r="JBU2" s="1113"/>
      <c r="JBV2" s="1113"/>
      <c r="JBW2" s="1113"/>
      <c r="JBX2" s="1113"/>
      <c r="JBY2" s="1113"/>
      <c r="JBZ2" s="1113"/>
      <c r="JCA2" s="1113"/>
      <c r="JCB2" s="1113"/>
      <c r="JCC2" s="1113"/>
      <c r="JCD2" s="1113"/>
      <c r="JCE2" s="1113"/>
      <c r="JCF2" s="1113"/>
      <c r="JCG2" s="1113"/>
      <c r="JCH2" s="1113"/>
      <c r="JCI2" s="1113"/>
      <c r="JCJ2" s="1113"/>
      <c r="JCK2" s="1113"/>
      <c r="JCL2" s="1113"/>
      <c r="JCM2" s="1113"/>
      <c r="JCN2" s="1113"/>
      <c r="JCO2" s="1113"/>
      <c r="JCP2" s="1113"/>
      <c r="JCQ2" s="1113"/>
      <c r="JCR2" s="1113"/>
      <c r="JCS2" s="1113"/>
      <c r="JCT2" s="1113"/>
      <c r="JCU2" s="1113"/>
      <c r="JCV2" s="1113"/>
      <c r="JCW2" s="1113"/>
      <c r="JCX2" s="1113"/>
      <c r="JCY2" s="1113"/>
      <c r="JCZ2" s="1113"/>
      <c r="JDA2" s="1113"/>
      <c r="JDB2" s="1113"/>
      <c r="JDC2" s="1113"/>
      <c r="JDD2" s="1113"/>
      <c r="JDE2" s="1113"/>
      <c r="JDF2" s="1113"/>
      <c r="JDG2" s="1113"/>
      <c r="JDH2" s="1113"/>
      <c r="JDI2" s="1113"/>
      <c r="JDJ2" s="1113"/>
      <c r="JDK2" s="1113"/>
      <c r="JDL2" s="1113"/>
      <c r="JDM2" s="1113"/>
      <c r="JDN2" s="1113"/>
      <c r="JDO2" s="1113"/>
      <c r="JDP2" s="1113"/>
      <c r="JDQ2" s="1113"/>
      <c r="JDR2" s="1113"/>
      <c r="JDS2" s="1113"/>
      <c r="JDT2" s="1113"/>
      <c r="JDU2" s="1113"/>
      <c r="JDV2" s="1113"/>
      <c r="JDW2" s="1113"/>
      <c r="JDX2" s="1113"/>
      <c r="JDY2" s="1113"/>
      <c r="JDZ2" s="1113"/>
      <c r="JEA2" s="1113"/>
      <c r="JEB2" s="1113"/>
      <c r="JEC2" s="1113"/>
      <c r="JED2" s="1113"/>
      <c r="JEE2" s="1113"/>
      <c r="JEF2" s="1113"/>
      <c r="JEG2" s="1113"/>
      <c r="JEH2" s="1113"/>
      <c r="JEI2" s="1113"/>
      <c r="JEJ2" s="1113"/>
      <c r="JEK2" s="1113"/>
      <c r="JEL2" s="1113"/>
      <c r="JEM2" s="1113"/>
      <c r="JEN2" s="1113"/>
      <c r="JEO2" s="1113"/>
      <c r="JEP2" s="1113"/>
      <c r="JEQ2" s="1113"/>
      <c r="JER2" s="1113"/>
      <c r="JES2" s="1113"/>
      <c r="JET2" s="1113"/>
      <c r="JEU2" s="1113"/>
      <c r="JEV2" s="1113"/>
      <c r="JEW2" s="1113"/>
      <c r="JEX2" s="1113"/>
      <c r="JEY2" s="1113"/>
      <c r="JEZ2" s="1113"/>
      <c r="JFA2" s="1113"/>
      <c r="JFB2" s="1113"/>
      <c r="JFC2" s="1113"/>
      <c r="JFD2" s="1113"/>
      <c r="JFE2" s="1113"/>
      <c r="JFF2" s="1113"/>
      <c r="JFG2" s="1113"/>
      <c r="JFH2" s="1113"/>
      <c r="JFI2" s="1113"/>
      <c r="JFJ2" s="1113"/>
      <c r="JFK2" s="1113"/>
      <c r="JFL2" s="1113"/>
      <c r="JFM2" s="1113"/>
      <c r="JFN2" s="1113"/>
      <c r="JFO2" s="1113"/>
      <c r="JFP2" s="1113"/>
      <c r="JFQ2" s="1113"/>
      <c r="JFR2" s="1113"/>
      <c r="JFS2" s="1113"/>
      <c r="JFT2" s="1113"/>
      <c r="JFU2" s="1113"/>
      <c r="JFV2" s="1113"/>
      <c r="JFW2" s="1113"/>
      <c r="JFX2" s="1113"/>
      <c r="JFY2" s="1113"/>
      <c r="JFZ2" s="1113"/>
      <c r="JGA2" s="1113"/>
      <c r="JGB2" s="1113"/>
      <c r="JGC2" s="1113"/>
      <c r="JGD2" s="1113"/>
      <c r="JGE2" s="1113"/>
      <c r="JGF2" s="1113"/>
      <c r="JGG2" s="1113"/>
      <c r="JGH2" s="1113"/>
      <c r="JGI2" s="1113"/>
      <c r="JGJ2" s="1113"/>
      <c r="JGK2" s="1113"/>
      <c r="JGL2" s="1113"/>
      <c r="JGM2" s="1113"/>
      <c r="JGN2" s="1113"/>
      <c r="JGO2" s="1113"/>
      <c r="JGP2" s="1113"/>
      <c r="JGQ2" s="1113"/>
      <c r="JGR2" s="1113"/>
      <c r="JGS2" s="1113"/>
      <c r="JGT2" s="1113"/>
      <c r="JGU2" s="1113"/>
      <c r="JGV2" s="1113"/>
      <c r="JGW2" s="1113"/>
      <c r="JGX2" s="1113"/>
      <c r="JGY2" s="1113"/>
      <c r="JGZ2" s="1113"/>
      <c r="JHA2" s="1113"/>
      <c r="JHB2" s="1113"/>
      <c r="JHC2" s="1113"/>
      <c r="JHD2" s="1113"/>
      <c r="JHE2" s="1113"/>
      <c r="JHF2" s="1113"/>
      <c r="JHG2" s="1113"/>
      <c r="JHH2" s="1113"/>
      <c r="JHI2" s="1113"/>
      <c r="JHJ2" s="1113"/>
      <c r="JHK2" s="1113"/>
      <c r="JHL2" s="1113"/>
      <c r="JHM2" s="1113"/>
      <c r="JHN2" s="1113"/>
      <c r="JHO2" s="1113"/>
      <c r="JHP2" s="1113"/>
      <c r="JHQ2" s="1113"/>
      <c r="JHR2" s="1113"/>
      <c r="JHS2" s="1113"/>
      <c r="JHT2" s="1113"/>
      <c r="JHU2" s="1113"/>
      <c r="JHV2" s="1113"/>
      <c r="JHW2" s="1113"/>
      <c r="JHX2" s="1113"/>
      <c r="JHY2" s="1113"/>
      <c r="JHZ2" s="1113"/>
      <c r="JIA2" s="1113"/>
      <c r="JIB2" s="1113"/>
      <c r="JIC2" s="1113"/>
      <c r="JID2" s="1113"/>
      <c r="JIE2" s="1113"/>
      <c r="JIF2" s="1113"/>
      <c r="JIG2" s="1113"/>
      <c r="JIH2" s="1113"/>
      <c r="JII2" s="1113"/>
      <c r="JIJ2" s="1113"/>
      <c r="JIK2" s="1113"/>
      <c r="JIL2" s="1113"/>
      <c r="JIM2" s="1113"/>
      <c r="JIN2" s="1113"/>
      <c r="JIO2" s="1113"/>
      <c r="JIP2" s="1113"/>
      <c r="JIQ2" s="1113"/>
      <c r="JIR2" s="1113"/>
      <c r="JIS2" s="1113"/>
      <c r="JIT2" s="1113"/>
      <c r="JIU2" s="1113"/>
      <c r="JIV2" s="1113"/>
      <c r="JIW2" s="1113"/>
      <c r="JIX2" s="1113"/>
      <c r="JIY2" s="1113"/>
      <c r="JIZ2" s="1113"/>
      <c r="JJA2" s="1113"/>
      <c r="JJB2" s="1113"/>
      <c r="JJC2" s="1113"/>
      <c r="JJD2" s="1113"/>
      <c r="JJE2" s="1113"/>
      <c r="JJF2" s="1113"/>
      <c r="JJG2" s="1113"/>
      <c r="JJH2" s="1113"/>
      <c r="JJI2" s="1113"/>
      <c r="JJJ2" s="1113"/>
      <c r="JJK2" s="1113"/>
      <c r="JJL2" s="1113"/>
      <c r="JJM2" s="1113"/>
      <c r="JJN2" s="1113"/>
      <c r="JJO2" s="1113"/>
      <c r="JJP2" s="1113"/>
      <c r="JJQ2" s="1113"/>
      <c r="JJR2" s="1113"/>
      <c r="JJS2" s="1113"/>
      <c r="JJT2" s="1113"/>
      <c r="JJU2" s="1113"/>
      <c r="JJV2" s="1113"/>
      <c r="JJW2" s="1113"/>
      <c r="JJX2" s="1113"/>
      <c r="JJY2" s="1113"/>
      <c r="JJZ2" s="1113"/>
      <c r="JKA2" s="1113"/>
      <c r="JKB2" s="1113"/>
      <c r="JKC2" s="1113"/>
      <c r="JKD2" s="1113"/>
      <c r="JKE2" s="1113"/>
      <c r="JKF2" s="1113"/>
      <c r="JKG2" s="1113"/>
      <c r="JKH2" s="1113"/>
      <c r="JKI2" s="1113"/>
      <c r="JKJ2" s="1113"/>
      <c r="JKK2" s="1113"/>
      <c r="JKL2" s="1113"/>
      <c r="JKM2" s="1113"/>
      <c r="JKN2" s="1113"/>
      <c r="JKO2" s="1113"/>
      <c r="JKP2" s="1113"/>
      <c r="JKQ2" s="1113"/>
      <c r="JKR2" s="1113"/>
      <c r="JKS2" s="1113"/>
      <c r="JKT2" s="1113"/>
      <c r="JKU2" s="1113"/>
      <c r="JKV2" s="1113"/>
      <c r="JKW2" s="1113"/>
      <c r="JKX2" s="1113"/>
      <c r="JKY2" s="1113"/>
      <c r="JKZ2" s="1113"/>
      <c r="JLA2" s="1113"/>
      <c r="JLB2" s="1113"/>
      <c r="JLC2" s="1113"/>
      <c r="JLD2" s="1113"/>
      <c r="JLE2" s="1113"/>
      <c r="JLF2" s="1113"/>
      <c r="JLG2" s="1113"/>
      <c r="JLH2" s="1113"/>
      <c r="JLI2" s="1113"/>
      <c r="JLJ2" s="1113"/>
      <c r="JLK2" s="1113"/>
      <c r="JLL2" s="1113"/>
      <c r="JLM2" s="1113"/>
      <c r="JLN2" s="1113"/>
      <c r="JLO2" s="1113"/>
      <c r="JLP2" s="1113"/>
      <c r="JLQ2" s="1113"/>
      <c r="JLR2" s="1113"/>
      <c r="JLS2" s="1113"/>
      <c r="JLT2" s="1113"/>
      <c r="JLU2" s="1113"/>
      <c r="JLV2" s="1113"/>
      <c r="JLW2" s="1113"/>
      <c r="JLX2" s="1113"/>
      <c r="JLY2" s="1113"/>
      <c r="JLZ2" s="1113"/>
      <c r="JMA2" s="1113"/>
      <c r="JMB2" s="1113"/>
      <c r="JMC2" s="1113"/>
      <c r="JMD2" s="1113"/>
      <c r="JME2" s="1113"/>
      <c r="JMF2" s="1113"/>
      <c r="JMG2" s="1113"/>
      <c r="JMH2" s="1113"/>
      <c r="JMI2" s="1113"/>
      <c r="JMJ2" s="1113"/>
      <c r="JMK2" s="1113"/>
      <c r="JML2" s="1113"/>
      <c r="JMM2" s="1113"/>
      <c r="JMN2" s="1113"/>
      <c r="JMO2" s="1113"/>
      <c r="JMP2" s="1113"/>
      <c r="JMQ2" s="1113"/>
      <c r="JMR2" s="1113"/>
      <c r="JMS2" s="1113"/>
      <c r="JMT2" s="1113"/>
      <c r="JMU2" s="1113"/>
      <c r="JMV2" s="1113"/>
      <c r="JMW2" s="1113"/>
      <c r="JMX2" s="1113"/>
      <c r="JMY2" s="1113"/>
      <c r="JMZ2" s="1113"/>
      <c r="JNA2" s="1113"/>
      <c r="JNB2" s="1113"/>
      <c r="JNC2" s="1113"/>
      <c r="JND2" s="1113"/>
      <c r="JNE2" s="1113"/>
      <c r="JNF2" s="1113"/>
      <c r="JNG2" s="1113"/>
      <c r="JNH2" s="1113"/>
      <c r="JNI2" s="1113"/>
      <c r="JNJ2" s="1113"/>
      <c r="JNK2" s="1113"/>
      <c r="JNL2" s="1113"/>
      <c r="JNM2" s="1113"/>
      <c r="JNN2" s="1113"/>
      <c r="JNO2" s="1113"/>
      <c r="JNP2" s="1113"/>
      <c r="JNQ2" s="1113"/>
      <c r="JNR2" s="1113"/>
      <c r="JNS2" s="1113"/>
      <c r="JNT2" s="1113"/>
      <c r="JNU2" s="1113"/>
      <c r="JNV2" s="1113"/>
      <c r="JNW2" s="1113"/>
      <c r="JNX2" s="1113"/>
      <c r="JNY2" s="1113"/>
      <c r="JNZ2" s="1113"/>
      <c r="JOA2" s="1113"/>
      <c r="JOB2" s="1113"/>
      <c r="JOC2" s="1113"/>
      <c r="JOD2" s="1113"/>
      <c r="JOE2" s="1113"/>
      <c r="JOF2" s="1113"/>
      <c r="JOG2" s="1113"/>
      <c r="JOH2" s="1113"/>
      <c r="JOI2" s="1113"/>
      <c r="JOJ2" s="1113"/>
      <c r="JOK2" s="1113"/>
      <c r="JOL2" s="1113"/>
      <c r="JOM2" s="1113"/>
      <c r="JON2" s="1113"/>
      <c r="JOO2" s="1113"/>
      <c r="JOP2" s="1113"/>
      <c r="JOQ2" s="1113"/>
      <c r="JOR2" s="1113"/>
      <c r="JOS2" s="1113"/>
      <c r="JOT2" s="1113"/>
      <c r="JOU2" s="1113"/>
      <c r="JOV2" s="1113"/>
      <c r="JOW2" s="1113"/>
      <c r="JOX2" s="1113"/>
      <c r="JOY2" s="1113"/>
      <c r="JOZ2" s="1113"/>
      <c r="JPA2" s="1113"/>
      <c r="JPB2" s="1113"/>
      <c r="JPC2" s="1113"/>
      <c r="JPD2" s="1113"/>
      <c r="JPE2" s="1113"/>
      <c r="JPF2" s="1113"/>
      <c r="JPG2" s="1113"/>
      <c r="JPH2" s="1113"/>
      <c r="JPI2" s="1113"/>
      <c r="JPJ2" s="1113"/>
      <c r="JPK2" s="1113"/>
      <c r="JPL2" s="1113"/>
      <c r="JPM2" s="1113"/>
      <c r="JPN2" s="1113"/>
      <c r="JPO2" s="1113"/>
      <c r="JPP2" s="1113"/>
      <c r="JPQ2" s="1113"/>
      <c r="JPR2" s="1113"/>
      <c r="JPS2" s="1113"/>
      <c r="JPT2" s="1113"/>
      <c r="JPU2" s="1113"/>
      <c r="JPV2" s="1113"/>
      <c r="JPW2" s="1113"/>
      <c r="JPX2" s="1113"/>
      <c r="JPY2" s="1113"/>
      <c r="JPZ2" s="1113"/>
      <c r="JQA2" s="1113"/>
      <c r="JQB2" s="1113"/>
      <c r="JQC2" s="1113"/>
      <c r="JQD2" s="1113"/>
      <c r="JQE2" s="1113"/>
      <c r="JQF2" s="1113"/>
      <c r="JQG2" s="1113"/>
      <c r="JQH2" s="1113"/>
      <c r="JQI2" s="1113"/>
      <c r="JQJ2" s="1113"/>
      <c r="JQK2" s="1113"/>
      <c r="JQL2" s="1113"/>
      <c r="JQM2" s="1113"/>
      <c r="JQN2" s="1113"/>
      <c r="JQO2" s="1113"/>
      <c r="JQP2" s="1113"/>
      <c r="JQQ2" s="1113"/>
      <c r="JQR2" s="1113"/>
      <c r="JQS2" s="1113"/>
      <c r="JQT2" s="1113"/>
      <c r="JQU2" s="1113"/>
      <c r="JQV2" s="1113"/>
      <c r="JQW2" s="1113"/>
      <c r="JQX2" s="1113"/>
      <c r="JQY2" s="1113"/>
      <c r="JQZ2" s="1113"/>
      <c r="JRA2" s="1113"/>
      <c r="JRB2" s="1113"/>
      <c r="JRC2" s="1113"/>
      <c r="JRD2" s="1113"/>
      <c r="JRE2" s="1113"/>
      <c r="JRF2" s="1113"/>
      <c r="JRG2" s="1113"/>
      <c r="JRH2" s="1113"/>
      <c r="JRI2" s="1113"/>
      <c r="JRJ2" s="1113"/>
      <c r="JRK2" s="1113"/>
      <c r="JRL2" s="1113"/>
      <c r="JRM2" s="1113"/>
      <c r="JRN2" s="1113"/>
      <c r="JRO2" s="1113"/>
      <c r="JRP2" s="1113"/>
      <c r="JRQ2" s="1113"/>
      <c r="JRR2" s="1113"/>
      <c r="JRS2" s="1113"/>
      <c r="JRT2" s="1113"/>
      <c r="JRU2" s="1113"/>
      <c r="JRV2" s="1113"/>
      <c r="JRW2" s="1113"/>
      <c r="JRX2" s="1113"/>
      <c r="JRY2" s="1113"/>
      <c r="JRZ2" s="1113"/>
      <c r="JSA2" s="1113"/>
      <c r="JSB2" s="1113"/>
      <c r="JSC2" s="1113"/>
      <c r="JSD2" s="1113"/>
      <c r="JSE2" s="1113"/>
      <c r="JSF2" s="1113"/>
      <c r="JSG2" s="1113"/>
      <c r="JSH2" s="1113"/>
      <c r="JSI2" s="1113"/>
      <c r="JSJ2" s="1113"/>
      <c r="JSK2" s="1113"/>
      <c r="JSL2" s="1113"/>
      <c r="JSM2" s="1113"/>
      <c r="JSN2" s="1113"/>
      <c r="JSO2" s="1113"/>
      <c r="JSP2" s="1113"/>
      <c r="JSQ2" s="1113"/>
      <c r="JSR2" s="1113"/>
      <c r="JSS2" s="1113"/>
      <c r="JST2" s="1113"/>
      <c r="JSU2" s="1113"/>
      <c r="JSV2" s="1113"/>
      <c r="JSW2" s="1113"/>
      <c r="JSX2" s="1113"/>
      <c r="JSY2" s="1113"/>
      <c r="JSZ2" s="1113"/>
      <c r="JTA2" s="1113"/>
      <c r="JTB2" s="1113"/>
      <c r="JTC2" s="1113"/>
      <c r="JTD2" s="1113"/>
      <c r="JTE2" s="1113"/>
      <c r="JTF2" s="1113"/>
      <c r="JTG2" s="1113"/>
      <c r="JTH2" s="1113"/>
      <c r="JTI2" s="1113"/>
      <c r="JTJ2" s="1113"/>
      <c r="JTK2" s="1113"/>
      <c r="JTL2" s="1113"/>
      <c r="JTM2" s="1113"/>
      <c r="JTN2" s="1113"/>
      <c r="JTO2" s="1113"/>
      <c r="JTP2" s="1113"/>
      <c r="JTQ2" s="1113"/>
      <c r="JTR2" s="1113"/>
      <c r="JTS2" s="1113"/>
      <c r="JTT2" s="1113"/>
      <c r="JTU2" s="1113"/>
      <c r="JTV2" s="1113"/>
      <c r="JTW2" s="1113"/>
      <c r="JTX2" s="1113"/>
      <c r="JTY2" s="1113"/>
      <c r="JTZ2" s="1113"/>
      <c r="JUA2" s="1113"/>
      <c r="JUB2" s="1113"/>
      <c r="JUC2" s="1113"/>
      <c r="JUD2" s="1113"/>
      <c r="JUE2" s="1113"/>
      <c r="JUF2" s="1113"/>
      <c r="JUG2" s="1113"/>
      <c r="JUH2" s="1113"/>
      <c r="JUI2" s="1113"/>
      <c r="JUJ2" s="1113"/>
      <c r="JUK2" s="1113"/>
      <c r="JUL2" s="1113"/>
      <c r="JUM2" s="1113"/>
      <c r="JUN2" s="1113"/>
      <c r="JUO2" s="1113"/>
      <c r="JUP2" s="1113"/>
      <c r="JUQ2" s="1113"/>
      <c r="JUR2" s="1113"/>
      <c r="JUS2" s="1113"/>
      <c r="JUT2" s="1113"/>
      <c r="JUU2" s="1113"/>
      <c r="JUV2" s="1113"/>
      <c r="JUW2" s="1113"/>
      <c r="JUX2" s="1113"/>
      <c r="JUY2" s="1113"/>
      <c r="JUZ2" s="1113"/>
      <c r="JVA2" s="1113"/>
      <c r="JVB2" s="1113"/>
      <c r="JVC2" s="1113"/>
      <c r="JVD2" s="1113"/>
      <c r="JVE2" s="1113"/>
      <c r="JVF2" s="1113"/>
      <c r="JVG2" s="1113"/>
      <c r="JVH2" s="1113"/>
      <c r="JVI2" s="1113"/>
      <c r="JVJ2" s="1113"/>
      <c r="JVK2" s="1113"/>
      <c r="JVL2" s="1113"/>
      <c r="JVM2" s="1113"/>
      <c r="JVN2" s="1113"/>
      <c r="JVO2" s="1113"/>
      <c r="JVP2" s="1113"/>
      <c r="JVQ2" s="1113"/>
      <c r="JVR2" s="1113"/>
      <c r="JVS2" s="1113"/>
      <c r="JVT2" s="1113"/>
      <c r="JVU2" s="1113"/>
      <c r="JVV2" s="1113"/>
      <c r="JVW2" s="1113"/>
      <c r="JVX2" s="1113"/>
      <c r="JVY2" s="1113"/>
      <c r="JVZ2" s="1113"/>
      <c r="JWA2" s="1113"/>
      <c r="JWB2" s="1113"/>
      <c r="JWC2" s="1113"/>
      <c r="JWD2" s="1113"/>
      <c r="JWE2" s="1113"/>
      <c r="JWF2" s="1113"/>
      <c r="JWG2" s="1113"/>
      <c r="JWH2" s="1113"/>
      <c r="JWI2" s="1113"/>
      <c r="JWJ2" s="1113"/>
      <c r="JWK2" s="1113"/>
      <c r="JWL2" s="1113"/>
      <c r="JWM2" s="1113"/>
      <c r="JWN2" s="1113"/>
      <c r="JWO2" s="1113"/>
      <c r="JWP2" s="1113"/>
      <c r="JWQ2" s="1113"/>
      <c r="JWR2" s="1113"/>
      <c r="JWS2" s="1113"/>
      <c r="JWT2" s="1113"/>
      <c r="JWU2" s="1113"/>
      <c r="JWV2" s="1113"/>
      <c r="JWW2" s="1113"/>
      <c r="JWX2" s="1113"/>
      <c r="JWY2" s="1113"/>
      <c r="JWZ2" s="1113"/>
      <c r="JXA2" s="1113"/>
      <c r="JXB2" s="1113"/>
      <c r="JXC2" s="1113"/>
      <c r="JXD2" s="1113"/>
      <c r="JXE2" s="1113"/>
      <c r="JXF2" s="1113"/>
      <c r="JXG2" s="1113"/>
      <c r="JXH2" s="1113"/>
      <c r="JXI2" s="1113"/>
      <c r="JXJ2" s="1113"/>
      <c r="JXK2" s="1113"/>
      <c r="JXL2" s="1113"/>
      <c r="JXM2" s="1113"/>
      <c r="JXN2" s="1113"/>
      <c r="JXO2" s="1113"/>
      <c r="JXP2" s="1113"/>
      <c r="JXQ2" s="1113"/>
      <c r="JXR2" s="1113"/>
      <c r="JXS2" s="1113"/>
      <c r="JXT2" s="1113"/>
      <c r="JXU2" s="1113"/>
      <c r="JXV2" s="1113"/>
      <c r="JXW2" s="1113"/>
      <c r="JXX2" s="1113"/>
      <c r="JXY2" s="1113"/>
      <c r="JXZ2" s="1113"/>
      <c r="JYA2" s="1113"/>
      <c r="JYB2" s="1113"/>
      <c r="JYC2" s="1113"/>
      <c r="JYD2" s="1113"/>
      <c r="JYE2" s="1113"/>
      <c r="JYF2" s="1113"/>
      <c r="JYG2" s="1113"/>
      <c r="JYH2" s="1113"/>
      <c r="JYI2" s="1113"/>
      <c r="JYJ2" s="1113"/>
      <c r="JYK2" s="1113"/>
      <c r="JYL2" s="1113"/>
      <c r="JYM2" s="1113"/>
      <c r="JYN2" s="1113"/>
      <c r="JYO2" s="1113"/>
      <c r="JYP2" s="1113"/>
      <c r="JYQ2" s="1113"/>
      <c r="JYR2" s="1113"/>
      <c r="JYS2" s="1113"/>
      <c r="JYT2" s="1113"/>
      <c r="JYU2" s="1113"/>
      <c r="JYV2" s="1113"/>
      <c r="JYW2" s="1113"/>
      <c r="JYX2" s="1113"/>
      <c r="JYY2" s="1113"/>
      <c r="JYZ2" s="1113"/>
      <c r="JZA2" s="1113"/>
      <c r="JZB2" s="1113"/>
      <c r="JZC2" s="1113"/>
      <c r="JZD2" s="1113"/>
      <c r="JZE2" s="1113"/>
      <c r="JZF2" s="1113"/>
      <c r="JZG2" s="1113"/>
      <c r="JZH2" s="1113"/>
      <c r="JZI2" s="1113"/>
      <c r="JZJ2" s="1113"/>
      <c r="JZK2" s="1113"/>
      <c r="JZL2" s="1113"/>
      <c r="JZM2" s="1113"/>
      <c r="JZN2" s="1113"/>
      <c r="JZO2" s="1113"/>
      <c r="JZP2" s="1113"/>
      <c r="JZQ2" s="1113"/>
      <c r="JZR2" s="1113"/>
      <c r="JZS2" s="1113"/>
      <c r="JZT2" s="1113"/>
      <c r="JZU2" s="1113"/>
      <c r="JZV2" s="1113"/>
      <c r="JZW2" s="1113"/>
      <c r="JZX2" s="1113"/>
      <c r="JZY2" s="1113"/>
      <c r="JZZ2" s="1113"/>
      <c r="KAA2" s="1113"/>
      <c r="KAB2" s="1113"/>
      <c r="KAC2" s="1113"/>
      <c r="KAD2" s="1113"/>
      <c r="KAE2" s="1113"/>
      <c r="KAF2" s="1113"/>
      <c r="KAG2" s="1113"/>
      <c r="KAH2" s="1113"/>
      <c r="KAI2" s="1113"/>
      <c r="KAJ2" s="1113"/>
      <c r="KAK2" s="1113"/>
      <c r="KAL2" s="1113"/>
      <c r="KAM2" s="1113"/>
      <c r="KAN2" s="1113"/>
      <c r="KAO2" s="1113"/>
      <c r="KAP2" s="1113"/>
      <c r="KAQ2" s="1113"/>
      <c r="KAR2" s="1113"/>
      <c r="KAS2" s="1113"/>
      <c r="KAT2" s="1113"/>
      <c r="KAU2" s="1113"/>
      <c r="KAV2" s="1113"/>
      <c r="KAW2" s="1113"/>
      <c r="KAX2" s="1113"/>
      <c r="KAY2" s="1113"/>
      <c r="KAZ2" s="1113"/>
      <c r="KBA2" s="1113"/>
      <c r="KBB2" s="1113"/>
      <c r="KBC2" s="1113"/>
      <c r="KBD2" s="1113"/>
      <c r="KBE2" s="1113"/>
      <c r="KBF2" s="1113"/>
      <c r="KBG2" s="1113"/>
      <c r="KBH2" s="1113"/>
      <c r="KBI2" s="1113"/>
      <c r="KBJ2" s="1113"/>
      <c r="KBK2" s="1113"/>
      <c r="KBL2" s="1113"/>
      <c r="KBM2" s="1113"/>
      <c r="KBN2" s="1113"/>
      <c r="KBO2" s="1113"/>
      <c r="KBP2" s="1113"/>
      <c r="KBQ2" s="1113"/>
      <c r="KBR2" s="1113"/>
      <c r="KBS2" s="1113"/>
      <c r="KBT2" s="1113"/>
      <c r="KBU2" s="1113"/>
      <c r="KBV2" s="1113"/>
      <c r="KBW2" s="1113"/>
      <c r="KBX2" s="1113"/>
      <c r="KBY2" s="1113"/>
      <c r="KBZ2" s="1113"/>
      <c r="KCA2" s="1113"/>
      <c r="KCB2" s="1113"/>
      <c r="KCC2" s="1113"/>
      <c r="KCD2" s="1113"/>
      <c r="KCE2" s="1113"/>
      <c r="KCF2" s="1113"/>
      <c r="KCG2" s="1113"/>
      <c r="KCH2" s="1113"/>
      <c r="KCI2" s="1113"/>
      <c r="KCJ2" s="1113"/>
      <c r="KCK2" s="1113"/>
      <c r="KCL2" s="1113"/>
      <c r="KCM2" s="1113"/>
      <c r="KCN2" s="1113"/>
      <c r="KCO2" s="1113"/>
      <c r="KCP2" s="1113"/>
      <c r="KCQ2" s="1113"/>
      <c r="KCR2" s="1113"/>
      <c r="KCS2" s="1113"/>
      <c r="KCT2" s="1113"/>
      <c r="KCU2" s="1113"/>
      <c r="KCV2" s="1113"/>
      <c r="KCW2" s="1113"/>
      <c r="KCX2" s="1113"/>
      <c r="KCY2" s="1113"/>
      <c r="KCZ2" s="1113"/>
      <c r="KDA2" s="1113"/>
      <c r="KDB2" s="1113"/>
      <c r="KDC2" s="1113"/>
      <c r="KDD2" s="1113"/>
      <c r="KDE2" s="1113"/>
      <c r="KDF2" s="1113"/>
      <c r="KDG2" s="1113"/>
      <c r="KDH2" s="1113"/>
      <c r="KDI2" s="1113"/>
      <c r="KDJ2" s="1113"/>
      <c r="KDK2" s="1113"/>
      <c r="KDL2" s="1113"/>
      <c r="KDM2" s="1113"/>
      <c r="KDN2" s="1113"/>
      <c r="KDO2" s="1113"/>
      <c r="KDP2" s="1113"/>
      <c r="KDQ2" s="1113"/>
      <c r="KDR2" s="1113"/>
      <c r="KDS2" s="1113"/>
      <c r="KDT2" s="1113"/>
      <c r="KDU2" s="1113"/>
      <c r="KDV2" s="1113"/>
      <c r="KDW2" s="1113"/>
      <c r="KDX2" s="1113"/>
      <c r="KDY2" s="1113"/>
      <c r="KDZ2" s="1113"/>
      <c r="KEA2" s="1113"/>
      <c r="KEB2" s="1113"/>
      <c r="KEC2" s="1113"/>
      <c r="KED2" s="1113"/>
      <c r="KEE2" s="1113"/>
      <c r="KEF2" s="1113"/>
      <c r="KEG2" s="1113"/>
      <c r="KEH2" s="1113"/>
      <c r="KEI2" s="1113"/>
      <c r="KEJ2" s="1113"/>
      <c r="KEK2" s="1113"/>
      <c r="KEL2" s="1113"/>
      <c r="KEM2" s="1113"/>
      <c r="KEN2" s="1113"/>
      <c r="KEO2" s="1113"/>
      <c r="KEP2" s="1113"/>
      <c r="KEQ2" s="1113"/>
      <c r="KER2" s="1113"/>
      <c r="KES2" s="1113"/>
      <c r="KET2" s="1113"/>
      <c r="KEU2" s="1113"/>
      <c r="KEV2" s="1113"/>
      <c r="KEW2" s="1113"/>
      <c r="KEX2" s="1113"/>
      <c r="KEY2" s="1113"/>
      <c r="KEZ2" s="1113"/>
      <c r="KFA2" s="1113"/>
      <c r="KFB2" s="1113"/>
      <c r="KFC2" s="1113"/>
      <c r="KFD2" s="1113"/>
      <c r="KFE2" s="1113"/>
      <c r="KFF2" s="1113"/>
      <c r="KFG2" s="1113"/>
      <c r="KFH2" s="1113"/>
      <c r="KFI2" s="1113"/>
      <c r="KFJ2" s="1113"/>
      <c r="KFK2" s="1113"/>
      <c r="KFL2" s="1113"/>
      <c r="KFM2" s="1113"/>
      <c r="KFN2" s="1113"/>
      <c r="KFO2" s="1113"/>
      <c r="KFP2" s="1113"/>
      <c r="KFQ2" s="1113"/>
      <c r="KFR2" s="1113"/>
      <c r="KFS2" s="1113"/>
      <c r="KFT2" s="1113"/>
      <c r="KFU2" s="1113"/>
      <c r="KFV2" s="1113"/>
      <c r="KFW2" s="1113"/>
      <c r="KFX2" s="1113"/>
      <c r="KFY2" s="1113"/>
      <c r="KFZ2" s="1113"/>
      <c r="KGA2" s="1113"/>
      <c r="KGB2" s="1113"/>
      <c r="KGC2" s="1113"/>
      <c r="KGD2" s="1113"/>
      <c r="KGE2" s="1113"/>
      <c r="KGF2" s="1113"/>
      <c r="KGG2" s="1113"/>
      <c r="KGH2" s="1113"/>
      <c r="KGI2" s="1113"/>
      <c r="KGJ2" s="1113"/>
      <c r="KGK2" s="1113"/>
      <c r="KGL2" s="1113"/>
      <c r="KGM2" s="1113"/>
      <c r="KGN2" s="1113"/>
      <c r="KGO2" s="1113"/>
      <c r="KGP2" s="1113"/>
      <c r="KGQ2" s="1113"/>
      <c r="KGR2" s="1113"/>
      <c r="KGS2" s="1113"/>
      <c r="KGT2" s="1113"/>
      <c r="KGU2" s="1113"/>
      <c r="KGV2" s="1113"/>
      <c r="KGW2" s="1113"/>
      <c r="KGX2" s="1113"/>
      <c r="KGY2" s="1113"/>
      <c r="KGZ2" s="1113"/>
      <c r="KHA2" s="1113"/>
      <c r="KHB2" s="1113"/>
      <c r="KHC2" s="1113"/>
      <c r="KHD2" s="1113"/>
      <c r="KHE2" s="1113"/>
      <c r="KHF2" s="1113"/>
      <c r="KHG2" s="1113"/>
      <c r="KHH2" s="1113"/>
      <c r="KHI2" s="1113"/>
      <c r="KHJ2" s="1113"/>
      <c r="KHK2" s="1113"/>
      <c r="KHL2" s="1113"/>
      <c r="KHM2" s="1113"/>
      <c r="KHN2" s="1113"/>
      <c r="KHO2" s="1113"/>
      <c r="KHP2" s="1113"/>
      <c r="KHQ2" s="1113"/>
      <c r="KHR2" s="1113"/>
      <c r="KHS2" s="1113"/>
      <c r="KHT2" s="1113"/>
      <c r="KHU2" s="1113"/>
      <c r="KHV2" s="1113"/>
      <c r="KHW2" s="1113"/>
      <c r="KHX2" s="1113"/>
      <c r="KHY2" s="1113"/>
      <c r="KHZ2" s="1113"/>
      <c r="KIA2" s="1113"/>
      <c r="KIB2" s="1113"/>
      <c r="KIC2" s="1113"/>
      <c r="KID2" s="1113"/>
      <c r="KIE2" s="1113"/>
      <c r="KIF2" s="1113"/>
      <c r="KIG2" s="1113"/>
      <c r="KIH2" s="1113"/>
      <c r="KII2" s="1113"/>
      <c r="KIJ2" s="1113"/>
      <c r="KIK2" s="1113"/>
      <c r="KIL2" s="1113"/>
      <c r="KIM2" s="1113"/>
      <c r="KIN2" s="1113"/>
      <c r="KIO2" s="1113"/>
      <c r="KIP2" s="1113"/>
      <c r="KIQ2" s="1113"/>
      <c r="KIR2" s="1113"/>
      <c r="KIS2" s="1113"/>
      <c r="KIT2" s="1113"/>
      <c r="KIU2" s="1113"/>
      <c r="KIV2" s="1113"/>
      <c r="KIW2" s="1113"/>
      <c r="KIX2" s="1113"/>
      <c r="KIY2" s="1113"/>
      <c r="KIZ2" s="1113"/>
      <c r="KJA2" s="1113"/>
      <c r="KJB2" s="1113"/>
      <c r="KJC2" s="1113"/>
      <c r="KJD2" s="1113"/>
      <c r="KJE2" s="1113"/>
      <c r="KJF2" s="1113"/>
      <c r="KJG2" s="1113"/>
      <c r="KJH2" s="1113"/>
      <c r="KJI2" s="1113"/>
      <c r="KJJ2" s="1113"/>
      <c r="KJK2" s="1113"/>
      <c r="KJL2" s="1113"/>
      <c r="KJM2" s="1113"/>
      <c r="KJN2" s="1113"/>
      <c r="KJO2" s="1113"/>
      <c r="KJP2" s="1113"/>
      <c r="KJQ2" s="1113"/>
      <c r="KJR2" s="1113"/>
      <c r="KJS2" s="1113"/>
      <c r="KJT2" s="1113"/>
      <c r="KJU2" s="1113"/>
      <c r="KJV2" s="1113"/>
      <c r="KJW2" s="1113"/>
      <c r="KJX2" s="1113"/>
      <c r="KJY2" s="1113"/>
      <c r="KJZ2" s="1113"/>
      <c r="KKA2" s="1113"/>
      <c r="KKB2" s="1113"/>
      <c r="KKC2" s="1113"/>
      <c r="KKD2" s="1113"/>
      <c r="KKE2" s="1113"/>
      <c r="KKF2" s="1113"/>
      <c r="KKG2" s="1113"/>
      <c r="KKH2" s="1113"/>
      <c r="KKI2" s="1113"/>
      <c r="KKJ2" s="1113"/>
      <c r="KKK2" s="1113"/>
      <c r="KKL2" s="1113"/>
      <c r="KKM2" s="1113"/>
      <c r="KKN2" s="1113"/>
      <c r="KKO2" s="1113"/>
      <c r="KKP2" s="1113"/>
      <c r="KKQ2" s="1113"/>
      <c r="KKR2" s="1113"/>
      <c r="KKS2" s="1113"/>
      <c r="KKT2" s="1113"/>
      <c r="KKU2" s="1113"/>
      <c r="KKV2" s="1113"/>
      <c r="KKW2" s="1113"/>
      <c r="KKX2" s="1113"/>
      <c r="KKY2" s="1113"/>
      <c r="KKZ2" s="1113"/>
      <c r="KLA2" s="1113"/>
      <c r="KLB2" s="1113"/>
      <c r="KLC2" s="1113"/>
      <c r="KLD2" s="1113"/>
      <c r="KLE2" s="1113"/>
      <c r="KLF2" s="1113"/>
      <c r="KLG2" s="1113"/>
      <c r="KLH2" s="1113"/>
      <c r="KLI2" s="1113"/>
      <c r="KLJ2" s="1113"/>
      <c r="KLK2" s="1113"/>
      <c r="KLL2" s="1113"/>
      <c r="KLM2" s="1113"/>
      <c r="KLN2" s="1113"/>
      <c r="KLO2" s="1113"/>
      <c r="KLP2" s="1113"/>
      <c r="KLQ2" s="1113"/>
      <c r="KLR2" s="1113"/>
      <c r="KLS2" s="1113"/>
      <c r="KLT2" s="1113"/>
      <c r="KLU2" s="1113"/>
      <c r="KLV2" s="1113"/>
      <c r="KLW2" s="1113"/>
      <c r="KLX2" s="1113"/>
      <c r="KLY2" s="1113"/>
      <c r="KLZ2" s="1113"/>
      <c r="KMA2" s="1113"/>
      <c r="KMB2" s="1113"/>
      <c r="KMC2" s="1113"/>
      <c r="KMD2" s="1113"/>
      <c r="KME2" s="1113"/>
      <c r="KMF2" s="1113"/>
      <c r="KMG2" s="1113"/>
      <c r="KMH2" s="1113"/>
      <c r="KMI2" s="1113"/>
      <c r="KMJ2" s="1113"/>
      <c r="KMK2" s="1113"/>
      <c r="KML2" s="1113"/>
      <c r="KMM2" s="1113"/>
      <c r="KMN2" s="1113"/>
      <c r="KMO2" s="1113"/>
      <c r="KMP2" s="1113"/>
      <c r="KMQ2" s="1113"/>
      <c r="KMR2" s="1113"/>
      <c r="KMS2" s="1113"/>
      <c r="KMT2" s="1113"/>
      <c r="KMU2" s="1113"/>
      <c r="KMV2" s="1113"/>
      <c r="KMW2" s="1113"/>
      <c r="KMX2" s="1113"/>
      <c r="KMY2" s="1113"/>
      <c r="KMZ2" s="1113"/>
      <c r="KNA2" s="1113"/>
      <c r="KNB2" s="1113"/>
      <c r="KNC2" s="1113"/>
      <c r="KND2" s="1113"/>
      <c r="KNE2" s="1113"/>
      <c r="KNF2" s="1113"/>
      <c r="KNG2" s="1113"/>
      <c r="KNH2" s="1113"/>
      <c r="KNI2" s="1113"/>
      <c r="KNJ2" s="1113"/>
      <c r="KNK2" s="1113"/>
      <c r="KNL2" s="1113"/>
      <c r="KNM2" s="1113"/>
      <c r="KNN2" s="1113"/>
      <c r="KNO2" s="1113"/>
      <c r="KNP2" s="1113"/>
      <c r="KNQ2" s="1113"/>
      <c r="KNR2" s="1113"/>
      <c r="KNS2" s="1113"/>
      <c r="KNT2" s="1113"/>
      <c r="KNU2" s="1113"/>
      <c r="KNV2" s="1113"/>
      <c r="KNW2" s="1113"/>
      <c r="KNX2" s="1113"/>
      <c r="KNY2" s="1113"/>
      <c r="KNZ2" s="1113"/>
      <c r="KOA2" s="1113"/>
      <c r="KOB2" s="1113"/>
      <c r="KOC2" s="1113"/>
      <c r="KOD2" s="1113"/>
      <c r="KOE2" s="1113"/>
      <c r="KOF2" s="1113"/>
      <c r="KOG2" s="1113"/>
      <c r="KOH2" s="1113"/>
      <c r="KOI2" s="1113"/>
      <c r="KOJ2" s="1113"/>
      <c r="KOK2" s="1113"/>
      <c r="KOL2" s="1113"/>
      <c r="KOM2" s="1113"/>
      <c r="KON2" s="1113"/>
      <c r="KOO2" s="1113"/>
      <c r="KOP2" s="1113"/>
      <c r="KOQ2" s="1113"/>
      <c r="KOR2" s="1113"/>
      <c r="KOS2" s="1113"/>
      <c r="KOT2" s="1113"/>
      <c r="KOU2" s="1113"/>
      <c r="KOV2" s="1113"/>
      <c r="KOW2" s="1113"/>
      <c r="KOX2" s="1113"/>
      <c r="KOY2" s="1113"/>
      <c r="KOZ2" s="1113"/>
      <c r="KPA2" s="1113"/>
      <c r="KPB2" s="1113"/>
      <c r="KPC2" s="1113"/>
      <c r="KPD2" s="1113"/>
      <c r="KPE2" s="1113"/>
      <c r="KPF2" s="1113"/>
      <c r="KPG2" s="1113"/>
      <c r="KPH2" s="1113"/>
      <c r="KPI2" s="1113"/>
      <c r="KPJ2" s="1113"/>
      <c r="KPK2" s="1113"/>
      <c r="KPL2" s="1113"/>
      <c r="KPM2" s="1113"/>
      <c r="KPN2" s="1113"/>
      <c r="KPO2" s="1113"/>
      <c r="KPP2" s="1113"/>
      <c r="KPQ2" s="1113"/>
      <c r="KPR2" s="1113"/>
      <c r="KPS2" s="1113"/>
      <c r="KPT2" s="1113"/>
      <c r="KPU2" s="1113"/>
      <c r="KPV2" s="1113"/>
      <c r="KPW2" s="1113"/>
      <c r="KPX2" s="1113"/>
      <c r="KPY2" s="1113"/>
      <c r="KPZ2" s="1113"/>
      <c r="KQA2" s="1113"/>
      <c r="KQB2" s="1113"/>
      <c r="KQC2" s="1113"/>
      <c r="KQD2" s="1113"/>
      <c r="KQE2" s="1113"/>
      <c r="KQF2" s="1113"/>
      <c r="KQG2" s="1113"/>
      <c r="KQH2" s="1113"/>
      <c r="KQI2" s="1113"/>
      <c r="KQJ2" s="1113"/>
      <c r="KQK2" s="1113"/>
      <c r="KQL2" s="1113"/>
      <c r="KQM2" s="1113"/>
      <c r="KQN2" s="1113"/>
      <c r="KQO2" s="1113"/>
      <c r="KQP2" s="1113"/>
      <c r="KQQ2" s="1113"/>
      <c r="KQR2" s="1113"/>
      <c r="KQS2" s="1113"/>
      <c r="KQT2" s="1113"/>
      <c r="KQU2" s="1113"/>
      <c r="KQV2" s="1113"/>
      <c r="KQW2" s="1113"/>
      <c r="KQX2" s="1113"/>
      <c r="KQY2" s="1113"/>
      <c r="KQZ2" s="1113"/>
      <c r="KRA2" s="1113"/>
      <c r="KRB2" s="1113"/>
      <c r="KRC2" s="1113"/>
      <c r="KRD2" s="1113"/>
      <c r="KRE2" s="1113"/>
      <c r="KRF2" s="1113"/>
      <c r="KRG2" s="1113"/>
      <c r="KRH2" s="1113"/>
      <c r="KRI2" s="1113"/>
      <c r="KRJ2" s="1113"/>
      <c r="KRK2" s="1113"/>
      <c r="KRL2" s="1113"/>
      <c r="KRM2" s="1113"/>
      <c r="KRN2" s="1113"/>
      <c r="KRO2" s="1113"/>
      <c r="KRP2" s="1113"/>
      <c r="KRQ2" s="1113"/>
      <c r="KRR2" s="1113"/>
      <c r="KRS2" s="1113"/>
      <c r="KRT2" s="1113"/>
      <c r="KRU2" s="1113"/>
      <c r="KRV2" s="1113"/>
      <c r="KRW2" s="1113"/>
      <c r="KRX2" s="1113"/>
      <c r="KRY2" s="1113"/>
      <c r="KRZ2" s="1113"/>
      <c r="KSA2" s="1113"/>
      <c r="KSB2" s="1113"/>
      <c r="KSC2" s="1113"/>
      <c r="KSD2" s="1113"/>
      <c r="KSE2" s="1113"/>
      <c r="KSF2" s="1113"/>
      <c r="KSG2" s="1113"/>
      <c r="KSH2" s="1113"/>
      <c r="KSI2" s="1113"/>
      <c r="KSJ2" s="1113"/>
      <c r="KSK2" s="1113"/>
      <c r="KSL2" s="1113"/>
      <c r="KSM2" s="1113"/>
      <c r="KSN2" s="1113"/>
      <c r="KSO2" s="1113"/>
      <c r="KSP2" s="1113"/>
      <c r="KSQ2" s="1113"/>
      <c r="KSR2" s="1113"/>
      <c r="KSS2" s="1113"/>
      <c r="KST2" s="1113"/>
      <c r="KSU2" s="1113"/>
      <c r="KSV2" s="1113"/>
      <c r="KSW2" s="1113"/>
      <c r="KSX2" s="1113"/>
      <c r="KSY2" s="1113"/>
      <c r="KSZ2" s="1113"/>
      <c r="KTA2" s="1113"/>
      <c r="KTB2" s="1113"/>
      <c r="KTC2" s="1113"/>
      <c r="KTD2" s="1113"/>
      <c r="KTE2" s="1113"/>
      <c r="KTF2" s="1113"/>
      <c r="KTG2" s="1113"/>
      <c r="KTH2" s="1113"/>
      <c r="KTI2" s="1113"/>
      <c r="KTJ2" s="1113"/>
      <c r="KTK2" s="1113"/>
      <c r="KTL2" s="1113"/>
      <c r="KTM2" s="1113"/>
      <c r="KTN2" s="1113"/>
      <c r="KTO2" s="1113"/>
      <c r="KTP2" s="1113"/>
      <c r="KTQ2" s="1113"/>
      <c r="KTR2" s="1113"/>
      <c r="KTS2" s="1113"/>
      <c r="KTT2" s="1113"/>
      <c r="KTU2" s="1113"/>
      <c r="KTV2" s="1113"/>
      <c r="KTW2" s="1113"/>
      <c r="KTX2" s="1113"/>
      <c r="KTY2" s="1113"/>
      <c r="KTZ2" s="1113"/>
      <c r="KUA2" s="1113"/>
      <c r="KUB2" s="1113"/>
      <c r="KUC2" s="1113"/>
      <c r="KUD2" s="1113"/>
      <c r="KUE2" s="1113"/>
      <c r="KUF2" s="1113"/>
      <c r="KUG2" s="1113"/>
      <c r="KUH2" s="1113"/>
      <c r="KUI2" s="1113"/>
      <c r="KUJ2" s="1113"/>
      <c r="KUK2" s="1113"/>
      <c r="KUL2" s="1113"/>
      <c r="KUM2" s="1113"/>
      <c r="KUN2" s="1113"/>
      <c r="KUO2" s="1113"/>
      <c r="KUP2" s="1113"/>
      <c r="KUQ2" s="1113"/>
      <c r="KUR2" s="1113"/>
      <c r="KUS2" s="1113"/>
      <c r="KUT2" s="1113"/>
      <c r="KUU2" s="1113"/>
      <c r="KUV2" s="1113"/>
      <c r="KUW2" s="1113"/>
      <c r="KUX2" s="1113"/>
      <c r="KUY2" s="1113"/>
      <c r="KUZ2" s="1113"/>
      <c r="KVA2" s="1113"/>
      <c r="KVB2" s="1113"/>
      <c r="KVC2" s="1113"/>
      <c r="KVD2" s="1113"/>
      <c r="KVE2" s="1113"/>
      <c r="KVF2" s="1113"/>
      <c r="KVG2" s="1113"/>
      <c r="KVH2" s="1113"/>
      <c r="KVI2" s="1113"/>
      <c r="KVJ2" s="1113"/>
      <c r="KVK2" s="1113"/>
      <c r="KVL2" s="1113"/>
      <c r="KVM2" s="1113"/>
      <c r="KVN2" s="1113"/>
      <c r="KVO2" s="1113"/>
      <c r="KVP2" s="1113"/>
      <c r="KVQ2" s="1113"/>
      <c r="KVR2" s="1113"/>
      <c r="KVS2" s="1113"/>
      <c r="KVT2" s="1113"/>
      <c r="KVU2" s="1113"/>
      <c r="KVV2" s="1113"/>
      <c r="KVW2" s="1113"/>
      <c r="KVX2" s="1113"/>
      <c r="KVY2" s="1113"/>
      <c r="KVZ2" s="1113"/>
      <c r="KWA2" s="1113"/>
      <c r="KWB2" s="1113"/>
      <c r="KWC2" s="1113"/>
      <c r="KWD2" s="1113"/>
      <c r="KWE2" s="1113"/>
      <c r="KWF2" s="1113"/>
      <c r="KWG2" s="1113"/>
      <c r="KWH2" s="1113"/>
      <c r="KWI2" s="1113"/>
      <c r="KWJ2" s="1113"/>
      <c r="KWK2" s="1113"/>
      <c r="KWL2" s="1113"/>
      <c r="KWM2" s="1113"/>
      <c r="KWN2" s="1113"/>
      <c r="KWO2" s="1113"/>
      <c r="KWP2" s="1113"/>
      <c r="KWQ2" s="1113"/>
      <c r="KWR2" s="1113"/>
      <c r="KWS2" s="1113"/>
      <c r="KWT2" s="1113"/>
      <c r="KWU2" s="1113"/>
      <c r="KWV2" s="1113"/>
      <c r="KWW2" s="1113"/>
      <c r="KWX2" s="1113"/>
      <c r="KWY2" s="1113"/>
      <c r="KWZ2" s="1113"/>
      <c r="KXA2" s="1113"/>
      <c r="KXB2" s="1113"/>
      <c r="KXC2" s="1113"/>
      <c r="KXD2" s="1113"/>
      <c r="KXE2" s="1113"/>
      <c r="KXF2" s="1113"/>
      <c r="KXG2" s="1113"/>
      <c r="KXH2" s="1113"/>
      <c r="KXI2" s="1113"/>
      <c r="KXJ2" s="1113"/>
      <c r="KXK2" s="1113"/>
      <c r="KXL2" s="1113"/>
      <c r="KXM2" s="1113"/>
      <c r="KXN2" s="1113"/>
      <c r="KXO2" s="1113"/>
      <c r="KXP2" s="1113"/>
      <c r="KXQ2" s="1113"/>
      <c r="KXR2" s="1113"/>
      <c r="KXS2" s="1113"/>
      <c r="KXT2" s="1113"/>
      <c r="KXU2" s="1113"/>
      <c r="KXV2" s="1113"/>
      <c r="KXW2" s="1113"/>
      <c r="KXX2" s="1113"/>
      <c r="KXY2" s="1113"/>
      <c r="KXZ2" s="1113"/>
      <c r="KYA2" s="1113"/>
      <c r="KYB2" s="1113"/>
      <c r="KYC2" s="1113"/>
      <c r="KYD2" s="1113"/>
      <c r="KYE2" s="1113"/>
      <c r="KYF2" s="1113"/>
      <c r="KYG2" s="1113"/>
      <c r="KYH2" s="1113"/>
      <c r="KYI2" s="1113"/>
      <c r="KYJ2" s="1113"/>
      <c r="KYK2" s="1113"/>
      <c r="KYL2" s="1113"/>
      <c r="KYM2" s="1113"/>
      <c r="KYN2" s="1113"/>
      <c r="KYO2" s="1113"/>
      <c r="KYP2" s="1113"/>
      <c r="KYQ2" s="1113"/>
      <c r="KYR2" s="1113"/>
      <c r="KYS2" s="1113"/>
      <c r="KYT2" s="1113"/>
      <c r="KYU2" s="1113"/>
      <c r="KYV2" s="1113"/>
      <c r="KYW2" s="1113"/>
      <c r="KYX2" s="1113"/>
      <c r="KYY2" s="1113"/>
      <c r="KYZ2" s="1113"/>
      <c r="KZA2" s="1113"/>
      <c r="KZB2" s="1113"/>
      <c r="KZC2" s="1113"/>
      <c r="KZD2" s="1113"/>
      <c r="KZE2" s="1113"/>
      <c r="KZF2" s="1113"/>
      <c r="KZG2" s="1113"/>
      <c r="KZH2" s="1113"/>
      <c r="KZI2" s="1113"/>
      <c r="KZJ2" s="1113"/>
      <c r="KZK2" s="1113"/>
      <c r="KZL2" s="1113"/>
      <c r="KZM2" s="1113"/>
      <c r="KZN2" s="1113"/>
      <c r="KZO2" s="1113"/>
      <c r="KZP2" s="1113"/>
      <c r="KZQ2" s="1113"/>
      <c r="KZR2" s="1113"/>
      <c r="KZS2" s="1113"/>
      <c r="KZT2" s="1113"/>
      <c r="KZU2" s="1113"/>
      <c r="KZV2" s="1113"/>
      <c r="KZW2" s="1113"/>
      <c r="KZX2" s="1113"/>
      <c r="KZY2" s="1113"/>
      <c r="KZZ2" s="1113"/>
      <c r="LAA2" s="1113"/>
      <c r="LAB2" s="1113"/>
      <c r="LAC2" s="1113"/>
      <c r="LAD2" s="1113"/>
      <c r="LAE2" s="1113"/>
      <c r="LAF2" s="1113"/>
      <c r="LAG2" s="1113"/>
      <c r="LAH2" s="1113"/>
      <c r="LAI2" s="1113"/>
      <c r="LAJ2" s="1113"/>
      <c r="LAK2" s="1113"/>
      <c r="LAL2" s="1113"/>
      <c r="LAM2" s="1113"/>
      <c r="LAN2" s="1113"/>
      <c r="LAO2" s="1113"/>
      <c r="LAP2" s="1113"/>
      <c r="LAQ2" s="1113"/>
      <c r="LAR2" s="1113"/>
      <c r="LAS2" s="1113"/>
      <c r="LAT2" s="1113"/>
      <c r="LAU2" s="1113"/>
      <c r="LAV2" s="1113"/>
      <c r="LAW2" s="1113"/>
      <c r="LAX2" s="1113"/>
      <c r="LAY2" s="1113"/>
      <c r="LAZ2" s="1113"/>
      <c r="LBA2" s="1113"/>
      <c r="LBB2" s="1113"/>
      <c r="LBC2" s="1113"/>
      <c r="LBD2" s="1113"/>
      <c r="LBE2" s="1113"/>
      <c r="LBF2" s="1113"/>
      <c r="LBG2" s="1113"/>
      <c r="LBH2" s="1113"/>
      <c r="LBI2" s="1113"/>
      <c r="LBJ2" s="1113"/>
      <c r="LBK2" s="1113"/>
      <c r="LBL2" s="1113"/>
      <c r="LBM2" s="1113"/>
      <c r="LBN2" s="1113"/>
      <c r="LBO2" s="1113"/>
      <c r="LBP2" s="1113"/>
      <c r="LBQ2" s="1113"/>
      <c r="LBR2" s="1113"/>
      <c r="LBS2" s="1113"/>
      <c r="LBT2" s="1113"/>
      <c r="LBU2" s="1113"/>
      <c r="LBV2" s="1113"/>
      <c r="LBW2" s="1113"/>
      <c r="LBX2" s="1113"/>
      <c r="LBY2" s="1113"/>
      <c r="LBZ2" s="1113"/>
      <c r="LCA2" s="1113"/>
      <c r="LCB2" s="1113"/>
      <c r="LCC2" s="1113"/>
      <c r="LCD2" s="1113"/>
      <c r="LCE2" s="1113"/>
      <c r="LCF2" s="1113"/>
      <c r="LCG2" s="1113"/>
      <c r="LCH2" s="1113"/>
      <c r="LCI2" s="1113"/>
      <c r="LCJ2" s="1113"/>
      <c r="LCK2" s="1113"/>
      <c r="LCL2" s="1113"/>
      <c r="LCM2" s="1113"/>
      <c r="LCN2" s="1113"/>
      <c r="LCO2" s="1113"/>
      <c r="LCP2" s="1113"/>
      <c r="LCQ2" s="1113"/>
      <c r="LCR2" s="1113"/>
      <c r="LCS2" s="1113"/>
      <c r="LCT2" s="1113"/>
      <c r="LCU2" s="1113"/>
      <c r="LCV2" s="1113"/>
      <c r="LCW2" s="1113"/>
      <c r="LCX2" s="1113"/>
      <c r="LCY2" s="1113"/>
      <c r="LCZ2" s="1113"/>
      <c r="LDA2" s="1113"/>
      <c r="LDB2" s="1113"/>
      <c r="LDC2" s="1113"/>
      <c r="LDD2" s="1113"/>
      <c r="LDE2" s="1113"/>
      <c r="LDF2" s="1113"/>
      <c r="LDG2" s="1113"/>
      <c r="LDH2" s="1113"/>
      <c r="LDI2" s="1113"/>
      <c r="LDJ2" s="1113"/>
      <c r="LDK2" s="1113"/>
      <c r="LDL2" s="1113"/>
      <c r="LDM2" s="1113"/>
      <c r="LDN2" s="1113"/>
      <c r="LDO2" s="1113"/>
      <c r="LDP2" s="1113"/>
      <c r="LDQ2" s="1113"/>
      <c r="LDR2" s="1113"/>
      <c r="LDS2" s="1113"/>
      <c r="LDT2" s="1113"/>
      <c r="LDU2" s="1113"/>
      <c r="LDV2" s="1113"/>
      <c r="LDW2" s="1113"/>
      <c r="LDX2" s="1113"/>
      <c r="LDY2" s="1113"/>
      <c r="LDZ2" s="1113"/>
      <c r="LEA2" s="1113"/>
      <c r="LEB2" s="1113"/>
      <c r="LEC2" s="1113"/>
      <c r="LED2" s="1113"/>
      <c r="LEE2" s="1113"/>
      <c r="LEF2" s="1113"/>
      <c r="LEG2" s="1113"/>
      <c r="LEH2" s="1113"/>
      <c r="LEI2" s="1113"/>
      <c r="LEJ2" s="1113"/>
      <c r="LEK2" s="1113"/>
      <c r="LEL2" s="1113"/>
      <c r="LEM2" s="1113"/>
      <c r="LEN2" s="1113"/>
      <c r="LEO2" s="1113"/>
      <c r="LEP2" s="1113"/>
      <c r="LEQ2" s="1113"/>
      <c r="LER2" s="1113"/>
      <c r="LES2" s="1113"/>
      <c r="LET2" s="1113"/>
      <c r="LEU2" s="1113"/>
      <c r="LEV2" s="1113"/>
      <c r="LEW2" s="1113"/>
      <c r="LEX2" s="1113"/>
      <c r="LEY2" s="1113"/>
      <c r="LEZ2" s="1113"/>
      <c r="LFA2" s="1113"/>
      <c r="LFB2" s="1113"/>
      <c r="LFC2" s="1113"/>
      <c r="LFD2" s="1113"/>
      <c r="LFE2" s="1113"/>
      <c r="LFF2" s="1113"/>
      <c r="LFG2" s="1113"/>
      <c r="LFH2" s="1113"/>
      <c r="LFI2" s="1113"/>
      <c r="LFJ2" s="1113"/>
      <c r="LFK2" s="1113"/>
      <c r="LFL2" s="1113"/>
      <c r="LFM2" s="1113"/>
      <c r="LFN2" s="1113"/>
      <c r="LFO2" s="1113"/>
      <c r="LFP2" s="1113"/>
      <c r="LFQ2" s="1113"/>
      <c r="LFR2" s="1113"/>
      <c r="LFS2" s="1113"/>
      <c r="LFT2" s="1113"/>
      <c r="LFU2" s="1113"/>
      <c r="LFV2" s="1113"/>
      <c r="LFW2" s="1113"/>
      <c r="LFX2" s="1113"/>
      <c r="LFY2" s="1113"/>
      <c r="LFZ2" s="1113"/>
      <c r="LGA2" s="1113"/>
      <c r="LGB2" s="1113"/>
      <c r="LGC2" s="1113"/>
      <c r="LGD2" s="1113"/>
      <c r="LGE2" s="1113"/>
      <c r="LGF2" s="1113"/>
      <c r="LGG2" s="1113"/>
      <c r="LGH2" s="1113"/>
      <c r="LGI2" s="1113"/>
      <c r="LGJ2" s="1113"/>
      <c r="LGK2" s="1113"/>
      <c r="LGL2" s="1113"/>
      <c r="LGM2" s="1113"/>
      <c r="LGN2" s="1113"/>
      <c r="LGO2" s="1113"/>
      <c r="LGP2" s="1113"/>
      <c r="LGQ2" s="1113"/>
      <c r="LGR2" s="1113"/>
      <c r="LGS2" s="1113"/>
      <c r="LGT2" s="1113"/>
      <c r="LGU2" s="1113"/>
      <c r="LGV2" s="1113"/>
      <c r="LGW2" s="1113"/>
      <c r="LGX2" s="1113"/>
      <c r="LGY2" s="1113"/>
      <c r="LGZ2" s="1113"/>
      <c r="LHA2" s="1113"/>
      <c r="LHB2" s="1113"/>
      <c r="LHC2" s="1113"/>
      <c r="LHD2" s="1113"/>
      <c r="LHE2" s="1113"/>
      <c r="LHF2" s="1113"/>
      <c r="LHG2" s="1113"/>
      <c r="LHH2" s="1113"/>
      <c r="LHI2" s="1113"/>
      <c r="LHJ2" s="1113"/>
      <c r="LHK2" s="1113"/>
      <c r="LHL2" s="1113"/>
      <c r="LHM2" s="1113"/>
      <c r="LHN2" s="1113"/>
      <c r="LHO2" s="1113"/>
      <c r="LHP2" s="1113"/>
      <c r="LHQ2" s="1113"/>
      <c r="LHR2" s="1113"/>
      <c r="LHS2" s="1113"/>
      <c r="LHT2" s="1113"/>
      <c r="LHU2" s="1113"/>
      <c r="LHV2" s="1113"/>
      <c r="LHW2" s="1113"/>
      <c r="LHX2" s="1113"/>
      <c r="LHY2" s="1113"/>
      <c r="LHZ2" s="1113"/>
      <c r="LIA2" s="1113"/>
      <c r="LIB2" s="1113"/>
      <c r="LIC2" s="1113"/>
      <c r="LID2" s="1113"/>
      <c r="LIE2" s="1113"/>
      <c r="LIF2" s="1113"/>
      <c r="LIG2" s="1113"/>
      <c r="LIH2" s="1113"/>
      <c r="LII2" s="1113"/>
      <c r="LIJ2" s="1113"/>
      <c r="LIK2" s="1113"/>
      <c r="LIL2" s="1113"/>
      <c r="LIM2" s="1113"/>
      <c r="LIN2" s="1113"/>
      <c r="LIO2" s="1113"/>
      <c r="LIP2" s="1113"/>
      <c r="LIQ2" s="1113"/>
      <c r="LIR2" s="1113"/>
      <c r="LIS2" s="1113"/>
      <c r="LIT2" s="1113"/>
      <c r="LIU2" s="1113"/>
      <c r="LIV2" s="1113"/>
      <c r="LIW2" s="1113"/>
      <c r="LIX2" s="1113"/>
      <c r="LIY2" s="1113"/>
      <c r="LIZ2" s="1113"/>
      <c r="LJA2" s="1113"/>
      <c r="LJB2" s="1113"/>
      <c r="LJC2" s="1113"/>
      <c r="LJD2" s="1113"/>
      <c r="LJE2" s="1113"/>
      <c r="LJF2" s="1113"/>
      <c r="LJG2" s="1113"/>
      <c r="LJH2" s="1113"/>
      <c r="LJI2" s="1113"/>
      <c r="LJJ2" s="1113"/>
      <c r="LJK2" s="1113"/>
      <c r="LJL2" s="1113"/>
      <c r="LJM2" s="1113"/>
      <c r="LJN2" s="1113"/>
      <c r="LJO2" s="1113"/>
      <c r="LJP2" s="1113"/>
      <c r="LJQ2" s="1113"/>
      <c r="LJR2" s="1113"/>
      <c r="LJS2" s="1113"/>
      <c r="LJT2" s="1113"/>
      <c r="LJU2" s="1113"/>
      <c r="LJV2" s="1113"/>
      <c r="LJW2" s="1113"/>
      <c r="LJX2" s="1113"/>
      <c r="LJY2" s="1113"/>
      <c r="LJZ2" s="1113"/>
      <c r="LKA2" s="1113"/>
      <c r="LKB2" s="1113"/>
      <c r="LKC2" s="1113"/>
      <c r="LKD2" s="1113"/>
      <c r="LKE2" s="1113"/>
      <c r="LKF2" s="1113"/>
      <c r="LKG2" s="1113"/>
      <c r="LKH2" s="1113"/>
      <c r="LKI2" s="1113"/>
      <c r="LKJ2" s="1113"/>
      <c r="LKK2" s="1113"/>
      <c r="LKL2" s="1113"/>
      <c r="LKM2" s="1113"/>
      <c r="LKN2" s="1113"/>
      <c r="LKO2" s="1113"/>
      <c r="LKP2" s="1113"/>
      <c r="LKQ2" s="1113"/>
      <c r="LKR2" s="1113"/>
      <c r="LKS2" s="1113"/>
      <c r="LKT2" s="1113"/>
      <c r="LKU2" s="1113"/>
      <c r="LKV2" s="1113"/>
      <c r="LKW2" s="1113"/>
      <c r="LKX2" s="1113"/>
      <c r="LKY2" s="1113"/>
      <c r="LKZ2" s="1113"/>
      <c r="LLA2" s="1113"/>
      <c r="LLB2" s="1113"/>
      <c r="LLC2" s="1113"/>
      <c r="LLD2" s="1113"/>
      <c r="LLE2" s="1113"/>
      <c r="LLF2" s="1113"/>
      <c r="LLG2" s="1113"/>
      <c r="LLH2" s="1113"/>
      <c r="LLI2" s="1113"/>
      <c r="LLJ2" s="1113"/>
      <c r="LLK2" s="1113"/>
      <c r="LLL2" s="1113"/>
      <c r="LLM2" s="1113"/>
      <c r="LLN2" s="1113"/>
      <c r="LLO2" s="1113"/>
      <c r="LLP2" s="1113"/>
      <c r="LLQ2" s="1113"/>
      <c r="LLR2" s="1113"/>
      <c r="LLS2" s="1113"/>
      <c r="LLT2" s="1113"/>
      <c r="LLU2" s="1113"/>
      <c r="LLV2" s="1113"/>
      <c r="LLW2" s="1113"/>
      <c r="LLX2" s="1113"/>
      <c r="LLY2" s="1113"/>
      <c r="LLZ2" s="1113"/>
      <c r="LMA2" s="1113"/>
      <c r="LMB2" s="1113"/>
      <c r="LMC2" s="1113"/>
      <c r="LMD2" s="1113"/>
      <c r="LME2" s="1113"/>
      <c r="LMF2" s="1113"/>
      <c r="LMG2" s="1113"/>
      <c r="LMH2" s="1113"/>
      <c r="LMI2" s="1113"/>
      <c r="LMJ2" s="1113"/>
      <c r="LMK2" s="1113"/>
      <c r="LML2" s="1113"/>
      <c r="LMM2" s="1113"/>
      <c r="LMN2" s="1113"/>
      <c r="LMO2" s="1113"/>
      <c r="LMP2" s="1113"/>
      <c r="LMQ2" s="1113"/>
      <c r="LMR2" s="1113"/>
      <c r="LMS2" s="1113"/>
      <c r="LMT2" s="1113"/>
      <c r="LMU2" s="1113"/>
      <c r="LMV2" s="1113"/>
      <c r="LMW2" s="1113"/>
      <c r="LMX2" s="1113"/>
      <c r="LMY2" s="1113"/>
      <c r="LMZ2" s="1113"/>
      <c r="LNA2" s="1113"/>
      <c r="LNB2" s="1113"/>
      <c r="LNC2" s="1113"/>
      <c r="LND2" s="1113"/>
      <c r="LNE2" s="1113"/>
      <c r="LNF2" s="1113"/>
      <c r="LNG2" s="1113"/>
      <c r="LNH2" s="1113"/>
      <c r="LNI2" s="1113"/>
      <c r="LNJ2" s="1113"/>
      <c r="LNK2" s="1113"/>
      <c r="LNL2" s="1113"/>
      <c r="LNM2" s="1113"/>
      <c r="LNN2" s="1113"/>
      <c r="LNO2" s="1113"/>
      <c r="LNP2" s="1113"/>
      <c r="LNQ2" s="1113"/>
      <c r="LNR2" s="1113"/>
      <c r="LNS2" s="1113"/>
      <c r="LNT2" s="1113"/>
      <c r="LNU2" s="1113"/>
      <c r="LNV2" s="1113"/>
      <c r="LNW2" s="1113"/>
      <c r="LNX2" s="1113"/>
      <c r="LNY2" s="1113"/>
      <c r="LNZ2" s="1113"/>
      <c r="LOA2" s="1113"/>
      <c r="LOB2" s="1113"/>
      <c r="LOC2" s="1113"/>
      <c r="LOD2" s="1113"/>
      <c r="LOE2" s="1113"/>
      <c r="LOF2" s="1113"/>
      <c r="LOG2" s="1113"/>
      <c r="LOH2" s="1113"/>
      <c r="LOI2" s="1113"/>
      <c r="LOJ2" s="1113"/>
      <c r="LOK2" s="1113"/>
      <c r="LOL2" s="1113"/>
      <c r="LOM2" s="1113"/>
      <c r="LON2" s="1113"/>
      <c r="LOO2" s="1113"/>
      <c r="LOP2" s="1113"/>
      <c r="LOQ2" s="1113"/>
      <c r="LOR2" s="1113"/>
      <c r="LOS2" s="1113"/>
      <c r="LOT2" s="1113"/>
      <c r="LOU2" s="1113"/>
      <c r="LOV2" s="1113"/>
      <c r="LOW2" s="1113"/>
      <c r="LOX2" s="1113"/>
      <c r="LOY2" s="1113"/>
      <c r="LOZ2" s="1113"/>
      <c r="LPA2" s="1113"/>
      <c r="LPB2" s="1113"/>
      <c r="LPC2" s="1113"/>
      <c r="LPD2" s="1113"/>
      <c r="LPE2" s="1113"/>
      <c r="LPF2" s="1113"/>
      <c r="LPG2" s="1113"/>
      <c r="LPH2" s="1113"/>
      <c r="LPI2" s="1113"/>
      <c r="LPJ2" s="1113"/>
      <c r="LPK2" s="1113"/>
      <c r="LPL2" s="1113"/>
      <c r="LPM2" s="1113"/>
      <c r="LPN2" s="1113"/>
      <c r="LPO2" s="1113"/>
      <c r="LPP2" s="1113"/>
      <c r="LPQ2" s="1113"/>
      <c r="LPR2" s="1113"/>
      <c r="LPS2" s="1113"/>
      <c r="LPT2" s="1113"/>
      <c r="LPU2" s="1113"/>
      <c r="LPV2" s="1113"/>
      <c r="LPW2" s="1113"/>
      <c r="LPX2" s="1113"/>
      <c r="LPY2" s="1113"/>
      <c r="LPZ2" s="1113"/>
      <c r="LQA2" s="1113"/>
      <c r="LQB2" s="1113"/>
      <c r="LQC2" s="1113"/>
      <c r="LQD2" s="1113"/>
      <c r="LQE2" s="1113"/>
      <c r="LQF2" s="1113"/>
      <c r="LQG2" s="1113"/>
      <c r="LQH2" s="1113"/>
      <c r="LQI2" s="1113"/>
      <c r="LQJ2" s="1113"/>
      <c r="LQK2" s="1113"/>
      <c r="LQL2" s="1113"/>
      <c r="LQM2" s="1113"/>
      <c r="LQN2" s="1113"/>
      <c r="LQO2" s="1113"/>
      <c r="LQP2" s="1113"/>
      <c r="LQQ2" s="1113"/>
      <c r="LQR2" s="1113"/>
      <c r="LQS2" s="1113"/>
      <c r="LQT2" s="1113"/>
      <c r="LQU2" s="1113"/>
      <c r="LQV2" s="1113"/>
      <c r="LQW2" s="1113"/>
      <c r="LQX2" s="1113"/>
      <c r="LQY2" s="1113"/>
      <c r="LQZ2" s="1113"/>
      <c r="LRA2" s="1113"/>
      <c r="LRB2" s="1113"/>
      <c r="LRC2" s="1113"/>
      <c r="LRD2" s="1113"/>
      <c r="LRE2" s="1113"/>
      <c r="LRF2" s="1113"/>
      <c r="LRG2" s="1113"/>
      <c r="LRH2" s="1113"/>
      <c r="LRI2" s="1113"/>
      <c r="LRJ2" s="1113"/>
      <c r="LRK2" s="1113"/>
      <c r="LRL2" s="1113"/>
      <c r="LRM2" s="1113"/>
      <c r="LRN2" s="1113"/>
      <c r="LRO2" s="1113"/>
      <c r="LRP2" s="1113"/>
      <c r="LRQ2" s="1113"/>
      <c r="LRR2" s="1113"/>
      <c r="LRS2" s="1113"/>
      <c r="LRT2" s="1113"/>
      <c r="LRU2" s="1113"/>
      <c r="LRV2" s="1113"/>
      <c r="LRW2" s="1113"/>
      <c r="LRX2" s="1113"/>
      <c r="LRY2" s="1113"/>
      <c r="LRZ2" s="1113"/>
      <c r="LSA2" s="1113"/>
      <c r="LSB2" s="1113"/>
      <c r="LSC2" s="1113"/>
      <c r="LSD2" s="1113"/>
      <c r="LSE2" s="1113"/>
      <c r="LSF2" s="1113"/>
      <c r="LSG2" s="1113"/>
      <c r="LSH2" s="1113"/>
      <c r="LSI2" s="1113"/>
      <c r="LSJ2" s="1113"/>
      <c r="LSK2" s="1113"/>
      <c r="LSL2" s="1113"/>
      <c r="LSM2" s="1113"/>
      <c r="LSN2" s="1113"/>
      <c r="LSO2" s="1113"/>
      <c r="LSP2" s="1113"/>
      <c r="LSQ2" s="1113"/>
      <c r="LSR2" s="1113"/>
      <c r="LSS2" s="1113"/>
      <c r="LST2" s="1113"/>
      <c r="LSU2" s="1113"/>
      <c r="LSV2" s="1113"/>
      <c r="LSW2" s="1113"/>
      <c r="LSX2" s="1113"/>
      <c r="LSY2" s="1113"/>
      <c r="LSZ2" s="1113"/>
      <c r="LTA2" s="1113"/>
      <c r="LTB2" s="1113"/>
      <c r="LTC2" s="1113"/>
      <c r="LTD2" s="1113"/>
      <c r="LTE2" s="1113"/>
      <c r="LTF2" s="1113"/>
      <c r="LTG2" s="1113"/>
      <c r="LTH2" s="1113"/>
      <c r="LTI2" s="1113"/>
      <c r="LTJ2" s="1113"/>
      <c r="LTK2" s="1113"/>
      <c r="LTL2" s="1113"/>
      <c r="LTM2" s="1113"/>
      <c r="LTN2" s="1113"/>
      <c r="LTO2" s="1113"/>
      <c r="LTP2" s="1113"/>
      <c r="LTQ2" s="1113"/>
      <c r="LTR2" s="1113"/>
      <c r="LTS2" s="1113"/>
      <c r="LTT2" s="1113"/>
      <c r="LTU2" s="1113"/>
      <c r="LTV2" s="1113"/>
      <c r="LTW2" s="1113"/>
      <c r="LTX2" s="1113"/>
      <c r="LTY2" s="1113"/>
      <c r="LTZ2" s="1113"/>
      <c r="LUA2" s="1113"/>
      <c r="LUB2" s="1113"/>
      <c r="LUC2" s="1113"/>
      <c r="LUD2" s="1113"/>
      <c r="LUE2" s="1113"/>
      <c r="LUF2" s="1113"/>
      <c r="LUG2" s="1113"/>
      <c r="LUH2" s="1113"/>
      <c r="LUI2" s="1113"/>
      <c r="LUJ2" s="1113"/>
      <c r="LUK2" s="1113"/>
      <c r="LUL2" s="1113"/>
      <c r="LUM2" s="1113"/>
      <c r="LUN2" s="1113"/>
      <c r="LUO2" s="1113"/>
      <c r="LUP2" s="1113"/>
      <c r="LUQ2" s="1113"/>
      <c r="LUR2" s="1113"/>
      <c r="LUS2" s="1113"/>
      <c r="LUT2" s="1113"/>
      <c r="LUU2" s="1113"/>
      <c r="LUV2" s="1113"/>
      <c r="LUW2" s="1113"/>
      <c r="LUX2" s="1113"/>
      <c r="LUY2" s="1113"/>
      <c r="LUZ2" s="1113"/>
      <c r="LVA2" s="1113"/>
      <c r="LVB2" s="1113"/>
      <c r="LVC2" s="1113"/>
      <c r="LVD2" s="1113"/>
      <c r="LVE2" s="1113"/>
      <c r="LVF2" s="1113"/>
      <c r="LVG2" s="1113"/>
      <c r="LVH2" s="1113"/>
      <c r="LVI2" s="1113"/>
      <c r="LVJ2" s="1113"/>
      <c r="LVK2" s="1113"/>
      <c r="LVL2" s="1113"/>
      <c r="LVM2" s="1113"/>
      <c r="LVN2" s="1113"/>
      <c r="LVO2" s="1113"/>
      <c r="LVP2" s="1113"/>
      <c r="LVQ2" s="1113"/>
      <c r="LVR2" s="1113"/>
      <c r="LVS2" s="1113"/>
      <c r="LVT2" s="1113"/>
      <c r="LVU2" s="1113"/>
      <c r="LVV2" s="1113"/>
      <c r="LVW2" s="1113"/>
      <c r="LVX2" s="1113"/>
      <c r="LVY2" s="1113"/>
      <c r="LVZ2" s="1113"/>
      <c r="LWA2" s="1113"/>
      <c r="LWB2" s="1113"/>
      <c r="LWC2" s="1113"/>
      <c r="LWD2" s="1113"/>
      <c r="LWE2" s="1113"/>
      <c r="LWF2" s="1113"/>
      <c r="LWG2" s="1113"/>
      <c r="LWH2" s="1113"/>
      <c r="LWI2" s="1113"/>
      <c r="LWJ2" s="1113"/>
      <c r="LWK2" s="1113"/>
      <c r="LWL2" s="1113"/>
      <c r="LWM2" s="1113"/>
      <c r="LWN2" s="1113"/>
      <c r="LWO2" s="1113"/>
      <c r="LWP2" s="1113"/>
      <c r="LWQ2" s="1113"/>
      <c r="LWR2" s="1113"/>
      <c r="LWS2" s="1113"/>
      <c r="LWT2" s="1113"/>
      <c r="LWU2" s="1113"/>
      <c r="LWV2" s="1113"/>
      <c r="LWW2" s="1113"/>
      <c r="LWX2" s="1113"/>
      <c r="LWY2" s="1113"/>
      <c r="LWZ2" s="1113"/>
      <c r="LXA2" s="1113"/>
      <c r="LXB2" s="1113"/>
      <c r="LXC2" s="1113"/>
      <c r="LXD2" s="1113"/>
      <c r="LXE2" s="1113"/>
      <c r="LXF2" s="1113"/>
      <c r="LXG2" s="1113"/>
      <c r="LXH2" s="1113"/>
      <c r="LXI2" s="1113"/>
      <c r="LXJ2" s="1113"/>
      <c r="LXK2" s="1113"/>
      <c r="LXL2" s="1113"/>
      <c r="LXM2" s="1113"/>
      <c r="LXN2" s="1113"/>
      <c r="LXO2" s="1113"/>
      <c r="LXP2" s="1113"/>
      <c r="LXQ2" s="1113"/>
      <c r="LXR2" s="1113"/>
      <c r="LXS2" s="1113"/>
      <c r="LXT2" s="1113"/>
      <c r="LXU2" s="1113"/>
      <c r="LXV2" s="1113"/>
      <c r="LXW2" s="1113"/>
      <c r="LXX2" s="1113"/>
      <c r="LXY2" s="1113"/>
      <c r="LXZ2" s="1113"/>
      <c r="LYA2" s="1113"/>
      <c r="LYB2" s="1113"/>
      <c r="LYC2" s="1113"/>
      <c r="LYD2" s="1113"/>
      <c r="LYE2" s="1113"/>
      <c r="LYF2" s="1113"/>
      <c r="LYG2" s="1113"/>
      <c r="LYH2" s="1113"/>
      <c r="LYI2" s="1113"/>
      <c r="LYJ2" s="1113"/>
      <c r="LYK2" s="1113"/>
      <c r="LYL2" s="1113"/>
      <c r="LYM2" s="1113"/>
      <c r="LYN2" s="1113"/>
      <c r="LYO2" s="1113"/>
      <c r="LYP2" s="1113"/>
      <c r="LYQ2" s="1113"/>
      <c r="LYR2" s="1113"/>
      <c r="LYS2" s="1113"/>
      <c r="LYT2" s="1113"/>
      <c r="LYU2" s="1113"/>
      <c r="LYV2" s="1113"/>
      <c r="LYW2" s="1113"/>
      <c r="LYX2" s="1113"/>
      <c r="LYY2" s="1113"/>
      <c r="LYZ2" s="1113"/>
      <c r="LZA2" s="1113"/>
      <c r="LZB2" s="1113"/>
      <c r="LZC2" s="1113"/>
      <c r="LZD2" s="1113"/>
      <c r="LZE2" s="1113"/>
      <c r="LZF2" s="1113"/>
      <c r="LZG2" s="1113"/>
      <c r="LZH2" s="1113"/>
      <c r="LZI2" s="1113"/>
      <c r="LZJ2" s="1113"/>
      <c r="LZK2" s="1113"/>
      <c r="LZL2" s="1113"/>
      <c r="LZM2" s="1113"/>
      <c r="LZN2" s="1113"/>
      <c r="LZO2" s="1113"/>
      <c r="LZP2" s="1113"/>
      <c r="LZQ2" s="1113"/>
      <c r="LZR2" s="1113"/>
      <c r="LZS2" s="1113"/>
      <c r="LZT2" s="1113"/>
      <c r="LZU2" s="1113"/>
      <c r="LZV2" s="1113"/>
      <c r="LZW2" s="1113"/>
      <c r="LZX2" s="1113"/>
      <c r="LZY2" s="1113"/>
      <c r="LZZ2" s="1113"/>
      <c r="MAA2" s="1113"/>
      <c r="MAB2" s="1113"/>
      <c r="MAC2" s="1113"/>
      <c r="MAD2" s="1113"/>
      <c r="MAE2" s="1113"/>
      <c r="MAF2" s="1113"/>
      <c r="MAG2" s="1113"/>
      <c r="MAH2" s="1113"/>
      <c r="MAI2" s="1113"/>
      <c r="MAJ2" s="1113"/>
      <c r="MAK2" s="1113"/>
      <c r="MAL2" s="1113"/>
      <c r="MAM2" s="1113"/>
      <c r="MAN2" s="1113"/>
      <c r="MAO2" s="1113"/>
      <c r="MAP2" s="1113"/>
      <c r="MAQ2" s="1113"/>
      <c r="MAR2" s="1113"/>
      <c r="MAS2" s="1113"/>
      <c r="MAT2" s="1113"/>
      <c r="MAU2" s="1113"/>
      <c r="MAV2" s="1113"/>
      <c r="MAW2" s="1113"/>
      <c r="MAX2" s="1113"/>
      <c r="MAY2" s="1113"/>
      <c r="MAZ2" s="1113"/>
      <c r="MBA2" s="1113"/>
      <c r="MBB2" s="1113"/>
      <c r="MBC2" s="1113"/>
      <c r="MBD2" s="1113"/>
      <c r="MBE2" s="1113"/>
      <c r="MBF2" s="1113"/>
      <c r="MBG2" s="1113"/>
      <c r="MBH2" s="1113"/>
      <c r="MBI2" s="1113"/>
      <c r="MBJ2" s="1113"/>
      <c r="MBK2" s="1113"/>
      <c r="MBL2" s="1113"/>
      <c r="MBM2" s="1113"/>
      <c r="MBN2" s="1113"/>
      <c r="MBO2" s="1113"/>
      <c r="MBP2" s="1113"/>
      <c r="MBQ2" s="1113"/>
      <c r="MBR2" s="1113"/>
      <c r="MBS2" s="1113"/>
      <c r="MBT2" s="1113"/>
      <c r="MBU2" s="1113"/>
      <c r="MBV2" s="1113"/>
      <c r="MBW2" s="1113"/>
      <c r="MBX2" s="1113"/>
      <c r="MBY2" s="1113"/>
      <c r="MBZ2" s="1113"/>
      <c r="MCA2" s="1113"/>
      <c r="MCB2" s="1113"/>
      <c r="MCC2" s="1113"/>
      <c r="MCD2" s="1113"/>
      <c r="MCE2" s="1113"/>
      <c r="MCF2" s="1113"/>
      <c r="MCG2" s="1113"/>
      <c r="MCH2" s="1113"/>
      <c r="MCI2" s="1113"/>
      <c r="MCJ2" s="1113"/>
      <c r="MCK2" s="1113"/>
      <c r="MCL2" s="1113"/>
      <c r="MCM2" s="1113"/>
      <c r="MCN2" s="1113"/>
      <c r="MCO2" s="1113"/>
      <c r="MCP2" s="1113"/>
      <c r="MCQ2" s="1113"/>
      <c r="MCR2" s="1113"/>
      <c r="MCS2" s="1113"/>
      <c r="MCT2" s="1113"/>
      <c r="MCU2" s="1113"/>
      <c r="MCV2" s="1113"/>
      <c r="MCW2" s="1113"/>
      <c r="MCX2" s="1113"/>
      <c r="MCY2" s="1113"/>
      <c r="MCZ2" s="1113"/>
      <c r="MDA2" s="1113"/>
      <c r="MDB2" s="1113"/>
      <c r="MDC2" s="1113"/>
      <c r="MDD2" s="1113"/>
      <c r="MDE2" s="1113"/>
      <c r="MDF2" s="1113"/>
      <c r="MDG2" s="1113"/>
      <c r="MDH2" s="1113"/>
      <c r="MDI2" s="1113"/>
      <c r="MDJ2" s="1113"/>
      <c r="MDK2" s="1113"/>
      <c r="MDL2" s="1113"/>
      <c r="MDM2" s="1113"/>
      <c r="MDN2" s="1113"/>
      <c r="MDO2" s="1113"/>
      <c r="MDP2" s="1113"/>
      <c r="MDQ2" s="1113"/>
      <c r="MDR2" s="1113"/>
      <c r="MDS2" s="1113"/>
      <c r="MDT2" s="1113"/>
      <c r="MDU2" s="1113"/>
      <c r="MDV2" s="1113"/>
      <c r="MDW2" s="1113"/>
      <c r="MDX2" s="1113"/>
      <c r="MDY2" s="1113"/>
      <c r="MDZ2" s="1113"/>
      <c r="MEA2" s="1113"/>
      <c r="MEB2" s="1113"/>
      <c r="MEC2" s="1113"/>
      <c r="MED2" s="1113"/>
      <c r="MEE2" s="1113"/>
      <c r="MEF2" s="1113"/>
      <c r="MEG2" s="1113"/>
      <c r="MEH2" s="1113"/>
      <c r="MEI2" s="1113"/>
      <c r="MEJ2" s="1113"/>
      <c r="MEK2" s="1113"/>
      <c r="MEL2" s="1113"/>
      <c r="MEM2" s="1113"/>
      <c r="MEN2" s="1113"/>
      <c r="MEO2" s="1113"/>
      <c r="MEP2" s="1113"/>
      <c r="MEQ2" s="1113"/>
      <c r="MER2" s="1113"/>
      <c r="MES2" s="1113"/>
      <c r="MET2" s="1113"/>
      <c r="MEU2" s="1113"/>
      <c r="MEV2" s="1113"/>
      <c r="MEW2" s="1113"/>
      <c r="MEX2" s="1113"/>
      <c r="MEY2" s="1113"/>
      <c r="MEZ2" s="1113"/>
      <c r="MFA2" s="1113"/>
      <c r="MFB2" s="1113"/>
      <c r="MFC2" s="1113"/>
      <c r="MFD2" s="1113"/>
      <c r="MFE2" s="1113"/>
      <c r="MFF2" s="1113"/>
      <c r="MFG2" s="1113"/>
      <c r="MFH2" s="1113"/>
      <c r="MFI2" s="1113"/>
      <c r="MFJ2" s="1113"/>
      <c r="MFK2" s="1113"/>
      <c r="MFL2" s="1113"/>
      <c r="MFM2" s="1113"/>
      <c r="MFN2" s="1113"/>
      <c r="MFO2" s="1113"/>
      <c r="MFP2" s="1113"/>
      <c r="MFQ2" s="1113"/>
      <c r="MFR2" s="1113"/>
      <c r="MFS2" s="1113"/>
      <c r="MFT2" s="1113"/>
      <c r="MFU2" s="1113"/>
      <c r="MFV2" s="1113"/>
      <c r="MFW2" s="1113"/>
      <c r="MFX2" s="1113"/>
      <c r="MFY2" s="1113"/>
      <c r="MFZ2" s="1113"/>
      <c r="MGA2" s="1113"/>
      <c r="MGB2" s="1113"/>
      <c r="MGC2" s="1113"/>
      <c r="MGD2" s="1113"/>
      <c r="MGE2" s="1113"/>
      <c r="MGF2" s="1113"/>
      <c r="MGG2" s="1113"/>
      <c r="MGH2" s="1113"/>
      <c r="MGI2" s="1113"/>
      <c r="MGJ2" s="1113"/>
      <c r="MGK2" s="1113"/>
      <c r="MGL2" s="1113"/>
      <c r="MGM2" s="1113"/>
      <c r="MGN2" s="1113"/>
      <c r="MGO2" s="1113"/>
      <c r="MGP2" s="1113"/>
      <c r="MGQ2" s="1113"/>
      <c r="MGR2" s="1113"/>
      <c r="MGS2" s="1113"/>
      <c r="MGT2" s="1113"/>
      <c r="MGU2" s="1113"/>
      <c r="MGV2" s="1113"/>
      <c r="MGW2" s="1113"/>
      <c r="MGX2" s="1113"/>
      <c r="MGY2" s="1113"/>
      <c r="MGZ2" s="1113"/>
      <c r="MHA2" s="1113"/>
      <c r="MHB2" s="1113"/>
      <c r="MHC2" s="1113"/>
      <c r="MHD2" s="1113"/>
      <c r="MHE2" s="1113"/>
      <c r="MHF2" s="1113"/>
      <c r="MHG2" s="1113"/>
      <c r="MHH2" s="1113"/>
      <c r="MHI2" s="1113"/>
      <c r="MHJ2" s="1113"/>
      <c r="MHK2" s="1113"/>
      <c r="MHL2" s="1113"/>
      <c r="MHM2" s="1113"/>
      <c r="MHN2" s="1113"/>
      <c r="MHO2" s="1113"/>
      <c r="MHP2" s="1113"/>
      <c r="MHQ2" s="1113"/>
      <c r="MHR2" s="1113"/>
      <c r="MHS2" s="1113"/>
      <c r="MHT2" s="1113"/>
      <c r="MHU2" s="1113"/>
      <c r="MHV2" s="1113"/>
      <c r="MHW2" s="1113"/>
      <c r="MHX2" s="1113"/>
      <c r="MHY2" s="1113"/>
      <c r="MHZ2" s="1113"/>
      <c r="MIA2" s="1113"/>
      <c r="MIB2" s="1113"/>
      <c r="MIC2" s="1113"/>
      <c r="MID2" s="1113"/>
      <c r="MIE2" s="1113"/>
      <c r="MIF2" s="1113"/>
      <c r="MIG2" s="1113"/>
      <c r="MIH2" s="1113"/>
      <c r="MII2" s="1113"/>
      <c r="MIJ2" s="1113"/>
      <c r="MIK2" s="1113"/>
      <c r="MIL2" s="1113"/>
      <c r="MIM2" s="1113"/>
      <c r="MIN2" s="1113"/>
      <c r="MIO2" s="1113"/>
      <c r="MIP2" s="1113"/>
      <c r="MIQ2" s="1113"/>
      <c r="MIR2" s="1113"/>
      <c r="MIS2" s="1113"/>
      <c r="MIT2" s="1113"/>
      <c r="MIU2" s="1113"/>
      <c r="MIV2" s="1113"/>
      <c r="MIW2" s="1113"/>
      <c r="MIX2" s="1113"/>
      <c r="MIY2" s="1113"/>
      <c r="MIZ2" s="1113"/>
      <c r="MJA2" s="1113"/>
      <c r="MJB2" s="1113"/>
      <c r="MJC2" s="1113"/>
      <c r="MJD2" s="1113"/>
      <c r="MJE2" s="1113"/>
      <c r="MJF2" s="1113"/>
      <c r="MJG2" s="1113"/>
      <c r="MJH2" s="1113"/>
      <c r="MJI2" s="1113"/>
      <c r="MJJ2" s="1113"/>
      <c r="MJK2" s="1113"/>
      <c r="MJL2" s="1113"/>
      <c r="MJM2" s="1113"/>
      <c r="MJN2" s="1113"/>
      <c r="MJO2" s="1113"/>
      <c r="MJP2" s="1113"/>
      <c r="MJQ2" s="1113"/>
      <c r="MJR2" s="1113"/>
      <c r="MJS2" s="1113"/>
      <c r="MJT2" s="1113"/>
      <c r="MJU2" s="1113"/>
      <c r="MJV2" s="1113"/>
      <c r="MJW2" s="1113"/>
      <c r="MJX2" s="1113"/>
      <c r="MJY2" s="1113"/>
      <c r="MJZ2" s="1113"/>
      <c r="MKA2" s="1113"/>
      <c r="MKB2" s="1113"/>
      <c r="MKC2" s="1113"/>
      <c r="MKD2" s="1113"/>
      <c r="MKE2" s="1113"/>
      <c r="MKF2" s="1113"/>
      <c r="MKG2" s="1113"/>
      <c r="MKH2" s="1113"/>
      <c r="MKI2" s="1113"/>
      <c r="MKJ2" s="1113"/>
      <c r="MKK2" s="1113"/>
      <c r="MKL2" s="1113"/>
      <c r="MKM2" s="1113"/>
      <c r="MKN2" s="1113"/>
      <c r="MKO2" s="1113"/>
      <c r="MKP2" s="1113"/>
      <c r="MKQ2" s="1113"/>
      <c r="MKR2" s="1113"/>
      <c r="MKS2" s="1113"/>
      <c r="MKT2" s="1113"/>
      <c r="MKU2" s="1113"/>
      <c r="MKV2" s="1113"/>
      <c r="MKW2" s="1113"/>
      <c r="MKX2" s="1113"/>
      <c r="MKY2" s="1113"/>
      <c r="MKZ2" s="1113"/>
      <c r="MLA2" s="1113"/>
      <c r="MLB2" s="1113"/>
      <c r="MLC2" s="1113"/>
      <c r="MLD2" s="1113"/>
      <c r="MLE2" s="1113"/>
      <c r="MLF2" s="1113"/>
      <c r="MLG2" s="1113"/>
      <c r="MLH2" s="1113"/>
      <c r="MLI2" s="1113"/>
      <c r="MLJ2" s="1113"/>
      <c r="MLK2" s="1113"/>
      <c r="MLL2" s="1113"/>
      <c r="MLM2" s="1113"/>
      <c r="MLN2" s="1113"/>
      <c r="MLO2" s="1113"/>
      <c r="MLP2" s="1113"/>
      <c r="MLQ2" s="1113"/>
      <c r="MLR2" s="1113"/>
      <c r="MLS2" s="1113"/>
      <c r="MLT2" s="1113"/>
      <c r="MLU2" s="1113"/>
      <c r="MLV2" s="1113"/>
      <c r="MLW2" s="1113"/>
      <c r="MLX2" s="1113"/>
      <c r="MLY2" s="1113"/>
      <c r="MLZ2" s="1113"/>
      <c r="MMA2" s="1113"/>
      <c r="MMB2" s="1113"/>
      <c r="MMC2" s="1113"/>
      <c r="MMD2" s="1113"/>
      <c r="MME2" s="1113"/>
      <c r="MMF2" s="1113"/>
      <c r="MMG2" s="1113"/>
      <c r="MMH2" s="1113"/>
      <c r="MMI2" s="1113"/>
      <c r="MMJ2" s="1113"/>
      <c r="MMK2" s="1113"/>
      <c r="MML2" s="1113"/>
      <c r="MMM2" s="1113"/>
      <c r="MMN2" s="1113"/>
      <c r="MMO2" s="1113"/>
      <c r="MMP2" s="1113"/>
      <c r="MMQ2" s="1113"/>
      <c r="MMR2" s="1113"/>
      <c r="MMS2" s="1113"/>
      <c r="MMT2" s="1113"/>
      <c r="MMU2" s="1113"/>
      <c r="MMV2" s="1113"/>
      <c r="MMW2" s="1113"/>
      <c r="MMX2" s="1113"/>
      <c r="MMY2" s="1113"/>
      <c r="MMZ2" s="1113"/>
      <c r="MNA2" s="1113"/>
      <c r="MNB2" s="1113"/>
      <c r="MNC2" s="1113"/>
      <c r="MND2" s="1113"/>
      <c r="MNE2" s="1113"/>
      <c r="MNF2" s="1113"/>
      <c r="MNG2" s="1113"/>
      <c r="MNH2" s="1113"/>
      <c r="MNI2" s="1113"/>
      <c r="MNJ2" s="1113"/>
      <c r="MNK2" s="1113"/>
      <c r="MNL2" s="1113"/>
      <c r="MNM2" s="1113"/>
      <c r="MNN2" s="1113"/>
      <c r="MNO2" s="1113"/>
      <c r="MNP2" s="1113"/>
      <c r="MNQ2" s="1113"/>
      <c r="MNR2" s="1113"/>
      <c r="MNS2" s="1113"/>
      <c r="MNT2" s="1113"/>
      <c r="MNU2" s="1113"/>
      <c r="MNV2" s="1113"/>
      <c r="MNW2" s="1113"/>
      <c r="MNX2" s="1113"/>
      <c r="MNY2" s="1113"/>
      <c r="MNZ2" s="1113"/>
      <c r="MOA2" s="1113"/>
      <c r="MOB2" s="1113"/>
      <c r="MOC2" s="1113"/>
      <c r="MOD2" s="1113"/>
      <c r="MOE2" s="1113"/>
      <c r="MOF2" s="1113"/>
      <c r="MOG2" s="1113"/>
      <c r="MOH2" s="1113"/>
      <c r="MOI2" s="1113"/>
      <c r="MOJ2" s="1113"/>
      <c r="MOK2" s="1113"/>
      <c r="MOL2" s="1113"/>
      <c r="MOM2" s="1113"/>
      <c r="MON2" s="1113"/>
      <c r="MOO2" s="1113"/>
      <c r="MOP2" s="1113"/>
      <c r="MOQ2" s="1113"/>
      <c r="MOR2" s="1113"/>
      <c r="MOS2" s="1113"/>
      <c r="MOT2" s="1113"/>
      <c r="MOU2" s="1113"/>
      <c r="MOV2" s="1113"/>
      <c r="MOW2" s="1113"/>
      <c r="MOX2" s="1113"/>
      <c r="MOY2" s="1113"/>
      <c r="MOZ2" s="1113"/>
      <c r="MPA2" s="1113"/>
      <c r="MPB2" s="1113"/>
      <c r="MPC2" s="1113"/>
      <c r="MPD2" s="1113"/>
      <c r="MPE2" s="1113"/>
      <c r="MPF2" s="1113"/>
      <c r="MPG2" s="1113"/>
      <c r="MPH2" s="1113"/>
      <c r="MPI2" s="1113"/>
      <c r="MPJ2" s="1113"/>
      <c r="MPK2" s="1113"/>
      <c r="MPL2" s="1113"/>
      <c r="MPM2" s="1113"/>
      <c r="MPN2" s="1113"/>
      <c r="MPO2" s="1113"/>
      <c r="MPP2" s="1113"/>
      <c r="MPQ2" s="1113"/>
      <c r="MPR2" s="1113"/>
      <c r="MPS2" s="1113"/>
      <c r="MPT2" s="1113"/>
      <c r="MPU2" s="1113"/>
      <c r="MPV2" s="1113"/>
      <c r="MPW2" s="1113"/>
      <c r="MPX2" s="1113"/>
      <c r="MPY2" s="1113"/>
      <c r="MPZ2" s="1113"/>
      <c r="MQA2" s="1113"/>
      <c r="MQB2" s="1113"/>
      <c r="MQC2" s="1113"/>
      <c r="MQD2" s="1113"/>
      <c r="MQE2" s="1113"/>
      <c r="MQF2" s="1113"/>
      <c r="MQG2" s="1113"/>
      <c r="MQH2" s="1113"/>
      <c r="MQI2" s="1113"/>
      <c r="MQJ2" s="1113"/>
      <c r="MQK2" s="1113"/>
      <c r="MQL2" s="1113"/>
      <c r="MQM2" s="1113"/>
      <c r="MQN2" s="1113"/>
      <c r="MQO2" s="1113"/>
      <c r="MQP2" s="1113"/>
      <c r="MQQ2" s="1113"/>
      <c r="MQR2" s="1113"/>
      <c r="MQS2" s="1113"/>
      <c r="MQT2" s="1113"/>
      <c r="MQU2" s="1113"/>
      <c r="MQV2" s="1113"/>
      <c r="MQW2" s="1113"/>
      <c r="MQX2" s="1113"/>
      <c r="MQY2" s="1113"/>
      <c r="MQZ2" s="1113"/>
      <c r="MRA2" s="1113"/>
      <c r="MRB2" s="1113"/>
      <c r="MRC2" s="1113"/>
      <c r="MRD2" s="1113"/>
      <c r="MRE2" s="1113"/>
      <c r="MRF2" s="1113"/>
      <c r="MRG2" s="1113"/>
      <c r="MRH2" s="1113"/>
      <c r="MRI2" s="1113"/>
      <c r="MRJ2" s="1113"/>
      <c r="MRK2" s="1113"/>
      <c r="MRL2" s="1113"/>
      <c r="MRM2" s="1113"/>
      <c r="MRN2" s="1113"/>
      <c r="MRO2" s="1113"/>
      <c r="MRP2" s="1113"/>
      <c r="MRQ2" s="1113"/>
      <c r="MRR2" s="1113"/>
      <c r="MRS2" s="1113"/>
      <c r="MRT2" s="1113"/>
      <c r="MRU2" s="1113"/>
      <c r="MRV2" s="1113"/>
      <c r="MRW2" s="1113"/>
      <c r="MRX2" s="1113"/>
      <c r="MRY2" s="1113"/>
      <c r="MRZ2" s="1113"/>
      <c r="MSA2" s="1113"/>
      <c r="MSB2" s="1113"/>
      <c r="MSC2" s="1113"/>
      <c r="MSD2" s="1113"/>
      <c r="MSE2" s="1113"/>
      <c r="MSF2" s="1113"/>
      <c r="MSG2" s="1113"/>
      <c r="MSH2" s="1113"/>
      <c r="MSI2" s="1113"/>
      <c r="MSJ2" s="1113"/>
      <c r="MSK2" s="1113"/>
      <c r="MSL2" s="1113"/>
      <c r="MSM2" s="1113"/>
      <c r="MSN2" s="1113"/>
      <c r="MSO2" s="1113"/>
      <c r="MSP2" s="1113"/>
      <c r="MSQ2" s="1113"/>
      <c r="MSR2" s="1113"/>
      <c r="MSS2" s="1113"/>
      <c r="MST2" s="1113"/>
      <c r="MSU2" s="1113"/>
      <c r="MSV2" s="1113"/>
      <c r="MSW2" s="1113"/>
      <c r="MSX2" s="1113"/>
      <c r="MSY2" s="1113"/>
      <c r="MSZ2" s="1113"/>
      <c r="MTA2" s="1113"/>
      <c r="MTB2" s="1113"/>
      <c r="MTC2" s="1113"/>
      <c r="MTD2" s="1113"/>
      <c r="MTE2" s="1113"/>
      <c r="MTF2" s="1113"/>
      <c r="MTG2" s="1113"/>
      <c r="MTH2" s="1113"/>
      <c r="MTI2" s="1113"/>
      <c r="MTJ2" s="1113"/>
      <c r="MTK2" s="1113"/>
      <c r="MTL2" s="1113"/>
      <c r="MTM2" s="1113"/>
      <c r="MTN2" s="1113"/>
      <c r="MTO2" s="1113"/>
      <c r="MTP2" s="1113"/>
      <c r="MTQ2" s="1113"/>
      <c r="MTR2" s="1113"/>
      <c r="MTS2" s="1113"/>
      <c r="MTT2" s="1113"/>
      <c r="MTU2" s="1113"/>
      <c r="MTV2" s="1113"/>
      <c r="MTW2" s="1113"/>
      <c r="MTX2" s="1113"/>
      <c r="MTY2" s="1113"/>
      <c r="MTZ2" s="1113"/>
      <c r="MUA2" s="1113"/>
      <c r="MUB2" s="1113"/>
      <c r="MUC2" s="1113"/>
      <c r="MUD2" s="1113"/>
      <c r="MUE2" s="1113"/>
      <c r="MUF2" s="1113"/>
      <c r="MUG2" s="1113"/>
      <c r="MUH2" s="1113"/>
      <c r="MUI2" s="1113"/>
      <c r="MUJ2" s="1113"/>
      <c r="MUK2" s="1113"/>
      <c r="MUL2" s="1113"/>
      <c r="MUM2" s="1113"/>
      <c r="MUN2" s="1113"/>
      <c r="MUO2" s="1113"/>
      <c r="MUP2" s="1113"/>
      <c r="MUQ2" s="1113"/>
      <c r="MUR2" s="1113"/>
      <c r="MUS2" s="1113"/>
      <c r="MUT2" s="1113"/>
      <c r="MUU2" s="1113"/>
      <c r="MUV2" s="1113"/>
      <c r="MUW2" s="1113"/>
      <c r="MUX2" s="1113"/>
      <c r="MUY2" s="1113"/>
      <c r="MUZ2" s="1113"/>
      <c r="MVA2" s="1113"/>
      <c r="MVB2" s="1113"/>
      <c r="MVC2" s="1113"/>
      <c r="MVD2" s="1113"/>
      <c r="MVE2" s="1113"/>
      <c r="MVF2" s="1113"/>
      <c r="MVG2" s="1113"/>
      <c r="MVH2" s="1113"/>
      <c r="MVI2" s="1113"/>
      <c r="MVJ2" s="1113"/>
      <c r="MVK2" s="1113"/>
      <c r="MVL2" s="1113"/>
      <c r="MVM2" s="1113"/>
      <c r="MVN2" s="1113"/>
      <c r="MVO2" s="1113"/>
      <c r="MVP2" s="1113"/>
      <c r="MVQ2" s="1113"/>
      <c r="MVR2" s="1113"/>
      <c r="MVS2" s="1113"/>
      <c r="MVT2" s="1113"/>
      <c r="MVU2" s="1113"/>
      <c r="MVV2" s="1113"/>
      <c r="MVW2" s="1113"/>
      <c r="MVX2" s="1113"/>
      <c r="MVY2" s="1113"/>
      <c r="MVZ2" s="1113"/>
      <c r="MWA2" s="1113"/>
      <c r="MWB2" s="1113"/>
      <c r="MWC2" s="1113"/>
      <c r="MWD2" s="1113"/>
      <c r="MWE2" s="1113"/>
      <c r="MWF2" s="1113"/>
      <c r="MWG2" s="1113"/>
      <c r="MWH2" s="1113"/>
      <c r="MWI2" s="1113"/>
      <c r="MWJ2" s="1113"/>
      <c r="MWK2" s="1113"/>
      <c r="MWL2" s="1113"/>
      <c r="MWM2" s="1113"/>
      <c r="MWN2" s="1113"/>
      <c r="MWO2" s="1113"/>
      <c r="MWP2" s="1113"/>
      <c r="MWQ2" s="1113"/>
      <c r="MWR2" s="1113"/>
      <c r="MWS2" s="1113"/>
      <c r="MWT2" s="1113"/>
      <c r="MWU2" s="1113"/>
      <c r="MWV2" s="1113"/>
      <c r="MWW2" s="1113"/>
      <c r="MWX2" s="1113"/>
      <c r="MWY2" s="1113"/>
      <c r="MWZ2" s="1113"/>
      <c r="MXA2" s="1113"/>
      <c r="MXB2" s="1113"/>
      <c r="MXC2" s="1113"/>
      <c r="MXD2" s="1113"/>
      <c r="MXE2" s="1113"/>
      <c r="MXF2" s="1113"/>
      <c r="MXG2" s="1113"/>
      <c r="MXH2" s="1113"/>
      <c r="MXI2" s="1113"/>
      <c r="MXJ2" s="1113"/>
      <c r="MXK2" s="1113"/>
      <c r="MXL2" s="1113"/>
      <c r="MXM2" s="1113"/>
      <c r="MXN2" s="1113"/>
      <c r="MXO2" s="1113"/>
      <c r="MXP2" s="1113"/>
      <c r="MXQ2" s="1113"/>
      <c r="MXR2" s="1113"/>
      <c r="MXS2" s="1113"/>
      <c r="MXT2" s="1113"/>
      <c r="MXU2" s="1113"/>
      <c r="MXV2" s="1113"/>
      <c r="MXW2" s="1113"/>
      <c r="MXX2" s="1113"/>
      <c r="MXY2" s="1113"/>
      <c r="MXZ2" s="1113"/>
      <c r="MYA2" s="1113"/>
      <c r="MYB2" s="1113"/>
      <c r="MYC2" s="1113"/>
      <c r="MYD2" s="1113"/>
      <c r="MYE2" s="1113"/>
      <c r="MYF2" s="1113"/>
      <c r="MYG2" s="1113"/>
      <c r="MYH2" s="1113"/>
      <c r="MYI2" s="1113"/>
      <c r="MYJ2" s="1113"/>
      <c r="MYK2" s="1113"/>
      <c r="MYL2" s="1113"/>
      <c r="MYM2" s="1113"/>
      <c r="MYN2" s="1113"/>
      <c r="MYO2" s="1113"/>
      <c r="MYP2" s="1113"/>
      <c r="MYQ2" s="1113"/>
      <c r="MYR2" s="1113"/>
      <c r="MYS2" s="1113"/>
      <c r="MYT2" s="1113"/>
      <c r="MYU2" s="1113"/>
      <c r="MYV2" s="1113"/>
      <c r="MYW2" s="1113"/>
      <c r="MYX2" s="1113"/>
      <c r="MYY2" s="1113"/>
      <c r="MYZ2" s="1113"/>
      <c r="MZA2" s="1113"/>
      <c r="MZB2" s="1113"/>
      <c r="MZC2" s="1113"/>
      <c r="MZD2" s="1113"/>
      <c r="MZE2" s="1113"/>
      <c r="MZF2" s="1113"/>
      <c r="MZG2" s="1113"/>
      <c r="MZH2" s="1113"/>
      <c r="MZI2" s="1113"/>
      <c r="MZJ2" s="1113"/>
      <c r="MZK2" s="1113"/>
      <c r="MZL2" s="1113"/>
      <c r="MZM2" s="1113"/>
      <c r="MZN2" s="1113"/>
      <c r="MZO2" s="1113"/>
      <c r="MZP2" s="1113"/>
      <c r="MZQ2" s="1113"/>
      <c r="MZR2" s="1113"/>
      <c r="MZS2" s="1113"/>
      <c r="MZT2" s="1113"/>
      <c r="MZU2" s="1113"/>
      <c r="MZV2" s="1113"/>
      <c r="MZW2" s="1113"/>
      <c r="MZX2" s="1113"/>
      <c r="MZY2" s="1113"/>
      <c r="MZZ2" s="1113"/>
      <c r="NAA2" s="1113"/>
      <c r="NAB2" s="1113"/>
      <c r="NAC2" s="1113"/>
      <c r="NAD2" s="1113"/>
      <c r="NAE2" s="1113"/>
      <c r="NAF2" s="1113"/>
      <c r="NAG2" s="1113"/>
      <c r="NAH2" s="1113"/>
      <c r="NAI2" s="1113"/>
      <c r="NAJ2" s="1113"/>
      <c r="NAK2" s="1113"/>
      <c r="NAL2" s="1113"/>
      <c r="NAM2" s="1113"/>
      <c r="NAN2" s="1113"/>
      <c r="NAO2" s="1113"/>
      <c r="NAP2" s="1113"/>
      <c r="NAQ2" s="1113"/>
      <c r="NAR2" s="1113"/>
      <c r="NAS2" s="1113"/>
      <c r="NAT2" s="1113"/>
      <c r="NAU2" s="1113"/>
      <c r="NAV2" s="1113"/>
      <c r="NAW2" s="1113"/>
      <c r="NAX2" s="1113"/>
      <c r="NAY2" s="1113"/>
      <c r="NAZ2" s="1113"/>
      <c r="NBA2" s="1113"/>
      <c r="NBB2" s="1113"/>
      <c r="NBC2" s="1113"/>
      <c r="NBD2" s="1113"/>
      <c r="NBE2" s="1113"/>
      <c r="NBF2" s="1113"/>
      <c r="NBG2" s="1113"/>
      <c r="NBH2" s="1113"/>
      <c r="NBI2" s="1113"/>
      <c r="NBJ2" s="1113"/>
      <c r="NBK2" s="1113"/>
      <c r="NBL2" s="1113"/>
      <c r="NBM2" s="1113"/>
      <c r="NBN2" s="1113"/>
      <c r="NBO2" s="1113"/>
      <c r="NBP2" s="1113"/>
      <c r="NBQ2" s="1113"/>
      <c r="NBR2" s="1113"/>
      <c r="NBS2" s="1113"/>
      <c r="NBT2" s="1113"/>
      <c r="NBU2" s="1113"/>
      <c r="NBV2" s="1113"/>
      <c r="NBW2" s="1113"/>
      <c r="NBX2" s="1113"/>
      <c r="NBY2" s="1113"/>
      <c r="NBZ2" s="1113"/>
      <c r="NCA2" s="1113"/>
      <c r="NCB2" s="1113"/>
      <c r="NCC2" s="1113"/>
      <c r="NCD2" s="1113"/>
      <c r="NCE2" s="1113"/>
      <c r="NCF2" s="1113"/>
      <c r="NCG2" s="1113"/>
      <c r="NCH2" s="1113"/>
      <c r="NCI2" s="1113"/>
      <c r="NCJ2" s="1113"/>
      <c r="NCK2" s="1113"/>
      <c r="NCL2" s="1113"/>
      <c r="NCM2" s="1113"/>
      <c r="NCN2" s="1113"/>
      <c r="NCO2" s="1113"/>
      <c r="NCP2" s="1113"/>
      <c r="NCQ2" s="1113"/>
      <c r="NCR2" s="1113"/>
      <c r="NCS2" s="1113"/>
      <c r="NCT2" s="1113"/>
      <c r="NCU2" s="1113"/>
      <c r="NCV2" s="1113"/>
      <c r="NCW2" s="1113"/>
      <c r="NCX2" s="1113"/>
      <c r="NCY2" s="1113"/>
      <c r="NCZ2" s="1113"/>
      <c r="NDA2" s="1113"/>
      <c r="NDB2" s="1113"/>
      <c r="NDC2" s="1113"/>
      <c r="NDD2" s="1113"/>
      <c r="NDE2" s="1113"/>
      <c r="NDF2" s="1113"/>
      <c r="NDG2" s="1113"/>
      <c r="NDH2" s="1113"/>
      <c r="NDI2" s="1113"/>
      <c r="NDJ2" s="1113"/>
      <c r="NDK2" s="1113"/>
      <c r="NDL2" s="1113"/>
      <c r="NDM2" s="1113"/>
      <c r="NDN2" s="1113"/>
      <c r="NDO2" s="1113"/>
      <c r="NDP2" s="1113"/>
      <c r="NDQ2" s="1113"/>
      <c r="NDR2" s="1113"/>
      <c r="NDS2" s="1113"/>
      <c r="NDT2" s="1113"/>
      <c r="NDU2" s="1113"/>
      <c r="NDV2" s="1113"/>
      <c r="NDW2" s="1113"/>
      <c r="NDX2" s="1113"/>
      <c r="NDY2" s="1113"/>
      <c r="NDZ2" s="1113"/>
      <c r="NEA2" s="1113"/>
      <c r="NEB2" s="1113"/>
      <c r="NEC2" s="1113"/>
      <c r="NED2" s="1113"/>
      <c r="NEE2" s="1113"/>
      <c r="NEF2" s="1113"/>
      <c r="NEG2" s="1113"/>
      <c r="NEH2" s="1113"/>
      <c r="NEI2" s="1113"/>
      <c r="NEJ2" s="1113"/>
      <c r="NEK2" s="1113"/>
      <c r="NEL2" s="1113"/>
      <c r="NEM2" s="1113"/>
      <c r="NEN2" s="1113"/>
      <c r="NEO2" s="1113"/>
      <c r="NEP2" s="1113"/>
      <c r="NEQ2" s="1113"/>
      <c r="NER2" s="1113"/>
      <c r="NES2" s="1113"/>
      <c r="NET2" s="1113"/>
      <c r="NEU2" s="1113"/>
      <c r="NEV2" s="1113"/>
      <c r="NEW2" s="1113"/>
      <c r="NEX2" s="1113"/>
      <c r="NEY2" s="1113"/>
      <c r="NEZ2" s="1113"/>
      <c r="NFA2" s="1113"/>
      <c r="NFB2" s="1113"/>
      <c r="NFC2" s="1113"/>
      <c r="NFD2" s="1113"/>
      <c r="NFE2" s="1113"/>
      <c r="NFF2" s="1113"/>
      <c r="NFG2" s="1113"/>
      <c r="NFH2" s="1113"/>
      <c r="NFI2" s="1113"/>
      <c r="NFJ2" s="1113"/>
      <c r="NFK2" s="1113"/>
      <c r="NFL2" s="1113"/>
      <c r="NFM2" s="1113"/>
      <c r="NFN2" s="1113"/>
      <c r="NFO2" s="1113"/>
      <c r="NFP2" s="1113"/>
      <c r="NFQ2" s="1113"/>
      <c r="NFR2" s="1113"/>
      <c r="NFS2" s="1113"/>
      <c r="NFT2" s="1113"/>
      <c r="NFU2" s="1113"/>
      <c r="NFV2" s="1113"/>
      <c r="NFW2" s="1113"/>
      <c r="NFX2" s="1113"/>
      <c r="NFY2" s="1113"/>
      <c r="NFZ2" s="1113"/>
      <c r="NGA2" s="1113"/>
      <c r="NGB2" s="1113"/>
      <c r="NGC2" s="1113"/>
      <c r="NGD2" s="1113"/>
      <c r="NGE2" s="1113"/>
      <c r="NGF2" s="1113"/>
      <c r="NGG2" s="1113"/>
      <c r="NGH2" s="1113"/>
      <c r="NGI2" s="1113"/>
      <c r="NGJ2" s="1113"/>
      <c r="NGK2" s="1113"/>
      <c r="NGL2" s="1113"/>
      <c r="NGM2" s="1113"/>
      <c r="NGN2" s="1113"/>
      <c r="NGO2" s="1113"/>
      <c r="NGP2" s="1113"/>
      <c r="NGQ2" s="1113"/>
      <c r="NGR2" s="1113"/>
      <c r="NGS2" s="1113"/>
      <c r="NGT2" s="1113"/>
      <c r="NGU2" s="1113"/>
      <c r="NGV2" s="1113"/>
      <c r="NGW2" s="1113"/>
      <c r="NGX2" s="1113"/>
      <c r="NGY2" s="1113"/>
      <c r="NGZ2" s="1113"/>
      <c r="NHA2" s="1113"/>
      <c r="NHB2" s="1113"/>
      <c r="NHC2" s="1113"/>
      <c r="NHD2" s="1113"/>
      <c r="NHE2" s="1113"/>
      <c r="NHF2" s="1113"/>
      <c r="NHG2" s="1113"/>
      <c r="NHH2" s="1113"/>
      <c r="NHI2" s="1113"/>
      <c r="NHJ2" s="1113"/>
      <c r="NHK2" s="1113"/>
      <c r="NHL2" s="1113"/>
      <c r="NHM2" s="1113"/>
      <c r="NHN2" s="1113"/>
      <c r="NHO2" s="1113"/>
      <c r="NHP2" s="1113"/>
      <c r="NHQ2" s="1113"/>
      <c r="NHR2" s="1113"/>
      <c r="NHS2" s="1113"/>
      <c r="NHT2" s="1113"/>
      <c r="NHU2" s="1113"/>
      <c r="NHV2" s="1113"/>
      <c r="NHW2" s="1113"/>
      <c r="NHX2" s="1113"/>
      <c r="NHY2" s="1113"/>
      <c r="NHZ2" s="1113"/>
      <c r="NIA2" s="1113"/>
      <c r="NIB2" s="1113"/>
      <c r="NIC2" s="1113"/>
      <c r="NID2" s="1113"/>
      <c r="NIE2" s="1113"/>
      <c r="NIF2" s="1113"/>
      <c r="NIG2" s="1113"/>
      <c r="NIH2" s="1113"/>
      <c r="NII2" s="1113"/>
      <c r="NIJ2" s="1113"/>
      <c r="NIK2" s="1113"/>
      <c r="NIL2" s="1113"/>
      <c r="NIM2" s="1113"/>
      <c r="NIN2" s="1113"/>
      <c r="NIO2" s="1113"/>
      <c r="NIP2" s="1113"/>
      <c r="NIQ2" s="1113"/>
      <c r="NIR2" s="1113"/>
      <c r="NIS2" s="1113"/>
      <c r="NIT2" s="1113"/>
      <c r="NIU2" s="1113"/>
      <c r="NIV2" s="1113"/>
      <c r="NIW2" s="1113"/>
      <c r="NIX2" s="1113"/>
      <c r="NIY2" s="1113"/>
      <c r="NIZ2" s="1113"/>
      <c r="NJA2" s="1113"/>
      <c r="NJB2" s="1113"/>
      <c r="NJC2" s="1113"/>
      <c r="NJD2" s="1113"/>
      <c r="NJE2" s="1113"/>
      <c r="NJF2" s="1113"/>
      <c r="NJG2" s="1113"/>
      <c r="NJH2" s="1113"/>
      <c r="NJI2" s="1113"/>
      <c r="NJJ2" s="1113"/>
      <c r="NJK2" s="1113"/>
      <c r="NJL2" s="1113"/>
      <c r="NJM2" s="1113"/>
      <c r="NJN2" s="1113"/>
      <c r="NJO2" s="1113"/>
      <c r="NJP2" s="1113"/>
      <c r="NJQ2" s="1113"/>
      <c r="NJR2" s="1113"/>
      <c r="NJS2" s="1113"/>
      <c r="NJT2" s="1113"/>
      <c r="NJU2" s="1113"/>
      <c r="NJV2" s="1113"/>
      <c r="NJW2" s="1113"/>
      <c r="NJX2" s="1113"/>
      <c r="NJY2" s="1113"/>
      <c r="NJZ2" s="1113"/>
      <c r="NKA2" s="1113"/>
      <c r="NKB2" s="1113"/>
      <c r="NKC2" s="1113"/>
      <c r="NKD2" s="1113"/>
      <c r="NKE2" s="1113"/>
      <c r="NKF2" s="1113"/>
      <c r="NKG2" s="1113"/>
      <c r="NKH2" s="1113"/>
      <c r="NKI2" s="1113"/>
      <c r="NKJ2" s="1113"/>
      <c r="NKK2" s="1113"/>
      <c r="NKL2" s="1113"/>
      <c r="NKM2" s="1113"/>
      <c r="NKN2" s="1113"/>
      <c r="NKO2" s="1113"/>
      <c r="NKP2" s="1113"/>
      <c r="NKQ2" s="1113"/>
      <c r="NKR2" s="1113"/>
      <c r="NKS2" s="1113"/>
      <c r="NKT2" s="1113"/>
      <c r="NKU2" s="1113"/>
      <c r="NKV2" s="1113"/>
      <c r="NKW2" s="1113"/>
      <c r="NKX2" s="1113"/>
      <c r="NKY2" s="1113"/>
      <c r="NKZ2" s="1113"/>
      <c r="NLA2" s="1113"/>
      <c r="NLB2" s="1113"/>
      <c r="NLC2" s="1113"/>
      <c r="NLD2" s="1113"/>
      <c r="NLE2" s="1113"/>
      <c r="NLF2" s="1113"/>
      <c r="NLG2" s="1113"/>
      <c r="NLH2" s="1113"/>
      <c r="NLI2" s="1113"/>
      <c r="NLJ2" s="1113"/>
      <c r="NLK2" s="1113"/>
      <c r="NLL2" s="1113"/>
      <c r="NLM2" s="1113"/>
      <c r="NLN2" s="1113"/>
      <c r="NLO2" s="1113"/>
      <c r="NLP2" s="1113"/>
      <c r="NLQ2" s="1113"/>
      <c r="NLR2" s="1113"/>
      <c r="NLS2" s="1113"/>
      <c r="NLT2" s="1113"/>
      <c r="NLU2" s="1113"/>
      <c r="NLV2" s="1113"/>
      <c r="NLW2" s="1113"/>
      <c r="NLX2" s="1113"/>
      <c r="NLY2" s="1113"/>
      <c r="NLZ2" s="1113"/>
      <c r="NMA2" s="1113"/>
      <c r="NMB2" s="1113"/>
      <c r="NMC2" s="1113"/>
      <c r="NMD2" s="1113"/>
      <c r="NME2" s="1113"/>
      <c r="NMF2" s="1113"/>
      <c r="NMG2" s="1113"/>
      <c r="NMH2" s="1113"/>
      <c r="NMI2" s="1113"/>
      <c r="NMJ2" s="1113"/>
      <c r="NMK2" s="1113"/>
      <c r="NML2" s="1113"/>
      <c r="NMM2" s="1113"/>
      <c r="NMN2" s="1113"/>
      <c r="NMO2" s="1113"/>
      <c r="NMP2" s="1113"/>
      <c r="NMQ2" s="1113"/>
      <c r="NMR2" s="1113"/>
      <c r="NMS2" s="1113"/>
      <c r="NMT2" s="1113"/>
      <c r="NMU2" s="1113"/>
      <c r="NMV2" s="1113"/>
      <c r="NMW2" s="1113"/>
      <c r="NMX2" s="1113"/>
      <c r="NMY2" s="1113"/>
      <c r="NMZ2" s="1113"/>
      <c r="NNA2" s="1113"/>
      <c r="NNB2" s="1113"/>
      <c r="NNC2" s="1113"/>
      <c r="NND2" s="1113"/>
      <c r="NNE2" s="1113"/>
      <c r="NNF2" s="1113"/>
      <c r="NNG2" s="1113"/>
      <c r="NNH2" s="1113"/>
      <c r="NNI2" s="1113"/>
      <c r="NNJ2" s="1113"/>
      <c r="NNK2" s="1113"/>
      <c r="NNL2" s="1113"/>
      <c r="NNM2" s="1113"/>
      <c r="NNN2" s="1113"/>
      <c r="NNO2" s="1113"/>
      <c r="NNP2" s="1113"/>
      <c r="NNQ2" s="1113"/>
      <c r="NNR2" s="1113"/>
      <c r="NNS2" s="1113"/>
      <c r="NNT2" s="1113"/>
      <c r="NNU2" s="1113"/>
      <c r="NNV2" s="1113"/>
      <c r="NNW2" s="1113"/>
      <c r="NNX2" s="1113"/>
      <c r="NNY2" s="1113"/>
      <c r="NNZ2" s="1113"/>
      <c r="NOA2" s="1113"/>
      <c r="NOB2" s="1113"/>
      <c r="NOC2" s="1113"/>
      <c r="NOD2" s="1113"/>
      <c r="NOE2" s="1113"/>
      <c r="NOF2" s="1113"/>
      <c r="NOG2" s="1113"/>
      <c r="NOH2" s="1113"/>
      <c r="NOI2" s="1113"/>
      <c r="NOJ2" s="1113"/>
      <c r="NOK2" s="1113"/>
      <c r="NOL2" s="1113"/>
      <c r="NOM2" s="1113"/>
      <c r="NON2" s="1113"/>
      <c r="NOO2" s="1113"/>
      <c r="NOP2" s="1113"/>
      <c r="NOQ2" s="1113"/>
      <c r="NOR2" s="1113"/>
      <c r="NOS2" s="1113"/>
      <c r="NOT2" s="1113"/>
      <c r="NOU2" s="1113"/>
      <c r="NOV2" s="1113"/>
      <c r="NOW2" s="1113"/>
      <c r="NOX2" s="1113"/>
      <c r="NOY2" s="1113"/>
      <c r="NOZ2" s="1113"/>
      <c r="NPA2" s="1113"/>
      <c r="NPB2" s="1113"/>
      <c r="NPC2" s="1113"/>
      <c r="NPD2" s="1113"/>
      <c r="NPE2" s="1113"/>
      <c r="NPF2" s="1113"/>
      <c r="NPG2" s="1113"/>
      <c r="NPH2" s="1113"/>
      <c r="NPI2" s="1113"/>
      <c r="NPJ2" s="1113"/>
      <c r="NPK2" s="1113"/>
      <c r="NPL2" s="1113"/>
      <c r="NPM2" s="1113"/>
      <c r="NPN2" s="1113"/>
      <c r="NPO2" s="1113"/>
      <c r="NPP2" s="1113"/>
      <c r="NPQ2" s="1113"/>
      <c r="NPR2" s="1113"/>
      <c r="NPS2" s="1113"/>
      <c r="NPT2" s="1113"/>
      <c r="NPU2" s="1113"/>
      <c r="NPV2" s="1113"/>
      <c r="NPW2" s="1113"/>
      <c r="NPX2" s="1113"/>
      <c r="NPY2" s="1113"/>
      <c r="NPZ2" s="1113"/>
      <c r="NQA2" s="1113"/>
      <c r="NQB2" s="1113"/>
      <c r="NQC2" s="1113"/>
      <c r="NQD2" s="1113"/>
      <c r="NQE2" s="1113"/>
      <c r="NQF2" s="1113"/>
      <c r="NQG2" s="1113"/>
      <c r="NQH2" s="1113"/>
      <c r="NQI2" s="1113"/>
      <c r="NQJ2" s="1113"/>
      <c r="NQK2" s="1113"/>
      <c r="NQL2" s="1113"/>
      <c r="NQM2" s="1113"/>
      <c r="NQN2" s="1113"/>
      <c r="NQO2" s="1113"/>
      <c r="NQP2" s="1113"/>
      <c r="NQQ2" s="1113"/>
      <c r="NQR2" s="1113"/>
      <c r="NQS2" s="1113"/>
      <c r="NQT2" s="1113"/>
      <c r="NQU2" s="1113"/>
      <c r="NQV2" s="1113"/>
      <c r="NQW2" s="1113"/>
      <c r="NQX2" s="1113"/>
      <c r="NQY2" s="1113"/>
      <c r="NQZ2" s="1113"/>
      <c r="NRA2" s="1113"/>
      <c r="NRB2" s="1113"/>
      <c r="NRC2" s="1113"/>
      <c r="NRD2" s="1113"/>
      <c r="NRE2" s="1113"/>
      <c r="NRF2" s="1113"/>
      <c r="NRG2" s="1113"/>
      <c r="NRH2" s="1113"/>
      <c r="NRI2" s="1113"/>
      <c r="NRJ2" s="1113"/>
      <c r="NRK2" s="1113"/>
      <c r="NRL2" s="1113"/>
      <c r="NRM2" s="1113"/>
      <c r="NRN2" s="1113"/>
      <c r="NRO2" s="1113"/>
      <c r="NRP2" s="1113"/>
      <c r="NRQ2" s="1113"/>
      <c r="NRR2" s="1113"/>
      <c r="NRS2" s="1113"/>
      <c r="NRT2" s="1113"/>
      <c r="NRU2" s="1113"/>
      <c r="NRV2" s="1113"/>
      <c r="NRW2" s="1113"/>
      <c r="NRX2" s="1113"/>
      <c r="NRY2" s="1113"/>
      <c r="NRZ2" s="1113"/>
      <c r="NSA2" s="1113"/>
      <c r="NSB2" s="1113"/>
      <c r="NSC2" s="1113"/>
      <c r="NSD2" s="1113"/>
      <c r="NSE2" s="1113"/>
      <c r="NSF2" s="1113"/>
      <c r="NSG2" s="1113"/>
      <c r="NSH2" s="1113"/>
      <c r="NSI2" s="1113"/>
      <c r="NSJ2" s="1113"/>
      <c r="NSK2" s="1113"/>
      <c r="NSL2" s="1113"/>
      <c r="NSM2" s="1113"/>
      <c r="NSN2" s="1113"/>
      <c r="NSO2" s="1113"/>
      <c r="NSP2" s="1113"/>
      <c r="NSQ2" s="1113"/>
      <c r="NSR2" s="1113"/>
      <c r="NSS2" s="1113"/>
      <c r="NST2" s="1113"/>
      <c r="NSU2" s="1113"/>
      <c r="NSV2" s="1113"/>
      <c r="NSW2" s="1113"/>
      <c r="NSX2" s="1113"/>
      <c r="NSY2" s="1113"/>
      <c r="NSZ2" s="1113"/>
      <c r="NTA2" s="1113"/>
      <c r="NTB2" s="1113"/>
      <c r="NTC2" s="1113"/>
      <c r="NTD2" s="1113"/>
      <c r="NTE2" s="1113"/>
      <c r="NTF2" s="1113"/>
      <c r="NTG2" s="1113"/>
      <c r="NTH2" s="1113"/>
      <c r="NTI2" s="1113"/>
      <c r="NTJ2" s="1113"/>
      <c r="NTK2" s="1113"/>
      <c r="NTL2" s="1113"/>
      <c r="NTM2" s="1113"/>
      <c r="NTN2" s="1113"/>
      <c r="NTO2" s="1113"/>
      <c r="NTP2" s="1113"/>
      <c r="NTQ2" s="1113"/>
      <c r="NTR2" s="1113"/>
      <c r="NTS2" s="1113"/>
      <c r="NTT2" s="1113"/>
      <c r="NTU2" s="1113"/>
      <c r="NTV2" s="1113"/>
      <c r="NTW2" s="1113"/>
      <c r="NTX2" s="1113"/>
      <c r="NTY2" s="1113"/>
      <c r="NTZ2" s="1113"/>
      <c r="NUA2" s="1113"/>
      <c r="NUB2" s="1113"/>
      <c r="NUC2" s="1113"/>
      <c r="NUD2" s="1113"/>
      <c r="NUE2" s="1113"/>
      <c r="NUF2" s="1113"/>
      <c r="NUG2" s="1113"/>
      <c r="NUH2" s="1113"/>
      <c r="NUI2" s="1113"/>
      <c r="NUJ2" s="1113"/>
      <c r="NUK2" s="1113"/>
      <c r="NUL2" s="1113"/>
      <c r="NUM2" s="1113"/>
      <c r="NUN2" s="1113"/>
      <c r="NUO2" s="1113"/>
      <c r="NUP2" s="1113"/>
      <c r="NUQ2" s="1113"/>
      <c r="NUR2" s="1113"/>
      <c r="NUS2" s="1113"/>
      <c r="NUT2" s="1113"/>
      <c r="NUU2" s="1113"/>
      <c r="NUV2" s="1113"/>
      <c r="NUW2" s="1113"/>
      <c r="NUX2" s="1113"/>
      <c r="NUY2" s="1113"/>
      <c r="NUZ2" s="1113"/>
      <c r="NVA2" s="1113"/>
      <c r="NVB2" s="1113"/>
      <c r="NVC2" s="1113"/>
      <c r="NVD2" s="1113"/>
      <c r="NVE2" s="1113"/>
      <c r="NVF2" s="1113"/>
      <c r="NVG2" s="1113"/>
      <c r="NVH2" s="1113"/>
      <c r="NVI2" s="1113"/>
      <c r="NVJ2" s="1113"/>
      <c r="NVK2" s="1113"/>
      <c r="NVL2" s="1113"/>
      <c r="NVM2" s="1113"/>
      <c r="NVN2" s="1113"/>
      <c r="NVO2" s="1113"/>
      <c r="NVP2" s="1113"/>
      <c r="NVQ2" s="1113"/>
      <c r="NVR2" s="1113"/>
      <c r="NVS2" s="1113"/>
      <c r="NVT2" s="1113"/>
      <c r="NVU2" s="1113"/>
      <c r="NVV2" s="1113"/>
      <c r="NVW2" s="1113"/>
      <c r="NVX2" s="1113"/>
      <c r="NVY2" s="1113"/>
      <c r="NVZ2" s="1113"/>
      <c r="NWA2" s="1113"/>
      <c r="NWB2" s="1113"/>
      <c r="NWC2" s="1113"/>
      <c r="NWD2" s="1113"/>
      <c r="NWE2" s="1113"/>
      <c r="NWF2" s="1113"/>
      <c r="NWG2" s="1113"/>
      <c r="NWH2" s="1113"/>
      <c r="NWI2" s="1113"/>
      <c r="NWJ2" s="1113"/>
      <c r="NWK2" s="1113"/>
      <c r="NWL2" s="1113"/>
      <c r="NWM2" s="1113"/>
      <c r="NWN2" s="1113"/>
      <c r="NWO2" s="1113"/>
      <c r="NWP2" s="1113"/>
      <c r="NWQ2" s="1113"/>
      <c r="NWR2" s="1113"/>
      <c r="NWS2" s="1113"/>
      <c r="NWT2" s="1113"/>
      <c r="NWU2" s="1113"/>
      <c r="NWV2" s="1113"/>
      <c r="NWW2" s="1113"/>
      <c r="NWX2" s="1113"/>
      <c r="NWY2" s="1113"/>
      <c r="NWZ2" s="1113"/>
      <c r="NXA2" s="1113"/>
      <c r="NXB2" s="1113"/>
      <c r="NXC2" s="1113"/>
      <c r="NXD2" s="1113"/>
      <c r="NXE2" s="1113"/>
      <c r="NXF2" s="1113"/>
      <c r="NXG2" s="1113"/>
      <c r="NXH2" s="1113"/>
      <c r="NXI2" s="1113"/>
      <c r="NXJ2" s="1113"/>
      <c r="NXK2" s="1113"/>
      <c r="NXL2" s="1113"/>
      <c r="NXM2" s="1113"/>
      <c r="NXN2" s="1113"/>
      <c r="NXO2" s="1113"/>
      <c r="NXP2" s="1113"/>
      <c r="NXQ2" s="1113"/>
      <c r="NXR2" s="1113"/>
      <c r="NXS2" s="1113"/>
      <c r="NXT2" s="1113"/>
      <c r="NXU2" s="1113"/>
      <c r="NXV2" s="1113"/>
      <c r="NXW2" s="1113"/>
      <c r="NXX2" s="1113"/>
      <c r="NXY2" s="1113"/>
      <c r="NXZ2" s="1113"/>
      <c r="NYA2" s="1113"/>
      <c r="NYB2" s="1113"/>
      <c r="NYC2" s="1113"/>
      <c r="NYD2" s="1113"/>
      <c r="NYE2" s="1113"/>
      <c r="NYF2" s="1113"/>
      <c r="NYG2" s="1113"/>
      <c r="NYH2" s="1113"/>
      <c r="NYI2" s="1113"/>
      <c r="NYJ2" s="1113"/>
      <c r="NYK2" s="1113"/>
      <c r="NYL2" s="1113"/>
      <c r="NYM2" s="1113"/>
      <c r="NYN2" s="1113"/>
      <c r="NYO2" s="1113"/>
      <c r="NYP2" s="1113"/>
      <c r="NYQ2" s="1113"/>
      <c r="NYR2" s="1113"/>
      <c r="NYS2" s="1113"/>
      <c r="NYT2" s="1113"/>
      <c r="NYU2" s="1113"/>
      <c r="NYV2" s="1113"/>
      <c r="NYW2" s="1113"/>
      <c r="NYX2" s="1113"/>
      <c r="NYY2" s="1113"/>
      <c r="NYZ2" s="1113"/>
      <c r="NZA2" s="1113"/>
      <c r="NZB2" s="1113"/>
      <c r="NZC2" s="1113"/>
      <c r="NZD2" s="1113"/>
      <c r="NZE2" s="1113"/>
      <c r="NZF2" s="1113"/>
      <c r="NZG2" s="1113"/>
      <c r="NZH2" s="1113"/>
      <c r="NZI2" s="1113"/>
      <c r="NZJ2" s="1113"/>
      <c r="NZK2" s="1113"/>
      <c r="NZL2" s="1113"/>
      <c r="NZM2" s="1113"/>
      <c r="NZN2" s="1113"/>
      <c r="NZO2" s="1113"/>
      <c r="NZP2" s="1113"/>
      <c r="NZQ2" s="1113"/>
      <c r="NZR2" s="1113"/>
      <c r="NZS2" s="1113"/>
      <c r="NZT2" s="1113"/>
      <c r="NZU2" s="1113"/>
      <c r="NZV2" s="1113"/>
      <c r="NZW2" s="1113"/>
      <c r="NZX2" s="1113"/>
      <c r="NZY2" s="1113"/>
      <c r="NZZ2" s="1113"/>
      <c r="OAA2" s="1113"/>
      <c r="OAB2" s="1113"/>
      <c r="OAC2" s="1113"/>
      <c r="OAD2" s="1113"/>
      <c r="OAE2" s="1113"/>
      <c r="OAF2" s="1113"/>
      <c r="OAG2" s="1113"/>
      <c r="OAH2" s="1113"/>
      <c r="OAI2" s="1113"/>
      <c r="OAJ2" s="1113"/>
      <c r="OAK2" s="1113"/>
      <c r="OAL2" s="1113"/>
      <c r="OAM2" s="1113"/>
      <c r="OAN2" s="1113"/>
      <c r="OAO2" s="1113"/>
      <c r="OAP2" s="1113"/>
      <c r="OAQ2" s="1113"/>
      <c r="OAR2" s="1113"/>
      <c r="OAS2" s="1113"/>
      <c r="OAT2" s="1113"/>
      <c r="OAU2" s="1113"/>
      <c r="OAV2" s="1113"/>
      <c r="OAW2" s="1113"/>
      <c r="OAX2" s="1113"/>
      <c r="OAY2" s="1113"/>
      <c r="OAZ2" s="1113"/>
      <c r="OBA2" s="1113"/>
      <c r="OBB2" s="1113"/>
      <c r="OBC2" s="1113"/>
      <c r="OBD2" s="1113"/>
      <c r="OBE2" s="1113"/>
      <c r="OBF2" s="1113"/>
      <c r="OBG2" s="1113"/>
      <c r="OBH2" s="1113"/>
      <c r="OBI2" s="1113"/>
      <c r="OBJ2" s="1113"/>
      <c r="OBK2" s="1113"/>
      <c r="OBL2" s="1113"/>
      <c r="OBM2" s="1113"/>
      <c r="OBN2" s="1113"/>
      <c r="OBO2" s="1113"/>
      <c r="OBP2" s="1113"/>
      <c r="OBQ2" s="1113"/>
      <c r="OBR2" s="1113"/>
      <c r="OBS2" s="1113"/>
      <c r="OBT2" s="1113"/>
      <c r="OBU2" s="1113"/>
      <c r="OBV2" s="1113"/>
      <c r="OBW2" s="1113"/>
      <c r="OBX2" s="1113"/>
      <c r="OBY2" s="1113"/>
      <c r="OBZ2" s="1113"/>
      <c r="OCA2" s="1113"/>
      <c r="OCB2" s="1113"/>
      <c r="OCC2" s="1113"/>
      <c r="OCD2" s="1113"/>
      <c r="OCE2" s="1113"/>
      <c r="OCF2" s="1113"/>
      <c r="OCG2" s="1113"/>
      <c r="OCH2" s="1113"/>
      <c r="OCI2" s="1113"/>
      <c r="OCJ2" s="1113"/>
      <c r="OCK2" s="1113"/>
      <c r="OCL2" s="1113"/>
      <c r="OCM2" s="1113"/>
      <c r="OCN2" s="1113"/>
      <c r="OCO2" s="1113"/>
      <c r="OCP2" s="1113"/>
      <c r="OCQ2" s="1113"/>
      <c r="OCR2" s="1113"/>
      <c r="OCS2" s="1113"/>
      <c r="OCT2" s="1113"/>
      <c r="OCU2" s="1113"/>
      <c r="OCV2" s="1113"/>
      <c r="OCW2" s="1113"/>
      <c r="OCX2" s="1113"/>
      <c r="OCY2" s="1113"/>
      <c r="OCZ2" s="1113"/>
      <c r="ODA2" s="1113"/>
      <c r="ODB2" s="1113"/>
      <c r="ODC2" s="1113"/>
      <c r="ODD2" s="1113"/>
      <c r="ODE2" s="1113"/>
      <c r="ODF2" s="1113"/>
      <c r="ODG2" s="1113"/>
      <c r="ODH2" s="1113"/>
      <c r="ODI2" s="1113"/>
      <c r="ODJ2" s="1113"/>
      <c r="ODK2" s="1113"/>
      <c r="ODL2" s="1113"/>
      <c r="ODM2" s="1113"/>
      <c r="ODN2" s="1113"/>
      <c r="ODO2" s="1113"/>
      <c r="ODP2" s="1113"/>
      <c r="ODQ2" s="1113"/>
      <c r="ODR2" s="1113"/>
      <c r="ODS2" s="1113"/>
      <c r="ODT2" s="1113"/>
      <c r="ODU2" s="1113"/>
      <c r="ODV2" s="1113"/>
      <c r="ODW2" s="1113"/>
      <c r="ODX2" s="1113"/>
      <c r="ODY2" s="1113"/>
      <c r="ODZ2" s="1113"/>
      <c r="OEA2" s="1113"/>
      <c r="OEB2" s="1113"/>
      <c r="OEC2" s="1113"/>
      <c r="OED2" s="1113"/>
      <c r="OEE2" s="1113"/>
      <c r="OEF2" s="1113"/>
      <c r="OEG2" s="1113"/>
      <c r="OEH2" s="1113"/>
      <c r="OEI2" s="1113"/>
      <c r="OEJ2" s="1113"/>
      <c r="OEK2" s="1113"/>
      <c r="OEL2" s="1113"/>
      <c r="OEM2" s="1113"/>
      <c r="OEN2" s="1113"/>
      <c r="OEO2" s="1113"/>
      <c r="OEP2" s="1113"/>
      <c r="OEQ2" s="1113"/>
      <c r="OER2" s="1113"/>
      <c r="OES2" s="1113"/>
      <c r="OET2" s="1113"/>
      <c r="OEU2" s="1113"/>
      <c r="OEV2" s="1113"/>
      <c r="OEW2" s="1113"/>
      <c r="OEX2" s="1113"/>
      <c r="OEY2" s="1113"/>
      <c r="OEZ2" s="1113"/>
      <c r="OFA2" s="1113"/>
      <c r="OFB2" s="1113"/>
      <c r="OFC2" s="1113"/>
      <c r="OFD2" s="1113"/>
      <c r="OFE2" s="1113"/>
      <c r="OFF2" s="1113"/>
      <c r="OFG2" s="1113"/>
      <c r="OFH2" s="1113"/>
      <c r="OFI2" s="1113"/>
      <c r="OFJ2" s="1113"/>
      <c r="OFK2" s="1113"/>
      <c r="OFL2" s="1113"/>
      <c r="OFM2" s="1113"/>
      <c r="OFN2" s="1113"/>
      <c r="OFO2" s="1113"/>
      <c r="OFP2" s="1113"/>
      <c r="OFQ2" s="1113"/>
      <c r="OFR2" s="1113"/>
      <c r="OFS2" s="1113"/>
      <c r="OFT2" s="1113"/>
      <c r="OFU2" s="1113"/>
      <c r="OFV2" s="1113"/>
      <c r="OFW2" s="1113"/>
      <c r="OFX2" s="1113"/>
      <c r="OFY2" s="1113"/>
      <c r="OFZ2" s="1113"/>
      <c r="OGA2" s="1113"/>
      <c r="OGB2" s="1113"/>
      <c r="OGC2" s="1113"/>
      <c r="OGD2" s="1113"/>
      <c r="OGE2" s="1113"/>
      <c r="OGF2" s="1113"/>
      <c r="OGG2" s="1113"/>
      <c r="OGH2" s="1113"/>
      <c r="OGI2" s="1113"/>
      <c r="OGJ2" s="1113"/>
      <c r="OGK2" s="1113"/>
      <c r="OGL2" s="1113"/>
      <c r="OGM2" s="1113"/>
      <c r="OGN2" s="1113"/>
      <c r="OGO2" s="1113"/>
      <c r="OGP2" s="1113"/>
      <c r="OGQ2" s="1113"/>
      <c r="OGR2" s="1113"/>
      <c r="OGS2" s="1113"/>
      <c r="OGT2" s="1113"/>
      <c r="OGU2" s="1113"/>
      <c r="OGV2" s="1113"/>
      <c r="OGW2" s="1113"/>
      <c r="OGX2" s="1113"/>
      <c r="OGY2" s="1113"/>
      <c r="OGZ2" s="1113"/>
      <c r="OHA2" s="1113"/>
      <c r="OHB2" s="1113"/>
      <c r="OHC2" s="1113"/>
      <c r="OHD2" s="1113"/>
      <c r="OHE2" s="1113"/>
      <c r="OHF2" s="1113"/>
      <c r="OHG2" s="1113"/>
      <c r="OHH2" s="1113"/>
      <c r="OHI2" s="1113"/>
      <c r="OHJ2" s="1113"/>
      <c r="OHK2" s="1113"/>
      <c r="OHL2" s="1113"/>
      <c r="OHM2" s="1113"/>
      <c r="OHN2" s="1113"/>
      <c r="OHO2" s="1113"/>
      <c r="OHP2" s="1113"/>
      <c r="OHQ2" s="1113"/>
      <c r="OHR2" s="1113"/>
      <c r="OHS2" s="1113"/>
      <c r="OHT2" s="1113"/>
      <c r="OHU2" s="1113"/>
      <c r="OHV2" s="1113"/>
      <c r="OHW2" s="1113"/>
      <c r="OHX2" s="1113"/>
      <c r="OHY2" s="1113"/>
      <c r="OHZ2" s="1113"/>
      <c r="OIA2" s="1113"/>
      <c r="OIB2" s="1113"/>
      <c r="OIC2" s="1113"/>
      <c r="OID2" s="1113"/>
      <c r="OIE2" s="1113"/>
      <c r="OIF2" s="1113"/>
      <c r="OIG2" s="1113"/>
      <c r="OIH2" s="1113"/>
      <c r="OII2" s="1113"/>
      <c r="OIJ2" s="1113"/>
      <c r="OIK2" s="1113"/>
      <c r="OIL2" s="1113"/>
      <c r="OIM2" s="1113"/>
      <c r="OIN2" s="1113"/>
      <c r="OIO2" s="1113"/>
      <c r="OIP2" s="1113"/>
      <c r="OIQ2" s="1113"/>
      <c r="OIR2" s="1113"/>
      <c r="OIS2" s="1113"/>
      <c r="OIT2" s="1113"/>
      <c r="OIU2" s="1113"/>
      <c r="OIV2" s="1113"/>
      <c r="OIW2" s="1113"/>
      <c r="OIX2" s="1113"/>
      <c r="OIY2" s="1113"/>
      <c r="OIZ2" s="1113"/>
      <c r="OJA2" s="1113"/>
      <c r="OJB2" s="1113"/>
      <c r="OJC2" s="1113"/>
      <c r="OJD2" s="1113"/>
      <c r="OJE2" s="1113"/>
      <c r="OJF2" s="1113"/>
      <c r="OJG2" s="1113"/>
      <c r="OJH2" s="1113"/>
      <c r="OJI2" s="1113"/>
      <c r="OJJ2" s="1113"/>
      <c r="OJK2" s="1113"/>
      <c r="OJL2" s="1113"/>
      <c r="OJM2" s="1113"/>
      <c r="OJN2" s="1113"/>
      <c r="OJO2" s="1113"/>
      <c r="OJP2" s="1113"/>
      <c r="OJQ2" s="1113"/>
      <c r="OJR2" s="1113"/>
      <c r="OJS2" s="1113"/>
      <c r="OJT2" s="1113"/>
      <c r="OJU2" s="1113"/>
      <c r="OJV2" s="1113"/>
      <c r="OJW2" s="1113"/>
      <c r="OJX2" s="1113"/>
      <c r="OJY2" s="1113"/>
      <c r="OJZ2" s="1113"/>
      <c r="OKA2" s="1113"/>
      <c r="OKB2" s="1113"/>
      <c r="OKC2" s="1113"/>
      <c r="OKD2" s="1113"/>
      <c r="OKE2" s="1113"/>
      <c r="OKF2" s="1113"/>
      <c r="OKG2" s="1113"/>
      <c r="OKH2" s="1113"/>
      <c r="OKI2" s="1113"/>
      <c r="OKJ2" s="1113"/>
      <c r="OKK2" s="1113"/>
      <c r="OKL2" s="1113"/>
      <c r="OKM2" s="1113"/>
      <c r="OKN2" s="1113"/>
      <c r="OKO2" s="1113"/>
      <c r="OKP2" s="1113"/>
      <c r="OKQ2" s="1113"/>
      <c r="OKR2" s="1113"/>
      <c r="OKS2" s="1113"/>
      <c r="OKT2" s="1113"/>
      <c r="OKU2" s="1113"/>
      <c r="OKV2" s="1113"/>
      <c r="OKW2" s="1113"/>
      <c r="OKX2" s="1113"/>
      <c r="OKY2" s="1113"/>
      <c r="OKZ2" s="1113"/>
      <c r="OLA2" s="1113"/>
      <c r="OLB2" s="1113"/>
      <c r="OLC2" s="1113"/>
      <c r="OLD2" s="1113"/>
      <c r="OLE2" s="1113"/>
      <c r="OLF2" s="1113"/>
      <c r="OLG2" s="1113"/>
      <c r="OLH2" s="1113"/>
      <c r="OLI2" s="1113"/>
      <c r="OLJ2" s="1113"/>
      <c r="OLK2" s="1113"/>
      <c r="OLL2" s="1113"/>
      <c r="OLM2" s="1113"/>
      <c r="OLN2" s="1113"/>
      <c r="OLO2" s="1113"/>
      <c r="OLP2" s="1113"/>
      <c r="OLQ2" s="1113"/>
      <c r="OLR2" s="1113"/>
      <c r="OLS2" s="1113"/>
      <c r="OLT2" s="1113"/>
      <c r="OLU2" s="1113"/>
      <c r="OLV2" s="1113"/>
      <c r="OLW2" s="1113"/>
      <c r="OLX2" s="1113"/>
      <c r="OLY2" s="1113"/>
      <c r="OLZ2" s="1113"/>
      <c r="OMA2" s="1113"/>
      <c r="OMB2" s="1113"/>
      <c r="OMC2" s="1113"/>
      <c r="OMD2" s="1113"/>
      <c r="OME2" s="1113"/>
      <c r="OMF2" s="1113"/>
      <c r="OMG2" s="1113"/>
      <c r="OMH2" s="1113"/>
      <c r="OMI2" s="1113"/>
      <c r="OMJ2" s="1113"/>
      <c r="OMK2" s="1113"/>
      <c r="OML2" s="1113"/>
      <c r="OMM2" s="1113"/>
      <c r="OMN2" s="1113"/>
      <c r="OMO2" s="1113"/>
      <c r="OMP2" s="1113"/>
      <c r="OMQ2" s="1113"/>
      <c r="OMR2" s="1113"/>
      <c r="OMS2" s="1113"/>
      <c r="OMT2" s="1113"/>
      <c r="OMU2" s="1113"/>
      <c r="OMV2" s="1113"/>
      <c r="OMW2" s="1113"/>
      <c r="OMX2" s="1113"/>
      <c r="OMY2" s="1113"/>
      <c r="OMZ2" s="1113"/>
      <c r="ONA2" s="1113"/>
      <c r="ONB2" s="1113"/>
      <c r="ONC2" s="1113"/>
      <c r="OND2" s="1113"/>
      <c r="ONE2" s="1113"/>
      <c r="ONF2" s="1113"/>
      <c r="ONG2" s="1113"/>
      <c r="ONH2" s="1113"/>
      <c r="ONI2" s="1113"/>
      <c r="ONJ2" s="1113"/>
      <c r="ONK2" s="1113"/>
      <c r="ONL2" s="1113"/>
      <c r="ONM2" s="1113"/>
      <c r="ONN2" s="1113"/>
      <c r="ONO2" s="1113"/>
      <c r="ONP2" s="1113"/>
      <c r="ONQ2" s="1113"/>
      <c r="ONR2" s="1113"/>
      <c r="ONS2" s="1113"/>
      <c r="ONT2" s="1113"/>
      <c r="ONU2" s="1113"/>
      <c r="ONV2" s="1113"/>
      <c r="ONW2" s="1113"/>
      <c r="ONX2" s="1113"/>
      <c r="ONY2" s="1113"/>
      <c r="ONZ2" s="1113"/>
      <c r="OOA2" s="1113"/>
      <c r="OOB2" s="1113"/>
      <c r="OOC2" s="1113"/>
      <c r="OOD2" s="1113"/>
      <c r="OOE2" s="1113"/>
      <c r="OOF2" s="1113"/>
      <c r="OOG2" s="1113"/>
      <c r="OOH2" s="1113"/>
      <c r="OOI2" s="1113"/>
      <c r="OOJ2" s="1113"/>
      <c r="OOK2" s="1113"/>
      <c r="OOL2" s="1113"/>
      <c r="OOM2" s="1113"/>
      <c r="OON2" s="1113"/>
      <c r="OOO2" s="1113"/>
      <c r="OOP2" s="1113"/>
      <c r="OOQ2" s="1113"/>
      <c r="OOR2" s="1113"/>
      <c r="OOS2" s="1113"/>
      <c r="OOT2" s="1113"/>
      <c r="OOU2" s="1113"/>
      <c r="OOV2" s="1113"/>
      <c r="OOW2" s="1113"/>
      <c r="OOX2" s="1113"/>
      <c r="OOY2" s="1113"/>
      <c r="OOZ2" s="1113"/>
      <c r="OPA2" s="1113"/>
      <c r="OPB2" s="1113"/>
      <c r="OPC2" s="1113"/>
      <c r="OPD2" s="1113"/>
      <c r="OPE2" s="1113"/>
      <c r="OPF2" s="1113"/>
      <c r="OPG2" s="1113"/>
      <c r="OPH2" s="1113"/>
      <c r="OPI2" s="1113"/>
      <c r="OPJ2" s="1113"/>
      <c r="OPK2" s="1113"/>
      <c r="OPL2" s="1113"/>
      <c r="OPM2" s="1113"/>
      <c r="OPN2" s="1113"/>
      <c r="OPO2" s="1113"/>
      <c r="OPP2" s="1113"/>
      <c r="OPQ2" s="1113"/>
      <c r="OPR2" s="1113"/>
      <c r="OPS2" s="1113"/>
      <c r="OPT2" s="1113"/>
      <c r="OPU2" s="1113"/>
      <c r="OPV2" s="1113"/>
      <c r="OPW2" s="1113"/>
      <c r="OPX2" s="1113"/>
      <c r="OPY2" s="1113"/>
      <c r="OPZ2" s="1113"/>
      <c r="OQA2" s="1113"/>
      <c r="OQB2" s="1113"/>
      <c r="OQC2" s="1113"/>
      <c r="OQD2" s="1113"/>
      <c r="OQE2" s="1113"/>
      <c r="OQF2" s="1113"/>
      <c r="OQG2" s="1113"/>
      <c r="OQH2" s="1113"/>
      <c r="OQI2" s="1113"/>
      <c r="OQJ2" s="1113"/>
      <c r="OQK2" s="1113"/>
      <c r="OQL2" s="1113"/>
      <c r="OQM2" s="1113"/>
      <c r="OQN2" s="1113"/>
      <c r="OQO2" s="1113"/>
      <c r="OQP2" s="1113"/>
      <c r="OQQ2" s="1113"/>
      <c r="OQR2" s="1113"/>
      <c r="OQS2" s="1113"/>
      <c r="OQT2" s="1113"/>
      <c r="OQU2" s="1113"/>
      <c r="OQV2" s="1113"/>
      <c r="OQW2" s="1113"/>
      <c r="OQX2" s="1113"/>
      <c r="OQY2" s="1113"/>
      <c r="OQZ2" s="1113"/>
      <c r="ORA2" s="1113"/>
      <c r="ORB2" s="1113"/>
      <c r="ORC2" s="1113"/>
      <c r="ORD2" s="1113"/>
      <c r="ORE2" s="1113"/>
      <c r="ORF2" s="1113"/>
      <c r="ORG2" s="1113"/>
      <c r="ORH2" s="1113"/>
      <c r="ORI2" s="1113"/>
      <c r="ORJ2" s="1113"/>
      <c r="ORK2" s="1113"/>
      <c r="ORL2" s="1113"/>
      <c r="ORM2" s="1113"/>
      <c r="ORN2" s="1113"/>
      <c r="ORO2" s="1113"/>
      <c r="ORP2" s="1113"/>
      <c r="ORQ2" s="1113"/>
      <c r="ORR2" s="1113"/>
      <c r="ORS2" s="1113"/>
      <c r="ORT2" s="1113"/>
      <c r="ORU2" s="1113"/>
      <c r="ORV2" s="1113"/>
      <c r="ORW2" s="1113"/>
      <c r="ORX2" s="1113"/>
      <c r="ORY2" s="1113"/>
      <c r="ORZ2" s="1113"/>
      <c r="OSA2" s="1113"/>
      <c r="OSB2" s="1113"/>
      <c r="OSC2" s="1113"/>
      <c r="OSD2" s="1113"/>
      <c r="OSE2" s="1113"/>
      <c r="OSF2" s="1113"/>
      <c r="OSG2" s="1113"/>
      <c r="OSH2" s="1113"/>
      <c r="OSI2" s="1113"/>
      <c r="OSJ2" s="1113"/>
      <c r="OSK2" s="1113"/>
      <c r="OSL2" s="1113"/>
      <c r="OSM2" s="1113"/>
      <c r="OSN2" s="1113"/>
      <c r="OSO2" s="1113"/>
      <c r="OSP2" s="1113"/>
      <c r="OSQ2" s="1113"/>
      <c r="OSR2" s="1113"/>
      <c r="OSS2" s="1113"/>
      <c r="OST2" s="1113"/>
      <c r="OSU2" s="1113"/>
      <c r="OSV2" s="1113"/>
      <c r="OSW2" s="1113"/>
      <c r="OSX2" s="1113"/>
      <c r="OSY2" s="1113"/>
      <c r="OSZ2" s="1113"/>
      <c r="OTA2" s="1113"/>
      <c r="OTB2" s="1113"/>
      <c r="OTC2" s="1113"/>
      <c r="OTD2" s="1113"/>
      <c r="OTE2" s="1113"/>
      <c r="OTF2" s="1113"/>
      <c r="OTG2" s="1113"/>
      <c r="OTH2" s="1113"/>
      <c r="OTI2" s="1113"/>
      <c r="OTJ2" s="1113"/>
      <c r="OTK2" s="1113"/>
      <c r="OTL2" s="1113"/>
      <c r="OTM2" s="1113"/>
      <c r="OTN2" s="1113"/>
      <c r="OTO2" s="1113"/>
      <c r="OTP2" s="1113"/>
      <c r="OTQ2" s="1113"/>
      <c r="OTR2" s="1113"/>
      <c r="OTS2" s="1113"/>
      <c r="OTT2" s="1113"/>
      <c r="OTU2" s="1113"/>
      <c r="OTV2" s="1113"/>
      <c r="OTW2" s="1113"/>
      <c r="OTX2" s="1113"/>
      <c r="OTY2" s="1113"/>
      <c r="OTZ2" s="1113"/>
      <c r="OUA2" s="1113"/>
      <c r="OUB2" s="1113"/>
      <c r="OUC2" s="1113"/>
      <c r="OUD2" s="1113"/>
      <c r="OUE2" s="1113"/>
      <c r="OUF2" s="1113"/>
      <c r="OUG2" s="1113"/>
      <c r="OUH2" s="1113"/>
      <c r="OUI2" s="1113"/>
      <c r="OUJ2" s="1113"/>
      <c r="OUK2" s="1113"/>
      <c r="OUL2" s="1113"/>
      <c r="OUM2" s="1113"/>
      <c r="OUN2" s="1113"/>
      <c r="OUO2" s="1113"/>
      <c r="OUP2" s="1113"/>
      <c r="OUQ2" s="1113"/>
      <c r="OUR2" s="1113"/>
      <c r="OUS2" s="1113"/>
      <c r="OUT2" s="1113"/>
      <c r="OUU2" s="1113"/>
      <c r="OUV2" s="1113"/>
      <c r="OUW2" s="1113"/>
      <c r="OUX2" s="1113"/>
      <c r="OUY2" s="1113"/>
      <c r="OUZ2" s="1113"/>
      <c r="OVA2" s="1113"/>
      <c r="OVB2" s="1113"/>
      <c r="OVC2" s="1113"/>
      <c r="OVD2" s="1113"/>
      <c r="OVE2" s="1113"/>
      <c r="OVF2" s="1113"/>
      <c r="OVG2" s="1113"/>
      <c r="OVH2" s="1113"/>
      <c r="OVI2" s="1113"/>
      <c r="OVJ2" s="1113"/>
      <c r="OVK2" s="1113"/>
      <c r="OVL2" s="1113"/>
      <c r="OVM2" s="1113"/>
      <c r="OVN2" s="1113"/>
      <c r="OVO2" s="1113"/>
      <c r="OVP2" s="1113"/>
      <c r="OVQ2" s="1113"/>
      <c r="OVR2" s="1113"/>
      <c r="OVS2" s="1113"/>
      <c r="OVT2" s="1113"/>
      <c r="OVU2" s="1113"/>
      <c r="OVV2" s="1113"/>
      <c r="OVW2" s="1113"/>
      <c r="OVX2" s="1113"/>
      <c r="OVY2" s="1113"/>
      <c r="OVZ2" s="1113"/>
      <c r="OWA2" s="1113"/>
      <c r="OWB2" s="1113"/>
      <c r="OWC2" s="1113"/>
      <c r="OWD2" s="1113"/>
      <c r="OWE2" s="1113"/>
      <c r="OWF2" s="1113"/>
      <c r="OWG2" s="1113"/>
      <c r="OWH2" s="1113"/>
      <c r="OWI2" s="1113"/>
      <c r="OWJ2" s="1113"/>
      <c r="OWK2" s="1113"/>
      <c r="OWL2" s="1113"/>
      <c r="OWM2" s="1113"/>
      <c r="OWN2" s="1113"/>
      <c r="OWO2" s="1113"/>
      <c r="OWP2" s="1113"/>
      <c r="OWQ2" s="1113"/>
      <c r="OWR2" s="1113"/>
      <c r="OWS2" s="1113"/>
      <c r="OWT2" s="1113"/>
      <c r="OWU2" s="1113"/>
      <c r="OWV2" s="1113"/>
      <c r="OWW2" s="1113"/>
      <c r="OWX2" s="1113"/>
      <c r="OWY2" s="1113"/>
      <c r="OWZ2" s="1113"/>
      <c r="OXA2" s="1113"/>
      <c r="OXB2" s="1113"/>
      <c r="OXC2" s="1113"/>
      <c r="OXD2" s="1113"/>
      <c r="OXE2" s="1113"/>
      <c r="OXF2" s="1113"/>
      <c r="OXG2" s="1113"/>
      <c r="OXH2" s="1113"/>
      <c r="OXI2" s="1113"/>
      <c r="OXJ2" s="1113"/>
      <c r="OXK2" s="1113"/>
      <c r="OXL2" s="1113"/>
      <c r="OXM2" s="1113"/>
      <c r="OXN2" s="1113"/>
      <c r="OXO2" s="1113"/>
      <c r="OXP2" s="1113"/>
      <c r="OXQ2" s="1113"/>
      <c r="OXR2" s="1113"/>
      <c r="OXS2" s="1113"/>
      <c r="OXT2" s="1113"/>
      <c r="OXU2" s="1113"/>
      <c r="OXV2" s="1113"/>
      <c r="OXW2" s="1113"/>
      <c r="OXX2" s="1113"/>
      <c r="OXY2" s="1113"/>
      <c r="OXZ2" s="1113"/>
      <c r="OYA2" s="1113"/>
      <c r="OYB2" s="1113"/>
      <c r="OYC2" s="1113"/>
      <c r="OYD2" s="1113"/>
      <c r="OYE2" s="1113"/>
      <c r="OYF2" s="1113"/>
      <c r="OYG2" s="1113"/>
      <c r="OYH2" s="1113"/>
      <c r="OYI2" s="1113"/>
      <c r="OYJ2" s="1113"/>
      <c r="OYK2" s="1113"/>
      <c r="OYL2" s="1113"/>
      <c r="OYM2" s="1113"/>
      <c r="OYN2" s="1113"/>
      <c r="OYO2" s="1113"/>
      <c r="OYP2" s="1113"/>
      <c r="OYQ2" s="1113"/>
      <c r="OYR2" s="1113"/>
      <c r="OYS2" s="1113"/>
      <c r="OYT2" s="1113"/>
      <c r="OYU2" s="1113"/>
      <c r="OYV2" s="1113"/>
      <c r="OYW2" s="1113"/>
      <c r="OYX2" s="1113"/>
      <c r="OYY2" s="1113"/>
      <c r="OYZ2" s="1113"/>
      <c r="OZA2" s="1113"/>
      <c r="OZB2" s="1113"/>
      <c r="OZC2" s="1113"/>
      <c r="OZD2" s="1113"/>
      <c r="OZE2" s="1113"/>
      <c r="OZF2" s="1113"/>
      <c r="OZG2" s="1113"/>
      <c r="OZH2" s="1113"/>
      <c r="OZI2" s="1113"/>
      <c r="OZJ2" s="1113"/>
      <c r="OZK2" s="1113"/>
      <c r="OZL2" s="1113"/>
      <c r="OZM2" s="1113"/>
      <c r="OZN2" s="1113"/>
      <c r="OZO2" s="1113"/>
      <c r="OZP2" s="1113"/>
      <c r="OZQ2" s="1113"/>
      <c r="OZR2" s="1113"/>
      <c r="OZS2" s="1113"/>
      <c r="OZT2" s="1113"/>
      <c r="OZU2" s="1113"/>
      <c r="OZV2" s="1113"/>
      <c r="OZW2" s="1113"/>
      <c r="OZX2" s="1113"/>
      <c r="OZY2" s="1113"/>
      <c r="OZZ2" s="1113"/>
      <c r="PAA2" s="1113"/>
      <c r="PAB2" s="1113"/>
      <c r="PAC2" s="1113"/>
      <c r="PAD2" s="1113"/>
      <c r="PAE2" s="1113"/>
      <c r="PAF2" s="1113"/>
      <c r="PAG2" s="1113"/>
      <c r="PAH2" s="1113"/>
      <c r="PAI2" s="1113"/>
      <c r="PAJ2" s="1113"/>
      <c r="PAK2" s="1113"/>
      <c r="PAL2" s="1113"/>
      <c r="PAM2" s="1113"/>
      <c r="PAN2" s="1113"/>
      <c r="PAO2" s="1113"/>
      <c r="PAP2" s="1113"/>
      <c r="PAQ2" s="1113"/>
      <c r="PAR2" s="1113"/>
      <c r="PAS2" s="1113"/>
      <c r="PAT2" s="1113"/>
      <c r="PAU2" s="1113"/>
      <c r="PAV2" s="1113"/>
      <c r="PAW2" s="1113"/>
      <c r="PAX2" s="1113"/>
      <c r="PAY2" s="1113"/>
      <c r="PAZ2" s="1113"/>
      <c r="PBA2" s="1113"/>
      <c r="PBB2" s="1113"/>
      <c r="PBC2" s="1113"/>
      <c r="PBD2" s="1113"/>
      <c r="PBE2" s="1113"/>
      <c r="PBF2" s="1113"/>
      <c r="PBG2" s="1113"/>
      <c r="PBH2" s="1113"/>
      <c r="PBI2" s="1113"/>
      <c r="PBJ2" s="1113"/>
      <c r="PBK2" s="1113"/>
      <c r="PBL2" s="1113"/>
      <c r="PBM2" s="1113"/>
      <c r="PBN2" s="1113"/>
      <c r="PBO2" s="1113"/>
      <c r="PBP2" s="1113"/>
      <c r="PBQ2" s="1113"/>
      <c r="PBR2" s="1113"/>
      <c r="PBS2" s="1113"/>
      <c r="PBT2" s="1113"/>
      <c r="PBU2" s="1113"/>
      <c r="PBV2" s="1113"/>
      <c r="PBW2" s="1113"/>
      <c r="PBX2" s="1113"/>
      <c r="PBY2" s="1113"/>
      <c r="PBZ2" s="1113"/>
      <c r="PCA2" s="1113"/>
      <c r="PCB2" s="1113"/>
      <c r="PCC2" s="1113"/>
      <c r="PCD2" s="1113"/>
      <c r="PCE2" s="1113"/>
      <c r="PCF2" s="1113"/>
      <c r="PCG2" s="1113"/>
      <c r="PCH2" s="1113"/>
      <c r="PCI2" s="1113"/>
      <c r="PCJ2" s="1113"/>
      <c r="PCK2" s="1113"/>
      <c r="PCL2" s="1113"/>
      <c r="PCM2" s="1113"/>
      <c r="PCN2" s="1113"/>
      <c r="PCO2" s="1113"/>
      <c r="PCP2" s="1113"/>
      <c r="PCQ2" s="1113"/>
      <c r="PCR2" s="1113"/>
      <c r="PCS2" s="1113"/>
      <c r="PCT2" s="1113"/>
      <c r="PCU2" s="1113"/>
      <c r="PCV2" s="1113"/>
      <c r="PCW2" s="1113"/>
      <c r="PCX2" s="1113"/>
      <c r="PCY2" s="1113"/>
      <c r="PCZ2" s="1113"/>
      <c r="PDA2" s="1113"/>
      <c r="PDB2" s="1113"/>
      <c r="PDC2" s="1113"/>
      <c r="PDD2" s="1113"/>
      <c r="PDE2" s="1113"/>
      <c r="PDF2" s="1113"/>
      <c r="PDG2" s="1113"/>
      <c r="PDH2" s="1113"/>
      <c r="PDI2" s="1113"/>
      <c r="PDJ2" s="1113"/>
      <c r="PDK2" s="1113"/>
      <c r="PDL2" s="1113"/>
      <c r="PDM2" s="1113"/>
      <c r="PDN2" s="1113"/>
      <c r="PDO2" s="1113"/>
      <c r="PDP2" s="1113"/>
      <c r="PDQ2" s="1113"/>
      <c r="PDR2" s="1113"/>
      <c r="PDS2" s="1113"/>
      <c r="PDT2" s="1113"/>
      <c r="PDU2" s="1113"/>
      <c r="PDV2" s="1113"/>
      <c r="PDW2" s="1113"/>
      <c r="PDX2" s="1113"/>
      <c r="PDY2" s="1113"/>
      <c r="PDZ2" s="1113"/>
      <c r="PEA2" s="1113"/>
      <c r="PEB2" s="1113"/>
      <c r="PEC2" s="1113"/>
      <c r="PED2" s="1113"/>
      <c r="PEE2" s="1113"/>
      <c r="PEF2" s="1113"/>
      <c r="PEG2" s="1113"/>
      <c r="PEH2" s="1113"/>
      <c r="PEI2" s="1113"/>
      <c r="PEJ2" s="1113"/>
      <c r="PEK2" s="1113"/>
      <c r="PEL2" s="1113"/>
      <c r="PEM2" s="1113"/>
      <c r="PEN2" s="1113"/>
      <c r="PEO2" s="1113"/>
      <c r="PEP2" s="1113"/>
      <c r="PEQ2" s="1113"/>
      <c r="PER2" s="1113"/>
      <c r="PES2" s="1113"/>
      <c r="PET2" s="1113"/>
      <c r="PEU2" s="1113"/>
      <c r="PEV2" s="1113"/>
      <c r="PEW2" s="1113"/>
      <c r="PEX2" s="1113"/>
      <c r="PEY2" s="1113"/>
      <c r="PEZ2" s="1113"/>
      <c r="PFA2" s="1113"/>
      <c r="PFB2" s="1113"/>
      <c r="PFC2" s="1113"/>
      <c r="PFD2" s="1113"/>
      <c r="PFE2" s="1113"/>
      <c r="PFF2" s="1113"/>
      <c r="PFG2" s="1113"/>
      <c r="PFH2" s="1113"/>
      <c r="PFI2" s="1113"/>
      <c r="PFJ2" s="1113"/>
      <c r="PFK2" s="1113"/>
      <c r="PFL2" s="1113"/>
      <c r="PFM2" s="1113"/>
      <c r="PFN2" s="1113"/>
      <c r="PFO2" s="1113"/>
      <c r="PFP2" s="1113"/>
      <c r="PFQ2" s="1113"/>
      <c r="PFR2" s="1113"/>
      <c r="PFS2" s="1113"/>
      <c r="PFT2" s="1113"/>
      <c r="PFU2" s="1113"/>
      <c r="PFV2" s="1113"/>
      <c r="PFW2" s="1113"/>
      <c r="PFX2" s="1113"/>
      <c r="PFY2" s="1113"/>
      <c r="PFZ2" s="1113"/>
      <c r="PGA2" s="1113"/>
      <c r="PGB2" s="1113"/>
      <c r="PGC2" s="1113"/>
      <c r="PGD2" s="1113"/>
      <c r="PGE2" s="1113"/>
      <c r="PGF2" s="1113"/>
      <c r="PGG2" s="1113"/>
      <c r="PGH2" s="1113"/>
      <c r="PGI2" s="1113"/>
      <c r="PGJ2" s="1113"/>
      <c r="PGK2" s="1113"/>
      <c r="PGL2" s="1113"/>
      <c r="PGM2" s="1113"/>
      <c r="PGN2" s="1113"/>
      <c r="PGO2" s="1113"/>
      <c r="PGP2" s="1113"/>
      <c r="PGQ2" s="1113"/>
      <c r="PGR2" s="1113"/>
      <c r="PGS2" s="1113"/>
      <c r="PGT2" s="1113"/>
      <c r="PGU2" s="1113"/>
      <c r="PGV2" s="1113"/>
      <c r="PGW2" s="1113"/>
      <c r="PGX2" s="1113"/>
      <c r="PGY2" s="1113"/>
      <c r="PGZ2" s="1113"/>
      <c r="PHA2" s="1113"/>
      <c r="PHB2" s="1113"/>
      <c r="PHC2" s="1113"/>
      <c r="PHD2" s="1113"/>
      <c r="PHE2" s="1113"/>
      <c r="PHF2" s="1113"/>
      <c r="PHG2" s="1113"/>
      <c r="PHH2" s="1113"/>
      <c r="PHI2" s="1113"/>
      <c r="PHJ2" s="1113"/>
      <c r="PHK2" s="1113"/>
      <c r="PHL2" s="1113"/>
      <c r="PHM2" s="1113"/>
      <c r="PHN2" s="1113"/>
      <c r="PHO2" s="1113"/>
      <c r="PHP2" s="1113"/>
      <c r="PHQ2" s="1113"/>
      <c r="PHR2" s="1113"/>
      <c r="PHS2" s="1113"/>
      <c r="PHT2" s="1113"/>
      <c r="PHU2" s="1113"/>
      <c r="PHV2" s="1113"/>
      <c r="PHW2" s="1113"/>
      <c r="PHX2" s="1113"/>
      <c r="PHY2" s="1113"/>
      <c r="PHZ2" s="1113"/>
      <c r="PIA2" s="1113"/>
      <c r="PIB2" s="1113"/>
      <c r="PIC2" s="1113"/>
      <c r="PID2" s="1113"/>
      <c r="PIE2" s="1113"/>
      <c r="PIF2" s="1113"/>
      <c r="PIG2" s="1113"/>
      <c r="PIH2" s="1113"/>
      <c r="PII2" s="1113"/>
      <c r="PIJ2" s="1113"/>
      <c r="PIK2" s="1113"/>
      <c r="PIL2" s="1113"/>
      <c r="PIM2" s="1113"/>
      <c r="PIN2" s="1113"/>
      <c r="PIO2" s="1113"/>
      <c r="PIP2" s="1113"/>
      <c r="PIQ2" s="1113"/>
      <c r="PIR2" s="1113"/>
      <c r="PIS2" s="1113"/>
      <c r="PIT2" s="1113"/>
      <c r="PIU2" s="1113"/>
      <c r="PIV2" s="1113"/>
      <c r="PIW2" s="1113"/>
      <c r="PIX2" s="1113"/>
      <c r="PIY2" s="1113"/>
      <c r="PIZ2" s="1113"/>
      <c r="PJA2" s="1113"/>
      <c r="PJB2" s="1113"/>
      <c r="PJC2" s="1113"/>
      <c r="PJD2" s="1113"/>
      <c r="PJE2" s="1113"/>
      <c r="PJF2" s="1113"/>
      <c r="PJG2" s="1113"/>
      <c r="PJH2" s="1113"/>
      <c r="PJI2" s="1113"/>
      <c r="PJJ2" s="1113"/>
      <c r="PJK2" s="1113"/>
      <c r="PJL2" s="1113"/>
      <c r="PJM2" s="1113"/>
      <c r="PJN2" s="1113"/>
      <c r="PJO2" s="1113"/>
      <c r="PJP2" s="1113"/>
      <c r="PJQ2" s="1113"/>
      <c r="PJR2" s="1113"/>
      <c r="PJS2" s="1113"/>
      <c r="PJT2" s="1113"/>
      <c r="PJU2" s="1113"/>
      <c r="PJV2" s="1113"/>
      <c r="PJW2" s="1113"/>
      <c r="PJX2" s="1113"/>
      <c r="PJY2" s="1113"/>
      <c r="PJZ2" s="1113"/>
      <c r="PKA2" s="1113"/>
      <c r="PKB2" s="1113"/>
      <c r="PKC2" s="1113"/>
      <c r="PKD2" s="1113"/>
      <c r="PKE2" s="1113"/>
      <c r="PKF2" s="1113"/>
      <c r="PKG2" s="1113"/>
      <c r="PKH2" s="1113"/>
      <c r="PKI2" s="1113"/>
      <c r="PKJ2" s="1113"/>
      <c r="PKK2" s="1113"/>
      <c r="PKL2" s="1113"/>
      <c r="PKM2" s="1113"/>
      <c r="PKN2" s="1113"/>
      <c r="PKO2" s="1113"/>
      <c r="PKP2" s="1113"/>
      <c r="PKQ2" s="1113"/>
      <c r="PKR2" s="1113"/>
      <c r="PKS2" s="1113"/>
      <c r="PKT2" s="1113"/>
      <c r="PKU2" s="1113"/>
      <c r="PKV2" s="1113"/>
      <c r="PKW2" s="1113"/>
      <c r="PKX2" s="1113"/>
      <c r="PKY2" s="1113"/>
      <c r="PKZ2" s="1113"/>
      <c r="PLA2" s="1113"/>
      <c r="PLB2" s="1113"/>
      <c r="PLC2" s="1113"/>
      <c r="PLD2" s="1113"/>
      <c r="PLE2" s="1113"/>
      <c r="PLF2" s="1113"/>
      <c r="PLG2" s="1113"/>
      <c r="PLH2" s="1113"/>
      <c r="PLI2" s="1113"/>
      <c r="PLJ2" s="1113"/>
      <c r="PLK2" s="1113"/>
      <c r="PLL2" s="1113"/>
      <c r="PLM2" s="1113"/>
      <c r="PLN2" s="1113"/>
      <c r="PLO2" s="1113"/>
      <c r="PLP2" s="1113"/>
      <c r="PLQ2" s="1113"/>
      <c r="PLR2" s="1113"/>
      <c r="PLS2" s="1113"/>
      <c r="PLT2" s="1113"/>
      <c r="PLU2" s="1113"/>
      <c r="PLV2" s="1113"/>
      <c r="PLW2" s="1113"/>
      <c r="PLX2" s="1113"/>
      <c r="PLY2" s="1113"/>
      <c r="PLZ2" s="1113"/>
      <c r="PMA2" s="1113"/>
      <c r="PMB2" s="1113"/>
      <c r="PMC2" s="1113"/>
      <c r="PMD2" s="1113"/>
      <c r="PME2" s="1113"/>
      <c r="PMF2" s="1113"/>
      <c r="PMG2" s="1113"/>
      <c r="PMH2" s="1113"/>
      <c r="PMI2" s="1113"/>
      <c r="PMJ2" s="1113"/>
      <c r="PMK2" s="1113"/>
      <c r="PML2" s="1113"/>
      <c r="PMM2" s="1113"/>
      <c r="PMN2" s="1113"/>
      <c r="PMO2" s="1113"/>
      <c r="PMP2" s="1113"/>
      <c r="PMQ2" s="1113"/>
      <c r="PMR2" s="1113"/>
      <c r="PMS2" s="1113"/>
      <c r="PMT2" s="1113"/>
      <c r="PMU2" s="1113"/>
      <c r="PMV2" s="1113"/>
      <c r="PMW2" s="1113"/>
      <c r="PMX2" s="1113"/>
      <c r="PMY2" s="1113"/>
      <c r="PMZ2" s="1113"/>
      <c r="PNA2" s="1113"/>
      <c r="PNB2" s="1113"/>
      <c r="PNC2" s="1113"/>
      <c r="PND2" s="1113"/>
      <c r="PNE2" s="1113"/>
      <c r="PNF2" s="1113"/>
      <c r="PNG2" s="1113"/>
      <c r="PNH2" s="1113"/>
      <c r="PNI2" s="1113"/>
      <c r="PNJ2" s="1113"/>
      <c r="PNK2" s="1113"/>
      <c r="PNL2" s="1113"/>
      <c r="PNM2" s="1113"/>
      <c r="PNN2" s="1113"/>
      <c r="PNO2" s="1113"/>
      <c r="PNP2" s="1113"/>
      <c r="PNQ2" s="1113"/>
      <c r="PNR2" s="1113"/>
      <c r="PNS2" s="1113"/>
      <c r="PNT2" s="1113"/>
      <c r="PNU2" s="1113"/>
      <c r="PNV2" s="1113"/>
      <c r="PNW2" s="1113"/>
      <c r="PNX2" s="1113"/>
      <c r="PNY2" s="1113"/>
      <c r="PNZ2" s="1113"/>
      <c r="POA2" s="1113"/>
      <c r="POB2" s="1113"/>
      <c r="POC2" s="1113"/>
      <c r="POD2" s="1113"/>
      <c r="POE2" s="1113"/>
      <c r="POF2" s="1113"/>
      <c r="POG2" s="1113"/>
      <c r="POH2" s="1113"/>
      <c r="POI2" s="1113"/>
      <c r="POJ2" s="1113"/>
      <c r="POK2" s="1113"/>
      <c r="POL2" s="1113"/>
      <c r="POM2" s="1113"/>
      <c r="PON2" s="1113"/>
      <c r="POO2" s="1113"/>
      <c r="POP2" s="1113"/>
      <c r="POQ2" s="1113"/>
      <c r="POR2" s="1113"/>
      <c r="POS2" s="1113"/>
      <c r="POT2" s="1113"/>
      <c r="POU2" s="1113"/>
      <c r="POV2" s="1113"/>
      <c r="POW2" s="1113"/>
      <c r="POX2" s="1113"/>
      <c r="POY2" s="1113"/>
      <c r="POZ2" s="1113"/>
      <c r="PPA2" s="1113"/>
      <c r="PPB2" s="1113"/>
      <c r="PPC2" s="1113"/>
      <c r="PPD2" s="1113"/>
      <c r="PPE2" s="1113"/>
      <c r="PPF2" s="1113"/>
      <c r="PPG2" s="1113"/>
      <c r="PPH2" s="1113"/>
      <c r="PPI2" s="1113"/>
      <c r="PPJ2" s="1113"/>
      <c r="PPK2" s="1113"/>
      <c r="PPL2" s="1113"/>
      <c r="PPM2" s="1113"/>
      <c r="PPN2" s="1113"/>
      <c r="PPO2" s="1113"/>
      <c r="PPP2" s="1113"/>
      <c r="PPQ2" s="1113"/>
      <c r="PPR2" s="1113"/>
      <c r="PPS2" s="1113"/>
      <c r="PPT2" s="1113"/>
      <c r="PPU2" s="1113"/>
      <c r="PPV2" s="1113"/>
      <c r="PPW2" s="1113"/>
      <c r="PPX2" s="1113"/>
      <c r="PPY2" s="1113"/>
      <c r="PPZ2" s="1113"/>
      <c r="PQA2" s="1113"/>
      <c r="PQB2" s="1113"/>
      <c r="PQC2" s="1113"/>
      <c r="PQD2" s="1113"/>
      <c r="PQE2" s="1113"/>
      <c r="PQF2" s="1113"/>
      <c r="PQG2" s="1113"/>
      <c r="PQH2" s="1113"/>
      <c r="PQI2" s="1113"/>
      <c r="PQJ2" s="1113"/>
      <c r="PQK2" s="1113"/>
      <c r="PQL2" s="1113"/>
      <c r="PQM2" s="1113"/>
      <c r="PQN2" s="1113"/>
      <c r="PQO2" s="1113"/>
      <c r="PQP2" s="1113"/>
      <c r="PQQ2" s="1113"/>
      <c r="PQR2" s="1113"/>
      <c r="PQS2" s="1113"/>
      <c r="PQT2" s="1113"/>
      <c r="PQU2" s="1113"/>
      <c r="PQV2" s="1113"/>
      <c r="PQW2" s="1113"/>
      <c r="PQX2" s="1113"/>
      <c r="PQY2" s="1113"/>
      <c r="PQZ2" s="1113"/>
      <c r="PRA2" s="1113"/>
      <c r="PRB2" s="1113"/>
      <c r="PRC2" s="1113"/>
      <c r="PRD2" s="1113"/>
      <c r="PRE2" s="1113"/>
      <c r="PRF2" s="1113"/>
      <c r="PRG2" s="1113"/>
      <c r="PRH2" s="1113"/>
      <c r="PRI2" s="1113"/>
      <c r="PRJ2" s="1113"/>
      <c r="PRK2" s="1113"/>
      <c r="PRL2" s="1113"/>
      <c r="PRM2" s="1113"/>
      <c r="PRN2" s="1113"/>
      <c r="PRO2" s="1113"/>
      <c r="PRP2" s="1113"/>
      <c r="PRQ2" s="1113"/>
      <c r="PRR2" s="1113"/>
      <c r="PRS2" s="1113"/>
      <c r="PRT2" s="1113"/>
      <c r="PRU2" s="1113"/>
      <c r="PRV2" s="1113"/>
      <c r="PRW2" s="1113"/>
      <c r="PRX2" s="1113"/>
      <c r="PRY2" s="1113"/>
      <c r="PRZ2" s="1113"/>
      <c r="PSA2" s="1113"/>
      <c r="PSB2" s="1113"/>
      <c r="PSC2" s="1113"/>
      <c r="PSD2" s="1113"/>
      <c r="PSE2" s="1113"/>
      <c r="PSF2" s="1113"/>
      <c r="PSG2" s="1113"/>
      <c r="PSH2" s="1113"/>
      <c r="PSI2" s="1113"/>
      <c r="PSJ2" s="1113"/>
      <c r="PSK2" s="1113"/>
      <c r="PSL2" s="1113"/>
      <c r="PSM2" s="1113"/>
      <c r="PSN2" s="1113"/>
      <c r="PSO2" s="1113"/>
      <c r="PSP2" s="1113"/>
      <c r="PSQ2" s="1113"/>
      <c r="PSR2" s="1113"/>
      <c r="PSS2" s="1113"/>
      <c r="PST2" s="1113"/>
      <c r="PSU2" s="1113"/>
      <c r="PSV2" s="1113"/>
      <c r="PSW2" s="1113"/>
      <c r="PSX2" s="1113"/>
      <c r="PSY2" s="1113"/>
      <c r="PSZ2" s="1113"/>
      <c r="PTA2" s="1113"/>
      <c r="PTB2" s="1113"/>
      <c r="PTC2" s="1113"/>
      <c r="PTD2" s="1113"/>
      <c r="PTE2" s="1113"/>
      <c r="PTF2" s="1113"/>
      <c r="PTG2" s="1113"/>
      <c r="PTH2" s="1113"/>
      <c r="PTI2" s="1113"/>
      <c r="PTJ2" s="1113"/>
      <c r="PTK2" s="1113"/>
      <c r="PTL2" s="1113"/>
      <c r="PTM2" s="1113"/>
      <c r="PTN2" s="1113"/>
      <c r="PTO2" s="1113"/>
      <c r="PTP2" s="1113"/>
      <c r="PTQ2" s="1113"/>
      <c r="PTR2" s="1113"/>
      <c r="PTS2" s="1113"/>
      <c r="PTT2" s="1113"/>
      <c r="PTU2" s="1113"/>
      <c r="PTV2" s="1113"/>
      <c r="PTW2" s="1113"/>
      <c r="PTX2" s="1113"/>
      <c r="PTY2" s="1113"/>
      <c r="PTZ2" s="1113"/>
      <c r="PUA2" s="1113"/>
      <c r="PUB2" s="1113"/>
      <c r="PUC2" s="1113"/>
      <c r="PUD2" s="1113"/>
      <c r="PUE2" s="1113"/>
      <c r="PUF2" s="1113"/>
      <c r="PUG2" s="1113"/>
      <c r="PUH2" s="1113"/>
      <c r="PUI2" s="1113"/>
      <c r="PUJ2" s="1113"/>
      <c r="PUK2" s="1113"/>
      <c r="PUL2" s="1113"/>
      <c r="PUM2" s="1113"/>
      <c r="PUN2" s="1113"/>
      <c r="PUO2" s="1113"/>
      <c r="PUP2" s="1113"/>
      <c r="PUQ2" s="1113"/>
      <c r="PUR2" s="1113"/>
      <c r="PUS2" s="1113"/>
      <c r="PUT2" s="1113"/>
      <c r="PUU2" s="1113"/>
      <c r="PUV2" s="1113"/>
      <c r="PUW2" s="1113"/>
      <c r="PUX2" s="1113"/>
      <c r="PUY2" s="1113"/>
      <c r="PUZ2" s="1113"/>
      <c r="PVA2" s="1113"/>
      <c r="PVB2" s="1113"/>
      <c r="PVC2" s="1113"/>
      <c r="PVD2" s="1113"/>
      <c r="PVE2" s="1113"/>
      <c r="PVF2" s="1113"/>
      <c r="PVG2" s="1113"/>
      <c r="PVH2" s="1113"/>
      <c r="PVI2" s="1113"/>
      <c r="PVJ2" s="1113"/>
      <c r="PVK2" s="1113"/>
      <c r="PVL2" s="1113"/>
      <c r="PVM2" s="1113"/>
      <c r="PVN2" s="1113"/>
      <c r="PVO2" s="1113"/>
      <c r="PVP2" s="1113"/>
      <c r="PVQ2" s="1113"/>
      <c r="PVR2" s="1113"/>
      <c r="PVS2" s="1113"/>
      <c r="PVT2" s="1113"/>
      <c r="PVU2" s="1113"/>
      <c r="PVV2" s="1113"/>
      <c r="PVW2" s="1113"/>
      <c r="PVX2" s="1113"/>
      <c r="PVY2" s="1113"/>
      <c r="PVZ2" s="1113"/>
      <c r="PWA2" s="1113"/>
      <c r="PWB2" s="1113"/>
      <c r="PWC2" s="1113"/>
      <c r="PWD2" s="1113"/>
      <c r="PWE2" s="1113"/>
      <c r="PWF2" s="1113"/>
      <c r="PWG2" s="1113"/>
      <c r="PWH2" s="1113"/>
      <c r="PWI2" s="1113"/>
      <c r="PWJ2" s="1113"/>
      <c r="PWK2" s="1113"/>
      <c r="PWL2" s="1113"/>
      <c r="PWM2" s="1113"/>
      <c r="PWN2" s="1113"/>
      <c r="PWO2" s="1113"/>
      <c r="PWP2" s="1113"/>
      <c r="PWQ2" s="1113"/>
      <c r="PWR2" s="1113"/>
      <c r="PWS2" s="1113"/>
      <c r="PWT2" s="1113"/>
      <c r="PWU2" s="1113"/>
      <c r="PWV2" s="1113"/>
      <c r="PWW2" s="1113"/>
      <c r="PWX2" s="1113"/>
      <c r="PWY2" s="1113"/>
      <c r="PWZ2" s="1113"/>
      <c r="PXA2" s="1113"/>
      <c r="PXB2" s="1113"/>
      <c r="PXC2" s="1113"/>
      <c r="PXD2" s="1113"/>
      <c r="PXE2" s="1113"/>
      <c r="PXF2" s="1113"/>
      <c r="PXG2" s="1113"/>
      <c r="PXH2" s="1113"/>
      <c r="PXI2" s="1113"/>
      <c r="PXJ2" s="1113"/>
      <c r="PXK2" s="1113"/>
      <c r="PXL2" s="1113"/>
      <c r="PXM2" s="1113"/>
      <c r="PXN2" s="1113"/>
      <c r="PXO2" s="1113"/>
      <c r="PXP2" s="1113"/>
      <c r="PXQ2" s="1113"/>
      <c r="PXR2" s="1113"/>
      <c r="PXS2" s="1113"/>
      <c r="PXT2" s="1113"/>
      <c r="PXU2" s="1113"/>
      <c r="PXV2" s="1113"/>
      <c r="PXW2" s="1113"/>
      <c r="PXX2" s="1113"/>
      <c r="PXY2" s="1113"/>
      <c r="PXZ2" s="1113"/>
      <c r="PYA2" s="1113"/>
      <c r="PYB2" s="1113"/>
      <c r="PYC2" s="1113"/>
      <c r="PYD2" s="1113"/>
      <c r="PYE2" s="1113"/>
      <c r="PYF2" s="1113"/>
      <c r="PYG2" s="1113"/>
      <c r="PYH2" s="1113"/>
      <c r="PYI2" s="1113"/>
      <c r="PYJ2" s="1113"/>
      <c r="PYK2" s="1113"/>
      <c r="PYL2" s="1113"/>
      <c r="PYM2" s="1113"/>
      <c r="PYN2" s="1113"/>
      <c r="PYO2" s="1113"/>
      <c r="PYP2" s="1113"/>
      <c r="PYQ2" s="1113"/>
      <c r="PYR2" s="1113"/>
      <c r="PYS2" s="1113"/>
      <c r="PYT2" s="1113"/>
      <c r="PYU2" s="1113"/>
      <c r="PYV2" s="1113"/>
      <c r="PYW2" s="1113"/>
      <c r="PYX2" s="1113"/>
      <c r="PYY2" s="1113"/>
      <c r="PYZ2" s="1113"/>
      <c r="PZA2" s="1113"/>
      <c r="PZB2" s="1113"/>
      <c r="PZC2" s="1113"/>
      <c r="PZD2" s="1113"/>
      <c r="PZE2" s="1113"/>
      <c r="PZF2" s="1113"/>
      <c r="PZG2" s="1113"/>
      <c r="PZH2" s="1113"/>
      <c r="PZI2" s="1113"/>
      <c r="PZJ2" s="1113"/>
      <c r="PZK2" s="1113"/>
      <c r="PZL2" s="1113"/>
      <c r="PZM2" s="1113"/>
      <c r="PZN2" s="1113"/>
      <c r="PZO2" s="1113"/>
      <c r="PZP2" s="1113"/>
      <c r="PZQ2" s="1113"/>
      <c r="PZR2" s="1113"/>
      <c r="PZS2" s="1113"/>
      <c r="PZT2" s="1113"/>
      <c r="PZU2" s="1113"/>
      <c r="PZV2" s="1113"/>
      <c r="PZW2" s="1113"/>
      <c r="PZX2" s="1113"/>
      <c r="PZY2" s="1113"/>
      <c r="PZZ2" s="1113"/>
      <c r="QAA2" s="1113"/>
      <c r="QAB2" s="1113"/>
      <c r="QAC2" s="1113"/>
      <c r="QAD2" s="1113"/>
      <c r="QAE2" s="1113"/>
      <c r="QAF2" s="1113"/>
      <c r="QAG2" s="1113"/>
      <c r="QAH2" s="1113"/>
      <c r="QAI2" s="1113"/>
      <c r="QAJ2" s="1113"/>
      <c r="QAK2" s="1113"/>
      <c r="QAL2" s="1113"/>
      <c r="QAM2" s="1113"/>
      <c r="QAN2" s="1113"/>
      <c r="QAO2" s="1113"/>
      <c r="QAP2" s="1113"/>
      <c r="QAQ2" s="1113"/>
      <c r="QAR2" s="1113"/>
      <c r="QAS2" s="1113"/>
      <c r="QAT2" s="1113"/>
      <c r="QAU2" s="1113"/>
      <c r="QAV2" s="1113"/>
      <c r="QAW2" s="1113"/>
      <c r="QAX2" s="1113"/>
      <c r="QAY2" s="1113"/>
      <c r="QAZ2" s="1113"/>
      <c r="QBA2" s="1113"/>
      <c r="QBB2" s="1113"/>
      <c r="QBC2" s="1113"/>
      <c r="QBD2" s="1113"/>
      <c r="QBE2" s="1113"/>
      <c r="QBF2" s="1113"/>
      <c r="QBG2" s="1113"/>
      <c r="QBH2" s="1113"/>
      <c r="QBI2" s="1113"/>
      <c r="QBJ2" s="1113"/>
      <c r="QBK2" s="1113"/>
      <c r="QBL2" s="1113"/>
      <c r="QBM2" s="1113"/>
      <c r="QBN2" s="1113"/>
      <c r="QBO2" s="1113"/>
      <c r="QBP2" s="1113"/>
      <c r="QBQ2" s="1113"/>
      <c r="QBR2" s="1113"/>
      <c r="QBS2" s="1113"/>
      <c r="QBT2" s="1113"/>
      <c r="QBU2" s="1113"/>
      <c r="QBV2" s="1113"/>
      <c r="QBW2" s="1113"/>
      <c r="QBX2" s="1113"/>
      <c r="QBY2" s="1113"/>
      <c r="QBZ2" s="1113"/>
      <c r="QCA2" s="1113"/>
      <c r="QCB2" s="1113"/>
      <c r="QCC2" s="1113"/>
      <c r="QCD2" s="1113"/>
      <c r="QCE2" s="1113"/>
      <c r="QCF2" s="1113"/>
      <c r="QCG2" s="1113"/>
      <c r="QCH2" s="1113"/>
      <c r="QCI2" s="1113"/>
      <c r="QCJ2" s="1113"/>
      <c r="QCK2" s="1113"/>
      <c r="QCL2" s="1113"/>
      <c r="QCM2" s="1113"/>
      <c r="QCN2" s="1113"/>
      <c r="QCO2" s="1113"/>
      <c r="QCP2" s="1113"/>
      <c r="QCQ2" s="1113"/>
      <c r="QCR2" s="1113"/>
      <c r="QCS2" s="1113"/>
      <c r="QCT2" s="1113"/>
      <c r="QCU2" s="1113"/>
      <c r="QCV2" s="1113"/>
      <c r="QCW2" s="1113"/>
      <c r="QCX2" s="1113"/>
      <c r="QCY2" s="1113"/>
      <c r="QCZ2" s="1113"/>
      <c r="QDA2" s="1113"/>
      <c r="QDB2" s="1113"/>
      <c r="QDC2" s="1113"/>
      <c r="QDD2" s="1113"/>
      <c r="QDE2" s="1113"/>
      <c r="QDF2" s="1113"/>
      <c r="QDG2" s="1113"/>
      <c r="QDH2" s="1113"/>
      <c r="QDI2" s="1113"/>
      <c r="QDJ2" s="1113"/>
      <c r="QDK2" s="1113"/>
      <c r="QDL2" s="1113"/>
      <c r="QDM2" s="1113"/>
      <c r="QDN2" s="1113"/>
      <c r="QDO2" s="1113"/>
      <c r="QDP2" s="1113"/>
      <c r="QDQ2" s="1113"/>
      <c r="QDR2" s="1113"/>
      <c r="QDS2" s="1113"/>
      <c r="QDT2" s="1113"/>
      <c r="QDU2" s="1113"/>
      <c r="QDV2" s="1113"/>
      <c r="QDW2" s="1113"/>
      <c r="QDX2" s="1113"/>
      <c r="QDY2" s="1113"/>
      <c r="QDZ2" s="1113"/>
      <c r="QEA2" s="1113"/>
      <c r="QEB2" s="1113"/>
      <c r="QEC2" s="1113"/>
      <c r="QED2" s="1113"/>
      <c r="QEE2" s="1113"/>
      <c r="QEF2" s="1113"/>
      <c r="QEG2" s="1113"/>
      <c r="QEH2" s="1113"/>
      <c r="QEI2" s="1113"/>
      <c r="QEJ2" s="1113"/>
      <c r="QEK2" s="1113"/>
      <c r="QEL2" s="1113"/>
      <c r="QEM2" s="1113"/>
      <c r="QEN2" s="1113"/>
      <c r="QEO2" s="1113"/>
      <c r="QEP2" s="1113"/>
      <c r="QEQ2" s="1113"/>
      <c r="QER2" s="1113"/>
      <c r="QES2" s="1113"/>
      <c r="QET2" s="1113"/>
      <c r="QEU2" s="1113"/>
      <c r="QEV2" s="1113"/>
      <c r="QEW2" s="1113"/>
      <c r="QEX2" s="1113"/>
      <c r="QEY2" s="1113"/>
      <c r="QEZ2" s="1113"/>
      <c r="QFA2" s="1113"/>
      <c r="QFB2" s="1113"/>
      <c r="QFC2" s="1113"/>
      <c r="QFD2" s="1113"/>
      <c r="QFE2" s="1113"/>
      <c r="QFF2" s="1113"/>
      <c r="QFG2" s="1113"/>
      <c r="QFH2" s="1113"/>
      <c r="QFI2" s="1113"/>
      <c r="QFJ2" s="1113"/>
      <c r="QFK2" s="1113"/>
      <c r="QFL2" s="1113"/>
      <c r="QFM2" s="1113"/>
      <c r="QFN2" s="1113"/>
      <c r="QFO2" s="1113"/>
      <c r="QFP2" s="1113"/>
      <c r="QFQ2" s="1113"/>
      <c r="QFR2" s="1113"/>
      <c r="QFS2" s="1113"/>
      <c r="QFT2" s="1113"/>
      <c r="QFU2" s="1113"/>
      <c r="QFV2" s="1113"/>
      <c r="QFW2" s="1113"/>
      <c r="QFX2" s="1113"/>
      <c r="QFY2" s="1113"/>
      <c r="QFZ2" s="1113"/>
      <c r="QGA2" s="1113"/>
      <c r="QGB2" s="1113"/>
      <c r="QGC2" s="1113"/>
      <c r="QGD2" s="1113"/>
      <c r="QGE2" s="1113"/>
      <c r="QGF2" s="1113"/>
      <c r="QGG2" s="1113"/>
      <c r="QGH2" s="1113"/>
      <c r="QGI2" s="1113"/>
      <c r="QGJ2" s="1113"/>
      <c r="QGK2" s="1113"/>
      <c r="QGL2" s="1113"/>
      <c r="QGM2" s="1113"/>
      <c r="QGN2" s="1113"/>
      <c r="QGO2" s="1113"/>
      <c r="QGP2" s="1113"/>
      <c r="QGQ2" s="1113"/>
      <c r="QGR2" s="1113"/>
      <c r="QGS2" s="1113"/>
      <c r="QGT2" s="1113"/>
      <c r="QGU2" s="1113"/>
      <c r="QGV2" s="1113"/>
      <c r="QGW2" s="1113"/>
      <c r="QGX2" s="1113"/>
      <c r="QGY2" s="1113"/>
      <c r="QGZ2" s="1113"/>
      <c r="QHA2" s="1113"/>
      <c r="QHB2" s="1113"/>
      <c r="QHC2" s="1113"/>
      <c r="QHD2" s="1113"/>
      <c r="QHE2" s="1113"/>
      <c r="QHF2" s="1113"/>
      <c r="QHG2" s="1113"/>
      <c r="QHH2" s="1113"/>
      <c r="QHI2" s="1113"/>
      <c r="QHJ2" s="1113"/>
      <c r="QHK2" s="1113"/>
      <c r="QHL2" s="1113"/>
      <c r="QHM2" s="1113"/>
      <c r="QHN2" s="1113"/>
      <c r="QHO2" s="1113"/>
      <c r="QHP2" s="1113"/>
      <c r="QHQ2" s="1113"/>
      <c r="QHR2" s="1113"/>
      <c r="QHS2" s="1113"/>
      <c r="QHT2" s="1113"/>
      <c r="QHU2" s="1113"/>
      <c r="QHV2" s="1113"/>
      <c r="QHW2" s="1113"/>
      <c r="QHX2" s="1113"/>
      <c r="QHY2" s="1113"/>
      <c r="QHZ2" s="1113"/>
      <c r="QIA2" s="1113"/>
      <c r="QIB2" s="1113"/>
      <c r="QIC2" s="1113"/>
      <c r="QID2" s="1113"/>
      <c r="QIE2" s="1113"/>
      <c r="QIF2" s="1113"/>
      <c r="QIG2" s="1113"/>
      <c r="QIH2" s="1113"/>
      <c r="QII2" s="1113"/>
      <c r="QIJ2" s="1113"/>
      <c r="QIK2" s="1113"/>
      <c r="QIL2" s="1113"/>
      <c r="QIM2" s="1113"/>
      <c r="QIN2" s="1113"/>
      <c r="QIO2" s="1113"/>
      <c r="QIP2" s="1113"/>
      <c r="QIQ2" s="1113"/>
      <c r="QIR2" s="1113"/>
      <c r="QIS2" s="1113"/>
      <c r="QIT2" s="1113"/>
      <c r="QIU2" s="1113"/>
      <c r="QIV2" s="1113"/>
      <c r="QIW2" s="1113"/>
      <c r="QIX2" s="1113"/>
      <c r="QIY2" s="1113"/>
      <c r="QIZ2" s="1113"/>
      <c r="QJA2" s="1113"/>
      <c r="QJB2" s="1113"/>
      <c r="QJC2" s="1113"/>
      <c r="QJD2" s="1113"/>
      <c r="QJE2" s="1113"/>
      <c r="QJF2" s="1113"/>
      <c r="QJG2" s="1113"/>
      <c r="QJH2" s="1113"/>
      <c r="QJI2" s="1113"/>
      <c r="QJJ2" s="1113"/>
      <c r="QJK2" s="1113"/>
      <c r="QJL2" s="1113"/>
      <c r="QJM2" s="1113"/>
      <c r="QJN2" s="1113"/>
      <c r="QJO2" s="1113"/>
      <c r="QJP2" s="1113"/>
      <c r="QJQ2" s="1113"/>
      <c r="QJR2" s="1113"/>
      <c r="QJS2" s="1113"/>
      <c r="QJT2" s="1113"/>
      <c r="QJU2" s="1113"/>
      <c r="QJV2" s="1113"/>
      <c r="QJW2" s="1113"/>
      <c r="QJX2" s="1113"/>
      <c r="QJY2" s="1113"/>
      <c r="QJZ2" s="1113"/>
      <c r="QKA2" s="1113"/>
      <c r="QKB2" s="1113"/>
      <c r="QKC2" s="1113"/>
      <c r="QKD2" s="1113"/>
      <c r="QKE2" s="1113"/>
      <c r="QKF2" s="1113"/>
      <c r="QKG2" s="1113"/>
      <c r="QKH2" s="1113"/>
      <c r="QKI2" s="1113"/>
      <c r="QKJ2" s="1113"/>
      <c r="QKK2" s="1113"/>
      <c r="QKL2" s="1113"/>
      <c r="QKM2" s="1113"/>
      <c r="QKN2" s="1113"/>
      <c r="QKO2" s="1113"/>
      <c r="QKP2" s="1113"/>
      <c r="QKQ2" s="1113"/>
      <c r="QKR2" s="1113"/>
      <c r="QKS2" s="1113"/>
      <c r="QKT2" s="1113"/>
      <c r="QKU2" s="1113"/>
      <c r="QKV2" s="1113"/>
      <c r="QKW2" s="1113"/>
      <c r="QKX2" s="1113"/>
      <c r="QKY2" s="1113"/>
      <c r="QKZ2" s="1113"/>
      <c r="QLA2" s="1113"/>
      <c r="QLB2" s="1113"/>
      <c r="QLC2" s="1113"/>
      <c r="QLD2" s="1113"/>
      <c r="QLE2" s="1113"/>
      <c r="QLF2" s="1113"/>
      <c r="QLG2" s="1113"/>
      <c r="QLH2" s="1113"/>
      <c r="QLI2" s="1113"/>
      <c r="QLJ2" s="1113"/>
      <c r="QLK2" s="1113"/>
      <c r="QLL2" s="1113"/>
      <c r="QLM2" s="1113"/>
      <c r="QLN2" s="1113"/>
      <c r="QLO2" s="1113"/>
      <c r="QLP2" s="1113"/>
      <c r="QLQ2" s="1113"/>
      <c r="QLR2" s="1113"/>
      <c r="QLS2" s="1113"/>
      <c r="QLT2" s="1113"/>
      <c r="QLU2" s="1113"/>
      <c r="QLV2" s="1113"/>
      <c r="QLW2" s="1113"/>
      <c r="QLX2" s="1113"/>
      <c r="QLY2" s="1113"/>
      <c r="QLZ2" s="1113"/>
      <c r="QMA2" s="1113"/>
      <c r="QMB2" s="1113"/>
      <c r="QMC2" s="1113"/>
      <c r="QMD2" s="1113"/>
      <c r="QME2" s="1113"/>
      <c r="QMF2" s="1113"/>
      <c r="QMG2" s="1113"/>
      <c r="QMH2" s="1113"/>
      <c r="QMI2" s="1113"/>
      <c r="QMJ2" s="1113"/>
      <c r="QMK2" s="1113"/>
      <c r="QML2" s="1113"/>
      <c r="QMM2" s="1113"/>
      <c r="QMN2" s="1113"/>
      <c r="QMO2" s="1113"/>
      <c r="QMP2" s="1113"/>
      <c r="QMQ2" s="1113"/>
      <c r="QMR2" s="1113"/>
      <c r="QMS2" s="1113"/>
      <c r="QMT2" s="1113"/>
      <c r="QMU2" s="1113"/>
      <c r="QMV2" s="1113"/>
      <c r="QMW2" s="1113"/>
      <c r="QMX2" s="1113"/>
      <c r="QMY2" s="1113"/>
      <c r="QMZ2" s="1113"/>
      <c r="QNA2" s="1113"/>
      <c r="QNB2" s="1113"/>
      <c r="QNC2" s="1113"/>
      <c r="QND2" s="1113"/>
      <c r="QNE2" s="1113"/>
      <c r="QNF2" s="1113"/>
      <c r="QNG2" s="1113"/>
      <c r="QNH2" s="1113"/>
      <c r="QNI2" s="1113"/>
      <c r="QNJ2" s="1113"/>
      <c r="QNK2" s="1113"/>
      <c r="QNL2" s="1113"/>
      <c r="QNM2" s="1113"/>
      <c r="QNN2" s="1113"/>
      <c r="QNO2" s="1113"/>
      <c r="QNP2" s="1113"/>
      <c r="QNQ2" s="1113"/>
      <c r="QNR2" s="1113"/>
      <c r="QNS2" s="1113"/>
      <c r="QNT2" s="1113"/>
      <c r="QNU2" s="1113"/>
      <c r="QNV2" s="1113"/>
      <c r="QNW2" s="1113"/>
      <c r="QNX2" s="1113"/>
      <c r="QNY2" s="1113"/>
      <c r="QNZ2" s="1113"/>
      <c r="QOA2" s="1113"/>
      <c r="QOB2" s="1113"/>
      <c r="QOC2" s="1113"/>
      <c r="QOD2" s="1113"/>
      <c r="QOE2" s="1113"/>
      <c r="QOF2" s="1113"/>
      <c r="QOG2" s="1113"/>
      <c r="QOH2" s="1113"/>
      <c r="QOI2" s="1113"/>
      <c r="QOJ2" s="1113"/>
      <c r="QOK2" s="1113"/>
      <c r="QOL2" s="1113"/>
      <c r="QOM2" s="1113"/>
      <c r="QON2" s="1113"/>
      <c r="QOO2" s="1113"/>
      <c r="QOP2" s="1113"/>
      <c r="QOQ2" s="1113"/>
      <c r="QOR2" s="1113"/>
      <c r="QOS2" s="1113"/>
      <c r="QOT2" s="1113"/>
      <c r="QOU2" s="1113"/>
      <c r="QOV2" s="1113"/>
      <c r="QOW2" s="1113"/>
      <c r="QOX2" s="1113"/>
      <c r="QOY2" s="1113"/>
      <c r="QOZ2" s="1113"/>
      <c r="QPA2" s="1113"/>
      <c r="QPB2" s="1113"/>
      <c r="QPC2" s="1113"/>
      <c r="QPD2" s="1113"/>
      <c r="QPE2" s="1113"/>
      <c r="QPF2" s="1113"/>
      <c r="QPG2" s="1113"/>
      <c r="QPH2" s="1113"/>
      <c r="QPI2" s="1113"/>
      <c r="QPJ2" s="1113"/>
      <c r="QPK2" s="1113"/>
      <c r="QPL2" s="1113"/>
      <c r="QPM2" s="1113"/>
      <c r="QPN2" s="1113"/>
      <c r="QPO2" s="1113"/>
      <c r="QPP2" s="1113"/>
      <c r="QPQ2" s="1113"/>
      <c r="QPR2" s="1113"/>
      <c r="QPS2" s="1113"/>
      <c r="QPT2" s="1113"/>
      <c r="QPU2" s="1113"/>
      <c r="QPV2" s="1113"/>
      <c r="QPW2" s="1113"/>
      <c r="QPX2" s="1113"/>
      <c r="QPY2" s="1113"/>
      <c r="QPZ2" s="1113"/>
      <c r="QQA2" s="1113"/>
      <c r="QQB2" s="1113"/>
      <c r="QQC2" s="1113"/>
      <c r="QQD2" s="1113"/>
      <c r="QQE2" s="1113"/>
      <c r="QQF2" s="1113"/>
      <c r="QQG2" s="1113"/>
      <c r="QQH2" s="1113"/>
      <c r="QQI2" s="1113"/>
      <c r="QQJ2" s="1113"/>
      <c r="QQK2" s="1113"/>
      <c r="QQL2" s="1113"/>
      <c r="QQM2" s="1113"/>
      <c r="QQN2" s="1113"/>
      <c r="QQO2" s="1113"/>
      <c r="QQP2" s="1113"/>
      <c r="QQQ2" s="1113"/>
      <c r="QQR2" s="1113"/>
      <c r="QQS2" s="1113"/>
      <c r="QQT2" s="1113"/>
      <c r="QQU2" s="1113"/>
      <c r="QQV2" s="1113"/>
      <c r="QQW2" s="1113"/>
      <c r="QQX2" s="1113"/>
      <c r="QQY2" s="1113"/>
      <c r="QQZ2" s="1113"/>
      <c r="QRA2" s="1113"/>
      <c r="QRB2" s="1113"/>
      <c r="QRC2" s="1113"/>
      <c r="QRD2" s="1113"/>
      <c r="QRE2" s="1113"/>
      <c r="QRF2" s="1113"/>
      <c r="QRG2" s="1113"/>
      <c r="QRH2" s="1113"/>
      <c r="QRI2" s="1113"/>
      <c r="QRJ2" s="1113"/>
      <c r="QRK2" s="1113"/>
      <c r="QRL2" s="1113"/>
      <c r="QRM2" s="1113"/>
      <c r="QRN2" s="1113"/>
      <c r="QRO2" s="1113"/>
      <c r="QRP2" s="1113"/>
      <c r="QRQ2" s="1113"/>
      <c r="QRR2" s="1113"/>
      <c r="QRS2" s="1113"/>
      <c r="QRT2" s="1113"/>
      <c r="QRU2" s="1113"/>
      <c r="QRV2" s="1113"/>
      <c r="QRW2" s="1113"/>
      <c r="QRX2" s="1113"/>
      <c r="QRY2" s="1113"/>
      <c r="QRZ2" s="1113"/>
      <c r="QSA2" s="1113"/>
      <c r="QSB2" s="1113"/>
      <c r="QSC2" s="1113"/>
      <c r="QSD2" s="1113"/>
      <c r="QSE2" s="1113"/>
      <c r="QSF2" s="1113"/>
      <c r="QSG2" s="1113"/>
      <c r="QSH2" s="1113"/>
      <c r="QSI2" s="1113"/>
      <c r="QSJ2" s="1113"/>
      <c r="QSK2" s="1113"/>
      <c r="QSL2" s="1113"/>
      <c r="QSM2" s="1113"/>
      <c r="QSN2" s="1113"/>
      <c r="QSO2" s="1113"/>
      <c r="QSP2" s="1113"/>
      <c r="QSQ2" s="1113"/>
      <c r="QSR2" s="1113"/>
      <c r="QSS2" s="1113"/>
      <c r="QST2" s="1113"/>
      <c r="QSU2" s="1113"/>
      <c r="QSV2" s="1113"/>
      <c r="QSW2" s="1113"/>
      <c r="QSX2" s="1113"/>
      <c r="QSY2" s="1113"/>
      <c r="QSZ2" s="1113"/>
      <c r="QTA2" s="1113"/>
      <c r="QTB2" s="1113"/>
      <c r="QTC2" s="1113"/>
      <c r="QTD2" s="1113"/>
      <c r="QTE2" s="1113"/>
      <c r="QTF2" s="1113"/>
      <c r="QTG2" s="1113"/>
      <c r="QTH2" s="1113"/>
      <c r="QTI2" s="1113"/>
      <c r="QTJ2" s="1113"/>
      <c r="QTK2" s="1113"/>
      <c r="QTL2" s="1113"/>
      <c r="QTM2" s="1113"/>
      <c r="QTN2" s="1113"/>
      <c r="QTO2" s="1113"/>
      <c r="QTP2" s="1113"/>
      <c r="QTQ2" s="1113"/>
      <c r="QTR2" s="1113"/>
      <c r="QTS2" s="1113"/>
      <c r="QTT2" s="1113"/>
      <c r="QTU2" s="1113"/>
      <c r="QTV2" s="1113"/>
      <c r="QTW2" s="1113"/>
      <c r="QTX2" s="1113"/>
      <c r="QTY2" s="1113"/>
      <c r="QTZ2" s="1113"/>
      <c r="QUA2" s="1113"/>
      <c r="QUB2" s="1113"/>
      <c r="QUC2" s="1113"/>
      <c r="QUD2" s="1113"/>
      <c r="QUE2" s="1113"/>
      <c r="QUF2" s="1113"/>
      <c r="QUG2" s="1113"/>
      <c r="QUH2" s="1113"/>
      <c r="QUI2" s="1113"/>
      <c r="QUJ2" s="1113"/>
      <c r="QUK2" s="1113"/>
      <c r="QUL2" s="1113"/>
      <c r="QUM2" s="1113"/>
      <c r="QUN2" s="1113"/>
      <c r="QUO2" s="1113"/>
      <c r="QUP2" s="1113"/>
      <c r="QUQ2" s="1113"/>
      <c r="QUR2" s="1113"/>
      <c r="QUS2" s="1113"/>
      <c r="QUT2" s="1113"/>
      <c r="QUU2" s="1113"/>
      <c r="QUV2" s="1113"/>
      <c r="QUW2" s="1113"/>
      <c r="QUX2" s="1113"/>
      <c r="QUY2" s="1113"/>
      <c r="QUZ2" s="1113"/>
      <c r="QVA2" s="1113"/>
      <c r="QVB2" s="1113"/>
      <c r="QVC2" s="1113"/>
      <c r="QVD2" s="1113"/>
      <c r="QVE2" s="1113"/>
      <c r="QVF2" s="1113"/>
      <c r="QVG2" s="1113"/>
      <c r="QVH2" s="1113"/>
      <c r="QVI2" s="1113"/>
      <c r="QVJ2" s="1113"/>
      <c r="QVK2" s="1113"/>
      <c r="QVL2" s="1113"/>
      <c r="QVM2" s="1113"/>
      <c r="QVN2" s="1113"/>
      <c r="QVO2" s="1113"/>
      <c r="QVP2" s="1113"/>
      <c r="QVQ2" s="1113"/>
      <c r="QVR2" s="1113"/>
      <c r="QVS2" s="1113"/>
      <c r="QVT2" s="1113"/>
      <c r="QVU2" s="1113"/>
      <c r="QVV2" s="1113"/>
      <c r="QVW2" s="1113"/>
      <c r="QVX2" s="1113"/>
      <c r="QVY2" s="1113"/>
      <c r="QVZ2" s="1113"/>
      <c r="QWA2" s="1113"/>
      <c r="QWB2" s="1113"/>
      <c r="QWC2" s="1113"/>
      <c r="QWD2" s="1113"/>
      <c r="QWE2" s="1113"/>
      <c r="QWF2" s="1113"/>
      <c r="QWG2" s="1113"/>
      <c r="QWH2" s="1113"/>
      <c r="QWI2" s="1113"/>
      <c r="QWJ2" s="1113"/>
      <c r="QWK2" s="1113"/>
      <c r="QWL2" s="1113"/>
      <c r="QWM2" s="1113"/>
      <c r="QWN2" s="1113"/>
      <c r="QWO2" s="1113"/>
      <c r="QWP2" s="1113"/>
      <c r="QWQ2" s="1113"/>
      <c r="QWR2" s="1113"/>
      <c r="QWS2" s="1113"/>
      <c r="QWT2" s="1113"/>
      <c r="QWU2" s="1113"/>
      <c r="QWV2" s="1113"/>
      <c r="QWW2" s="1113"/>
      <c r="QWX2" s="1113"/>
      <c r="QWY2" s="1113"/>
      <c r="QWZ2" s="1113"/>
      <c r="QXA2" s="1113"/>
      <c r="QXB2" s="1113"/>
      <c r="QXC2" s="1113"/>
      <c r="QXD2" s="1113"/>
      <c r="QXE2" s="1113"/>
      <c r="QXF2" s="1113"/>
      <c r="QXG2" s="1113"/>
      <c r="QXH2" s="1113"/>
      <c r="QXI2" s="1113"/>
      <c r="QXJ2" s="1113"/>
      <c r="QXK2" s="1113"/>
      <c r="QXL2" s="1113"/>
      <c r="QXM2" s="1113"/>
      <c r="QXN2" s="1113"/>
      <c r="QXO2" s="1113"/>
      <c r="QXP2" s="1113"/>
      <c r="QXQ2" s="1113"/>
      <c r="QXR2" s="1113"/>
      <c r="QXS2" s="1113"/>
      <c r="QXT2" s="1113"/>
      <c r="QXU2" s="1113"/>
      <c r="QXV2" s="1113"/>
      <c r="QXW2" s="1113"/>
      <c r="QXX2" s="1113"/>
      <c r="QXY2" s="1113"/>
      <c r="QXZ2" s="1113"/>
      <c r="QYA2" s="1113"/>
      <c r="QYB2" s="1113"/>
      <c r="QYC2" s="1113"/>
      <c r="QYD2" s="1113"/>
      <c r="QYE2" s="1113"/>
      <c r="QYF2" s="1113"/>
      <c r="QYG2" s="1113"/>
      <c r="QYH2" s="1113"/>
      <c r="QYI2" s="1113"/>
      <c r="QYJ2" s="1113"/>
      <c r="QYK2" s="1113"/>
      <c r="QYL2" s="1113"/>
      <c r="QYM2" s="1113"/>
      <c r="QYN2" s="1113"/>
      <c r="QYO2" s="1113"/>
      <c r="QYP2" s="1113"/>
      <c r="QYQ2" s="1113"/>
      <c r="QYR2" s="1113"/>
      <c r="QYS2" s="1113"/>
      <c r="QYT2" s="1113"/>
      <c r="QYU2" s="1113"/>
      <c r="QYV2" s="1113"/>
      <c r="QYW2" s="1113"/>
      <c r="QYX2" s="1113"/>
      <c r="QYY2" s="1113"/>
      <c r="QYZ2" s="1113"/>
      <c r="QZA2" s="1113"/>
      <c r="QZB2" s="1113"/>
      <c r="QZC2" s="1113"/>
      <c r="QZD2" s="1113"/>
      <c r="QZE2" s="1113"/>
      <c r="QZF2" s="1113"/>
      <c r="QZG2" s="1113"/>
      <c r="QZH2" s="1113"/>
      <c r="QZI2" s="1113"/>
      <c r="QZJ2" s="1113"/>
      <c r="QZK2" s="1113"/>
      <c r="QZL2" s="1113"/>
      <c r="QZM2" s="1113"/>
      <c r="QZN2" s="1113"/>
      <c r="QZO2" s="1113"/>
      <c r="QZP2" s="1113"/>
      <c r="QZQ2" s="1113"/>
      <c r="QZR2" s="1113"/>
      <c r="QZS2" s="1113"/>
      <c r="QZT2" s="1113"/>
      <c r="QZU2" s="1113"/>
      <c r="QZV2" s="1113"/>
      <c r="QZW2" s="1113"/>
      <c r="QZX2" s="1113"/>
      <c r="QZY2" s="1113"/>
      <c r="QZZ2" s="1113"/>
      <c r="RAA2" s="1113"/>
      <c r="RAB2" s="1113"/>
      <c r="RAC2" s="1113"/>
      <c r="RAD2" s="1113"/>
      <c r="RAE2" s="1113"/>
      <c r="RAF2" s="1113"/>
      <c r="RAG2" s="1113"/>
      <c r="RAH2" s="1113"/>
      <c r="RAI2" s="1113"/>
      <c r="RAJ2" s="1113"/>
      <c r="RAK2" s="1113"/>
      <c r="RAL2" s="1113"/>
      <c r="RAM2" s="1113"/>
      <c r="RAN2" s="1113"/>
      <c r="RAO2" s="1113"/>
      <c r="RAP2" s="1113"/>
      <c r="RAQ2" s="1113"/>
      <c r="RAR2" s="1113"/>
      <c r="RAS2" s="1113"/>
      <c r="RAT2" s="1113"/>
      <c r="RAU2" s="1113"/>
      <c r="RAV2" s="1113"/>
      <c r="RAW2" s="1113"/>
      <c r="RAX2" s="1113"/>
      <c r="RAY2" s="1113"/>
      <c r="RAZ2" s="1113"/>
      <c r="RBA2" s="1113"/>
      <c r="RBB2" s="1113"/>
      <c r="RBC2" s="1113"/>
      <c r="RBD2" s="1113"/>
      <c r="RBE2" s="1113"/>
      <c r="RBF2" s="1113"/>
      <c r="RBG2" s="1113"/>
      <c r="RBH2" s="1113"/>
      <c r="RBI2" s="1113"/>
      <c r="RBJ2" s="1113"/>
      <c r="RBK2" s="1113"/>
      <c r="RBL2" s="1113"/>
      <c r="RBM2" s="1113"/>
      <c r="RBN2" s="1113"/>
      <c r="RBO2" s="1113"/>
      <c r="RBP2" s="1113"/>
      <c r="RBQ2" s="1113"/>
      <c r="RBR2" s="1113"/>
      <c r="RBS2" s="1113"/>
      <c r="RBT2" s="1113"/>
      <c r="RBU2" s="1113"/>
      <c r="RBV2" s="1113"/>
      <c r="RBW2" s="1113"/>
      <c r="RBX2" s="1113"/>
      <c r="RBY2" s="1113"/>
      <c r="RBZ2" s="1113"/>
      <c r="RCA2" s="1113"/>
      <c r="RCB2" s="1113"/>
      <c r="RCC2" s="1113"/>
      <c r="RCD2" s="1113"/>
      <c r="RCE2" s="1113"/>
      <c r="RCF2" s="1113"/>
      <c r="RCG2" s="1113"/>
      <c r="RCH2" s="1113"/>
      <c r="RCI2" s="1113"/>
      <c r="RCJ2" s="1113"/>
      <c r="RCK2" s="1113"/>
      <c r="RCL2" s="1113"/>
      <c r="RCM2" s="1113"/>
      <c r="RCN2" s="1113"/>
      <c r="RCO2" s="1113"/>
      <c r="RCP2" s="1113"/>
      <c r="RCQ2" s="1113"/>
      <c r="RCR2" s="1113"/>
      <c r="RCS2" s="1113"/>
      <c r="RCT2" s="1113"/>
      <c r="RCU2" s="1113"/>
      <c r="RCV2" s="1113"/>
      <c r="RCW2" s="1113"/>
      <c r="RCX2" s="1113"/>
      <c r="RCY2" s="1113"/>
      <c r="RCZ2" s="1113"/>
      <c r="RDA2" s="1113"/>
      <c r="RDB2" s="1113"/>
      <c r="RDC2" s="1113"/>
      <c r="RDD2" s="1113"/>
      <c r="RDE2" s="1113"/>
      <c r="RDF2" s="1113"/>
      <c r="RDG2" s="1113"/>
      <c r="RDH2" s="1113"/>
      <c r="RDI2" s="1113"/>
      <c r="RDJ2" s="1113"/>
      <c r="RDK2" s="1113"/>
      <c r="RDL2" s="1113"/>
      <c r="RDM2" s="1113"/>
      <c r="RDN2" s="1113"/>
      <c r="RDO2" s="1113"/>
      <c r="RDP2" s="1113"/>
      <c r="RDQ2" s="1113"/>
      <c r="RDR2" s="1113"/>
      <c r="RDS2" s="1113"/>
      <c r="RDT2" s="1113"/>
      <c r="RDU2" s="1113"/>
      <c r="RDV2" s="1113"/>
      <c r="RDW2" s="1113"/>
      <c r="RDX2" s="1113"/>
      <c r="RDY2" s="1113"/>
      <c r="RDZ2" s="1113"/>
      <c r="REA2" s="1113"/>
      <c r="REB2" s="1113"/>
      <c r="REC2" s="1113"/>
      <c r="RED2" s="1113"/>
      <c r="REE2" s="1113"/>
      <c r="REF2" s="1113"/>
      <c r="REG2" s="1113"/>
      <c r="REH2" s="1113"/>
      <c r="REI2" s="1113"/>
      <c r="REJ2" s="1113"/>
      <c r="REK2" s="1113"/>
      <c r="REL2" s="1113"/>
      <c r="REM2" s="1113"/>
      <c r="REN2" s="1113"/>
      <c r="REO2" s="1113"/>
      <c r="REP2" s="1113"/>
      <c r="REQ2" s="1113"/>
      <c r="RER2" s="1113"/>
      <c r="RES2" s="1113"/>
      <c r="RET2" s="1113"/>
      <c r="REU2" s="1113"/>
      <c r="REV2" s="1113"/>
      <c r="REW2" s="1113"/>
      <c r="REX2" s="1113"/>
      <c r="REY2" s="1113"/>
      <c r="REZ2" s="1113"/>
      <c r="RFA2" s="1113"/>
      <c r="RFB2" s="1113"/>
      <c r="RFC2" s="1113"/>
      <c r="RFD2" s="1113"/>
      <c r="RFE2" s="1113"/>
      <c r="RFF2" s="1113"/>
      <c r="RFG2" s="1113"/>
      <c r="RFH2" s="1113"/>
      <c r="RFI2" s="1113"/>
      <c r="RFJ2" s="1113"/>
      <c r="RFK2" s="1113"/>
      <c r="RFL2" s="1113"/>
      <c r="RFM2" s="1113"/>
      <c r="RFN2" s="1113"/>
      <c r="RFO2" s="1113"/>
      <c r="RFP2" s="1113"/>
      <c r="RFQ2" s="1113"/>
      <c r="RFR2" s="1113"/>
      <c r="RFS2" s="1113"/>
      <c r="RFT2" s="1113"/>
      <c r="RFU2" s="1113"/>
      <c r="RFV2" s="1113"/>
      <c r="RFW2" s="1113"/>
      <c r="RFX2" s="1113"/>
      <c r="RFY2" s="1113"/>
      <c r="RFZ2" s="1113"/>
      <c r="RGA2" s="1113"/>
      <c r="RGB2" s="1113"/>
      <c r="RGC2" s="1113"/>
      <c r="RGD2" s="1113"/>
      <c r="RGE2" s="1113"/>
      <c r="RGF2" s="1113"/>
      <c r="RGG2" s="1113"/>
      <c r="RGH2" s="1113"/>
      <c r="RGI2" s="1113"/>
      <c r="RGJ2" s="1113"/>
      <c r="RGK2" s="1113"/>
      <c r="RGL2" s="1113"/>
      <c r="RGM2" s="1113"/>
      <c r="RGN2" s="1113"/>
      <c r="RGO2" s="1113"/>
      <c r="RGP2" s="1113"/>
      <c r="RGQ2" s="1113"/>
      <c r="RGR2" s="1113"/>
      <c r="RGS2" s="1113"/>
      <c r="RGT2" s="1113"/>
      <c r="RGU2" s="1113"/>
      <c r="RGV2" s="1113"/>
      <c r="RGW2" s="1113"/>
      <c r="RGX2" s="1113"/>
      <c r="RGY2" s="1113"/>
      <c r="RGZ2" s="1113"/>
      <c r="RHA2" s="1113"/>
      <c r="RHB2" s="1113"/>
      <c r="RHC2" s="1113"/>
      <c r="RHD2" s="1113"/>
      <c r="RHE2" s="1113"/>
      <c r="RHF2" s="1113"/>
      <c r="RHG2" s="1113"/>
      <c r="RHH2" s="1113"/>
      <c r="RHI2" s="1113"/>
      <c r="RHJ2" s="1113"/>
      <c r="RHK2" s="1113"/>
      <c r="RHL2" s="1113"/>
      <c r="RHM2" s="1113"/>
      <c r="RHN2" s="1113"/>
      <c r="RHO2" s="1113"/>
      <c r="RHP2" s="1113"/>
      <c r="RHQ2" s="1113"/>
      <c r="RHR2" s="1113"/>
      <c r="RHS2" s="1113"/>
      <c r="RHT2" s="1113"/>
      <c r="RHU2" s="1113"/>
      <c r="RHV2" s="1113"/>
      <c r="RHW2" s="1113"/>
      <c r="RHX2" s="1113"/>
      <c r="RHY2" s="1113"/>
      <c r="RHZ2" s="1113"/>
      <c r="RIA2" s="1113"/>
      <c r="RIB2" s="1113"/>
      <c r="RIC2" s="1113"/>
      <c r="RID2" s="1113"/>
      <c r="RIE2" s="1113"/>
      <c r="RIF2" s="1113"/>
      <c r="RIG2" s="1113"/>
      <c r="RIH2" s="1113"/>
      <c r="RII2" s="1113"/>
      <c r="RIJ2" s="1113"/>
      <c r="RIK2" s="1113"/>
      <c r="RIL2" s="1113"/>
      <c r="RIM2" s="1113"/>
      <c r="RIN2" s="1113"/>
      <c r="RIO2" s="1113"/>
      <c r="RIP2" s="1113"/>
      <c r="RIQ2" s="1113"/>
      <c r="RIR2" s="1113"/>
      <c r="RIS2" s="1113"/>
      <c r="RIT2" s="1113"/>
      <c r="RIU2" s="1113"/>
      <c r="RIV2" s="1113"/>
      <c r="RIW2" s="1113"/>
      <c r="RIX2" s="1113"/>
      <c r="RIY2" s="1113"/>
      <c r="RIZ2" s="1113"/>
      <c r="RJA2" s="1113"/>
      <c r="RJB2" s="1113"/>
      <c r="RJC2" s="1113"/>
      <c r="RJD2" s="1113"/>
      <c r="RJE2" s="1113"/>
      <c r="RJF2" s="1113"/>
      <c r="RJG2" s="1113"/>
      <c r="RJH2" s="1113"/>
      <c r="RJI2" s="1113"/>
      <c r="RJJ2" s="1113"/>
      <c r="RJK2" s="1113"/>
      <c r="RJL2" s="1113"/>
      <c r="RJM2" s="1113"/>
      <c r="RJN2" s="1113"/>
      <c r="RJO2" s="1113"/>
      <c r="RJP2" s="1113"/>
      <c r="RJQ2" s="1113"/>
      <c r="RJR2" s="1113"/>
      <c r="RJS2" s="1113"/>
      <c r="RJT2" s="1113"/>
      <c r="RJU2" s="1113"/>
      <c r="RJV2" s="1113"/>
      <c r="RJW2" s="1113"/>
      <c r="RJX2" s="1113"/>
      <c r="RJY2" s="1113"/>
      <c r="RJZ2" s="1113"/>
      <c r="RKA2" s="1113"/>
      <c r="RKB2" s="1113"/>
      <c r="RKC2" s="1113"/>
      <c r="RKD2" s="1113"/>
      <c r="RKE2" s="1113"/>
      <c r="RKF2" s="1113"/>
      <c r="RKG2" s="1113"/>
      <c r="RKH2" s="1113"/>
      <c r="RKI2" s="1113"/>
      <c r="RKJ2" s="1113"/>
      <c r="RKK2" s="1113"/>
      <c r="RKL2" s="1113"/>
      <c r="RKM2" s="1113"/>
      <c r="RKN2" s="1113"/>
      <c r="RKO2" s="1113"/>
      <c r="RKP2" s="1113"/>
      <c r="RKQ2" s="1113"/>
      <c r="RKR2" s="1113"/>
      <c r="RKS2" s="1113"/>
      <c r="RKT2" s="1113"/>
      <c r="RKU2" s="1113"/>
      <c r="RKV2" s="1113"/>
      <c r="RKW2" s="1113"/>
      <c r="RKX2" s="1113"/>
      <c r="RKY2" s="1113"/>
      <c r="RKZ2" s="1113"/>
      <c r="RLA2" s="1113"/>
      <c r="RLB2" s="1113"/>
      <c r="RLC2" s="1113"/>
      <c r="RLD2" s="1113"/>
      <c r="RLE2" s="1113"/>
      <c r="RLF2" s="1113"/>
      <c r="RLG2" s="1113"/>
      <c r="RLH2" s="1113"/>
      <c r="RLI2" s="1113"/>
      <c r="RLJ2" s="1113"/>
      <c r="RLK2" s="1113"/>
      <c r="RLL2" s="1113"/>
      <c r="RLM2" s="1113"/>
      <c r="RLN2" s="1113"/>
      <c r="RLO2" s="1113"/>
      <c r="RLP2" s="1113"/>
      <c r="RLQ2" s="1113"/>
      <c r="RLR2" s="1113"/>
      <c r="RLS2" s="1113"/>
      <c r="RLT2" s="1113"/>
      <c r="RLU2" s="1113"/>
      <c r="RLV2" s="1113"/>
      <c r="RLW2" s="1113"/>
      <c r="RLX2" s="1113"/>
      <c r="RLY2" s="1113"/>
      <c r="RLZ2" s="1113"/>
      <c r="RMA2" s="1113"/>
      <c r="RMB2" s="1113"/>
      <c r="RMC2" s="1113"/>
      <c r="RMD2" s="1113"/>
      <c r="RME2" s="1113"/>
      <c r="RMF2" s="1113"/>
      <c r="RMG2" s="1113"/>
      <c r="RMH2" s="1113"/>
      <c r="RMI2" s="1113"/>
      <c r="RMJ2" s="1113"/>
      <c r="RMK2" s="1113"/>
      <c r="RML2" s="1113"/>
      <c r="RMM2" s="1113"/>
      <c r="RMN2" s="1113"/>
      <c r="RMO2" s="1113"/>
      <c r="RMP2" s="1113"/>
      <c r="RMQ2" s="1113"/>
      <c r="RMR2" s="1113"/>
      <c r="RMS2" s="1113"/>
      <c r="RMT2" s="1113"/>
      <c r="RMU2" s="1113"/>
      <c r="RMV2" s="1113"/>
      <c r="RMW2" s="1113"/>
      <c r="RMX2" s="1113"/>
      <c r="RMY2" s="1113"/>
      <c r="RMZ2" s="1113"/>
      <c r="RNA2" s="1113"/>
      <c r="RNB2" s="1113"/>
      <c r="RNC2" s="1113"/>
      <c r="RND2" s="1113"/>
      <c r="RNE2" s="1113"/>
      <c r="RNF2" s="1113"/>
      <c r="RNG2" s="1113"/>
      <c r="RNH2" s="1113"/>
      <c r="RNI2" s="1113"/>
      <c r="RNJ2" s="1113"/>
      <c r="RNK2" s="1113"/>
      <c r="RNL2" s="1113"/>
      <c r="RNM2" s="1113"/>
      <c r="RNN2" s="1113"/>
      <c r="RNO2" s="1113"/>
      <c r="RNP2" s="1113"/>
      <c r="RNQ2" s="1113"/>
      <c r="RNR2" s="1113"/>
      <c r="RNS2" s="1113"/>
      <c r="RNT2" s="1113"/>
      <c r="RNU2" s="1113"/>
      <c r="RNV2" s="1113"/>
      <c r="RNW2" s="1113"/>
      <c r="RNX2" s="1113"/>
      <c r="RNY2" s="1113"/>
      <c r="RNZ2" s="1113"/>
      <c r="ROA2" s="1113"/>
      <c r="ROB2" s="1113"/>
      <c r="ROC2" s="1113"/>
      <c r="ROD2" s="1113"/>
      <c r="ROE2" s="1113"/>
      <c r="ROF2" s="1113"/>
      <c r="ROG2" s="1113"/>
      <c r="ROH2" s="1113"/>
      <c r="ROI2" s="1113"/>
      <c r="ROJ2" s="1113"/>
      <c r="ROK2" s="1113"/>
      <c r="ROL2" s="1113"/>
      <c r="ROM2" s="1113"/>
      <c r="RON2" s="1113"/>
      <c r="ROO2" s="1113"/>
      <c r="ROP2" s="1113"/>
      <c r="ROQ2" s="1113"/>
      <c r="ROR2" s="1113"/>
      <c r="ROS2" s="1113"/>
      <c r="ROT2" s="1113"/>
      <c r="ROU2" s="1113"/>
      <c r="ROV2" s="1113"/>
      <c r="ROW2" s="1113"/>
      <c r="ROX2" s="1113"/>
      <c r="ROY2" s="1113"/>
      <c r="ROZ2" s="1113"/>
      <c r="RPA2" s="1113"/>
      <c r="RPB2" s="1113"/>
      <c r="RPC2" s="1113"/>
      <c r="RPD2" s="1113"/>
      <c r="RPE2" s="1113"/>
      <c r="RPF2" s="1113"/>
      <c r="RPG2" s="1113"/>
      <c r="RPH2" s="1113"/>
      <c r="RPI2" s="1113"/>
      <c r="RPJ2" s="1113"/>
      <c r="RPK2" s="1113"/>
      <c r="RPL2" s="1113"/>
      <c r="RPM2" s="1113"/>
      <c r="RPN2" s="1113"/>
      <c r="RPO2" s="1113"/>
      <c r="RPP2" s="1113"/>
      <c r="RPQ2" s="1113"/>
      <c r="RPR2" s="1113"/>
      <c r="RPS2" s="1113"/>
      <c r="RPT2" s="1113"/>
      <c r="RPU2" s="1113"/>
      <c r="RPV2" s="1113"/>
      <c r="RPW2" s="1113"/>
      <c r="RPX2" s="1113"/>
      <c r="RPY2" s="1113"/>
      <c r="RPZ2" s="1113"/>
      <c r="RQA2" s="1113"/>
      <c r="RQB2" s="1113"/>
      <c r="RQC2" s="1113"/>
      <c r="RQD2" s="1113"/>
      <c r="RQE2" s="1113"/>
      <c r="RQF2" s="1113"/>
      <c r="RQG2" s="1113"/>
      <c r="RQH2" s="1113"/>
      <c r="RQI2" s="1113"/>
      <c r="RQJ2" s="1113"/>
      <c r="RQK2" s="1113"/>
      <c r="RQL2" s="1113"/>
      <c r="RQM2" s="1113"/>
      <c r="RQN2" s="1113"/>
      <c r="RQO2" s="1113"/>
      <c r="RQP2" s="1113"/>
      <c r="RQQ2" s="1113"/>
      <c r="RQR2" s="1113"/>
      <c r="RQS2" s="1113"/>
      <c r="RQT2" s="1113"/>
      <c r="RQU2" s="1113"/>
      <c r="RQV2" s="1113"/>
      <c r="RQW2" s="1113"/>
      <c r="RQX2" s="1113"/>
      <c r="RQY2" s="1113"/>
      <c r="RQZ2" s="1113"/>
      <c r="RRA2" s="1113"/>
      <c r="RRB2" s="1113"/>
      <c r="RRC2" s="1113"/>
      <c r="RRD2" s="1113"/>
      <c r="RRE2" s="1113"/>
      <c r="RRF2" s="1113"/>
      <c r="RRG2" s="1113"/>
      <c r="RRH2" s="1113"/>
      <c r="RRI2" s="1113"/>
      <c r="RRJ2" s="1113"/>
      <c r="RRK2" s="1113"/>
      <c r="RRL2" s="1113"/>
      <c r="RRM2" s="1113"/>
      <c r="RRN2" s="1113"/>
      <c r="RRO2" s="1113"/>
      <c r="RRP2" s="1113"/>
      <c r="RRQ2" s="1113"/>
      <c r="RRR2" s="1113"/>
      <c r="RRS2" s="1113"/>
      <c r="RRT2" s="1113"/>
      <c r="RRU2" s="1113"/>
      <c r="RRV2" s="1113"/>
      <c r="RRW2" s="1113"/>
      <c r="RRX2" s="1113"/>
      <c r="RRY2" s="1113"/>
      <c r="RRZ2" s="1113"/>
      <c r="RSA2" s="1113"/>
      <c r="RSB2" s="1113"/>
      <c r="RSC2" s="1113"/>
      <c r="RSD2" s="1113"/>
      <c r="RSE2" s="1113"/>
      <c r="RSF2" s="1113"/>
      <c r="RSG2" s="1113"/>
      <c r="RSH2" s="1113"/>
      <c r="RSI2" s="1113"/>
      <c r="RSJ2" s="1113"/>
      <c r="RSK2" s="1113"/>
      <c r="RSL2" s="1113"/>
      <c r="RSM2" s="1113"/>
      <c r="RSN2" s="1113"/>
      <c r="RSO2" s="1113"/>
      <c r="RSP2" s="1113"/>
      <c r="RSQ2" s="1113"/>
      <c r="RSR2" s="1113"/>
      <c r="RSS2" s="1113"/>
      <c r="RST2" s="1113"/>
      <c r="RSU2" s="1113"/>
      <c r="RSV2" s="1113"/>
      <c r="RSW2" s="1113"/>
      <c r="RSX2" s="1113"/>
      <c r="RSY2" s="1113"/>
      <c r="RSZ2" s="1113"/>
      <c r="RTA2" s="1113"/>
      <c r="RTB2" s="1113"/>
      <c r="RTC2" s="1113"/>
      <c r="RTD2" s="1113"/>
      <c r="RTE2" s="1113"/>
      <c r="RTF2" s="1113"/>
      <c r="RTG2" s="1113"/>
      <c r="RTH2" s="1113"/>
      <c r="RTI2" s="1113"/>
      <c r="RTJ2" s="1113"/>
      <c r="RTK2" s="1113"/>
      <c r="RTL2" s="1113"/>
      <c r="RTM2" s="1113"/>
      <c r="RTN2" s="1113"/>
      <c r="RTO2" s="1113"/>
      <c r="RTP2" s="1113"/>
      <c r="RTQ2" s="1113"/>
      <c r="RTR2" s="1113"/>
      <c r="RTS2" s="1113"/>
      <c r="RTT2" s="1113"/>
      <c r="RTU2" s="1113"/>
      <c r="RTV2" s="1113"/>
      <c r="RTW2" s="1113"/>
      <c r="RTX2" s="1113"/>
      <c r="RTY2" s="1113"/>
      <c r="RTZ2" s="1113"/>
      <c r="RUA2" s="1113"/>
      <c r="RUB2" s="1113"/>
      <c r="RUC2" s="1113"/>
      <c r="RUD2" s="1113"/>
      <c r="RUE2" s="1113"/>
      <c r="RUF2" s="1113"/>
      <c r="RUG2" s="1113"/>
      <c r="RUH2" s="1113"/>
      <c r="RUI2" s="1113"/>
      <c r="RUJ2" s="1113"/>
      <c r="RUK2" s="1113"/>
      <c r="RUL2" s="1113"/>
      <c r="RUM2" s="1113"/>
      <c r="RUN2" s="1113"/>
      <c r="RUO2" s="1113"/>
      <c r="RUP2" s="1113"/>
      <c r="RUQ2" s="1113"/>
      <c r="RUR2" s="1113"/>
      <c r="RUS2" s="1113"/>
      <c r="RUT2" s="1113"/>
      <c r="RUU2" s="1113"/>
      <c r="RUV2" s="1113"/>
      <c r="RUW2" s="1113"/>
      <c r="RUX2" s="1113"/>
      <c r="RUY2" s="1113"/>
      <c r="RUZ2" s="1113"/>
      <c r="RVA2" s="1113"/>
      <c r="RVB2" s="1113"/>
      <c r="RVC2" s="1113"/>
      <c r="RVD2" s="1113"/>
      <c r="RVE2" s="1113"/>
      <c r="RVF2" s="1113"/>
      <c r="RVG2" s="1113"/>
      <c r="RVH2" s="1113"/>
      <c r="RVI2" s="1113"/>
      <c r="RVJ2" s="1113"/>
      <c r="RVK2" s="1113"/>
      <c r="RVL2" s="1113"/>
      <c r="RVM2" s="1113"/>
      <c r="RVN2" s="1113"/>
      <c r="RVO2" s="1113"/>
      <c r="RVP2" s="1113"/>
      <c r="RVQ2" s="1113"/>
      <c r="RVR2" s="1113"/>
      <c r="RVS2" s="1113"/>
      <c r="RVT2" s="1113"/>
      <c r="RVU2" s="1113"/>
      <c r="RVV2" s="1113"/>
      <c r="RVW2" s="1113"/>
      <c r="RVX2" s="1113"/>
      <c r="RVY2" s="1113"/>
      <c r="RVZ2" s="1113"/>
      <c r="RWA2" s="1113"/>
      <c r="RWB2" s="1113"/>
      <c r="RWC2" s="1113"/>
      <c r="RWD2" s="1113"/>
      <c r="RWE2" s="1113"/>
      <c r="RWF2" s="1113"/>
      <c r="RWG2" s="1113"/>
      <c r="RWH2" s="1113"/>
      <c r="RWI2" s="1113"/>
      <c r="RWJ2" s="1113"/>
      <c r="RWK2" s="1113"/>
      <c r="RWL2" s="1113"/>
      <c r="RWM2" s="1113"/>
      <c r="RWN2" s="1113"/>
      <c r="RWO2" s="1113"/>
      <c r="RWP2" s="1113"/>
      <c r="RWQ2" s="1113"/>
      <c r="RWR2" s="1113"/>
      <c r="RWS2" s="1113"/>
      <c r="RWT2" s="1113"/>
      <c r="RWU2" s="1113"/>
      <c r="RWV2" s="1113"/>
      <c r="RWW2" s="1113"/>
      <c r="RWX2" s="1113"/>
      <c r="RWY2" s="1113"/>
      <c r="RWZ2" s="1113"/>
      <c r="RXA2" s="1113"/>
      <c r="RXB2" s="1113"/>
      <c r="RXC2" s="1113"/>
      <c r="RXD2" s="1113"/>
      <c r="RXE2" s="1113"/>
      <c r="RXF2" s="1113"/>
      <c r="RXG2" s="1113"/>
      <c r="RXH2" s="1113"/>
      <c r="RXI2" s="1113"/>
      <c r="RXJ2" s="1113"/>
      <c r="RXK2" s="1113"/>
      <c r="RXL2" s="1113"/>
      <c r="RXM2" s="1113"/>
      <c r="RXN2" s="1113"/>
      <c r="RXO2" s="1113"/>
      <c r="RXP2" s="1113"/>
      <c r="RXQ2" s="1113"/>
      <c r="RXR2" s="1113"/>
      <c r="RXS2" s="1113"/>
      <c r="RXT2" s="1113"/>
      <c r="RXU2" s="1113"/>
      <c r="RXV2" s="1113"/>
      <c r="RXW2" s="1113"/>
      <c r="RXX2" s="1113"/>
      <c r="RXY2" s="1113"/>
      <c r="RXZ2" s="1113"/>
      <c r="RYA2" s="1113"/>
      <c r="RYB2" s="1113"/>
      <c r="RYC2" s="1113"/>
      <c r="RYD2" s="1113"/>
      <c r="RYE2" s="1113"/>
      <c r="RYF2" s="1113"/>
      <c r="RYG2" s="1113"/>
      <c r="RYH2" s="1113"/>
      <c r="RYI2" s="1113"/>
      <c r="RYJ2" s="1113"/>
      <c r="RYK2" s="1113"/>
      <c r="RYL2" s="1113"/>
      <c r="RYM2" s="1113"/>
      <c r="RYN2" s="1113"/>
      <c r="RYO2" s="1113"/>
      <c r="RYP2" s="1113"/>
      <c r="RYQ2" s="1113"/>
      <c r="RYR2" s="1113"/>
      <c r="RYS2" s="1113"/>
      <c r="RYT2" s="1113"/>
      <c r="RYU2" s="1113"/>
      <c r="RYV2" s="1113"/>
      <c r="RYW2" s="1113"/>
      <c r="RYX2" s="1113"/>
      <c r="RYY2" s="1113"/>
      <c r="RYZ2" s="1113"/>
      <c r="RZA2" s="1113"/>
      <c r="RZB2" s="1113"/>
      <c r="RZC2" s="1113"/>
      <c r="RZD2" s="1113"/>
      <c r="RZE2" s="1113"/>
      <c r="RZF2" s="1113"/>
      <c r="RZG2" s="1113"/>
      <c r="RZH2" s="1113"/>
      <c r="RZI2" s="1113"/>
      <c r="RZJ2" s="1113"/>
      <c r="RZK2" s="1113"/>
      <c r="RZL2" s="1113"/>
      <c r="RZM2" s="1113"/>
      <c r="RZN2" s="1113"/>
      <c r="RZO2" s="1113"/>
      <c r="RZP2" s="1113"/>
      <c r="RZQ2" s="1113"/>
      <c r="RZR2" s="1113"/>
      <c r="RZS2" s="1113"/>
      <c r="RZT2" s="1113"/>
      <c r="RZU2" s="1113"/>
      <c r="RZV2" s="1113"/>
      <c r="RZW2" s="1113"/>
      <c r="RZX2" s="1113"/>
      <c r="RZY2" s="1113"/>
      <c r="RZZ2" s="1113"/>
      <c r="SAA2" s="1113"/>
      <c r="SAB2" s="1113"/>
      <c r="SAC2" s="1113"/>
      <c r="SAD2" s="1113"/>
      <c r="SAE2" s="1113"/>
      <c r="SAF2" s="1113"/>
      <c r="SAG2" s="1113"/>
      <c r="SAH2" s="1113"/>
      <c r="SAI2" s="1113"/>
      <c r="SAJ2" s="1113"/>
      <c r="SAK2" s="1113"/>
      <c r="SAL2" s="1113"/>
      <c r="SAM2" s="1113"/>
      <c r="SAN2" s="1113"/>
      <c r="SAO2" s="1113"/>
      <c r="SAP2" s="1113"/>
      <c r="SAQ2" s="1113"/>
      <c r="SAR2" s="1113"/>
      <c r="SAS2" s="1113"/>
      <c r="SAT2" s="1113"/>
      <c r="SAU2" s="1113"/>
      <c r="SAV2" s="1113"/>
      <c r="SAW2" s="1113"/>
      <c r="SAX2" s="1113"/>
      <c r="SAY2" s="1113"/>
      <c r="SAZ2" s="1113"/>
      <c r="SBA2" s="1113"/>
      <c r="SBB2" s="1113"/>
      <c r="SBC2" s="1113"/>
      <c r="SBD2" s="1113"/>
      <c r="SBE2" s="1113"/>
      <c r="SBF2" s="1113"/>
      <c r="SBG2" s="1113"/>
      <c r="SBH2" s="1113"/>
      <c r="SBI2" s="1113"/>
      <c r="SBJ2" s="1113"/>
      <c r="SBK2" s="1113"/>
      <c r="SBL2" s="1113"/>
      <c r="SBM2" s="1113"/>
      <c r="SBN2" s="1113"/>
      <c r="SBO2" s="1113"/>
      <c r="SBP2" s="1113"/>
      <c r="SBQ2" s="1113"/>
      <c r="SBR2" s="1113"/>
      <c r="SBS2" s="1113"/>
      <c r="SBT2" s="1113"/>
      <c r="SBU2" s="1113"/>
      <c r="SBV2" s="1113"/>
      <c r="SBW2" s="1113"/>
      <c r="SBX2" s="1113"/>
      <c r="SBY2" s="1113"/>
      <c r="SBZ2" s="1113"/>
      <c r="SCA2" s="1113"/>
      <c r="SCB2" s="1113"/>
      <c r="SCC2" s="1113"/>
      <c r="SCD2" s="1113"/>
      <c r="SCE2" s="1113"/>
      <c r="SCF2" s="1113"/>
      <c r="SCG2" s="1113"/>
      <c r="SCH2" s="1113"/>
      <c r="SCI2" s="1113"/>
      <c r="SCJ2" s="1113"/>
      <c r="SCK2" s="1113"/>
      <c r="SCL2" s="1113"/>
      <c r="SCM2" s="1113"/>
      <c r="SCN2" s="1113"/>
      <c r="SCO2" s="1113"/>
      <c r="SCP2" s="1113"/>
      <c r="SCQ2" s="1113"/>
      <c r="SCR2" s="1113"/>
      <c r="SCS2" s="1113"/>
      <c r="SCT2" s="1113"/>
      <c r="SCU2" s="1113"/>
      <c r="SCV2" s="1113"/>
      <c r="SCW2" s="1113"/>
      <c r="SCX2" s="1113"/>
      <c r="SCY2" s="1113"/>
      <c r="SCZ2" s="1113"/>
      <c r="SDA2" s="1113"/>
      <c r="SDB2" s="1113"/>
      <c r="SDC2" s="1113"/>
      <c r="SDD2" s="1113"/>
      <c r="SDE2" s="1113"/>
      <c r="SDF2" s="1113"/>
      <c r="SDG2" s="1113"/>
      <c r="SDH2" s="1113"/>
      <c r="SDI2" s="1113"/>
      <c r="SDJ2" s="1113"/>
      <c r="SDK2" s="1113"/>
      <c r="SDL2" s="1113"/>
      <c r="SDM2" s="1113"/>
      <c r="SDN2" s="1113"/>
      <c r="SDO2" s="1113"/>
      <c r="SDP2" s="1113"/>
      <c r="SDQ2" s="1113"/>
      <c r="SDR2" s="1113"/>
      <c r="SDS2" s="1113"/>
      <c r="SDT2" s="1113"/>
      <c r="SDU2" s="1113"/>
      <c r="SDV2" s="1113"/>
      <c r="SDW2" s="1113"/>
      <c r="SDX2" s="1113"/>
      <c r="SDY2" s="1113"/>
      <c r="SDZ2" s="1113"/>
      <c r="SEA2" s="1113"/>
      <c r="SEB2" s="1113"/>
      <c r="SEC2" s="1113"/>
      <c r="SED2" s="1113"/>
      <c r="SEE2" s="1113"/>
      <c r="SEF2" s="1113"/>
      <c r="SEG2" s="1113"/>
      <c r="SEH2" s="1113"/>
      <c r="SEI2" s="1113"/>
      <c r="SEJ2" s="1113"/>
      <c r="SEK2" s="1113"/>
      <c r="SEL2" s="1113"/>
      <c r="SEM2" s="1113"/>
      <c r="SEN2" s="1113"/>
      <c r="SEO2" s="1113"/>
      <c r="SEP2" s="1113"/>
      <c r="SEQ2" s="1113"/>
      <c r="SER2" s="1113"/>
      <c r="SES2" s="1113"/>
      <c r="SET2" s="1113"/>
      <c r="SEU2" s="1113"/>
      <c r="SEV2" s="1113"/>
      <c r="SEW2" s="1113"/>
      <c r="SEX2" s="1113"/>
      <c r="SEY2" s="1113"/>
      <c r="SEZ2" s="1113"/>
      <c r="SFA2" s="1113"/>
      <c r="SFB2" s="1113"/>
      <c r="SFC2" s="1113"/>
      <c r="SFD2" s="1113"/>
      <c r="SFE2" s="1113"/>
      <c r="SFF2" s="1113"/>
      <c r="SFG2" s="1113"/>
      <c r="SFH2" s="1113"/>
      <c r="SFI2" s="1113"/>
      <c r="SFJ2" s="1113"/>
      <c r="SFK2" s="1113"/>
      <c r="SFL2" s="1113"/>
      <c r="SFM2" s="1113"/>
      <c r="SFN2" s="1113"/>
      <c r="SFO2" s="1113"/>
      <c r="SFP2" s="1113"/>
      <c r="SFQ2" s="1113"/>
      <c r="SFR2" s="1113"/>
      <c r="SFS2" s="1113"/>
      <c r="SFT2" s="1113"/>
      <c r="SFU2" s="1113"/>
      <c r="SFV2" s="1113"/>
      <c r="SFW2" s="1113"/>
      <c r="SFX2" s="1113"/>
      <c r="SFY2" s="1113"/>
      <c r="SFZ2" s="1113"/>
      <c r="SGA2" s="1113"/>
      <c r="SGB2" s="1113"/>
      <c r="SGC2" s="1113"/>
      <c r="SGD2" s="1113"/>
      <c r="SGE2" s="1113"/>
      <c r="SGF2" s="1113"/>
      <c r="SGG2" s="1113"/>
      <c r="SGH2" s="1113"/>
      <c r="SGI2" s="1113"/>
      <c r="SGJ2" s="1113"/>
      <c r="SGK2" s="1113"/>
      <c r="SGL2" s="1113"/>
      <c r="SGM2" s="1113"/>
      <c r="SGN2" s="1113"/>
      <c r="SGO2" s="1113"/>
      <c r="SGP2" s="1113"/>
      <c r="SGQ2" s="1113"/>
      <c r="SGR2" s="1113"/>
      <c r="SGS2" s="1113"/>
      <c r="SGT2" s="1113"/>
      <c r="SGU2" s="1113"/>
      <c r="SGV2" s="1113"/>
      <c r="SGW2" s="1113"/>
      <c r="SGX2" s="1113"/>
      <c r="SGY2" s="1113"/>
      <c r="SGZ2" s="1113"/>
      <c r="SHA2" s="1113"/>
      <c r="SHB2" s="1113"/>
      <c r="SHC2" s="1113"/>
      <c r="SHD2" s="1113"/>
      <c r="SHE2" s="1113"/>
      <c r="SHF2" s="1113"/>
      <c r="SHG2" s="1113"/>
      <c r="SHH2" s="1113"/>
      <c r="SHI2" s="1113"/>
      <c r="SHJ2" s="1113"/>
      <c r="SHK2" s="1113"/>
      <c r="SHL2" s="1113"/>
      <c r="SHM2" s="1113"/>
      <c r="SHN2" s="1113"/>
      <c r="SHO2" s="1113"/>
      <c r="SHP2" s="1113"/>
      <c r="SHQ2" s="1113"/>
      <c r="SHR2" s="1113"/>
      <c r="SHS2" s="1113"/>
      <c r="SHT2" s="1113"/>
      <c r="SHU2" s="1113"/>
      <c r="SHV2" s="1113"/>
      <c r="SHW2" s="1113"/>
      <c r="SHX2" s="1113"/>
      <c r="SHY2" s="1113"/>
      <c r="SHZ2" s="1113"/>
      <c r="SIA2" s="1113"/>
      <c r="SIB2" s="1113"/>
      <c r="SIC2" s="1113"/>
      <c r="SID2" s="1113"/>
      <c r="SIE2" s="1113"/>
      <c r="SIF2" s="1113"/>
      <c r="SIG2" s="1113"/>
      <c r="SIH2" s="1113"/>
      <c r="SII2" s="1113"/>
      <c r="SIJ2" s="1113"/>
      <c r="SIK2" s="1113"/>
      <c r="SIL2" s="1113"/>
      <c r="SIM2" s="1113"/>
      <c r="SIN2" s="1113"/>
      <c r="SIO2" s="1113"/>
      <c r="SIP2" s="1113"/>
      <c r="SIQ2" s="1113"/>
      <c r="SIR2" s="1113"/>
      <c r="SIS2" s="1113"/>
      <c r="SIT2" s="1113"/>
      <c r="SIU2" s="1113"/>
      <c r="SIV2" s="1113"/>
      <c r="SIW2" s="1113"/>
      <c r="SIX2" s="1113"/>
      <c r="SIY2" s="1113"/>
      <c r="SIZ2" s="1113"/>
      <c r="SJA2" s="1113"/>
      <c r="SJB2" s="1113"/>
      <c r="SJC2" s="1113"/>
      <c r="SJD2" s="1113"/>
      <c r="SJE2" s="1113"/>
      <c r="SJF2" s="1113"/>
      <c r="SJG2" s="1113"/>
      <c r="SJH2" s="1113"/>
      <c r="SJI2" s="1113"/>
      <c r="SJJ2" s="1113"/>
      <c r="SJK2" s="1113"/>
      <c r="SJL2" s="1113"/>
      <c r="SJM2" s="1113"/>
      <c r="SJN2" s="1113"/>
      <c r="SJO2" s="1113"/>
      <c r="SJP2" s="1113"/>
      <c r="SJQ2" s="1113"/>
      <c r="SJR2" s="1113"/>
      <c r="SJS2" s="1113"/>
      <c r="SJT2" s="1113"/>
      <c r="SJU2" s="1113"/>
      <c r="SJV2" s="1113"/>
      <c r="SJW2" s="1113"/>
      <c r="SJX2" s="1113"/>
      <c r="SJY2" s="1113"/>
      <c r="SJZ2" s="1113"/>
      <c r="SKA2" s="1113"/>
      <c r="SKB2" s="1113"/>
      <c r="SKC2" s="1113"/>
      <c r="SKD2" s="1113"/>
      <c r="SKE2" s="1113"/>
      <c r="SKF2" s="1113"/>
      <c r="SKG2" s="1113"/>
      <c r="SKH2" s="1113"/>
      <c r="SKI2" s="1113"/>
      <c r="SKJ2" s="1113"/>
      <c r="SKK2" s="1113"/>
      <c r="SKL2" s="1113"/>
      <c r="SKM2" s="1113"/>
      <c r="SKN2" s="1113"/>
      <c r="SKO2" s="1113"/>
      <c r="SKP2" s="1113"/>
      <c r="SKQ2" s="1113"/>
      <c r="SKR2" s="1113"/>
      <c r="SKS2" s="1113"/>
      <c r="SKT2" s="1113"/>
      <c r="SKU2" s="1113"/>
      <c r="SKV2" s="1113"/>
      <c r="SKW2" s="1113"/>
      <c r="SKX2" s="1113"/>
      <c r="SKY2" s="1113"/>
      <c r="SKZ2" s="1113"/>
      <c r="SLA2" s="1113"/>
      <c r="SLB2" s="1113"/>
      <c r="SLC2" s="1113"/>
      <c r="SLD2" s="1113"/>
      <c r="SLE2" s="1113"/>
      <c r="SLF2" s="1113"/>
      <c r="SLG2" s="1113"/>
      <c r="SLH2" s="1113"/>
      <c r="SLI2" s="1113"/>
      <c r="SLJ2" s="1113"/>
      <c r="SLK2" s="1113"/>
      <c r="SLL2" s="1113"/>
      <c r="SLM2" s="1113"/>
      <c r="SLN2" s="1113"/>
      <c r="SLO2" s="1113"/>
      <c r="SLP2" s="1113"/>
      <c r="SLQ2" s="1113"/>
      <c r="SLR2" s="1113"/>
      <c r="SLS2" s="1113"/>
      <c r="SLT2" s="1113"/>
      <c r="SLU2" s="1113"/>
      <c r="SLV2" s="1113"/>
      <c r="SLW2" s="1113"/>
      <c r="SLX2" s="1113"/>
      <c r="SLY2" s="1113"/>
      <c r="SLZ2" s="1113"/>
      <c r="SMA2" s="1113"/>
      <c r="SMB2" s="1113"/>
      <c r="SMC2" s="1113"/>
      <c r="SMD2" s="1113"/>
      <c r="SME2" s="1113"/>
      <c r="SMF2" s="1113"/>
      <c r="SMG2" s="1113"/>
      <c r="SMH2" s="1113"/>
      <c r="SMI2" s="1113"/>
      <c r="SMJ2" s="1113"/>
      <c r="SMK2" s="1113"/>
      <c r="SML2" s="1113"/>
      <c r="SMM2" s="1113"/>
      <c r="SMN2" s="1113"/>
      <c r="SMO2" s="1113"/>
      <c r="SMP2" s="1113"/>
      <c r="SMQ2" s="1113"/>
      <c r="SMR2" s="1113"/>
      <c r="SMS2" s="1113"/>
      <c r="SMT2" s="1113"/>
      <c r="SMU2" s="1113"/>
      <c r="SMV2" s="1113"/>
      <c r="SMW2" s="1113"/>
      <c r="SMX2" s="1113"/>
      <c r="SMY2" s="1113"/>
      <c r="SMZ2" s="1113"/>
      <c r="SNA2" s="1113"/>
      <c r="SNB2" s="1113"/>
      <c r="SNC2" s="1113"/>
      <c r="SND2" s="1113"/>
      <c r="SNE2" s="1113"/>
      <c r="SNF2" s="1113"/>
      <c r="SNG2" s="1113"/>
      <c r="SNH2" s="1113"/>
      <c r="SNI2" s="1113"/>
      <c r="SNJ2" s="1113"/>
      <c r="SNK2" s="1113"/>
      <c r="SNL2" s="1113"/>
      <c r="SNM2" s="1113"/>
      <c r="SNN2" s="1113"/>
      <c r="SNO2" s="1113"/>
      <c r="SNP2" s="1113"/>
      <c r="SNQ2" s="1113"/>
      <c r="SNR2" s="1113"/>
      <c r="SNS2" s="1113"/>
      <c r="SNT2" s="1113"/>
      <c r="SNU2" s="1113"/>
      <c r="SNV2" s="1113"/>
      <c r="SNW2" s="1113"/>
      <c r="SNX2" s="1113"/>
      <c r="SNY2" s="1113"/>
      <c r="SNZ2" s="1113"/>
      <c r="SOA2" s="1113"/>
      <c r="SOB2" s="1113"/>
      <c r="SOC2" s="1113"/>
      <c r="SOD2" s="1113"/>
      <c r="SOE2" s="1113"/>
      <c r="SOF2" s="1113"/>
      <c r="SOG2" s="1113"/>
      <c r="SOH2" s="1113"/>
      <c r="SOI2" s="1113"/>
      <c r="SOJ2" s="1113"/>
      <c r="SOK2" s="1113"/>
      <c r="SOL2" s="1113"/>
      <c r="SOM2" s="1113"/>
      <c r="SON2" s="1113"/>
      <c r="SOO2" s="1113"/>
      <c r="SOP2" s="1113"/>
      <c r="SOQ2" s="1113"/>
      <c r="SOR2" s="1113"/>
      <c r="SOS2" s="1113"/>
      <c r="SOT2" s="1113"/>
      <c r="SOU2" s="1113"/>
      <c r="SOV2" s="1113"/>
      <c r="SOW2" s="1113"/>
      <c r="SOX2" s="1113"/>
      <c r="SOY2" s="1113"/>
      <c r="SOZ2" s="1113"/>
      <c r="SPA2" s="1113"/>
      <c r="SPB2" s="1113"/>
      <c r="SPC2" s="1113"/>
      <c r="SPD2" s="1113"/>
      <c r="SPE2" s="1113"/>
      <c r="SPF2" s="1113"/>
      <c r="SPG2" s="1113"/>
      <c r="SPH2" s="1113"/>
      <c r="SPI2" s="1113"/>
      <c r="SPJ2" s="1113"/>
      <c r="SPK2" s="1113"/>
      <c r="SPL2" s="1113"/>
      <c r="SPM2" s="1113"/>
      <c r="SPN2" s="1113"/>
      <c r="SPO2" s="1113"/>
      <c r="SPP2" s="1113"/>
      <c r="SPQ2" s="1113"/>
      <c r="SPR2" s="1113"/>
      <c r="SPS2" s="1113"/>
      <c r="SPT2" s="1113"/>
      <c r="SPU2" s="1113"/>
      <c r="SPV2" s="1113"/>
      <c r="SPW2" s="1113"/>
      <c r="SPX2" s="1113"/>
      <c r="SPY2" s="1113"/>
      <c r="SPZ2" s="1113"/>
      <c r="SQA2" s="1113"/>
      <c r="SQB2" s="1113"/>
      <c r="SQC2" s="1113"/>
      <c r="SQD2" s="1113"/>
      <c r="SQE2" s="1113"/>
      <c r="SQF2" s="1113"/>
      <c r="SQG2" s="1113"/>
      <c r="SQH2" s="1113"/>
      <c r="SQI2" s="1113"/>
      <c r="SQJ2" s="1113"/>
      <c r="SQK2" s="1113"/>
      <c r="SQL2" s="1113"/>
      <c r="SQM2" s="1113"/>
      <c r="SQN2" s="1113"/>
      <c r="SQO2" s="1113"/>
      <c r="SQP2" s="1113"/>
      <c r="SQQ2" s="1113"/>
      <c r="SQR2" s="1113"/>
      <c r="SQS2" s="1113"/>
      <c r="SQT2" s="1113"/>
      <c r="SQU2" s="1113"/>
      <c r="SQV2" s="1113"/>
      <c r="SQW2" s="1113"/>
      <c r="SQX2" s="1113"/>
      <c r="SQY2" s="1113"/>
      <c r="SQZ2" s="1113"/>
      <c r="SRA2" s="1113"/>
      <c r="SRB2" s="1113"/>
      <c r="SRC2" s="1113"/>
      <c r="SRD2" s="1113"/>
      <c r="SRE2" s="1113"/>
      <c r="SRF2" s="1113"/>
      <c r="SRG2" s="1113"/>
      <c r="SRH2" s="1113"/>
      <c r="SRI2" s="1113"/>
      <c r="SRJ2" s="1113"/>
      <c r="SRK2" s="1113"/>
      <c r="SRL2" s="1113"/>
      <c r="SRM2" s="1113"/>
      <c r="SRN2" s="1113"/>
      <c r="SRO2" s="1113"/>
      <c r="SRP2" s="1113"/>
      <c r="SRQ2" s="1113"/>
      <c r="SRR2" s="1113"/>
      <c r="SRS2" s="1113"/>
      <c r="SRT2" s="1113"/>
      <c r="SRU2" s="1113"/>
      <c r="SRV2" s="1113"/>
      <c r="SRW2" s="1113"/>
      <c r="SRX2" s="1113"/>
      <c r="SRY2" s="1113"/>
      <c r="SRZ2" s="1113"/>
      <c r="SSA2" s="1113"/>
      <c r="SSB2" s="1113"/>
      <c r="SSC2" s="1113"/>
      <c r="SSD2" s="1113"/>
      <c r="SSE2" s="1113"/>
      <c r="SSF2" s="1113"/>
      <c r="SSG2" s="1113"/>
      <c r="SSH2" s="1113"/>
      <c r="SSI2" s="1113"/>
      <c r="SSJ2" s="1113"/>
      <c r="SSK2" s="1113"/>
      <c r="SSL2" s="1113"/>
      <c r="SSM2" s="1113"/>
      <c r="SSN2" s="1113"/>
      <c r="SSO2" s="1113"/>
      <c r="SSP2" s="1113"/>
      <c r="SSQ2" s="1113"/>
      <c r="SSR2" s="1113"/>
      <c r="SSS2" s="1113"/>
      <c r="SST2" s="1113"/>
      <c r="SSU2" s="1113"/>
      <c r="SSV2" s="1113"/>
      <c r="SSW2" s="1113"/>
      <c r="SSX2" s="1113"/>
      <c r="SSY2" s="1113"/>
      <c r="SSZ2" s="1113"/>
      <c r="STA2" s="1113"/>
      <c r="STB2" s="1113"/>
      <c r="STC2" s="1113"/>
      <c r="STD2" s="1113"/>
      <c r="STE2" s="1113"/>
      <c r="STF2" s="1113"/>
      <c r="STG2" s="1113"/>
      <c r="STH2" s="1113"/>
      <c r="STI2" s="1113"/>
      <c r="STJ2" s="1113"/>
      <c r="STK2" s="1113"/>
      <c r="STL2" s="1113"/>
      <c r="STM2" s="1113"/>
      <c r="STN2" s="1113"/>
      <c r="STO2" s="1113"/>
      <c r="STP2" s="1113"/>
      <c r="STQ2" s="1113"/>
      <c r="STR2" s="1113"/>
      <c r="STS2" s="1113"/>
      <c r="STT2" s="1113"/>
      <c r="STU2" s="1113"/>
      <c r="STV2" s="1113"/>
      <c r="STW2" s="1113"/>
      <c r="STX2" s="1113"/>
      <c r="STY2" s="1113"/>
      <c r="STZ2" s="1113"/>
      <c r="SUA2" s="1113"/>
      <c r="SUB2" s="1113"/>
      <c r="SUC2" s="1113"/>
      <c r="SUD2" s="1113"/>
      <c r="SUE2" s="1113"/>
      <c r="SUF2" s="1113"/>
      <c r="SUG2" s="1113"/>
      <c r="SUH2" s="1113"/>
      <c r="SUI2" s="1113"/>
      <c r="SUJ2" s="1113"/>
      <c r="SUK2" s="1113"/>
      <c r="SUL2" s="1113"/>
      <c r="SUM2" s="1113"/>
      <c r="SUN2" s="1113"/>
      <c r="SUO2" s="1113"/>
      <c r="SUP2" s="1113"/>
      <c r="SUQ2" s="1113"/>
      <c r="SUR2" s="1113"/>
      <c r="SUS2" s="1113"/>
      <c r="SUT2" s="1113"/>
      <c r="SUU2" s="1113"/>
      <c r="SUV2" s="1113"/>
      <c r="SUW2" s="1113"/>
      <c r="SUX2" s="1113"/>
      <c r="SUY2" s="1113"/>
      <c r="SUZ2" s="1113"/>
      <c r="SVA2" s="1113"/>
      <c r="SVB2" s="1113"/>
      <c r="SVC2" s="1113"/>
      <c r="SVD2" s="1113"/>
      <c r="SVE2" s="1113"/>
      <c r="SVF2" s="1113"/>
      <c r="SVG2" s="1113"/>
      <c r="SVH2" s="1113"/>
      <c r="SVI2" s="1113"/>
      <c r="SVJ2" s="1113"/>
      <c r="SVK2" s="1113"/>
      <c r="SVL2" s="1113"/>
      <c r="SVM2" s="1113"/>
      <c r="SVN2" s="1113"/>
      <c r="SVO2" s="1113"/>
      <c r="SVP2" s="1113"/>
      <c r="SVQ2" s="1113"/>
      <c r="SVR2" s="1113"/>
      <c r="SVS2" s="1113"/>
      <c r="SVT2" s="1113"/>
      <c r="SVU2" s="1113"/>
      <c r="SVV2" s="1113"/>
      <c r="SVW2" s="1113"/>
      <c r="SVX2" s="1113"/>
      <c r="SVY2" s="1113"/>
      <c r="SVZ2" s="1113"/>
      <c r="SWA2" s="1113"/>
      <c r="SWB2" s="1113"/>
      <c r="SWC2" s="1113"/>
      <c r="SWD2" s="1113"/>
      <c r="SWE2" s="1113"/>
      <c r="SWF2" s="1113"/>
      <c r="SWG2" s="1113"/>
      <c r="SWH2" s="1113"/>
      <c r="SWI2" s="1113"/>
      <c r="SWJ2" s="1113"/>
      <c r="SWK2" s="1113"/>
      <c r="SWL2" s="1113"/>
      <c r="SWM2" s="1113"/>
      <c r="SWN2" s="1113"/>
      <c r="SWO2" s="1113"/>
      <c r="SWP2" s="1113"/>
      <c r="SWQ2" s="1113"/>
      <c r="SWR2" s="1113"/>
      <c r="SWS2" s="1113"/>
      <c r="SWT2" s="1113"/>
      <c r="SWU2" s="1113"/>
      <c r="SWV2" s="1113"/>
      <c r="SWW2" s="1113"/>
      <c r="SWX2" s="1113"/>
      <c r="SWY2" s="1113"/>
      <c r="SWZ2" s="1113"/>
      <c r="SXA2" s="1113"/>
      <c r="SXB2" s="1113"/>
      <c r="SXC2" s="1113"/>
      <c r="SXD2" s="1113"/>
      <c r="SXE2" s="1113"/>
      <c r="SXF2" s="1113"/>
      <c r="SXG2" s="1113"/>
      <c r="SXH2" s="1113"/>
      <c r="SXI2" s="1113"/>
      <c r="SXJ2" s="1113"/>
      <c r="SXK2" s="1113"/>
      <c r="SXL2" s="1113"/>
      <c r="SXM2" s="1113"/>
      <c r="SXN2" s="1113"/>
      <c r="SXO2" s="1113"/>
      <c r="SXP2" s="1113"/>
      <c r="SXQ2" s="1113"/>
      <c r="SXR2" s="1113"/>
      <c r="SXS2" s="1113"/>
      <c r="SXT2" s="1113"/>
      <c r="SXU2" s="1113"/>
      <c r="SXV2" s="1113"/>
      <c r="SXW2" s="1113"/>
      <c r="SXX2" s="1113"/>
      <c r="SXY2" s="1113"/>
      <c r="SXZ2" s="1113"/>
      <c r="SYA2" s="1113"/>
      <c r="SYB2" s="1113"/>
      <c r="SYC2" s="1113"/>
      <c r="SYD2" s="1113"/>
      <c r="SYE2" s="1113"/>
      <c r="SYF2" s="1113"/>
      <c r="SYG2" s="1113"/>
      <c r="SYH2" s="1113"/>
      <c r="SYI2" s="1113"/>
      <c r="SYJ2" s="1113"/>
      <c r="SYK2" s="1113"/>
      <c r="SYL2" s="1113"/>
      <c r="SYM2" s="1113"/>
      <c r="SYN2" s="1113"/>
      <c r="SYO2" s="1113"/>
      <c r="SYP2" s="1113"/>
      <c r="SYQ2" s="1113"/>
      <c r="SYR2" s="1113"/>
      <c r="SYS2" s="1113"/>
      <c r="SYT2" s="1113"/>
      <c r="SYU2" s="1113"/>
      <c r="SYV2" s="1113"/>
      <c r="SYW2" s="1113"/>
      <c r="SYX2" s="1113"/>
      <c r="SYY2" s="1113"/>
      <c r="SYZ2" s="1113"/>
      <c r="SZA2" s="1113"/>
      <c r="SZB2" s="1113"/>
      <c r="SZC2" s="1113"/>
      <c r="SZD2" s="1113"/>
      <c r="SZE2" s="1113"/>
      <c r="SZF2" s="1113"/>
      <c r="SZG2" s="1113"/>
      <c r="SZH2" s="1113"/>
      <c r="SZI2" s="1113"/>
      <c r="SZJ2" s="1113"/>
      <c r="SZK2" s="1113"/>
      <c r="SZL2" s="1113"/>
      <c r="SZM2" s="1113"/>
      <c r="SZN2" s="1113"/>
      <c r="SZO2" s="1113"/>
      <c r="SZP2" s="1113"/>
      <c r="SZQ2" s="1113"/>
      <c r="SZR2" s="1113"/>
      <c r="SZS2" s="1113"/>
      <c r="SZT2" s="1113"/>
      <c r="SZU2" s="1113"/>
      <c r="SZV2" s="1113"/>
      <c r="SZW2" s="1113"/>
      <c r="SZX2" s="1113"/>
      <c r="SZY2" s="1113"/>
      <c r="SZZ2" s="1113"/>
      <c r="TAA2" s="1113"/>
      <c r="TAB2" s="1113"/>
      <c r="TAC2" s="1113"/>
      <c r="TAD2" s="1113"/>
      <c r="TAE2" s="1113"/>
      <c r="TAF2" s="1113"/>
      <c r="TAG2" s="1113"/>
      <c r="TAH2" s="1113"/>
      <c r="TAI2" s="1113"/>
      <c r="TAJ2" s="1113"/>
      <c r="TAK2" s="1113"/>
      <c r="TAL2" s="1113"/>
      <c r="TAM2" s="1113"/>
      <c r="TAN2" s="1113"/>
      <c r="TAO2" s="1113"/>
      <c r="TAP2" s="1113"/>
      <c r="TAQ2" s="1113"/>
      <c r="TAR2" s="1113"/>
      <c r="TAS2" s="1113"/>
      <c r="TAT2" s="1113"/>
      <c r="TAU2" s="1113"/>
      <c r="TAV2" s="1113"/>
      <c r="TAW2" s="1113"/>
      <c r="TAX2" s="1113"/>
      <c r="TAY2" s="1113"/>
      <c r="TAZ2" s="1113"/>
      <c r="TBA2" s="1113"/>
      <c r="TBB2" s="1113"/>
      <c r="TBC2" s="1113"/>
      <c r="TBD2" s="1113"/>
      <c r="TBE2" s="1113"/>
      <c r="TBF2" s="1113"/>
      <c r="TBG2" s="1113"/>
      <c r="TBH2" s="1113"/>
      <c r="TBI2" s="1113"/>
      <c r="TBJ2" s="1113"/>
      <c r="TBK2" s="1113"/>
      <c r="TBL2" s="1113"/>
      <c r="TBM2" s="1113"/>
      <c r="TBN2" s="1113"/>
      <c r="TBO2" s="1113"/>
      <c r="TBP2" s="1113"/>
      <c r="TBQ2" s="1113"/>
      <c r="TBR2" s="1113"/>
      <c r="TBS2" s="1113"/>
      <c r="TBT2" s="1113"/>
      <c r="TBU2" s="1113"/>
      <c r="TBV2" s="1113"/>
      <c r="TBW2" s="1113"/>
      <c r="TBX2" s="1113"/>
      <c r="TBY2" s="1113"/>
      <c r="TBZ2" s="1113"/>
      <c r="TCA2" s="1113"/>
      <c r="TCB2" s="1113"/>
      <c r="TCC2" s="1113"/>
      <c r="TCD2" s="1113"/>
      <c r="TCE2" s="1113"/>
      <c r="TCF2" s="1113"/>
      <c r="TCG2" s="1113"/>
      <c r="TCH2" s="1113"/>
      <c r="TCI2" s="1113"/>
      <c r="TCJ2" s="1113"/>
      <c r="TCK2" s="1113"/>
      <c r="TCL2" s="1113"/>
      <c r="TCM2" s="1113"/>
      <c r="TCN2" s="1113"/>
      <c r="TCO2" s="1113"/>
      <c r="TCP2" s="1113"/>
      <c r="TCQ2" s="1113"/>
      <c r="TCR2" s="1113"/>
      <c r="TCS2" s="1113"/>
      <c r="TCT2" s="1113"/>
      <c r="TCU2" s="1113"/>
      <c r="TCV2" s="1113"/>
      <c r="TCW2" s="1113"/>
      <c r="TCX2" s="1113"/>
      <c r="TCY2" s="1113"/>
      <c r="TCZ2" s="1113"/>
      <c r="TDA2" s="1113"/>
      <c r="TDB2" s="1113"/>
      <c r="TDC2" s="1113"/>
      <c r="TDD2" s="1113"/>
      <c r="TDE2" s="1113"/>
      <c r="TDF2" s="1113"/>
      <c r="TDG2" s="1113"/>
      <c r="TDH2" s="1113"/>
      <c r="TDI2" s="1113"/>
      <c r="TDJ2" s="1113"/>
      <c r="TDK2" s="1113"/>
      <c r="TDL2" s="1113"/>
      <c r="TDM2" s="1113"/>
      <c r="TDN2" s="1113"/>
      <c r="TDO2" s="1113"/>
      <c r="TDP2" s="1113"/>
      <c r="TDQ2" s="1113"/>
      <c r="TDR2" s="1113"/>
      <c r="TDS2" s="1113"/>
      <c r="TDT2" s="1113"/>
      <c r="TDU2" s="1113"/>
      <c r="TDV2" s="1113"/>
      <c r="TDW2" s="1113"/>
      <c r="TDX2" s="1113"/>
      <c r="TDY2" s="1113"/>
      <c r="TDZ2" s="1113"/>
      <c r="TEA2" s="1113"/>
      <c r="TEB2" s="1113"/>
      <c r="TEC2" s="1113"/>
      <c r="TED2" s="1113"/>
      <c r="TEE2" s="1113"/>
      <c r="TEF2" s="1113"/>
      <c r="TEG2" s="1113"/>
      <c r="TEH2" s="1113"/>
      <c r="TEI2" s="1113"/>
      <c r="TEJ2" s="1113"/>
      <c r="TEK2" s="1113"/>
      <c r="TEL2" s="1113"/>
      <c r="TEM2" s="1113"/>
      <c r="TEN2" s="1113"/>
      <c r="TEO2" s="1113"/>
      <c r="TEP2" s="1113"/>
      <c r="TEQ2" s="1113"/>
      <c r="TER2" s="1113"/>
      <c r="TES2" s="1113"/>
      <c r="TET2" s="1113"/>
      <c r="TEU2" s="1113"/>
      <c r="TEV2" s="1113"/>
      <c r="TEW2" s="1113"/>
      <c r="TEX2" s="1113"/>
      <c r="TEY2" s="1113"/>
      <c r="TEZ2" s="1113"/>
      <c r="TFA2" s="1113"/>
      <c r="TFB2" s="1113"/>
      <c r="TFC2" s="1113"/>
      <c r="TFD2" s="1113"/>
      <c r="TFE2" s="1113"/>
      <c r="TFF2" s="1113"/>
      <c r="TFG2" s="1113"/>
      <c r="TFH2" s="1113"/>
      <c r="TFI2" s="1113"/>
      <c r="TFJ2" s="1113"/>
      <c r="TFK2" s="1113"/>
      <c r="TFL2" s="1113"/>
      <c r="TFM2" s="1113"/>
      <c r="TFN2" s="1113"/>
      <c r="TFO2" s="1113"/>
      <c r="TFP2" s="1113"/>
      <c r="TFQ2" s="1113"/>
      <c r="TFR2" s="1113"/>
      <c r="TFS2" s="1113"/>
      <c r="TFT2" s="1113"/>
      <c r="TFU2" s="1113"/>
      <c r="TFV2" s="1113"/>
      <c r="TFW2" s="1113"/>
      <c r="TFX2" s="1113"/>
      <c r="TFY2" s="1113"/>
      <c r="TFZ2" s="1113"/>
      <c r="TGA2" s="1113"/>
      <c r="TGB2" s="1113"/>
      <c r="TGC2" s="1113"/>
      <c r="TGD2" s="1113"/>
      <c r="TGE2" s="1113"/>
      <c r="TGF2" s="1113"/>
      <c r="TGG2" s="1113"/>
      <c r="TGH2" s="1113"/>
      <c r="TGI2" s="1113"/>
      <c r="TGJ2" s="1113"/>
      <c r="TGK2" s="1113"/>
      <c r="TGL2" s="1113"/>
      <c r="TGM2" s="1113"/>
      <c r="TGN2" s="1113"/>
      <c r="TGO2" s="1113"/>
      <c r="TGP2" s="1113"/>
      <c r="TGQ2" s="1113"/>
      <c r="TGR2" s="1113"/>
      <c r="TGS2" s="1113"/>
      <c r="TGT2" s="1113"/>
      <c r="TGU2" s="1113"/>
      <c r="TGV2" s="1113"/>
      <c r="TGW2" s="1113"/>
      <c r="TGX2" s="1113"/>
      <c r="TGY2" s="1113"/>
      <c r="TGZ2" s="1113"/>
      <c r="THA2" s="1113"/>
      <c r="THB2" s="1113"/>
      <c r="THC2" s="1113"/>
      <c r="THD2" s="1113"/>
      <c r="THE2" s="1113"/>
      <c r="THF2" s="1113"/>
      <c r="THG2" s="1113"/>
      <c r="THH2" s="1113"/>
      <c r="THI2" s="1113"/>
      <c r="THJ2" s="1113"/>
      <c r="THK2" s="1113"/>
      <c r="THL2" s="1113"/>
      <c r="THM2" s="1113"/>
      <c r="THN2" s="1113"/>
      <c r="THO2" s="1113"/>
      <c r="THP2" s="1113"/>
      <c r="THQ2" s="1113"/>
      <c r="THR2" s="1113"/>
      <c r="THS2" s="1113"/>
      <c r="THT2" s="1113"/>
      <c r="THU2" s="1113"/>
      <c r="THV2" s="1113"/>
      <c r="THW2" s="1113"/>
      <c r="THX2" s="1113"/>
      <c r="THY2" s="1113"/>
      <c r="THZ2" s="1113"/>
      <c r="TIA2" s="1113"/>
      <c r="TIB2" s="1113"/>
      <c r="TIC2" s="1113"/>
      <c r="TID2" s="1113"/>
      <c r="TIE2" s="1113"/>
      <c r="TIF2" s="1113"/>
      <c r="TIG2" s="1113"/>
      <c r="TIH2" s="1113"/>
      <c r="TII2" s="1113"/>
      <c r="TIJ2" s="1113"/>
      <c r="TIK2" s="1113"/>
      <c r="TIL2" s="1113"/>
      <c r="TIM2" s="1113"/>
      <c r="TIN2" s="1113"/>
      <c r="TIO2" s="1113"/>
      <c r="TIP2" s="1113"/>
      <c r="TIQ2" s="1113"/>
      <c r="TIR2" s="1113"/>
      <c r="TIS2" s="1113"/>
      <c r="TIT2" s="1113"/>
      <c r="TIU2" s="1113"/>
      <c r="TIV2" s="1113"/>
      <c r="TIW2" s="1113"/>
      <c r="TIX2" s="1113"/>
      <c r="TIY2" s="1113"/>
      <c r="TIZ2" s="1113"/>
      <c r="TJA2" s="1113"/>
      <c r="TJB2" s="1113"/>
      <c r="TJC2" s="1113"/>
      <c r="TJD2" s="1113"/>
      <c r="TJE2" s="1113"/>
      <c r="TJF2" s="1113"/>
      <c r="TJG2" s="1113"/>
      <c r="TJH2" s="1113"/>
      <c r="TJI2" s="1113"/>
      <c r="TJJ2" s="1113"/>
      <c r="TJK2" s="1113"/>
      <c r="TJL2" s="1113"/>
      <c r="TJM2" s="1113"/>
      <c r="TJN2" s="1113"/>
      <c r="TJO2" s="1113"/>
      <c r="TJP2" s="1113"/>
      <c r="TJQ2" s="1113"/>
      <c r="TJR2" s="1113"/>
      <c r="TJS2" s="1113"/>
      <c r="TJT2" s="1113"/>
      <c r="TJU2" s="1113"/>
      <c r="TJV2" s="1113"/>
      <c r="TJW2" s="1113"/>
      <c r="TJX2" s="1113"/>
      <c r="TJY2" s="1113"/>
      <c r="TJZ2" s="1113"/>
      <c r="TKA2" s="1113"/>
      <c r="TKB2" s="1113"/>
      <c r="TKC2" s="1113"/>
      <c r="TKD2" s="1113"/>
      <c r="TKE2" s="1113"/>
      <c r="TKF2" s="1113"/>
      <c r="TKG2" s="1113"/>
      <c r="TKH2" s="1113"/>
      <c r="TKI2" s="1113"/>
      <c r="TKJ2" s="1113"/>
      <c r="TKK2" s="1113"/>
      <c r="TKL2" s="1113"/>
      <c r="TKM2" s="1113"/>
      <c r="TKN2" s="1113"/>
      <c r="TKO2" s="1113"/>
      <c r="TKP2" s="1113"/>
      <c r="TKQ2" s="1113"/>
      <c r="TKR2" s="1113"/>
      <c r="TKS2" s="1113"/>
      <c r="TKT2" s="1113"/>
      <c r="TKU2" s="1113"/>
      <c r="TKV2" s="1113"/>
      <c r="TKW2" s="1113"/>
      <c r="TKX2" s="1113"/>
      <c r="TKY2" s="1113"/>
      <c r="TKZ2" s="1113"/>
      <c r="TLA2" s="1113"/>
      <c r="TLB2" s="1113"/>
      <c r="TLC2" s="1113"/>
      <c r="TLD2" s="1113"/>
      <c r="TLE2" s="1113"/>
      <c r="TLF2" s="1113"/>
      <c r="TLG2" s="1113"/>
      <c r="TLH2" s="1113"/>
      <c r="TLI2" s="1113"/>
      <c r="TLJ2" s="1113"/>
      <c r="TLK2" s="1113"/>
      <c r="TLL2" s="1113"/>
      <c r="TLM2" s="1113"/>
      <c r="TLN2" s="1113"/>
      <c r="TLO2" s="1113"/>
      <c r="TLP2" s="1113"/>
      <c r="TLQ2" s="1113"/>
      <c r="TLR2" s="1113"/>
      <c r="TLS2" s="1113"/>
      <c r="TLT2" s="1113"/>
      <c r="TLU2" s="1113"/>
      <c r="TLV2" s="1113"/>
      <c r="TLW2" s="1113"/>
      <c r="TLX2" s="1113"/>
      <c r="TLY2" s="1113"/>
      <c r="TLZ2" s="1113"/>
      <c r="TMA2" s="1113"/>
      <c r="TMB2" s="1113"/>
      <c r="TMC2" s="1113"/>
      <c r="TMD2" s="1113"/>
      <c r="TME2" s="1113"/>
      <c r="TMF2" s="1113"/>
      <c r="TMG2" s="1113"/>
      <c r="TMH2" s="1113"/>
      <c r="TMI2" s="1113"/>
      <c r="TMJ2" s="1113"/>
      <c r="TMK2" s="1113"/>
      <c r="TML2" s="1113"/>
      <c r="TMM2" s="1113"/>
      <c r="TMN2" s="1113"/>
      <c r="TMO2" s="1113"/>
      <c r="TMP2" s="1113"/>
      <c r="TMQ2" s="1113"/>
      <c r="TMR2" s="1113"/>
      <c r="TMS2" s="1113"/>
      <c r="TMT2" s="1113"/>
      <c r="TMU2" s="1113"/>
      <c r="TMV2" s="1113"/>
      <c r="TMW2" s="1113"/>
      <c r="TMX2" s="1113"/>
      <c r="TMY2" s="1113"/>
      <c r="TMZ2" s="1113"/>
      <c r="TNA2" s="1113"/>
      <c r="TNB2" s="1113"/>
      <c r="TNC2" s="1113"/>
      <c r="TND2" s="1113"/>
      <c r="TNE2" s="1113"/>
      <c r="TNF2" s="1113"/>
      <c r="TNG2" s="1113"/>
      <c r="TNH2" s="1113"/>
      <c r="TNI2" s="1113"/>
      <c r="TNJ2" s="1113"/>
      <c r="TNK2" s="1113"/>
      <c r="TNL2" s="1113"/>
      <c r="TNM2" s="1113"/>
      <c r="TNN2" s="1113"/>
      <c r="TNO2" s="1113"/>
      <c r="TNP2" s="1113"/>
      <c r="TNQ2" s="1113"/>
      <c r="TNR2" s="1113"/>
      <c r="TNS2" s="1113"/>
      <c r="TNT2" s="1113"/>
      <c r="TNU2" s="1113"/>
      <c r="TNV2" s="1113"/>
      <c r="TNW2" s="1113"/>
      <c r="TNX2" s="1113"/>
      <c r="TNY2" s="1113"/>
      <c r="TNZ2" s="1113"/>
      <c r="TOA2" s="1113"/>
      <c r="TOB2" s="1113"/>
      <c r="TOC2" s="1113"/>
      <c r="TOD2" s="1113"/>
      <c r="TOE2" s="1113"/>
      <c r="TOF2" s="1113"/>
      <c r="TOG2" s="1113"/>
      <c r="TOH2" s="1113"/>
      <c r="TOI2" s="1113"/>
      <c r="TOJ2" s="1113"/>
      <c r="TOK2" s="1113"/>
      <c r="TOL2" s="1113"/>
      <c r="TOM2" s="1113"/>
      <c r="TON2" s="1113"/>
      <c r="TOO2" s="1113"/>
      <c r="TOP2" s="1113"/>
      <c r="TOQ2" s="1113"/>
      <c r="TOR2" s="1113"/>
      <c r="TOS2" s="1113"/>
      <c r="TOT2" s="1113"/>
      <c r="TOU2" s="1113"/>
      <c r="TOV2" s="1113"/>
      <c r="TOW2" s="1113"/>
      <c r="TOX2" s="1113"/>
      <c r="TOY2" s="1113"/>
      <c r="TOZ2" s="1113"/>
      <c r="TPA2" s="1113"/>
      <c r="TPB2" s="1113"/>
      <c r="TPC2" s="1113"/>
      <c r="TPD2" s="1113"/>
      <c r="TPE2" s="1113"/>
      <c r="TPF2" s="1113"/>
      <c r="TPG2" s="1113"/>
      <c r="TPH2" s="1113"/>
      <c r="TPI2" s="1113"/>
      <c r="TPJ2" s="1113"/>
      <c r="TPK2" s="1113"/>
      <c r="TPL2" s="1113"/>
      <c r="TPM2" s="1113"/>
      <c r="TPN2" s="1113"/>
      <c r="TPO2" s="1113"/>
      <c r="TPP2" s="1113"/>
      <c r="TPQ2" s="1113"/>
      <c r="TPR2" s="1113"/>
      <c r="TPS2" s="1113"/>
      <c r="TPT2" s="1113"/>
      <c r="TPU2" s="1113"/>
      <c r="TPV2" s="1113"/>
      <c r="TPW2" s="1113"/>
      <c r="TPX2" s="1113"/>
      <c r="TPY2" s="1113"/>
      <c r="TPZ2" s="1113"/>
      <c r="TQA2" s="1113"/>
      <c r="TQB2" s="1113"/>
      <c r="TQC2" s="1113"/>
      <c r="TQD2" s="1113"/>
      <c r="TQE2" s="1113"/>
      <c r="TQF2" s="1113"/>
      <c r="TQG2" s="1113"/>
      <c r="TQH2" s="1113"/>
      <c r="TQI2" s="1113"/>
      <c r="TQJ2" s="1113"/>
      <c r="TQK2" s="1113"/>
      <c r="TQL2" s="1113"/>
      <c r="TQM2" s="1113"/>
      <c r="TQN2" s="1113"/>
      <c r="TQO2" s="1113"/>
      <c r="TQP2" s="1113"/>
      <c r="TQQ2" s="1113"/>
      <c r="TQR2" s="1113"/>
      <c r="TQS2" s="1113"/>
      <c r="TQT2" s="1113"/>
      <c r="TQU2" s="1113"/>
      <c r="TQV2" s="1113"/>
      <c r="TQW2" s="1113"/>
      <c r="TQX2" s="1113"/>
      <c r="TQY2" s="1113"/>
      <c r="TQZ2" s="1113"/>
      <c r="TRA2" s="1113"/>
      <c r="TRB2" s="1113"/>
      <c r="TRC2" s="1113"/>
      <c r="TRD2" s="1113"/>
      <c r="TRE2" s="1113"/>
      <c r="TRF2" s="1113"/>
      <c r="TRG2" s="1113"/>
      <c r="TRH2" s="1113"/>
      <c r="TRI2" s="1113"/>
      <c r="TRJ2" s="1113"/>
      <c r="TRK2" s="1113"/>
      <c r="TRL2" s="1113"/>
      <c r="TRM2" s="1113"/>
      <c r="TRN2" s="1113"/>
      <c r="TRO2" s="1113"/>
      <c r="TRP2" s="1113"/>
      <c r="TRQ2" s="1113"/>
      <c r="TRR2" s="1113"/>
      <c r="TRS2" s="1113"/>
      <c r="TRT2" s="1113"/>
      <c r="TRU2" s="1113"/>
      <c r="TRV2" s="1113"/>
      <c r="TRW2" s="1113"/>
      <c r="TRX2" s="1113"/>
      <c r="TRY2" s="1113"/>
      <c r="TRZ2" s="1113"/>
      <c r="TSA2" s="1113"/>
      <c r="TSB2" s="1113"/>
      <c r="TSC2" s="1113"/>
      <c r="TSD2" s="1113"/>
      <c r="TSE2" s="1113"/>
      <c r="TSF2" s="1113"/>
      <c r="TSG2" s="1113"/>
      <c r="TSH2" s="1113"/>
      <c r="TSI2" s="1113"/>
      <c r="TSJ2" s="1113"/>
      <c r="TSK2" s="1113"/>
      <c r="TSL2" s="1113"/>
      <c r="TSM2" s="1113"/>
      <c r="TSN2" s="1113"/>
      <c r="TSO2" s="1113"/>
      <c r="TSP2" s="1113"/>
      <c r="TSQ2" s="1113"/>
      <c r="TSR2" s="1113"/>
      <c r="TSS2" s="1113"/>
      <c r="TST2" s="1113"/>
      <c r="TSU2" s="1113"/>
      <c r="TSV2" s="1113"/>
      <c r="TSW2" s="1113"/>
      <c r="TSX2" s="1113"/>
      <c r="TSY2" s="1113"/>
      <c r="TSZ2" s="1113"/>
      <c r="TTA2" s="1113"/>
      <c r="TTB2" s="1113"/>
      <c r="TTC2" s="1113"/>
      <c r="TTD2" s="1113"/>
      <c r="TTE2" s="1113"/>
      <c r="TTF2" s="1113"/>
      <c r="TTG2" s="1113"/>
      <c r="TTH2" s="1113"/>
      <c r="TTI2" s="1113"/>
      <c r="TTJ2" s="1113"/>
      <c r="TTK2" s="1113"/>
      <c r="TTL2" s="1113"/>
      <c r="TTM2" s="1113"/>
      <c r="TTN2" s="1113"/>
      <c r="TTO2" s="1113"/>
      <c r="TTP2" s="1113"/>
      <c r="TTQ2" s="1113"/>
      <c r="TTR2" s="1113"/>
      <c r="TTS2" s="1113"/>
      <c r="TTT2" s="1113"/>
      <c r="TTU2" s="1113"/>
      <c r="TTV2" s="1113"/>
      <c r="TTW2" s="1113"/>
      <c r="TTX2" s="1113"/>
      <c r="TTY2" s="1113"/>
      <c r="TTZ2" s="1113"/>
      <c r="TUA2" s="1113"/>
      <c r="TUB2" s="1113"/>
      <c r="TUC2" s="1113"/>
      <c r="TUD2" s="1113"/>
      <c r="TUE2" s="1113"/>
      <c r="TUF2" s="1113"/>
      <c r="TUG2" s="1113"/>
      <c r="TUH2" s="1113"/>
      <c r="TUI2" s="1113"/>
      <c r="TUJ2" s="1113"/>
      <c r="TUK2" s="1113"/>
      <c r="TUL2" s="1113"/>
      <c r="TUM2" s="1113"/>
      <c r="TUN2" s="1113"/>
      <c r="TUO2" s="1113"/>
      <c r="TUP2" s="1113"/>
      <c r="TUQ2" s="1113"/>
      <c r="TUR2" s="1113"/>
      <c r="TUS2" s="1113"/>
      <c r="TUT2" s="1113"/>
      <c r="TUU2" s="1113"/>
      <c r="TUV2" s="1113"/>
      <c r="TUW2" s="1113"/>
      <c r="TUX2" s="1113"/>
      <c r="TUY2" s="1113"/>
      <c r="TUZ2" s="1113"/>
      <c r="TVA2" s="1113"/>
      <c r="TVB2" s="1113"/>
      <c r="TVC2" s="1113"/>
      <c r="TVD2" s="1113"/>
      <c r="TVE2" s="1113"/>
      <c r="TVF2" s="1113"/>
      <c r="TVG2" s="1113"/>
      <c r="TVH2" s="1113"/>
      <c r="TVI2" s="1113"/>
      <c r="TVJ2" s="1113"/>
      <c r="TVK2" s="1113"/>
      <c r="TVL2" s="1113"/>
      <c r="TVM2" s="1113"/>
      <c r="TVN2" s="1113"/>
      <c r="TVO2" s="1113"/>
      <c r="TVP2" s="1113"/>
      <c r="TVQ2" s="1113"/>
      <c r="TVR2" s="1113"/>
      <c r="TVS2" s="1113"/>
      <c r="TVT2" s="1113"/>
      <c r="TVU2" s="1113"/>
      <c r="TVV2" s="1113"/>
      <c r="TVW2" s="1113"/>
      <c r="TVX2" s="1113"/>
      <c r="TVY2" s="1113"/>
      <c r="TVZ2" s="1113"/>
      <c r="TWA2" s="1113"/>
      <c r="TWB2" s="1113"/>
      <c r="TWC2" s="1113"/>
      <c r="TWD2" s="1113"/>
      <c r="TWE2" s="1113"/>
      <c r="TWF2" s="1113"/>
      <c r="TWG2" s="1113"/>
      <c r="TWH2" s="1113"/>
      <c r="TWI2" s="1113"/>
      <c r="TWJ2" s="1113"/>
      <c r="TWK2" s="1113"/>
      <c r="TWL2" s="1113"/>
      <c r="TWM2" s="1113"/>
      <c r="TWN2" s="1113"/>
      <c r="TWO2" s="1113"/>
      <c r="TWP2" s="1113"/>
      <c r="TWQ2" s="1113"/>
      <c r="TWR2" s="1113"/>
      <c r="TWS2" s="1113"/>
      <c r="TWT2" s="1113"/>
      <c r="TWU2" s="1113"/>
      <c r="TWV2" s="1113"/>
      <c r="TWW2" s="1113"/>
      <c r="TWX2" s="1113"/>
      <c r="TWY2" s="1113"/>
      <c r="TWZ2" s="1113"/>
      <c r="TXA2" s="1113"/>
      <c r="TXB2" s="1113"/>
      <c r="TXC2" s="1113"/>
      <c r="TXD2" s="1113"/>
      <c r="TXE2" s="1113"/>
      <c r="TXF2" s="1113"/>
      <c r="TXG2" s="1113"/>
      <c r="TXH2" s="1113"/>
      <c r="TXI2" s="1113"/>
      <c r="TXJ2" s="1113"/>
      <c r="TXK2" s="1113"/>
      <c r="TXL2" s="1113"/>
      <c r="TXM2" s="1113"/>
      <c r="TXN2" s="1113"/>
      <c r="TXO2" s="1113"/>
      <c r="TXP2" s="1113"/>
      <c r="TXQ2" s="1113"/>
      <c r="TXR2" s="1113"/>
      <c r="TXS2" s="1113"/>
      <c r="TXT2" s="1113"/>
      <c r="TXU2" s="1113"/>
      <c r="TXV2" s="1113"/>
      <c r="TXW2" s="1113"/>
      <c r="TXX2" s="1113"/>
      <c r="TXY2" s="1113"/>
      <c r="TXZ2" s="1113"/>
      <c r="TYA2" s="1113"/>
      <c r="TYB2" s="1113"/>
      <c r="TYC2" s="1113"/>
      <c r="TYD2" s="1113"/>
      <c r="TYE2" s="1113"/>
      <c r="TYF2" s="1113"/>
      <c r="TYG2" s="1113"/>
      <c r="TYH2" s="1113"/>
      <c r="TYI2" s="1113"/>
      <c r="TYJ2" s="1113"/>
      <c r="TYK2" s="1113"/>
      <c r="TYL2" s="1113"/>
      <c r="TYM2" s="1113"/>
      <c r="TYN2" s="1113"/>
      <c r="TYO2" s="1113"/>
      <c r="TYP2" s="1113"/>
      <c r="TYQ2" s="1113"/>
      <c r="TYR2" s="1113"/>
      <c r="TYS2" s="1113"/>
      <c r="TYT2" s="1113"/>
      <c r="TYU2" s="1113"/>
      <c r="TYV2" s="1113"/>
      <c r="TYW2" s="1113"/>
      <c r="TYX2" s="1113"/>
      <c r="TYY2" s="1113"/>
      <c r="TYZ2" s="1113"/>
      <c r="TZA2" s="1113"/>
      <c r="TZB2" s="1113"/>
      <c r="TZC2" s="1113"/>
      <c r="TZD2" s="1113"/>
      <c r="TZE2" s="1113"/>
      <c r="TZF2" s="1113"/>
      <c r="TZG2" s="1113"/>
      <c r="TZH2" s="1113"/>
      <c r="TZI2" s="1113"/>
      <c r="TZJ2" s="1113"/>
      <c r="TZK2" s="1113"/>
      <c r="TZL2" s="1113"/>
      <c r="TZM2" s="1113"/>
      <c r="TZN2" s="1113"/>
      <c r="TZO2" s="1113"/>
      <c r="TZP2" s="1113"/>
      <c r="TZQ2" s="1113"/>
      <c r="TZR2" s="1113"/>
      <c r="TZS2" s="1113"/>
      <c r="TZT2" s="1113"/>
      <c r="TZU2" s="1113"/>
      <c r="TZV2" s="1113"/>
      <c r="TZW2" s="1113"/>
      <c r="TZX2" s="1113"/>
      <c r="TZY2" s="1113"/>
      <c r="TZZ2" s="1113"/>
      <c r="UAA2" s="1113"/>
      <c r="UAB2" s="1113"/>
      <c r="UAC2" s="1113"/>
      <c r="UAD2" s="1113"/>
      <c r="UAE2" s="1113"/>
      <c r="UAF2" s="1113"/>
      <c r="UAG2" s="1113"/>
      <c r="UAH2" s="1113"/>
      <c r="UAI2" s="1113"/>
      <c r="UAJ2" s="1113"/>
      <c r="UAK2" s="1113"/>
      <c r="UAL2" s="1113"/>
      <c r="UAM2" s="1113"/>
      <c r="UAN2" s="1113"/>
      <c r="UAO2" s="1113"/>
      <c r="UAP2" s="1113"/>
      <c r="UAQ2" s="1113"/>
      <c r="UAR2" s="1113"/>
      <c r="UAS2" s="1113"/>
      <c r="UAT2" s="1113"/>
      <c r="UAU2" s="1113"/>
      <c r="UAV2" s="1113"/>
      <c r="UAW2" s="1113"/>
      <c r="UAX2" s="1113"/>
      <c r="UAY2" s="1113"/>
      <c r="UAZ2" s="1113"/>
      <c r="UBA2" s="1113"/>
      <c r="UBB2" s="1113"/>
      <c r="UBC2" s="1113"/>
      <c r="UBD2" s="1113"/>
      <c r="UBE2" s="1113"/>
      <c r="UBF2" s="1113"/>
      <c r="UBG2" s="1113"/>
      <c r="UBH2" s="1113"/>
      <c r="UBI2" s="1113"/>
      <c r="UBJ2" s="1113"/>
      <c r="UBK2" s="1113"/>
      <c r="UBL2" s="1113"/>
      <c r="UBM2" s="1113"/>
      <c r="UBN2" s="1113"/>
      <c r="UBO2" s="1113"/>
      <c r="UBP2" s="1113"/>
      <c r="UBQ2" s="1113"/>
      <c r="UBR2" s="1113"/>
      <c r="UBS2" s="1113"/>
      <c r="UBT2" s="1113"/>
      <c r="UBU2" s="1113"/>
      <c r="UBV2" s="1113"/>
      <c r="UBW2" s="1113"/>
      <c r="UBX2" s="1113"/>
      <c r="UBY2" s="1113"/>
      <c r="UBZ2" s="1113"/>
      <c r="UCA2" s="1113"/>
      <c r="UCB2" s="1113"/>
      <c r="UCC2" s="1113"/>
      <c r="UCD2" s="1113"/>
      <c r="UCE2" s="1113"/>
      <c r="UCF2" s="1113"/>
      <c r="UCG2" s="1113"/>
      <c r="UCH2" s="1113"/>
      <c r="UCI2" s="1113"/>
      <c r="UCJ2" s="1113"/>
      <c r="UCK2" s="1113"/>
      <c r="UCL2" s="1113"/>
      <c r="UCM2" s="1113"/>
      <c r="UCN2" s="1113"/>
      <c r="UCO2" s="1113"/>
      <c r="UCP2" s="1113"/>
      <c r="UCQ2" s="1113"/>
      <c r="UCR2" s="1113"/>
      <c r="UCS2" s="1113"/>
      <c r="UCT2" s="1113"/>
      <c r="UCU2" s="1113"/>
      <c r="UCV2" s="1113"/>
      <c r="UCW2" s="1113"/>
      <c r="UCX2" s="1113"/>
      <c r="UCY2" s="1113"/>
      <c r="UCZ2" s="1113"/>
      <c r="UDA2" s="1113"/>
      <c r="UDB2" s="1113"/>
      <c r="UDC2" s="1113"/>
      <c r="UDD2" s="1113"/>
      <c r="UDE2" s="1113"/>
      <c r="UDF2" s="1113"/>
      <c r="UDG2" s="1113"/>
      <c r="UDH2" s="1113"/>
      <c r="UDI2" s="1113"/>
      <c r="UDJ2" s="1113"/>
      <c r="UDK2" s="1113"/>
      <c r="UDL2" s="1113"/>
      <c r="UDM2" s="1113"/>
      <c r="UDN2" s="1113"/>
      <c r="UDO2" s="1113"/>
      <c r="UDP2" s="1113"/>
      <c r="UDQ2" s="1113"/>
      <c r="UDR2" s="1113"/>
      <c r="UDS2" s="1113"/>
      <c r="UDT2" s="1113"/>
      <c r="UDU2" s="1113"/>
      <c r="UDV2" s="1113"/>
      <c r="UDW2" s="1113"/>
      <c r="UDX2" s="1113"/>
      <c r="UDY2" s="1113"/>
      <c r="UDZ2" s="1113"/>
      <c r="UEA2" s="1113"/>
      <c r="UEB2" s="1113"/>
      <c r="UEC2" s="1113"/>
      <c r="UED2" s="1113"/>
      <c r="UEE2" s="1113"/>
      <c r="UEF2" s="1113"/>
      <c r="UEG2" s="1113"/>
      <c r="UEH2" s="1113"/>
      <c r="UEI2" s="1113"/>
      <c r="UEJ2" s="1113"/>
      <c r="UEK2" s="1113"/>
      <c r="UEL2" s="1113"/>
      <c r="UEM2" s="1113"/>
      <c r="UEN2" s="1113"/>
      <c r="UEO2" s="1113"/>
      <c r="UEP2" s="1113"/>
      <c r="UEQ2" s="1113"/>
      <c r="UER2" s="1113"/>
      <c r="UES2" s="1113"/>
      <c r="UET2" s="1113"/>
      <c r="UEU2" s="1113"/>
      <c r="UEV2" s="1113"/>
      <c r="UEW2" s="1113"/>
      <c r="UEX2" s="1113"/>
      <c r="UEY2" s="1113"/>
      <c r="UEZ2" s="1113"/>
      <c r="UFA2" s="1113"/>
      <c r="UFB2" s="1113"/>
      <c r="UFC2" s="1113"/>
      <c r="UFD2" s="1113"/>
      <c r="UFE2" s="1113"/>
      <c r="UFF2" s="1113"/>
      <c r="UFG2" s="1113"/>
      <c r="UFH2" s="1113"/>
      <c r="UFI2" s="1113"/>
      <c r="UFJ2" s="1113"/>
      <c r="UFK2" s="1113"/>
      <c r="UFL2" s="1113"/>
      <c r="UFM2" s="1113"/>
      <c r="UFN2" s="1113"/>
      <c r="UFO2" s="1113"/>
      <c r="UFP2" s="1113"/>
      <c r="UFQ2" s="1113"/>
      <c r="UFR2" s="1113"/>
      <c r="UFS2" s="1113"/>
      <c r="UFT2" s="1113"/>
      <c r="UFU2" s="1113"/>
      <c r="UFV2" s="1113"/>
      <c r="UFW2" s="1113"/>
      <c r="UFX2" s="1113"/>
      <c r="UFY2" s="1113"/>
      <c r="UFZ2" s="1113"/>
      <c r="UGA2" s="1113"/>
      <c r="UGB2" s="1113"/>
      <c r="UGC2" s="1113"/>
      <c r="UGD2" s="1113"/>
      <c r="UGE2" s="1113"/>
      <c r="UGF2" s="1113"/>
      <c r="UGG2" s="1113"/>
      <c r="UGH2" s="1113"/>
      <c r="UGI2" s="1113"/>
      <c r="UGJ2" s="1113"/>
      <c r="UGK2" s="1113"/>
      <c r="UGL2" s="1113"/>
      <c r="UGM2" s="1113"/>
      <c r="UGN2" s="1113"/>
      <c r="UGO2" s="1113"/>
      <c r="UGP2" s="1113"/>
      <c r="UGQ2" s="1113"/>
      <c r="UGR2" s="1113"/>
      <c r="UGS2" s="1113"/>
      <c r="UGT2" s="1113"/>
      <c r="UGU2" s="1113"/>
      <c r="UGV2" s="1113"/>
      <c r="UGW2" s="1113"/>
      <c r="UGX2" s="1113"/>
      <c r="UGY2" s="1113"/>
      <c r="UGZ2" s="1113"/>
      <c r="UHA2" s="1113"/>
      <c r="UHB2" s="1113"/>
      <c r="UHC2" s="1113"/>
      <c r="UHD2" s="1113"/>
      <c r="UHE2" s="1113"/>
      <c r="UHF2" s="1113"/>
      <c r="UHG2" s="1113"/>
      <c r="UHH2" s="1113"/>
      <c r="UHI2" s="1113"/>
      <c r="UHJ2" s="1113"/>
      <c r="UHK2" s="1113"/>
      <c r="UHL2" s="1113"/>
      <c r="UHM2" s="1113"/>
      <c r="UHN2" s="1113"/>
      <c r="UHO2" s="1113"/>
      <c r="UHP2" s="1113"/>
      <c r="UHQ2" s="1113"/>
      <c r="UHR2" s="1113"/>
      <c r="UHS2" s="1113"/>
      <c r="UHT2" s="1113"/>
      <c r="UHU2" s="1113"/>
      <c r="UHV2" s="1113"/>
      <c r="UHW2" s="1113"/>
      <c r="UHX2" s="1113"/>
      <c r="UHY2" s="1113"/>
      <c r="UHZ2" s="1113"/>
      <c r="UIA2" s="1113"/>
      <c r="UIB2" s="1113"/>
      <c r="UIC2" s="1113"/>
      <c r="UID2" s="1113"/>
      <c r="UIE2" s="1113"/>
      <c r="UIF2" s="1113"/>
      <c r="UIG2" s="1113"/>
      <c r="UIH2" s="1113"/>
      <c r="UII2" s="1113"/>
      <c r="UIJ2" s="1113"/>
      <c r="UIK2" s="1113"/>
      <c r="UIL2" s="1113"/>
      <c r="UIM2" s="1113"/>
      <c r="UIN2" s="1113"/>
      <c r="UIO2" s="1113"/>
      <c r="UIP2" s="1113"/>
      <c r="UIQ2" s="1113"/>
      <c r="UIR2" s="1113"/>
      <c r="UIS2" s="1113"/>
      <c r="UIT2" s="1113"/>
      <c r="UIU2" s="1113"/>
      <c r="UIV2" s="1113"/>
      <c r="UIW2" s="1113"/>
      <c r="UIX2" s="1113"/>
      <c r="UIY2" s="1113"/>
      <c r="UIZ2" s="1113"/>
      <c r="UJA2" s="1113"/>
      <c r="UJB2" s="1113"/>
      <c r="UJC2" s="1113"/>
      <c r="UJD2" s="1113"/>
      <c r="UJE2" s="1113"/>
      <c r="UJF2" s="1113"/>
      <c r="UJG2" s="1113"/>
      <c r="UJH2" s="1113"/>
      <c r="UJI2" s="1113"/>
      <c r="UJJ2" s="1113"/>
      <c r="UJK2" s="1113"/>
      <c r="UJL2" s="1113"/>
      <c r="UJM2" s="1113"/>
      <c r="UJN2" s="1113"/>
      <c r="UJO2" s="1113"/>
      <c r="UJP2" s="1113"/>
      <c r="UJQ2" s="1113"/>
      <c r="UJR2" s="1113"/>
      <c r="UJS2" s="1113"/>
      <c r="UJT2" s="1113"/>
      <c r="UJU2" s="1113"/>
      <c r="UJV2" s="1113"/>
      <c r="UJW2" s="1113"/>
      <c r="UJX2" s="1113"/>
      <c r="UJY2" s="1113"/>
      <c r="UJZ2" s="1113"/>
      <c r="UKA2" s="1113"/>
      <c r="UKB2" s="1113"/>
      <c r="UKC2" s="1113"/>
      <c r="UKD2" s="1113"/>
      <c r="UKE2" s="1113"/>
      <c r="UKF2" s="1113"/>
      <c r="UKG2" s="1113"/>
      <c r="UKH2" s="1113"/>
      <c r="UKI2" s="1113"/>
      <c r="UKJ2" s="1113"/>
      <c r="UKK2" s="1113"/>
      <c r="UKL2" s="1113"/>
      <c r="UKM2" s="1113"/>
      <c r="UKN2" s="1113"/>
      <c r="UKO2" s="1113"/>
      <c r="UKP2" s="1113"/>
      <c r="UKQ2" s="1113"/>
      <c r="UKR2" s="1113"/>
      <c r="UKS2" s="1113"/>
      <c r="UKT2" s="1113"/>
      <c r="UKU2" s="1113"/>
      <c r="UKV2" s="1113"/>
      <c r="UKW2" s="1113"/>
      <c r="UKX2" s="1113"/>
      <c r="UKY2" s="1113"/>
      <c r="UKZ2" s="1113"/>
      <c r="ULA2" s="1113"/>
      <c r="ULB2" s="1113"/>
      <c r="ULC2" s="1113"/>
      <c r="ULD2" s="1113"/>
      <c r="ULE2" s="1113"/>
      <c r="ULF2" s="1113"/>
      <c r="ULG2" s="1113"/>
      <c r="ULH2" s="1113"/>
      <c r="ULI2" s="1113"/>
      <c r="ULJ2" s="1113"/>
      <c r="ULK2" s="1113"/>
      <c r="ULL2" s="1113"/>
      <c r="ULM2" s="1113"/>
      <c r="ULN2" s="1113"/>
      <c r="ULO2" s="1113"/>
      <c r="ULP2" s="1113"/>
      <c r="ULQ2" s="1113"/>
      <c r="ULR2" s="1113"/>
      <c r="ULS2" s="1113"/>
      <c r="ULT2" s="1113"/>
      <c r="ULU2" s="1113"/>
      <c r="ULV2" s="1113"/>
      <c r="ULW2" s="1113"/>
      <c r="ULX2" s="1113"/>
      <c r="ULY2" s="1113"/>
      <c r="ULZ2" s="1113"/>
      <c r="UMA2" s="1113"/>
      <c r="UMB2" s="1113"/>
      <c r="UMC2" s="1113"/>
      <c r="UMD2" s="1113"/>
      <c r="UME2" s="1113"/>
      <c r="UMF2" s="1113"/>
      <c r="UMG2" s="1113"/>
      <c r="UMH2" s="1113"/>
      <c r="UMI2" s="1113"/>
      <c r="UMJ2" s="1113"/>
      <c r="UMK2" s="1113"/>
      <c r="UML2" s="1113"/>
      <c r="UMM2" s="1113"/>
      <c r="UMN2" s="1113"/>
      <c r="UMO2" s="1113"/>
      <c r="UMP2" s="1113"/>
      <c r="UMQ2" s="1113"/>
      <c r="UMR2" s="1113"/>
      <c r="UMS2" s="1113"/>
      <c r="UMT2" s="1113"/>
      <c r="UMU2" s="1113"/>
      <c r="UMV2" s="1113"/>
      <c r="UMW2" s="1113"/>
      <c r="UMX2" s="1113"/>
      <c r="UMY2" s="1113"/>
      <c r="UMZ2" s="1113"/>
      <c r="UNA2" s="1113"/>
      <c r="UNB2" s="1113"/>
      <c r="UNC2" s="1113"/>
      <c r="UND2" s="1113"/>
      <c r="UNE2" s="1113"/>
      <c r="UNF2" s="1113"/>
      <c r="UNG2" s="1113"/>
      <c r="UNH2" s="1113"/>
      <c r="UNI2" s="1113"/>
      <c r="UNJ2" s="1113"/>
      <c r="UNK2" s="1113"/>
      <c r="UNL2" s="1113"/>
      <c r="UNM2" s="1113"/>
      <c r="UNN2" s="1113"/>
      <c r="UNO2" s="1113"/>
      <c r="UNP2" s="1113"/>
      <c r="UNQ2" s="1113"/>
      <c r="UNR2" s="1113"/>
      <c r="UNS2" s="1113"/>
      <c r="UNT2" s="1113"/>
      <c r="UNU2" s="1113"/>
      <c r="UNV2" s="1113"/>
      <c r="UNW2" s="1113"/>
      <c r="UNX2" s="1113"/>
      <c r="UNY2" s="1113"/>
      <c r="UNZ2" s="1113"/>
      <c r="UOA2" s="1113"/>
      <c r="UOB2" s="1113"/>
      <c r="UOC2" s="1113"/>
      <c r="UOD2" s="1113"/>
      <c r="UOE2" s="1113"/>
      <c r="UOF2" s="1113"/>
      <c r="UOG2" s="1113"/>
      <c r="UOH2" s="1113"/>
      <c r="UOI2" s="1113"/>
      <c r="UOJ2" s="1113"/>
      <c r="UOK2" s="1113"/>
      <c r="UOL2" s="1113"/>
      <c r="UOM2" s="1113"/>
      <c r="UON2" s="1113"/>
      <c r="UOO2" s="1113"/>
      <c r="UOP2" s="1113"/>
      <c r="UOQ2" s="1113"/>
      <c r="UOR2" s="1113"/>
      <c r="UOS2" s="1113"/>
      <c r="UOT2" s="1113"/>
      <c r="UOU2" s="1113"/>
      <c r="UOV2" s="1113"/>
      <c r="UOW2" s="1113"/>
      <c r="UOX2" s="1113"/>
      <c r="UOY2" s="1113"/>
      <c r="UOZ2" s="1113"/>
      <c r="UPA2" s="1113"/>
      <c r="UPB2" s="1113"/>
      <c r="UPC2" s="1113"/>
      <c r="UPD2" s="1113"/>
      <c r="UPE2" s="1113"/>
      <c r="UPF2" s="1113"/>
      <c r="UPG2" s="1113"/>
      <c r="UPH2" s="1113"/>
      <c r="UPI2" s="1113"/>
      <c r="UPJ2" s="1113"/>
      <c r="UPK2" s="1113"/>
      <c r="UPL2" s="1113"/>
      <c r="UPM2" s="1113"/>
      <c r="UPN2" s="1113"/>
      <c r="UPO2" s="1113"/>
      <c r="UPP2" s="1113"/>
      <c r="UPQ2" s="1113"/>
      <c r="UPR2" s="1113"/>
      <c r="UPS2" s="1113"/>
      <c r="UPT2" s="1113"/>
      <c r="UPU2" s="1113"/>
      <c r="UPV2" s="1113"/>
      <c r="UPW2" s="1113"/>
      <c r="UPX2" s="1113"/>
      <c r="UPY2" s="1113"/>
      <c r="UPZ2" s="1113"/>
      <c r="UQA2" s="1113"/>
      <c r="UQB2" s="1113"/>
      <c r="UQC2" s="1113"/>
      <c r="UQD2" s="1113"/>
      <c r="UQE2" s="1113"/>
      <c r="UQF2" s="1113"/>
      <c r="UQG2" s="1113"/>
      <c r="UQH2" s="1113"/>
      <c r="UQI2" s="1113"/>
      <c r="UQJ2" s="1113"/>
      <c r="UQK2" s="1113"/>
      <c r="UQL2" s="1113"/>
      <c r="UQM2" s="1113"/>
      <c r="UQN2" s="1113"/>
      <c r="UQO2" s="1113"/>
      <c r="UQP2" s="1113"/>
      <c r="UQQ2" s="1113"/>
      <c r="UQR2" s="1113"/>
      <c r="UQS2" s="1113"/>
      <c r="UQT2" s="1113"/>
      <c r="UQU2" s="1113"/>
      <c r="UQV2" s="1113"/>
      <c r="UQW2" s="1113"/>
      <c r="UQX2" s="1113"/>
      <c r="UQY2" s="1113"/>
      <c r="UQZ2" s="1113"/>
      <c r="URA2" s="1113"/>
      <c r="URB2" s="1113"/>
      <c r="URC2" s="1113"/>
      <c r="URD2" s="1113"/>
      <c r="URE2" s="1113"/>
      <c r="URF2" s="1113"/>
      <c r="URG2" s="1113"/>
      <c r="URH2" s="1113"/>
      <c r="URI2" s="1113"/>
      <c r="URJ2" s="1113"/>
      <c r="URK2" s="1113"/>
      <c r="URL2" s="1113"/>
      <c r="URM2" s="1113"/>
      <c r="URN2" s="1113"/>
      <c r="URO2" s="1113"/>
      <c r="URP2" s="1113"/>
      <c r="URQ2" s="1113"/>
      <c r="URR2" s="1113"/>
      <c r="URS2" s="1113"/>
      <c r="URT2" s="1113"/>
      <c r="URU2" s="1113"/>
      <c r="URV2" s="1113"/>
      <c r="URW2" s="1113"/>
      <c r="URX2" s="1113"/>
      <c r="URY2" s="1113"/>
      <c r="URZ2" s="1113"/>
      <c r="USA2" s="1113"/>
      <c r="USB2" s="1113"/>
      <c r="USC2" s="1113"/>
      <c r="USD2" s="1113"/>
      <c r="USE2" s="1113"/>
      <c r="USF2" s="1113"/>
      <c r="USG2" s="1113"/>
      <c r="USH2" s="1113"/>
      <c r="USI2" s="1113"/>
      <c r="USJ2" s="1113"/>
      <c r="USK2" s="1113"/>
      <c r="USL2" s="1113"/>
      <c r="USM2" s="1113"/>
      <c r="USN2" s="1113"/>
      <c r="USO2" s="1113"/>
      <c r="USP2" s="1113"/>
      <c r="USQ2" s="1113"/>
      <c r="USR2" s="1113"/>
      <c r="USS2" s="1113"/>
      <c r="UST2" s="1113"/>
      <c r="USU2" s="1113"/>
      <c r="USV2" s="1113"/>
      <c r="USW2" s="1113"/>
      <c r="USX2" s="1113"/>
      <c r="USY2" s="1113"/>
      <c r="USZ2" s="1113"/>
      <c r="UTA2" s="1113"/>
      <c r="UTB2" s="1113"/>
      <c r="UTC2" s="1113"/>
      <c r="UTD2" s="1113"/>
      <c r="UTE2" s="1113"/>
      <c r="UTF2" s="1113"/>
      <c r="UTG2" s="1113"/>
      <c r="UTH2" s="1113"/>
      <c r="UTI2" s="1113"/>
      <c r="UTJ2" s="1113"/>
      <c r="UTK2" s="1113"/>
      <c r="UTL2" s="1113"/>
      <c r="UTM2" s="1113"/>
      <c r="UTN2" s="1113"/>
      <c r="UTO2" s="1113"/>
      <c r="UTP2" s="1113"/>
      <c r="UTQ2" s="1113"/>
      <c r="UTR2" s="1113"/>
      <c r="UTS2" s="1113"/>
      <c r="UTT2" s="1113"/>
      <c r="UTU2" s="1113"/>
      <c r="UTV2" s="1113"/>
      <c r="UTW2" s="1113"/>
      <c r="UTX2" s="1113"/>
      <c r="UTY2" s="1113"/>
      <c r="UTZ2" s="1113"/>
      <c r="UUA2" s="1113"/>
      <c r="UUB2" s="1113"/>
      <c r="UUC2" s="1113"/>
      <c r="UUD2" s="1113"/>
      <c r="UUE2" s="1113"/>
      <c r="UUF2" s="1113"/>
      <c r="UUG2" s="1113"/>
      <c r="UUH2" s="1113"/>
      <c r="UUI2" s="1113"/>
      <c r="UUJ2" s="1113"/>
      <c r="UUK2" s="1113"/>
      <c r="UUL2" s="1113"/>
      <c r="UUM2" s="1113"/>
      <c r="UUN2" s="1113"/>
      <c r="UUO2" s="1113"/>
      <c r="UUP2" s="1113"/>
      <c r="UUQ2" s="1113"/>
      <c r="UUR2" s="1113"/>
      <c r="UUS2" s="1113"/>
      <c r="UUT2" s="1113"/>
      <c r="UUU2" s="1113"/>
      <c r="UUV2" s="1113"/>
      <c r="UUW2" s="1113"/>
      <c r="UUX2" s="1113"/>
      <c r="UUY2" s="1113"/>
      <c r="UUZ2" s="1113"/>
      <c r="UVA2" s="1113"/>
      <c r="UVB2" s="1113"/>
      <c r="UVC2" s="1113"/>
      <c r="UVD2" s="1113"/>
      <c r="UVE2" s="1113"/>
      <c r="UVF2" s="1113"/>
      <c r="UVG2" s="1113"/>
      <c r="UVH2" s="1113"/>
      <c r="UVI2" s="1113"/>
      <c r="UVJ2" s="1113"/>
      <c r="UVK2" s="1113"/>
      <c r="UVL2" s="1113"/>
      <c r="UVM2" s="1113"/>
      <c r="UVN2" s="1113"/>
      <c r="UVO2" s="1113"/>
      <c r="UVP2" s="1113"/>
      <c r="UVQ2" s="1113"/>
      <c r="UVR2" s="1113"/>
      <c r="UVS2" s="1113"/>
      <c r="UVT2" s="1113"/>
      <c r="UVU2" s="1113"/>
      <c r="UVV2" s="1113"/>
      <c r="UVW2" s="1113"/>
      <c r="UVX2" s="1113"/>
      <c r="UVY2" s="1113"/>
      <c r="UVZ2" s="1113"/>
      <c r="UWA2" s="1113"/>
      <c r="UWB2" s="1113"/>
      <c r="UWC2" s="1113"/>
      <c r="UWD2" s="1113"/>
      <c r="UWE2" s="1113"/>
      <c r="UWF2" s="1113"/>
      <c r="UWG2" s="1113"/>
      <c r="UWH2" s="1113"/>
      <c r="UWI2" s="1113"/>
      <c r="UWJ2" s="1113"/>
      <c r="UWK2" s="1113"/>
      <c r="UWL2" s="1113"/>
      <c r="UWM2" s="1113"/>
      <c r="UWN2" s="1113"/>
      <c r="UWO2" s="1113"/>
      <c r="UWP2" s="1113"/>
      <c r="UWQ2" s="1113"/>
      <c r="UWR2" s="1113"/>
      <c r="UWS2" s="1113"/>
      <c r="UWT2" s="1113"/>
      <c r="UWU2" s="1113"/>
      <c r="UWV2" s="1113"/>
      <c r="UWW2" s="1113"/>
      <c r="UWX2" s="1113"/>
      <c r="UWY2" s="1113"/>
      <c r="UWZ2" s="1113"/>
      <c r="UXA2" s="1113"/>
      <c r="UXB2" s="1113"/>
      <c r="UXC2" s="1113"/>
      <c r="UXD2" s="1113"/>
      <c r="UXE2" s="1113"/>
      <c r="UXF2" s="1113"/>
      <c r="UXG2" s="1113"/>
      <c r="UXH2" s="1113"/>
      <c r="UXI2" s="1113"/>
      <c r="UXJ2" s="1113"/>
      <c r="UXK2" s="1113"/>
      <c r="UXL2" s="1113"/>
      <c r="UXM2" s="1113"/>
      <c r="UXN2" s="1113"/>
      <c r="UXO2" s="1113"/>
      <c r="UXP2" s="1113"/>
      <c r="UXQ2" s="1113"/>
      <c r="UXR2" s="1113"/>
      <c r="UXS2" s="1113"/>
      <c r="UXT2" s="1113"/>
      <c r="UXU2" s="1113"/>
      <c r="UXV2" s="1113"/>
      <c r="UXW2" s="1113"/>
      <c r="UXX2" s="1113"/>
      <c r="UXY2" s="1113"/>
      <c r="UXZ2" s="1113"/>
      <c r="UYA2" s="1113"/>
      <c r="UYB2" s="1113"/>
      <c r="UYC2" s="1113"/>
      <c r="UYD2" s="1113"/>
      <c r="UYE2" s="1113"/>
      <c r="UYF2" s="1113"/>
      <c r="UYG2" s="1113"/>
      <c r="UYH2" s="1113"/>
      <c r="UYI2" s="1113"/>
      <c r="UYJ2" s="1113"/>
      <c r="UYK2" s="1113"/>
      <c r="UYL2" s="1113"/>
      <c r="UYM2" s="1113"/>
      <c r="UYN2" s="1113"/>
      <c r="UYO2" s="1113"/>
      <c r="UYP2" s="1113"/>
      <c r="UYQ2" s="1113"/>
      <c r="UYR2" s="1113"/>
      <c r="UYS2" s="1113"/>
      <c r="UYT2" s="1113"/>
      <c r="UYU2" s="1113"/>
      <c r="UYV2" s="1113"/>
      <c r="UYW2" s="1113"/>
      <c r="UYX2" s="1113"/>
      <c r="UYY2" s="1113"/>
      <c r="UYZ2" s="1113"/>
      <c r="UZA2" s="1113"/>
      <c r="UZB2" s="1113"/>
      <c r="UZC2" s="1113"/>
      <c r="UZD2" s="1113"/>
      <c r="UZE2" s="1113"/>
      <c r="UZF2" s="1113"/>
      <c r="UZG2" s="1113"/>
      <c r="UZH2" s="1113"/>
      <c r="UZI2" s="1113"/>
      <c r="UZJ2" s="1113"/>
      <c r="UZK2" s="1113"/>
      <c r="UZL2" s="1113"/>
      <c r="UZM2" s="1113"/>
      <c r="UZN2" s="1113"/>
      <c r="UZO2" s="1113"/>
      <c r="UZP2" s="1113"/>
      <c r="UZQ2" s="1113"/>
      <c r="UZR2" s="1113"/>
      <c r="UZS2" s="1113"/>
      <c r="UZT2" s="1113"/>
      <c r="UZU2" s="1113"/>
      <c r="UZV2" s="1113"/>
      <c r="UZW2" s="1113"/>
      <c r="UZX2" s="1113"/>
      <c r="UZY2" s="1113"/>
      <c r="UZZ2" s="1113"/>
      <c r="VAA2" s="1113"/>
      <c r="VAB2" s="1113"/>
      <c r="VAC2" s="1113"/>
      <c r="VAD2" s="1113"/>
      <c r="VAE2" s="1113"/>
      <c r="VAF2" s="1113"/>
      <c r="VAG2" s="1113"/>
      <c r="VAH2" s="1113"/>
      <c r="VAI2" s="1113"/>
      <c r="VAJ2" s="1113"/>
      <c r="VAK2" s="1113"/>
      <c r="VAL2" s="1113"/>
      <c r="VAM2" s="1113"/>
      <c r="VAN2" s="1113"/>
      <c r="VAO2" s="1113"/>
      <c r="VAP2" s="1113"/>
      <c r="VAQ2" s="1113"/>
      <c r="VAR2" s="1113"/>
      <c r="VAS2" s="1113"/>
      <c r="VAT2" s="1113"/>
      <c r="VAU2" s="1113"/>
      <c r="VAV2" s="1113"/>
      <c r="VAW2" s="1113"/>
      <c r="VAX2" s="1113"/>
      <c r="VAY2" s="1113"/>
      <c r="VAZ2" s="1113"/>
      <c r="VBA2" s="1113"/>
      <c r="VBB2" s="1113"/>
      <c r="VBC2" s="1113"/>
      <c r="VBD2" s="1113"/>
      <c r="VBE2" s="1113"/>
      <c r="VBF2" s="1113"/>
      <c r="VBG2" s="1113"/>
      <c r="VBH2" s="1113"/>
      <c r="VBI2" s="1113"/>
      <c r="VBJ2" s="1113"/>
      <c r="VBK2" s="1113"/>
      <c r="VBL2" s="1113"/>
      <c r="VBM2" s="1113"/>
      <c r="VBN2" s="1113"/>
      <c r="VBO2" s="1113"/>
      <c r="VBP2" s="1113"/>
      <c r="VBQ2" s="1113"/>
      <c r="VBR2" s="1113"/>
      <c r="VBS2" s="1113"/>
      <c r="VBT2" s="1113"/>
      <c r="VBU2" s="1113"/>
      <c r="VBV2" s="1113"/>
      <c r="VBW2" s="1113"/>
      <c r="VBX2" s="1113"/>
      <c r="VBY2" s="1113"/>
      <c r="VBZ2" s="1113"/>
      <c r="VCA2" s="1113"/>
      <c r="VCB2" s="1113"/>
      <c r="VCC2" s="1113"/>
      <c r="VCD2" s="1113"/>
      <c r="VCE2" s="1113"/>
      <c r="VCF2" s="1113"/>
      <c r="VCG2" s="1113"/>
      <c r="VCH2" s="1113"/>
      <c r="VCI2" s="1113"/>
      <c r="VCJ2" s="1113"/>
      <c r="VCK2" s="1113"/>
      <c r="VCL2" s="1113"/>
      <c r="VCM2" s="1113"/>
      <c r="VCN2" s="1113"/>
      <c r="VCO2" s="1113"/>
      <c r="VCP2" s="1113"/>
      <c r="VCQ2" s="1113"/>
      <c r="VCR2" s="1113"/>
      <c r="VCS2" s="1113"/>
      <c r="VCT2" s="1113"/>
      <c r="VCU2" s="1113"/>
      <c r="VCV2" s="1113"/>
      <c r="VCW2" s="1113"/>
      <c r="VCX2" s="1113"/>
      <c r="VCY2" s="1113"/>
      <c r="VCZ2" s="1113"/>
      <c r="VDA2" s="1113"/>
      <c r="VDB2" s="1113"/>
      <c r="VDC2" s="1113"/>
      <c r="VDD2" s="1113"/>
      <c r="VDE2" s="1113"/>
      <c r="VDF2" s="1113"/>
      <c r="VDG2" s="1113"/>
      <c r="VDH2" s="1113"/>
      <c r="VDI2" s="1113"/>
      <c r="VDJ2" s="1113"/>
      <c r="VDK2" s="1113"/>
      <c r="VDL2" s="1113"/>
      <c r="VDM2" s="1113"/>
      <c r="VDN2" s="1113"/>
      <c r="VDO2" s="1113"/>
      <c r="VDP2" s="1113"/>
      <c r="VDQ2" s="1113"/>
      <c r="VDR2" s="1113"/>
      <c r="VDS2" s="1113"/>
      <c r="VDT2" s="1113"/>
      <c r="VDU2" s="1113"/>
      <c r="VDV2" s="1113"/>
      <c r="VDW2" s="1113"/>
      <c r="VDX2" s="1113"/>
      <c r="VDY2" s="1113"/>
      <c r="VDZ2" s="1113"/>
      <c r="VEA2" s="1113"/>
      <c r="VEB2" s="1113"/>
      <c r="VEC2" s="1113"/>
      <c r="VED2" s="1113"/>
      <c r="VEE2" s="1113"/>
      <c r="VEF2" s="1113"/>
      <c r="VEG2" s="1113"/>
      <c r="VEH2" s="1113"/>
      <c r="VEI2" s="1113"/>
      <c r="VEJ2" s="1113"/>
      <c r="VEK2" s="1113"/>
      <c r="VEL2" s="1113"/>
      <c r="VEM2" s="1113"/>
      <c r="VEN2" s="1113"/>
      <c r="VEO2" s="1113"/>
      <c r="VEP2" s="1113"/>
      <c r="VEQ2" s="1113"/>
      <c r="VER2" s="1113"/>
      <c r="VES2" s="1113"/>
      <c r="VET2" s="1113"/>
      <c r="VEU2" s="1113"/>
      <c r="VEV2" s="1113"/>
      <c r="VEW2" s="1113"/>
      <c r="VEX2" s="1113"/>
      <c r="VEY2" s="1113"/>
      <c r="VEZ2" s="1113"/>
      <c r="VFA2" s="1113"/>
      <c r="VFB2" s="1113"/>
      <c r="VFC2" s="1113"/>
      <c r="VFD2" s="1113"/>
      <c r="VFE2" s="1113"/>
      <c r="VFF2" s="1113"/>
      <c r="VFG2" s="1113"/>
      <c r="VFH2" s="1113"/>
      <c r="VFI2" s="1113"/>
      <c r="VFJ2" s="1113"/>
      <c r="VFK2" s="1113"/>
      <c r="VFL2" s="1113"/>
      <c r="VFM2" s="1113"/>
      <c r="VFN2" s="1113"/>
      <c r="VFO2" s="1113"/>
      <c r="VFP2" s="1113"/>
      <c r="VFQ2" s="1113"/>
      <c r="VFR2" s="1113"/>
      <c r="VFS2" s="1113"/>
      <c r="VFT2" s="1113"/>
      <c r="VFU2" s="1113"/>
      <c r="VFV2" s="1113"/>
      <c r="VFW2" s="1113"/>
      <c r="VFX2" s="1113"/>
      <c r="VFY2" s="1113"/>
      <c r="VFZ2" s="1113"/>
      <c r="VGA2" s="1113"/>
      <c r="VGB2" s="1113"/>
      <c r="VGC2" s="1113"/>
      <c r="VGD2" s="1113"/>
      <c r="VGE2" s="1113"/>
      <c r="VGF2" s="1113"/>
      <c r="VGG2" s="1113"/>
      <c r="VGH2" s="1113"/>
      <c r="VGI2" s="1113"/>
      <c r="VGJ2" s="1113"/>
      <c r="VGK2" s="1113"/>
      <c r="VGL2" s="1113"/>
      <c r="VGM2" s="1113"/>
      <c r="VGN2" s="1113"/>
      <c r="VGO2" s="1113"/>
      <c r="VGP2" s="1113"/>
      <c r="VGQ2" s="1113"/>
      <c r="VGR2" s="1113"/>
      <c r="VGS2" s="1113"/>
      <c r="VGT2" s="1113"/>
      <c r="VGU2" s="1113"/>
      <c r="VGV2" s="1113"/>
      <c r="VGW2" s="1113"/>
      <c r="VGX2" s="1113"/>
      <c r="VGY2" s="1113"/>
      <c r="VGZ2" s="1113"/>
      <c r="VHA2" s="1113"/>
      <c r="VHB2" s="1113"/>
      <c r="VHC2" s="1113"/>
      <c r="VHD2" s="1113"/>
      <c r="VHE2" s="1113"/>
      <c r="VHF2" s="1113"/>
      <c r="VHG2" s="1113"/>
      <c r="VHH2" s="1113"/>
      <c r="VHI2" s="1113"/>
      <c r="VHJ2" s="1113"/>
      <c r="VHK2" s="1113"/>
      <c r="VHL2" s="1113"/>
      <c r="VHM2" s="1113"/>
      <c r="VHN2" s="1113"/>
      <c r="VHO2" s="1113"/>
      <c r="VHP2" s="1113"/>
      <c r="VHQ2" s="1113"/>
      <c r="VHR2" s="1113"/>
      <c r="VHS2" s="1113"/>
      <c r="VHT2" s="1113"/>
      <c r="VHU2" s="1113"/>
      <c r="VHV2" s="1113"/>
      <c r="VHW2" s="1113"/>
      <c r="VHX2" s="1113"/>
      <c r="VHY2" s="1113"/>
      <c r="VHZ2" s="1113"/>
      <c r="VIA2" s="1113"/>
      <c r="VIB2" s="1113"/>
      <c r="VIC2" s="1113"/>
      <c r="VID2" s="1113"/>
      <c r="VIE2" s="1113"/>
      <c r="VIF2" s="1113"/>
      <c r="VIG2" s="1113"/>
      <c r="VIH2" s="1113"/>
      <c r="VII2" s="1113"/>
      <c r="VIJ2" s="1113"/>
      <c r="VIK2" s="1113"/>
      <c r="VIL2" s="1113"/>
      <c r="VIM2" s="1113"/>
      <c r="VIN2" s="1113"/>
      <c r="VIO2" s="1113"/>
      <c r="VIP2" s="1113"/>
      <c r="VIQ2" s="1113"/>
      <c r="VIR2" s="1113"/>
      <c r="VIS2" s="1113"/>
      <c r="VIT2" s="1113"/>
      <c r="VIU2" s="1113"/>
      <c r="VIV2" s="1113"/>
      <c r="VIW2" s="1113"/>
      <c r="VIX2" s="1113"/>
      <c r="VIY2" s="1113"/>
      <c r="VIZ2" s="1113"/>
      <c r="VJA2" s="1113"/>
      <c r="VJB2" s="1113"/>
      <c r="VJC2" s="1113"/>
      <c r="VJD2" s="1113"/>
      <c r="VJE2" s="1113"/>
      <c r="VJF2" s="1113"/>
      <c r="VJG2" s="1113"/>
      <c r="VJH2" s="1113"/>
      <c r="VJI2" s="1113"/>
      <c r="VJJ2" s="1113"/>
      <c r="VJK2" s="1113"/>
      <c r="VJL2" s="1113"/>
      <c r="VJM2" s="1113"/>
      <c r="VJN2" s="1113"/>
      <c r="VJO2" s="1113"/>
      <c r="VJP2" s="1113"/>
      <c r="VJQ2" s="1113"/>
      <c r="VJR2" s="1113"/>
      <c r="VJS2" s="1113"/>
      <c r="VJT2" s="1113"/>
      <c r="VJU2" s="1113"/>
      <c r="VJV2" s="1113"/>
      <c r="VJW2" s="1113"/>
      <c r="VJX2" s="1113"/>
      <c r="VJY2" s="1113"/>
      <c r="VJZ2" s="1113"/>
      <c r="VKA2" s="1113"/>
      <c r="VKB2" s="1113"/>
      <c r="VKC2" s="1113"/>
      <c r="VKD2" s="1113"/>
      <c r="VKE2" s="1113"/>
      <c r="VKF2" s="1113"/>
      <c r="VKG2" s="1113"/>
      <c r="VKH2" s="1113"/>
      <c r="VKI2" s="1113"/>
      <c r="VKJ2" s="1113"/>
      <c r="VKK2" s="1113"/>
      <c r="VKL2" s="1113"/>
      <c r="VKM2" s="1113"/>
      <c r="VKN2" s="1113"/>
      <c r="VKO2" s="1113"/>
      <c r="VKP2" s="1113"/>
      <c r="VKQ2" s="1113"/>
      <c r="VKR2" s="1113"/>
      <c r="VKS2" s="1113"/>
      <c r="VKT2" s="1113"/>
      <c r="VKU2" s="1113"/>
      <c r="VKV2" s="1113"/>
      <c r="VKW2" s="1113"/>
      <c r="VKX2" s="1113"/>
      <c r="VKY2" s="1113"/>
      <c r="VKZ2" s="1113"/>
      <c r="VLA2" s="1113"/>
      <c r="VLB2" s="1113"/>
      <c r="VLC2" s="1113"/>
      <c r="VLD2" s="1113"/>
      <c r="VLE2" s="1113"/>
      <c r="VLF2" s="1113"/>
      <c r="VLG2" s="1113"/>
      <c r="VLH2" s="1113"/>
      <c r="VLI2" s="1113"/>
      <c r="VLJ2" s="1113"/>
      <c r="VLK2" s="1113"/>
      <c r="VLL2" s="1113"/>
      <c r="VLM2" s="1113"/>
      <c r="VLN2" s="1113"/>
      <c r="VLO2" s="1113"/>
      <c r="VLP2" s="1113"/>
      <c r="VLQ2" s="1113"/>
      <c r="VLR2" s="1113"/>
      <c r="VLS2" s="1113"/>
      <c r="VLT2" s="1113"/>
      <c r="VLU2" s="1113"/>
      <c r="VLV2" s="1113"/>
      <c r="VLW2" s="1113"/>
      <c r="VLX2" s="1113"/>
      <c r="VLY2" s="1113"/>
      <c r="VLZ2" s="1113"/>
      <c r="VMA2" s="1113"/>
      <c r="VMB2" s="1113"/>
      <c r="VMC2" s="1113"/>
      <c r="VMD2" s="1113"/>
      <c r="VME2" s="1113"/>
      <c r="VMF2" s="1113"/>
      <c r="VMG2" s="1113"/>
      <c r="VMH2" s="1113"/>
      <c r="VMI2" s="1113"/>
      <c r="VMJ2" s="1113"/>
      <c r="VMK2" s="1113"/>
      <c r="VML2" s="1113"/>
      <c r="VMM2" s="1113"/>
      <c r="VMN2" s="1113"/>
      <c r="VMO2" s="1113"/>
      <c r="VMP2" s="1113"/>
      <c r="VMQ2" s="1113"/>
      <c r="VMR2" s="1113"/>
      <c r="VMS2" s="1113"/>
      <c r="VMT2" s="1113"/>
      <c r="VMU2" s="1113"/>
      <c r="VMV2" s="1113"/>
      <c r="VMW2" s="1113"/>
      <c r="VMX2" s="1113"/>
      <c r="VMY2" s="1113"/>
      <c r="VMZ2" s="1113"/>
      <c r="VNA2" s="1113"/>
      <c r="VNB2" s="1113"/>
      <c r="VNC2" s="1113"/>
      <c r="VND2" s="1113"/>
      <c r="VNE2" s="1113"/>
      <c r="VNF2" s="1113"/>
      <c r="VNG2" s="1113"/>
      <c r="VNH2" s="1113"/>
      <c r="VNI2" s="1113"/>
      <c r="VNJ2" s="1113"/>
      <c r="VNK2" s="1113"/>
      <c r="VNL2" s="1113"/>
      <c r="VNM2" s="1113"/>
      <c r="VNN2" s="1113"/>
      <c r="VNO2" s="1113"/>
      <c r="VNP2" s="1113"/>
      <c r="VNQ2" s="1113"/>
      <c r="VNR2" s="1113"/>
      <c r="VNS2" s="1113"/>
      <c r="VNT2" s="1113"/>
      <c r="VNU2" s="1113"/>
      <c r="VNV2" s="1113"/>
      <c r="VNW2" s="1113"/>
      <c r="VNX2" s="1113"/>
      <c r="VNY2" s="1113"/>
      <c r="VNZ2" s="1113"/>
      <c r="VOA2" s="1113"/>
      <c r="VOB2" s="1113"/>
      <c r="VOC2" s="1113"/>
      <c r="VOD2" s="1113"/>
      <c r="VOE2" s="1113"/>
      <c r="VOF2" s="1113"/>
      <c r="VOG2" s="1113"/>
      <c r="VOH2" s="1113"/>
      <c r="VOI2" s="1113"/>
      <c r="VOJ2" s="1113"/>
      <c r="VOK2" s="1113"/>
      <c r="VOL2" s="1113"/>
      <c r="VOM2" s="1113"/>
      <c r="VON2" s="1113"/>
      <c r="VOO2" s="1113"/>
      <c r="VOP2" s="1113"/>
      <c r="VOQ2" s="1113"/>
      <c r="VOR2" s="1113"/>
      <c r="VOS2" s="1113"/>
      <c r="VOT2" s="1113"/>
      <c r="VOU2" s="1113"/>
      <c r="VOV2" s="1113"/>
      <c r="VOW2" s="1113"/>
      <c r="VOX2" s="1113"/>
      <c r="VOY2" s="1113"/>
      <c r="VOZ2" s="1113"/>
      <c r="VPA2" s="1113"/>
      <c r="VPB2" s="1113"/>
      <c r="VPC2" s="1113"/>
      <c r="VPD2" s="1113"/>
      <c r="VPE2" s="1113"/>
      <c r="VPF2" s="1113"/>
      <c r="VPG2" s="1113"/>
      <c r="VPH2" s="1113"/>
      <c r="VPI2" s="1113"/>
      <c r="VPJ2" s="1113"/>
      <c r="VPK2" s="1113"/>
      <c r="VPL2" s="1113"/>
      <c r="VPM2" s="1113"/>
      <c r="VPN2" s="1113"/>
      <c r="VPO2" s="1113"/>
      <c r="VPP2" s="1113"/>
      <c r="VPQ2" s="1113"/>
      <c r="VPR2" s="1113"/>
      <c r="VPS2" s="1113"/>
      <c r="VPT2" s="1113"/>
      <c r="VPU2" s="1113"/>
      <c r="VPV2" s="1113"/>
      <c r="VPW2" s="1113"/>
      <c r="VPX2" s="1113"/>
      <c r="VPY2" s="1113"/>
      <c r="VPZ2" s="1113"/>
      <c r="VQA2" s="1113"/>
      <c r="VQB2" s="1113"/>
      <c r="VQC2" s="1113"/>
      <c r="VQD2" s="1113"/>
      <c r="VQE2" s="1113"/>
      <c r="VQF2" s="1113"/>
      <c r="VQG2" s="1113"/>
      <c r="VQH2" s="1113"/>
      <c r="VQI2" s="1113"/>
      <c r="VQJ2" s="1113"/>
      <c r="VQK2" s="1113"/>
      <c r="VQL2" s="1113"/>
      <c r="VQM2" s="1113"/>
      <c r="VQN2" s="1113"/>
      <c r="VQO2" s="1113"/>
      <c r="VQP2" s="1113"/>
      <c r="VQQ2" s="1113"/>
      <c r="VQR2" s="1113"/>
      <c r="VQS2" s="1113"/>
      <c r="VQT2" s="1113"/>
      <c r="VQU2" s="1113"/>
      <c r="VQV2" s="1113"/>
      <c r="VQW2" s="1113"/>
      <c r="VQX2" s="1113"/>
      <c r="VQY2" s="1113"/>
      <c r="VQZ2" s="1113"/>
      <c r="VRA2" s="1113"/>
      <c r="VRB2" s="1113"/>
      <c r="VRC2" s="1113"/>
      <c r="VRD2" s="1113"/>
      <c r="VRE2" s="1113"/>
      <c r="VRF2" s="1113"/>
      <c r="VRG2" s="1113"/>
      <c r="VRH2" s="1113"/>
      <c r="VRI2" s="1113"/>
      <c r="VRJ2" s="1113"/>
      <c r="VRK2" s="1113"/>
      <c r="VRL2" s="1113"/>
      <c r="VRM2" s="1113"/>
      <c r="VRN2" s="1113"/>
      <c r="VRO2" s="1113"/>
      <c r="VRP2" s="1113"/>
      <c r="VRQ2" s="1113"/>
      <c r="VRR2" s="1113"/>
      <c r="VRS2" s="1113"/>
      <c r="VRT2" s="1113"/>
      <c r="VRU2" s="1113"/>
      <c r="VRV2" s="1113"/>
      <c r="VRW2" s="1113"/>
      <c r="VRX2" s="1113"/>
      <c r="VRY2" s="1113"/>
      <c r="VRZ2" s="1113"/>
      <c r="VSA2" s="1113"/>
      <c r="VSB2" s="1113"/>
      <c r="VSC2" s="1113"/>
      <c r="VSD2" s="1113"/>
      <c r="VSE2" s="1113"/>
      <c r="VSF2" s="1113"/>
      <c r="VSG2" s="1113"/>
      <c r="VSH2" s="1113"/>
      <c r="VSI2" s="1113"/>
      <c r="VSJ2" s="1113"/>
      <c r="VSK2" s="1113"/>
      <c r="VSL2" s="1113"/>
      <c r="VSM2" s="1113"/>
      <c r="VSN2" s="1113"/>
      <c r="VSO2" s="1113"/>
      <c r="VSP2" s="1113"/>
      <c r="VSQ2" s="1113"/>
      <c r="VSR2" s="1113"/>
      <c r="VSS2" s="1113"/>
      <c r="VST2" s="1113"/>
      <c r="VSU2" s="1113"/>
      <c r="VSV2" s="1113"/>
      <c r="VSW2" s="1113"/>
      <c r="VSX2" s="1113"/>
      <c r="VSY2" s="1113"/>
      <c r="VSZ2" s="1113"/>
      <c r="VTA2" s="1113"/>
      <c r="VTB2" s="1113"/>
      <c r="VTC2" s="1113"/>
      <c r="VTD2" s="1113"/>
      <c r="VTE2" s="1113"/>
      <c r="VTF2" s="1113"/>
      <c r="VTG2" s="1113"/>
      <c r="VTH2" s="1113"/>
      <c r="VTI2" s="1113"/>
      <c r="VTJ2" s="1113"/>
      <c r="VTK2" s="1113"/>
      <c r="VTL2" s="1113"/>
      <c r="VTM2" s="1113"/>
      <c r="VTN2" s="1113"/>
      <c r="VTO2" s="1113"/>
      <c r="VTP2" s="1113"/>
      <c r="VTQ2" s="1113"/>
      <c r="VTR2" s="1113"/>
      <c r="VTS2" s="1113"/>
      <c r="VTT2" s="1113"/>
      <c r="VTU2" s="1113"/>
      <c r="VTV2" s="1113"/>
      <c r="VTW2" s="1113"/>
      <c r="VTX2" s="1113"/>
      <c r="VTY2" s="1113"/>
      <c r="VTZ2" s="1113"/>
      <c r="VUA2" s="1113"/>
      <c r="VUB2" s="1113"/>
      <c r="VUC2" s="1113"/>
      <c r="VUD2" s="1113"/>
      <c r="VUE2" s="1113"/>
      <c r="VUF2" s="1113"/>
      <c r="VUG2" s="1113"/>
      <c r="VUH2" s="1113"/>
      <c r="VUI2" s="1113"/>
      <c r="VUJ2" s="1113"/>
      <c r="VUK2" s="1113"/>
      <c r="VUL2" s="1113"/>
      <c r="VUM2" s="1113"/>
      <c r="VUN2" s="1113"/>
      <c r="VUO2" s="1113"/>
      <c r="VUP2" s="1113"/>
      <c r="VUQ2" s="1113"/>
      <c r="VUR2" s="1113"/>
      <c r="VUS2" s="1113"/>
      <c r="VUT2" s="1113"/>
      <c r="VUU2" s="1113"/>
      <c r="VUV2" s="1113"/>
      <c r="VUW2" s="1113"/>
      <c r="VUX2" s="1113"/>
      <c r="VUY2" s="1113"/>
      <c r="VUZ2" s="1113"/>
      <c r="VVA2" s="1113"/>
      <c r="VVB2" s="1113"/>
      <c r="VVC2" s="1113"/>
      <c r="VVD2" s="1113"/>
      <c r="VVE2" s="1113"/>
      <c r="VVF2" s="1113"/>
      <c r="VVG2" s="1113"/>
      <c r="VVH2" s="1113"/>
      <c r="VVI2" s="1113"/>
      <c r="VVJ2" s="1113"/>
      <c r="VVK2" s="1113"/>
      <c r="VVL2" s="1113"/>
      <c r="VVM2" s="1113"/>
      <c r="VVN2" s="1113"/>
      <c r="VVO2" s="1113"/>
      <c r="VVP2" s="1113"/>
      <c r="VVQ2" s="1113"/>
      <c r="VVR2" s="1113"/>
      <c r="VVS2" s="1113"/>
      <c r="VVT2" s="1113"/>
      <c r="VVU2" s="1113"/>
      <c r="VVV2" s="1113"/>
      <c r="VVW2" s="1113"/>
      <c r="VVX2" s="1113"/>
      <c r="VVY2" s="1113"/>
      <c r="VVZ2" s="1113"/>
      <c r="VWA2" s="1113"/>
      <c r="VWB2" s="1113"/>
      <c r="VWC2" s="1113"/>
      <c r="VWD2" s="1113"/>
      <c r="VWE2" s="1113"/>
      <c r="VWF2" s="1113"/>
      <c r="VWG2" s="1113"/>
      <c r="VWH2" s="1113"/>
      <c r="VWI2" s="1113"/>
      <c r="VWJ2" s="1113"/>
      <c r="VWK2" s="1113"/>
      <c r="VWL2" s="1113"/>
      <c r="VWM2" s="1113"/>
      <c r="VWN2" s="1113"/>
      <c r="VWO2" s="1113"/>
      <c r="VWP2" s="1113"/>
      <c r="VWQ2" s="1113"/>
      <c r="VWR2" s="1113"/>
      <c r="VWS2" s="1113"/>
      <c r="VWT2" s="1113"/>
      <c r="VWU2" s="1113"/>
      <c r="VWV2" s="1113"/>
      <c r="VWW2" s="1113"/>
      <c r="VWX2" s="1113"/>
      <c r="VWY2" s="1113"/>
      <c r="VWZ2" s="1113"/>
      <c r="VXA2" s="1113"/>
      <c r="VXB2" s="1113"/>
      <c r="VXC2" s="1113"/>
      <c r="VXD2" s="1113"/>
      <c r="VXE2" s="1113"/>
      <c r="VXF2" s="1113"/>
      <c r="VXG2" s="1113"/>
      <c r="VXH2" s="1113"/>
      <c r="VXI2" s="1113"/>
      <c r="VXJ2" s="1113"/>
      <c r="VXK2" s="1113"/>
      <c r="VXL2" s="1113"/>
      <c r="VXM2" s="1113"/>
      <c r="VXN2" s="1113"/>
      <c r="VXO2" s="1113"/>
      <c r="VXP2" s="1113"/>
      <c r="VXQ2" s="1113"/>
      <c r="VXR2" s="1113"/>
      <c r="VXS2" s="1113"/>
      <c r="VXT2" s="1113"/>
      <c r="VXU2" s="1113"/>
      <c r="VXV2" s="1113"/>
      <c r="VXW2" s="1113"/>
      <c r="VXX2" s="1113"/>
      <c r="VXY2" s="1113"/>
      <c r="VXZ2" s="1113"/>
      <c r="VYA2" s="1113"/>
      <c r="VYB2" s="1113"/>
      <c r="VYC2" s="1113"/>
      <c r="VYD2" s="1113"/>
      <c r="VYE2" s="1113"/>
      <c r="VYF2" s="1113"/>
      <c r="VYG2" s="1113"/>
      <c r="VYH2" s="1113"/>
      <c r="VYI2" s="1113"/>
      <c r="VYJ2" s="1113"/>
      <c r="VYK2" s="1113"/>
      <c r="VYL2" s="1113"/>
      <c r="VYM2" s="1113"/>
      <c r="VYN2" s="1113"/>
      <c r="VYO2" s="1113"/>
      <c r="VYP2" s="1113"/>
      <c r="VYQ2" s="1113"/>
      <c r="VYR2" s="1113"/>
      <c r="VYS2" s="1113"/>
      <c r="VYT2" s="1113"/>
      <c r="VYU2" s="1113"/>
      <c r="VYV2" s="1113"/>
      <c r="VYW2" s="1113"/>
      <c r="VYX2" s="1113"/>
      <c r="VYY2" s="1113"/>
      <c r="VYZ2" s="1113"/>
      <c r="VZA2" s="1113"/>
      <c r="VZB2" s="1113"/>
      <c r="VZC2" s="1113"/>
      <c r="VZD2" s="1113"/>
      <c r="VZE2" s="1113"/>
      <c r="VZF2" s="1113"/>
      <c r="VZG2" s="1113"/>
      <c r="VZH2" s="1113"/>
      <c r="VZI2" s="1113"/>
      <c r="VZJ2" s="1113"/>
      <c r="VZK2" s="1113"/>
      <c r="VZL2" s="1113"/>
      <c r="VZM2" s="1113"/>
      <c r="VZN2" s="1113"/>
      <c r="VZO2" s="1113"/>
      <c r="VZP2" s="1113"/>
      <c r="VZQ2" s="1113"/>
      <c r="VZR2" s="1113"/>
      <c r="VZS2" s="1113"/>
      <c r="VZT2" s="1113"/>
      <c r="VZU2" s="1113"/>
      <c r="VZV2" s="1113"/>
      <c r="VZW2" s="1113"/>
      <c r="VZX2" s="1113"/>
      <c r="VZY2" s="1113"/>
      <c r="VZZ2" s="1113"/>
      <c r="WAA2" s="1113"/>
      <c r="WAB2" s="1113"/>
      <c r="WAC2" s="1113"/>
      <c r="WAD2" s="1113"/>
      <c r="WAE2" s="1113"/>
      <c r="WAF2" s="1113"/>
      <c r="WAG2" s="1113"/>
      <c r="WAH2" s="1113"/>
      <c r="WAI2" s="1113"/>
      <c r="WAJ2" s="1113"/>
      <c r="WAK2" s="1113"/>
      <c r="WAL2" s="1113"/>
      <c r="WAM2" s="1113"/>
      <c r="WAN2" s="1113"/>
      <c r="WAO2" s="1113"/>
      <c r="WAP2" s="1113"/>
      <c r="WAQ2" s="1113"/>
      <c r="WAR2" s="1113"/>
      <c r="WAS2" s="1113"/>
      <c r="WAT2" s="1113"/>
      <c r="WAU2" s="1113"/>
      <c r="WAV2" s="1113"/>
      <c r="WAW2" s="1113"/>
      <c r="WAX2" s="1113"/>
      <c r="WAY2" s="1113"/>
      <c r="WAZ2" s="1113"/>
      <c r="WBA2" s="1113"/>
      <c r="WBB2" s="1113"/>
      <c r="WBC2" s="1113"/>
      <c r="WBD2" s="1113"/>
      <c r="WBE2" s="1113"/>
      <c r="WBF2" s="1113"/>
      <c r="WBG2" s="1113"/>
      <c r="WBH2" s="1113"/>
      <c r="WBI2" s="1113"/>
      <c r="WBJ2" s="1113"/>
      <c r="WBK2" s="1113"/>
      <c r="WBL2" s="1113"/>
      <c r="WBM2" s="1113"/>
      <c r="WBN2" s="1113"/>
      <c r="WBO2" s="1113"/>
      <c r="WBP2" s="1113"/>
      <c r="WBQ2" s="1113"/>
      <c r="WBR2" s="1113"/>
      <c r="WBS2" s="1113"/>
      <c r="WBT2" s="1113"/>
      <c r="WBU2" s="1113"/>
      <c r="WBV2" s="1113"/>
      <c r="WBW2" s="1113"/>
      <c r="WBX2" s="1113"/>
      <c r="WBY2" s="1113"/>
      <c r="WBZ2" s="1113"/>
      <c r="WCA2" s="1113"/>
      <c r="WCB2" s="1113"/>
      <c r="WCC2" s="1113"/>
      <c r="WCD2" s="1113"/>
      <c r="WCE2" s="1113"/>
      <c r="WCF2" s="1113"/>
      <c r="WCG2" s="1113"/>
      <c r="WCH2" s="1113"/>
      <c r="WCI2" s="1113"/>
      <c r="WCJ2" s="1113"/>
      <c r="WCK2" s="1113"/>
      <c r="WCL2" s="1113"/>
      <c r="WCM2" s="1113"/>
      <c r="WCN2" s="1113"/>
      <c r="WCO2" s="1113"/>
      <c r="WCP2" s="1113"/>
      <c r="WCQ2" s="1113"/>
      <c r="WCR2" s="1113"/>
      <c r="WCS2" s="1113"/>
      <c r="WCT2" s="1113"/>
      <c r="WCU2" s="1113"/>
      <c r="WCV2" s="1113"/>
      <c r="WCW2" s="1113"/>
      <c r="WCX2" s="1113"/>
      <c r="WCY2" s="1113"/>
      <c r="WCZ2" s="1113"/>
      <c r="WDA2" s="1113"/>
      <c r="WDB2" s="1113"/>
      <c r="WDC2" s="1113"/>
      <c r="WDD2" s="1113"/>
      <c r="WDE2" s="1113"/>
      <c r="WDF2" s="1113"/>
      <c r="WDG2" s="1113"/>
      <c r="WDH2" s="1113"/>
      <c r="WDI2" s="1113"/>
      <c r="WDJ2" s="1113"/>
      <c r="WDK2" s="1113"/>
      <c r="WDL2" s="1113"/>
      <c r="WDM2" s="1113"/>
      <c r="WDN2" s="1113"/>
      <c r="WDO2" s="1113"/>
      <c r="WDP2" s="1113"/>
      <c r="WDQ2" s="1113"/>
      <c r="WDR2" s="1113"/>
      <c r="WDS2" s="1113"/>
      <c r="WDT2" s="1113"/>
      <c r="WDU2" s="1113"/>
      <c r="WDV2" s="1113"/>
      <c r="WDW2" s="1113"/>
      <c r="WDX2" s="1113"/>
      <c r="WDY2" s="1113"/>
      <c r="WDZ2" s="1113"/>
      <c r="WEA2" s="1113"/>
      <c r="WEB2" s="1113"/>
      <c r="WEC2" s="1113"/>
      <c r="WED2" s="1113"/>
      <c r="WEE2" s="1113"/>
      <c r="WEF2" s="1113"/>
      <c r="WEG2" s="1113"/>
      <c r="WEH2" s="1113"/>
      <c r="WEI2" s="1113"/>
      <c r="WEJ2" s="1113"/>
      <c r="WEK2" s="1113"/>
      <c r="WEL2" s="1113"/>
      <c r="WEM2" s="1113"/>
      <c r="WEN2" s="1113"/>
      <c r="WEO2" s="1113"/>
      <c r="WEP2" s="1113"/>
      <c r="WEQ2" s="1113"/>
      <c r="WER2" s="1113"/>
      <c r="WES2" s="1113"/>
      <c r="WET2" s="1113"/>
      <c r="WEU2" s="1113"/>
      <c r="WEV2" s="1113"/>
      <c r="WEW2" s="1113"/>
      <c r="WEX2" s="1113"/>
      <c r="WEY2" s="1113"/>
      <c r="WEZ2" s="1113"/>
      <c r="WFA2" s="1113"/>
      <c r="WFB2" s="1113"/>
      <c r="WFC2" s="1113"/>
      <c r="WFD2" s="1113"/>
      <c r="WFE2" s="1113"/>
      <c r="WFF2" s="1113"/>
      <c r="WFG2" s="1113"/>
      <c r="WFH2" s="1113"/>
      <c r="WFI2" s="1113"/>
      <c r="WFJ2" s="1113"/>
      <c r="WFK2" s="1113"/>
      <c r="WFL2" s="1113"/>
      <c r="WFM2" s="1113"/>
      <c r="WFN2" s="1113"/>
      <c r="WFO2" s="1113"/>
      <c r="WFP2" s="1113"/>
      <c r="WFQ2" s="1113"/>
      <c r="WFR2" s="1113"/>
      <c r="WFS2" s="1113"/>
      <c r="WFT2" s="1113"/>
      <c r="WFU2" s="1113"/>
      <c r="WFV2" s="1113"/>
      <c r="WFW2" s="1113"/>
      <c r="WFX2" s="1113"/>
      <c r="WFY2" s="1113"/>
      <c r="WFZ2" s="1113"/>
      <c r="WGA2" s="1113"/>
      <c r="WGB2" s="1113"/>
      <c r="WGC2" s="1113"/>
      <c r="WGD2" s="1113"/>
      <c r="WGE2" s="1113"/>
      <c r="WGF2" s="1113"/>
      <c r="WGG2" s="1113"/>
      <c r="WGH2" s="1113"/>
      <c r="WGI2" s="1113"/>
      <c r="WGJ2" s="1113"/>
      <c r="WGK2" s="1113"/>
      <c r="WGL2" s="1113"/>
      <c r="WGM2" s="1113"/>
      <c r="WGN2" s="1113"/>
      <c r="WGO2" s="1113"/>
      <c r="WGP2" s="1113"/>
      <c r="WGQ2" s="1113"/>
      <c r="WGR2" s="1113"/>
      <c r="WGS2" s="1113"/>
      <c r="WGT2" s="1113"/>
      <c r="WGU2" s="1113"/>
      <c r="WGV2" s="1113"/>
      <c r="WGW2" s="1113"/>
      <c r="WGX2" s="1113"/>
      <c r="WGY2" s="1113"/>
      <c r="WGZ2" s="1113"/>
      <c r="WHA2" s="1113"/>
      <c r="WHB2" s="1113"/>
      <c r="WHC2" s="1113"/>
      <c r="WHD2" s="1113"/>
      <c r="WHE2" s="1113"/>
      <c r="WHF2" s="1113"/>
      <c r="WHG2" s="1113"/>
      <c r="WHH2" s="1113"/>
      <c r="WHI2" s="1113"/>
      <c r="WHJ2" s="1113"/>
      <c r="WHK2" s="1113"/>
      <c r="WHL2" s="1113"/>
      <c r="WHM2" s="1113"/>
      <c r="WHN2" s="1113"/>
      <c r="WHO2" s="1113"/>
      <c r="WHP2" s="1113"/>
      <c r="WHQ2" s="1113"/>
      <c r="WHR2" s="1113"/>
      <c r="WHS2" s="1113"/>
      <c r="WHT2" s="1113"/>
      <c r="WHU2" s="1113"/>
      <c r="WHV2" s="1113"/>
      <c r="WHW2" s="1113"/>
      <c r="WHX2" s="1113"/>
      <c r="WHY2" s="1113"/>
      <c r="WHZ2" s="1113"/>
      <c r="WIA2" s="1113"/>
      <c r="WIB2" s="1113"/>
      <c r="WIC2" s="1113"/>
      <c r="WID2" s="1113"/>
      <c r="WIE2" s="1113"/>
      <c r="WIF2" s="1113"/>
      <c r="WIG2" s="1113"/>
      <c r="WIH2" s="1113"/>
      <c r="WII2" s="1113"/>
      <c r="WIJ2" s="1113"/>
      <c r="WIK2" s="1113"/>
      <c r="WIL2" s="1113"/>
      <c r="WIM2" s="1113"/>
      <c r="WIN2" s="1113"/>
      <c r="WIO2" s="1113"/>
      <c r="WIP2" s="1113"/>
      <c r="WIQ2" s="1113"/>
      <c r="WIR2" s="1113"/>
      <c r="WIS2" s="1113"/>
      <c r="WIT2" s="1113"/>
      <c r="WIU2" s="1113"/>
      <c r="WIV2" s="1113"/>
      <c r="WIW2" s="1113"/>
      <c r="WIX2" s="1113"/>
      <c r="WIY2" s="1113"/>
      <c r="WIZ2" s="1113"/>
      <c r="WJA2" s="1113"/>
      <c r="WJB2" s="1113"/>
      <c r="WJC2" s="1113"/>
      <c r="WJD2" s="1113"/>
      <c r="WJE2" s="1113"/>
      <c r="WJF2" s="1113"/>
      <c r="WJG2" s="1113"/>
      <c r="WJH2" s="1113"/>
      <c r="WJI2" s="1113"/>
      <c r="WJJ2" s="1113"/>
      <c r="WJK2" s="1113"/>
      <c r="WJL2" s="1113"/>
      <c r="WJM2" s="1113"/>
      <c r="WJN2" s="1113"/>
      <c r="WJO2" s="1113"/>
      <c r="WJP2" s="1113"/>
      <c r="WJQ2" s="1113"/>
      <c r="WJR2" s="1113"/>
      <c r="WJS2" s="1113"/>
      <c r="WJT2" s="1113"/>
      <c r="WJU2" s="1113"/>
      <c r="WJV2" s="1113"/>
      <c r="WJW2" s="1113"/>
      <c r="WJX2" s="1113"/>
      <c r="WJY2" s="1113"/>
      <c r="WJZ2" s="1113"/>
      <c r="WKA2" s="1113"/>
      <c r="WKB2" s="1113"/>
      <c r="WKC2" s="1113"/>
      <c r="WKD2" s="1113"/>
      <c r="WKE2" s="1113"/>
      <c r="WKF2" s="1113"/>
      <c r="WKG2" s="1113"/>
      <c r="WKH2" s="1113"/>
      <c r="WKI2" s="1113"/>
      <c r="WKJ2" s="1113"/>
      <c r="WKK2" s="1113"/>
      <c r="WKL2" s="1113"/>
      <c r="WKM2" s="1113"/>
      <c r="WKN2" s="1113"/>
      <c r="WKO2" s="1113"/>
      <c r="WKP2" s="1113"/>
      <c r="WKQ2" s="1113"/>
      <c r="WKR2" s="1113"/>
      <c r="WKS2" s="1113"/>
      <c r="WKT2" s="1113"/>
      <c r="WKU2" s="1113"/>
      <c r="WKV2" s="1113"/>
      <c r="WKW2" s="1113"/>
      <c r="WKX2" s="1113"/>
      <c r="WKY2" s="1113"/>
      <c r="WKZ2" s="1113"/>
      <c r="WLA2" s="1113"/>
      <c r="WLB2" s="1113"/>
      <c r="WLC2" s="1113"/>
      <c r="WLD2" s="1113"/>
      <c r="WLE2" s="1113"/>
      <c r="WLF2" s="1113"/>
      <c r="WLG2" s="1113"/>
      <c r="WLH2" s="1113"/>
      <c r="WLI2" s="1113"/>
      <c r="WLJ2" s="1113"/>
      <c r="WLK2" s="1113"/>
      <c r="WLL2" s="1113"/>
      <c r="WLM2" s="1113"/>
      <c r="WLN2" s="1113"/>
      <c r="WLO2" s="1113"/>
      <c r="WLP2" s="1113"/>
      <c r="WLQ2" s="1113"/>
      <c r="WLR2" s="1113"/>
      <c r="WLS2" s="1113"/>
      <c r="WLT2" s="1113"/>
      <c r="WLU2" s="1113"/>
      <c r="WLV2" s="1113"/>
      <c r="WLW2" s="1113"/>
      <c r="WLX2" s="1113"/>
      <c r="WLY2" s="1113"/>
      <c r="WLZ2" s="1113"/>
      <c r="WMA2" s="1113"/>
      <c r="WMB2" s="1113"/>
      <c r="WMC2" s="1113"/>
      <c r="WMD2" s="1113"/>
      <c r="WME2" s="1113"/>
      <c r="WMF2" s="1113"/>
      <c r="WMG2" s="1113"/>
      <c r="WMH2" s="1113"/>
      <c r="WMI2" s="1113"/>
      <c r="WMJ2" s="1113"/>
      <c r="WMK2" s="1113"/>
      <c r="WML2" s="1113"/>
      <c r="WMM2" s="1113"/>
      <c r="WMN2" s="1113"/>
      <c r="WMO2" s="1113"/>
      <c r="WMP2" s="1113"/>
      <c r="WMQ2" s="1113"/>
      <c r="WMR2" s="1113"/>
      <c r="WMS2" s="1113"/>
      <c r="WMT2" s="1113"/>
      <c r="WMU2" s="1113"/>
      <c r="WMV2" s="1113"/>
      <c r="WMW2" s="1113"/>
      <c r="WMX2" s="1113"/>
      <c r="WMY2" s="1113"/>
      <c r="WMZ2" s="1113"/>
      <c r="WNA2" s="1113"/>
      <c r="WNB2" s="1113"/>
      <c r="WNC2" s="1113"/>
      <c r="WND2" s="1113"/>
      <c r="WNE2" s="1113"/>
      <c r="WNF2" s="1113"/>
      <c r="WNG2" s="1113"/>
      <c r="WNH2" s="1113"/>
      <c r="WNI2" s="1113"/>
      <c r="WNJ2" s="1113"/>
      <c r="WNK2" s="1113"/>
      <c r="WNL2" s="1113"/>
      <c r="WNM2" s="1113"/>
      <c r="WNN2" s="1113"/>
      <c r="WNO2" s="1113"/>
      <c r="WNP2" s="1113"/>
      <c r="WNQ2" s="1113"/>
      <c r="WNR2" s="1113"/>
      <c r="WNS2" s="1113"/>
      <c r="WNT2" s="1113"/>
      <c r="WNU2" s="1113"/>
      <c r="WNV2" s="1113"/>
      <c r="WNW2" s="1113"/>
      <c r="WNX2" s="1113"/>
      <c r="WNY2" s="1113"/>
      <c r="WNZ2" s="1113"/>
      <c r="WOA2" s="1113"/>
      <c r="WOB2" s="1113"/>
      <c r="WOC2" s="1113"/>
      <c r="WOD2" s="1113"/>
      <c r="WOE2" s="1113"/>
      <c r="WOF2" s="1113"/>
      <c r="WOG2" s="1113"/>
      <c r="WOH2" s="1113"/>
      <c r="WOI2" s="1113"/>
      <c r="WOJ2" s="1113"/>
      <c r="WOK2" s="1113"/>
      <c r="WOL2" s="1113"/>
      <c r="WOM2" s="1113"/>
      <c r="WON2" s="1113"/>
      <c r="WOO2" s="1113"/>
      <c r="WOP2" s="1113"/>
      <c r="WOQ2" s="1113"/>
      <c r="WOR2" s="1113"/>
      <c r="WOS2" s="1113"/>
      <c r="WOT2" s="1113"/>
      <c r="WOU2" s="1113"/>
      <c r="WOV2" s="1113"/>
      <c r="WOW2" s="1113"/>
      <c r="WOX2" s="1113"/>
      <c r="WOY2" s="1113"/>
      <c r="WOZ2" s="1113"/>
      <c r="WPA2" s="1113"/>
      <c r="WPB2" s="1113"/>
      <c r="WPC2" s="1113"/>
      <c r="WPD2" s="1113"/>
      <c r="WPE2" s="1113"/>
      <c r="WPF2" s="1113"/>
      <c r="WPG2" s="1113"/>
      <c r="WPH2" s="1113"/>
      <c r="WPI2" s="1113"/>
      <c r="WPJ2" s="1113"/>
      <c r="WPK2" s="1113"/>
      <c r="WPL2" s="1113"/>
      <c r="WPM2" s="1113"/>
      <c r="WPN2" s="1113"/>
      <c r="WPO2" s="1113"/>
      <c r="WPP2" s="1113"/>
      <c r="WPQ2" s="1113"/>
      <c r="WPR2" s="1113"/>
      <c r="WPS2" s="1113"/>
      <c r="WPT2" s="1113"/>
      <c r="WPU2" s="1113"/>
      <c r="WPV2" s="1113"/>
      <c r="WPW2" s="1113"/>
      <c r="WPX2" s="1113"/>
      <c r="WPY2" s="1113"/>
      <c r="WPZ2" s="1113"/>
      <c r="WQA2" s="1113"/>
      <c r="WQB2" s="1113"/>
      <c r="WQC2" s="1113"/>
      <c r="WQD2" s="1113"/>
      <c r="WQE2" s="1113"/>
      <c r="WQF2" s="1113"/>
      <c r="WQG2" s="1113"/>
      <c r="WQH2" s="1113"/>
      <c r="WQI2" s="1113"/>
      <c r="WQJ2" s="1113"/>
      <c r="WQK2" s="1113"/>
      <c r="WQL2" s="1113"/>
      <c r="WQM2" s="1113"/>
      <c r="WQN2" s="1113"/>
      <c r="WQO2" s="1113"/>
      <c r="WQP2" s="1113"/>
      <c r="WQQ2" s="1113"/>
      <c r="WQR2" s="1113"/>
      <c r="WQS2" s="1113"/>
      <c r="WQT2" s="1113"/>
      <c r="WQU2" s="1113"/>
      <c r="WQV2" s="1113"/>
      <c r="WQW2" s="1113"/>
      <c r="WQX2" s="1113"/>
      <c r="WQY2" s="1113"/>
      <c r="WQZ2" s="1113"/>
      <c r="WRA2" s="1113"/>
      <c r="WRB2" s="1113"/>
      <c r="WRC2" s="1113"/>
      <c r="WRD2" s="1113"/>
      <c r="WRE2" s="1113"/>
      <c r="WRF2" s="1113"/>
      <c r="WRG2" s="1113"/>
      <c r="WRH2" s="1113"/>
      <c r="WRI2" s="1113"/>
      <c r="WRJ2" s="1113"/>
      <c r="WRK2" s="1113"/>
      <c r="WRL2" s="1113"/>
      <c r="WRM2" s="1113"/>
      <c r="WRN2" s="1113"/>
      <c r="WRO2" s="1113"/>
      <c r="WRP2" s="1113"/>
      <c r="WRQ2" s="1113"/>
      <c r="WRR2" s="1113"/>
      <c r="WRS2" s="1113"/>
      <c r="WRT2" s="1113"/>
      <c r="WRU2" s="1113"/>
      <c r="WRV2" s="1113"/>
      <c r="WRW2" s="1113"/>
      <c r="WRX2" s="1113"/>
      <c r="WRY2" s="1113"/>
      <c r="WRZ2" s="1113"/>
      <c r="WSA2" s="1113"/>
      <c r="WSB2" s="1113"/>
      <c r="WSC2" s="1113"/>
      <c r="WSD2" s="1113"/>
      <c r="WSE2" s="1113"/>
      <c r="WSF2" s="1113"/>
      <c r="WSG2" s="1113"/>
      <c r="WSH2" s="1113"/>
      <c r="WSI2" s="1113"/>
      <c r="WSJ2" s="1113"/>
      <c r="WSK2" s="1113"/>
      <c r="WSL2" s="1113"/>
      <c r="WSM2" s="1113"/>
      <c r="WSN2" s="1113"/>
      <c r="WSO2" s="1113"/>
      <c r="WSP2" s="1113"/>
      <c r="WSQ2" s="1113"/>
      <c r="WSR2" s="1113"/>
      <c r="WSS2" s="1113"/>
      <c r="WST2" s="1113"/>
      <c r="WSU2" s="1113"/>
      <c r="WSV2" s="1113"/>
      <c r="WSW2" s="1113"/>
      <c r="WSX2" s="1113"/>
      <c r="WSY2" s="1113"/>
      <c r="WSZ2" s="1113"/>
      <c r="WTA2" s="1113"/>
      <c r="WTB2" s="1113"/>
      <c r="WTC2" s="1113"/>
      <c r="WTD2" s="1113"/>
      <c r="WTE2" s="1113"/>
      <c r="WTF2" s="1113"/>
      <c r="WTG2" s="1113"/>
      <c r="WTH2" s="1113"/>
      <c r="WTI2" s="1113"/>
      <c r="WTJ2" s="1113"/>
      <c r="WTK2" s="1113"/>
      <c r="WTL2" s="1113"/>
      <c r="WTM2" s="1113"/>
      <c r="WTN2" s="1113"/>
      <c r="WTO2" s="1113"/>
      <c r="WTP2" s="1113"/>
      <c r="WTQ2" s="1113"/>
      <c r="WTR2" s="1113"/>
      <c r="WTS2" s="1113"/>
      <c r="WTT2" s="1113"/>
      <c r="WTU2" s="1113"/>
      <c r="WTV2" s="1113"/>
      <c r="WTW2" s="1113"/>
      <c r="WTX2" s="1113"/>
      <c r="WTY2" s="1113"/>
      <c r="WTZ2" s="1113"/>
      <c r="WUA2" s="1113"/>
      <c r="WUB2" s="1113"/>
      <c r="WUC2" s="1113"/>
      <c r="WUD2" s="1113"/>
      <c r="WUE2" s="1113"/>
      <c r="WUF2" s="1113"/>
      <c r="WUG2" s="1113"/>
      <c r="WUH2" s="1113"/>
      <c r="WUI2" s="1113"/>
      <c r="WUJ2" s="1113"/>
      <c r="WUK2" s="1113"/>
      <c r="WUL2" s="1113"/>
      <c r="WUM2" s="1113"/>
      <c r="WUN2" s="1113"/>
      <c r="WUO2" s="1113"/>
      <c r="WUP2" s="1113"/>
      <c r="WUQ2" s="1113"/>
      <c r="WUR2" s="1113"/>
      <c r="WUS2" s="1113"/>
      <c r="WUT2" s="1113"/>
      <c r="WUU2" s="1113"/>
      <c r="WUV2" s="1113"/>
      <c r="WUW2" s="1113"/>
      <c r="WUX2" s="1113"/>
      <c r="WUY2" s="1113"/>
      <c r="WUZ2" s="1113"/>
      <c r="WVA2" s="1113"/>
      <c r="WVB2" s="1113"/>
      <c r="WVC2" s="1113"/>
      <c r="WVD2" s="1113"/>
      <c r="WVE2" s="1113"/>
      <c r="WVF2" s="1113"/>
      <c r="WVG2" s="1113"/>
      <c r="WVH2" s="1113"/>
      <c r="WVI2" s="1113"/>
      <c r="WVJ2" s="1113"/>
      <c r="WVK2" s="1113"/>
      <c r="WVL2" s="1113"/>
      <c r="WVM2" s="1113"/>
      <c r="WVN2" s="1113"/>
      <c r="WVO2" s="1113"/>
      <c r="WVP2" s="1113"/>
      <c r="WVQ2" s="1113"/>
      <c r="WVR2" s="1113"/>
      <c r="WVS2" s="1113"/>
      <c r="WVT2" s="1113"/>
      <c r="WVU2" s="1113"/>
      <c r="WVV2" s="1113"/>
      <c r="WVW2" s="1113"/>
      <c r="WVX2" s="1113"/>
      <c r="WVY2" s="1113"/>
      <c r="WVZ2" s="1113"/>
      <c r="WWA2" s="1113"/>
      <c r="WWB2" s="1113"/>
      <c r="WWC2" s="1113"/>
      <c r="WWD2" s="1113"/>
      <c r="WWE2" s="1113"/>
      <c r="WWF2" s="1113"/>
      <c r="WWG2" s="1113"/>
      <c r="WWH2" s="1113"/>
      <c r="WWI2" s="1113"/>
      <c r="WWJ2" s="1113"/>
      <c r="WWK2" s="1113"/>
      <c r="WWL2" s="1113"/>
      <c r="WWM2" s="1113"/>
      <c r="WWN2" s="1113"/>
      <c r="WWO2" s="1113"/>
      <c r="WWP2" s="1113"/>
      <c r="WWQ2" s="1113"/>
      <c r="WWR2" s="1113"/>
      <c r="WWS2" s="1113"/>
      <c r="WWT2" s="1113"/>
      <c r="WWU2" s="1113"/>
      <c r="WWV2" s="1113"/>
      <c r="WWW2" s="1113"/>
      <c r="WWX2" s="1113"/>
      <c r="WWY2" s="1113"/>
      <c r="WWZ2" s="1113"/>
      <c r="WXA2" s="1113"/>
      <c r="WXB2" s="1113"/>
      <c r="WXC2" s="1113"/>
      <c r="WXD2" s="1113"/>
      <c r="WXE2" s="1113"/>
      <c r="WXF2" s="1113"/>
      <c r="WXG2" s="1113"/>
      <c r="WXH2" s="1113"/>
      <c r="WXI2" s="1113"/>
      <c r="WXJ2" s="1113"/>
      <c r="WXK2" s="1113"/>
      <c r="WXL2" s="1113"/>
      <c r="WXM2" s="1113"/>
      <c r="WXN2" s="1113"/>
      <c r="WXO2" s="1113"/>
      <c r="WXP2" s="1113"/>
      <c r="WXQ2" s="1113"/>
      <c r="WXR2" s="1113"/>
      <c r="WXS2" s="1113"/>
      <c r="WXT2" s="1113"/>
      <c r="WXU2" s="1113"/>
      <c r="WXV2" s="1113"/>
      <c r="WXW2" s="1113"/>
      <c r="WXX2" s="1113"/>
      <c r="WXY2" s="1113"/>
      <c r="WXZ2" s="1113"/>
      <c r="WYA2" s="1113"/>
      <c r="WYB2" s="1113"/>
      <c r="WYC2" s="1113"/>
      <c r="WYD2" s="1113"/>
      <c r="WYE2" s="1113"/>
      <c r="WYF2" s="1113"/>
      <c r="WYG2" s="1113"/>
      <c r="WYH2" s="1113"/>
      <c r="WYI2" s="1113"/>
      <c r="WYJ2" s="1113"/>
      <c r="WYK2" s="1113"/>
      <c r="WYL2" s="1113"/>
      <c r="WYM2" s="1113"/>
      <c r="WYN2" s="1113"/>
      <c r="WYO2" s="1113"/>
      <c r="WYP2" s="1113"/>
      <c r="WYQ2" s="1113"/>
      <c r="WYR2" s="1113"/>
      <c r="WYS2" s="1113"/>
      <c r="WYT2" s="1113"/>
      <c r="WYU2" s="1113"/>
      <c r="WYV2" s="1113"/>
      <c r="WYW2" s="1113"/>
      <c r="WYX2" s="1113"/>
      <c r="WYY2" s="1113"/>
      <c r="WYZ2" s="1113"/>
      <c r="WZA2" s="1113"/>
      <c r="WZB2" s="1113"/>
      <c r="WZC2" s="1113"/>
      <c r="WZD2" s="1113"/>
      <c r="WZE2" s="1113"/>
      <c r="WZF2" s="1113"/>
      <c r="WZG2" s="1113"/>
      <c r="WZH2" s="1113"/>
      <c r="WZI2" s="1113"/>
      <c r="WZJ2" s="1113"/>
      <c r="WZK2" s="1113"/>
      <c r="WZL2" s="1113"/>
      <c r="WZM2" s="1113"/>
      <c r="WZN2" s="1113"/>
      <c r="WZO2" s="1113"/>
      <c r="WZP2" s="1113"/>
      <c r="WZQ2" s="1113"/>
      <c r="WZR2" s="1113"/>
      <c r="WZS2" s="1113"/>
      <c r="WZT2" s="1113"/>
      <c r="WZU2" s="1113"/>
      <c r="WZV2" s="1113"/>
      <c r="WZW2" s="1113"/>
      <c r="WZX2" s="1113"/>
      <c r="WZY2" s="1113"/>
      <c r="WZZ2" s="1113"/>
      <c r="XAA2" s="1113"/>
      <c r="XAB2" s="1113"/>
      <c r="XAC2" s="1113"/>
      <c r="XAD2" s="1113"/>
      <c r="XAE2" s="1113"/>
      <c r="XAF2" s="1113"/>
      <c r="XAG2" s="1113"/>
      <c r="XAH2" s="1113"/>
      <c r="XAI2" s="1113"/>
      <c r="XAJ2" s="1113"/>
      <c r="XAK2" s="1113"/>
      <c r="XAL2" s="1113"/>
      <c r="XAM2" s="1113"/>
      <c r="XAN2" s="1113"/>
      <c r="XAO2" s="1113"/>
      <c r="XAP2" s="1113"/>
      <c r="XAQ2" s="1113"/>
      <c r="XAR2" s="1113"/>
      <c r="XAS2" s="1113"/>
      <c r="XAT2" s="1113"/>
      <c r="XAU2" s="1113"/>
      <c r="XAV2" s="1113"/>
      <c r="XAW2" s="1113"/>
      <c r="XAX2" s="1113"/>
      <c r="XAY2" s="1113"/>
      <c r="XAZ2" s="1113"/>
      <c r="XBA2" s="1113"/>
      <c r="XBB2" s="1113"/>
      <c r="XBC2" s="1113"/>
      <c r="XBD2" s="1113"/>
      <c r="XBE2" s="1113"/>
      <c r="XBF2" s="1113"/>
      <c r="XBG2" s="1113"/>
      <c r="XBH2" s="1113"/>
      <c r="XBI2" s="1113"/>
      <c r="XBJ2" s="1113"/>
      <c r="XBK2" s="1113"/>
      <c r="XBL2" s="1113"/>
      <c r="XBM2" s="1113"/>
      <c r="XBN2" s="1113"/>
      <c r="XBO2" s="1113"/>
      <c r="XBP2" s="1113"/>
      <c r="XBQ2" s="1113"/>
      <c r="XBR2" s="1113"/>
      <c r="XBS2" s="1113"/>
      <c r="XBT2" s="1113"/>
      <c r="XBU2" s="1113"/>
      <c r="XBV2" s="1113"/>
      <c r="XBW2" s="1113"/>
      <c r="XBX2" s="1113"/>
      <c r="XBY2" s="1113"/>
      <c r="XBZ2" s="1113"/>
      <c r="XCA2" s="1113"/>
      <c r="XCB2" s="1113"/>
      <c r="XCC2" s="1113"/>
      <c r="XCD2" s="1113"/>
      <c r="XCE2" s="1113"/>
      <c r="XCF2" s="1113"/>
      <c r="XCG2" s="1113"/>
      <c r="XCH2" s="1113"/>
      <c r="XCI2" s="1113"/>
      <c r="XCJ2" s="1113"/>
      <c r="XCK2" s="1113"/>
      <c r="XCL2" s="1113"/>
      <c r="XCM2" s="1113"/>
      <c r="XCN2" s="1113"/>
      <c r="XCO2" s="1113"/>
      <c r="XCP2" s="1113"/>
      <c r="XCQ2" s="1113"/>
      <c r="XCR2" s="1113"/>
      <c r="XCS2" s="1113"/>
      <c r="XCT2" s="1113"/>
      <c r="XCU2" s="1113"/>
      <c r="XCV2" s="1113"/>
      <c r="XCW2" s="1113"/>
      <c r="XCX2" s="1113"/>
      <c r="XCY2" s="1113"/>
      <c r="XCZ2" s="1113"/>
      <c r="XDA2" s="1113"/>
      <c r="XDB2" s="1113"/>
      <c r="XDC2" s="1113"/>
      <c r="XDD2" s="1113"/>
      <c r="XDE2" s="1113"/>
      <c r="XDF2" s="1113"/>
      <c r="XDG2" s="1113"/>
      <c r="XDH2" s="1113"/>
      <c r="XDI2" s="1113"/>
      <c r="XDJ2" s="1113"/>
      <c r="XDK2" s="1113"/>
      <c r="XDL2" s="1113"/>
      <c r="XDM2" s="1113"/>
      <c r="XDN2" s="1113"/>
      <c r="XDO2" s="1113"/>
      <c r="XDP2" s="1113"/>
      <c r="XDQ2" s="1113"/>
      <c r="XDR2" s="1113"/>
      <c r="XDS2" s="1113"/>
      <c r="XDT2" s="1113"/>
      <c r="XDU2" s="1113"/>
      <c r="XDV2" s="1113"/>
      <c r="XDW2" s="1113"/>
      <c r="XDX2" s="1113"/>
      <c r="XDY2" s="1113"/>
      <c r="XDZ2" s="1113"/>
      <c r="XEA2" s="1113"/>
      <c r="XEB2" s="1113"/>
      <c r="XEC2" s="1113"/>
      <c r="XED2" s="1113"/>
      <c r="XEE2" s="1113"/>
      <c r="XEF2" s="1113"/>
      <c r="XEG2" s="1113"/>
      <c r="XEH2" s="1113"/>
      <c r="XEI2" s="1113"/>
      <c r="XEJ2" s="1113"/>
      <c r="XEK2" s="1113"/>
      <c r="XEL2" s="1113"/>
      <c r="XEM2" s="1113"/>
      <c r="XEN2" s="1113"/>
      <c r="XEO2" s="1113"/>
      <c r="XEP2" s="1113"/>
      <c r="XEQ2" s="1113"/>
      <c r="XER2" s="1113"/>
      <c r="XES2" s="1113"/>
      <c r="XET2" s="1113"/>
      <c r="XEU2" s="1113"/>
      <c r="XEV2" s="1113"/>
      <c r="XEW2" s="1113"/>
      <c r="XEX2" s="1113"/>
      <c r="XEY2" s="1113"/>
      <c r="XEZ2" s="1113"/>
      <c r="XFA2" s="1113"/>
      <c r="XFB2" s="1113"/>
      <c r="XFC2" s="1113"/>
      <c r="XFD2" s="1113"/>
    </row>
    <row r="3" spans="1:16384" ht="18" customHeight="1" x14ac:dyDescent="0.35">
      <c r="B3" s="1342"/>
      <c r="D3" s="1343"/>
      <c r="E3" s="1343"/>
      <c r="F3" s="1343"/>
      <c r="G3" s="1343"/>
      <c r="H3" s="1343"/>
      <c r="I3" s="1343"/>
      <c r="J3" s="1343"/>
      <c r="K3" s="1343"/>
      <c r="L3" s="1343"/>
      <c r="M3" s="1113"/>
      <c r="N3" s="1113"/>
      <c r="O3" s="1113"/>
      <c r="P3" s="1113"/>
      <c r="Q3" s="1113"/>
      <c r="R3" s="1113"/>
      <c r="S3" s="1113"/>
      <c r="T3" s="1113"/>
      <c r="U3" s="1113"/>
      <c r="V3" s="1113"/>
      <c r="W3" s="1113"/>
      <c r="X3" s="1113"/>
      <c r="Y3" s="1113"/>
      <c r="Z3" s="1113"/>
      <c r="AA3" s="1113"/>
      <c r="AB3" s="1113"/>
      <c r="AC3" s="1113"/>
      <c r="AD3" s="1113"/>
      <c r="AE3" s="1113"/>
      <c r="AF3" s="1113"/>
      <c r="AG3" s="1113"/>
      <c r="AH3" s="1113"/>
      <c r="AI3" s="1113"/>
      <c r="AJ3" s="1113"/>
      <c r="AK3" s="1113"/>
      <c r="AL3" s="1113"/>
      <c r="AM3" s="1113"/>
      <c r="AN3" s="1113"/>
      <c r="AO3" s="1113"/>
      <c r="AP3" s="1113"/>
      <c r="AQ3" s="1113"/>
      <c r="AR3" s="1113"/>
      <c r="AS3" s="1113"/>
      <c r="AT3" s="1113"/>
      <c r="AU3" s="1113"/>
      <c r="AV3" s="1113"/>
      <c r="AW3" s="1113"/>
      <c r="AX3" s="1113"/>
      <c r="AY3" s="1113"/>
      <c r="AZ3" s="1113"/>
      <c r="BA3" s="1113"/>
      <c r="BB3" s="1113"/>
      <c r="BC3" s="1113"/>
      <c r="BD3" s="1113"/>
      <c r="BE3" s="1113"/>
      <c r="BF3" s="1113"/>
      <c r="BG3" s="1113"/>
      <c r="BH3" s="1113"/>
      <c r="BI3" s="1113"/>
      <c r="BJ3" s="1113"/>
      <c r="BK3" s="1113"/>
      <c r="BL3" s="1113"/>
      <c r="BM3" s="1113"/>
      <c r="BN3" s="1113"/>
      <c r="BO3" s="1113"/>
      <c r="BP3" s="1113"/>
      <c r="BQ3" s="1113"/>
      <c r="BR3" s="1113"/>
      <c r="BS3" s="1113"/>
      <c r="BT3" s="1113"/>
      <c r="BU3" s="1113"/>
      <c r="BV3" s="1113"/>
      <c r="BW3" s="1113"/>
      <c r="BX3" s="1113"/>
      <c r="BY3" s="1113"/>
      <c r="BZ3" s="1113"/>
      <c r="CA3" s="1113"/>
      <c r="CB3" s="1113"/>
      <c r="CC3" s="1113"/>
      <c r="CD3" s="1113"/>
      <c r="CE3" s="1113"/>
      <c r="CF3" s="1113"/>
      <c r="CG3" s="1113"/>
      <c r="CH3" s="1113"/>
      <c r="CI3" s="1113"/>
      <c r="CJ3" s="1113"/>
      <c r="CK3" s="1113"/>
      <c r="CL3" s="1113"/>
      <c r="CM3" s="1113"/>
      <c r="CN3" s="1113"/>
      <c r="CO3" s="1113"/>
      <c r="CP3" s="1113"/>
      <c r="CQ3" s="1113"/>
      <c r="CR3" s="1113"/>
      <c r="CS3" s="1113"/>
      <c r="CT3" s="1113"/>
      <c r="CU3" s="1113"/>
      <c r="CV3" s="1113"/>
      <c r="CW3" s="1113"/>
      <c r="CX3" s="1113"/>
      <c r="CY3" s="1113"/>
      <c r="CZ3" s="1113"/>
      <c r="DA3" s="1113"/>
      <c r="DB3" s="1113"/>
      <c r="DC3" s="1113"/>
      <c r="DD3" s="1113"/>
      <c r="DE3" s="1113"/>
      <c r="DF3" s="1113"/>
      <c r="DG3" s="1113"/>
      <c r="DH3" s="1113"/>
      <c r="DI3" s="1113"/>
      <c r="DJ3" s="1113"/>
      <c r="DK3" s="1113"/>
      <c r="DL3" s="1113"/>
      <c r="DM3" s="1113"/>
      <c r="DN3" s="1113"/>
      <c r="DO3" s="1113"/>
      <c r="DP3" s="1113"/>
      <c r="DQ3" s="1113"/>
      <c r="DR3" s="1113"/>
      <c r="DS3" s="1113"/>
      <c r="DT3" s="1113"/>
      <c r="DU3" s="1113"/>
      <c r="DV3" s="1113"/>
      <c r="DW3" s="1113"/>
      <c r="DX3" s="1113"/>
      <c r="DY3" s="1113"/>
      <c r="DZ3" s="1113"/>
      <c r="EA3" s="1113"/>
      <c r="EB3" s="1113"/>
      <c r="EC3" s="1113"/>
      <c r="ED3" s="1113"/>
      <c r="EE3" s="1113"/>
      <c r="EF3" s="1113"/>
      <c r="EG3" s="1113"/>
      <c r="EH3" s="1113"/>
      <c r="EI3" s="1113"/>
      <c r="EJ3" s="1113"/>
      <c r="EK3" s="1113"/>
      <c r="EL3" s="1113"/>
      <c r="EM3" s="1113"/>
      <c r="EN3" s="1113"/>
      <c r="EO3" s="1113"/>
      <c r="EP3" s="1113"/>
      <c r="EQ3" s="1113"/>
      <c r="ER3" s="1113"/>
      <c r="ES3" s="1113"/>
      <c r="ET3" s="1113"/>
      <c r="EU3" s="1113"/>
      <c r="EV3" s="1113"/>
      <c r="EW3" s="1113"/>
      <c r="EX3" s="1113"/>
      <c r="EY3" s="1113"/>
      <c r="EZ3" s="1113"/>
      <c r="FA3" s="1113"/>
      <c r="FB3" s="1113"/>
      <c r="FC3" s="1113"/>
      <c r="FD3" s="1113"/>
      <c r="FE3" s="1113"/>
      <c r="FF3" s="1113"/>
      <c r="FG3" s="1113"/>
      <c r="FH3" s="1113"/>
      <c r="FI3" s="1113"/>
      <c r="FJ3" s="1113"/>
      <c r="FK3" s="1113"/>
      <c r="FL3" s="1113"/>
      <c r="FM3" s="1113"/>
      <c r="FN3" s="1113"/>
      <c r="FO3" s="1113"/>
      <c r="FP3" s="1113"/>
      <c r="FQ3" s="1113"/>
      <c r="FR3" s="1113"/>
      <c r="FS3" s="1113"/>
      <c r="FT3" s="1113"/>
      <c r="FU3" s="1113"/>
      <c r="FV3" s="1113"/>
      <c r="FW3" s="1113"/>
      <c r="FX3" s="1113"/>
      <c r="FY3" s="1113"/>
      <c r="FZ3" s="1113"/>
      <c r="GA3" s="1113"/>
      <c r="GB3" s="1113"/>
      <c r="GC3" s="1113"/>
      <c r="GD3" s="1113"/>
      <c r="GE3" s="1113"/>
      <c r="GF3" s="1113"/>
      <c r="GG3" s="1113"/>
      <c r="GH3" s="1113"/>
      <c r="GI3" s="1113"/>
      <c r="GJ3" s="1113"/>
      <c r="GK3" s="1113"/>
      <c r="GL3" s="1113"/>
      <c r="GM3" s="1113"/>
      <c r="GN3" s="1113"/>
      <c r="GO3" s="1113"/>
      <c r="GP3" s="1113"/>
      <c r="GQ3" s="1113"/>
      <c r="GR3" s="1113"/>
      <c r="GS3" s="1113"/>
      <c r="GT3" s="1113"/>
      <c r="GU3" s="1113"/>
      <c r="GV3" s="1113"/>
      <c r="GW3" s="1113"/>
      <c r="GX3" s="1113"/>
      <c r="GY3" s="1113"/>
      <c r="GZ3" s="1113"/>
      <c r="HA3" s="1113"/>
      <c r="HB3" s="1113"/>
      <c r="HC3" s="1113"/>
      <c r="HD3" s="1113"/>
      <c r="HE3" s="1113"/>
      <c r="HF3" s="1113"/>
      <c r="HG3" s="1113"/>
      <c r="HH3" s="1113"/>
      <c r="HI3" s="1113"/>
      <c r="HJ3" s="1113"/>
      <c r="HK3" s="1113"/>
      <c r="HL3" s="1113"/>
      <c r="HM3" s="1113"/>
      <c r="HN3" s="1113"/>
      <c r="HO3" s="1113"/>
      <c r="HP3" s="1113"/>
      <c r="HQ3" s="1113"/>
      <c r="HR3" s="1113"/>
      <c r="HS3" s="1113"/>
      <c r="HT3" s="1113"/>
      <c r="HU3" s="1113"/>
      <c r="HV3" s="1113"/>
      <c r="HW3" s="1113"/>
      <c r="HX3" s="1113"/>
      <c r="HY3" s="1113"/>
      <c r="HZ3" s="1113"/>
      <c r="IA3" s="1113"/>
      <c r="IB3" s="1113"/>
      <c r="IC3" s="1113"/>
      <c r="ID3" s="1113"/>
      <c r="IE3" s="1113"/>
      <c r="IF3" s="1113"/>
      <c r="IG3" s="1113"/>
      <c r="IH3" s="1113"/>
      <c r="II3" s="1113"/>
      <c r="IJ3" s="1113"/>
      <c r="IK3" s="1113"/>
      <c r="IL3" s="1113"/>
      <c r="IM3" s="1113"/>
      <c r="IN3" s="1113"/>
      <c r="IO3" s="1113"/>
      <c r="IP3" s="1113"/>
      <c r="IQ3" s="1113"/>
      <c r="IR3" s="1113"/>
      <c r="IS3" s="1113"/>
      <c r="IT3" s="1113"/>
      <c r="IU3" s="1113"/>
      <c r="IV3" s="1113"/>
      <c r="IW3" s="1113"/>
      <c r="IX3" s="1113"/>
      <c r="IY3" s="1113"/>
      <c r="IZ3" s="1113"/>
      <c r="JA3" s="1113"/>
      <c r="JB3" s="1113"/>
      <c r="JC3" s="1113"/>
      <c r="JD3" s="1113"/>
      <c r="JE3" s="1113"/>
      <c r="JF3" s="1113"/>
      <c r="JG3" s="1113"/>
      <c r="JH3" s="1113"/>
      <c r="JI3" s="1113"/>
      <c r="JJ3" s="1113"/>
      <c r="JK3" s="1113"/>
      <c r="JL3" s="1113"/>
      <c r="JM3" s="1113"/>
      <c r="JN3" s="1113"/>
      <c r="JO3" s="1113"/>
      <c r="JP3" s="1113"/>
      <c r="JQ3" s="1113"/>
      <c r="JR3" s="1113"/>
      <c r="JS3" s="1113"/>
      <c r="JT3" s="1113"/>
      <c r="JU3" s="1113"/>
      <c r="JV3" s="1113"/>
      <c r="JW3" s="1113"/>
      <c r="JX3" s="1113"/>
      <c r="JY3" s="1113"/>
      <c r="JZ3" s="1113"/>
      <c r="KA3" s="1113"/>
      <c r="KB3" s="1113"/>
      <c r="KC3" s="1113"/>
      <c r="KD3" s="1113"/>
      <c r="KE3" s="1113"/>
      <c r="KF3" s="1113"/>
      <c r="KG3" s="1113"/>
      <c r="KH3" s="1113"/>
      <c r="KI3" s="1113"/>
      <c r="KJ3" s="1113"/>
      <c r="KK3" s="1113"/>
      <c r="KL3" s="1113"/>
      <c r="KM3" s="1113"/>
      <c r="KN3" s="1113"/>
      <c r="KO3" s="1113"/>
      <c r="KP3" s="1113"/>
      <c r="KQ3" s="1113"/>
      <c r="KR3" s="1113"/>
      <c r="KS3" s="1113"/>
      <c r="KT3" s="1113"/>
      <c r="KU3" s="1113"/>
      <c r="KV3" s="1113"/>
      <c r="KW3" s="1113"/>
      <c r="KX3" s="1113"/>
      <c r="KY3" s="1113"/>
      <c r="KZ3" s="1113"/>
      <c r="LA3" s="1113"/>
      <c r="LB3" s="1113"/>
      <c r="LC3" s="1113"/>
      <c r="LD3" s="1113"/>
      <c r="LE3" s="1113"/>
      <c r="LF3" s="1113"/>
      <c r="LG3" s="1113"/>
      <c r="LH3" s="1113"/>
      <c r="LI3" s="1113"/>
      <c r="LJ3" s="1113"/>
      <c r="LK3" s="1113"/>
      <c r="LL3" s="1113"/>
      <c r="LM3" s="1113"/>
      <c r="LN3" s="1113"/>
      <c r="LO3" s="1113"/>
      <c r="LP3" s="1113"/>
      <c r="LQ3" s="1113"/>
      <c r="LR3" s="1113"/>
      <c r="LS3" s="1113"/>
      <c r="LT3" s="1113"/>
      <c r="LU3" s="1113"/>
      <c r="LV3" s="1113"/>
      <c r="LW3" s="1113"/>
      <c r="LX3" s="1113"/>
      <c r="LY3" s="1113"/>
      <c r="LZ3" s="1113"/>
      <c r="MA3" s="1113"/>
      <c r="MB3" s="1113"/>
      <c r="MC3" s="1113"/>
      <c r="MD3" s="1113"/>
      <c r="ME3" s="1113"/>
      <c r="MF3" s="1113"/>
      <c r="MG3" s="1113"/>
      <c r="MH3" s="1113"/>
      <c r="MI3" s="1113"/>
      <c r="MJ3" s="1113"/>
      <c r="MK3" s="1113"/>
      <c r="ML3" s="1113"/>
      <c r="MM3" s="1113"/>
      <c r="MN3" s="1113"/>
      <c r="MO3" s="1113"/>
      <c r="MP3" s="1113"/>
      <c r="MQ3" s="1113"/>
      <c r="MR3" s="1113"/>
      <c r="MS3" s="1113"/>
      <c r="MT3" s="1113"/>
      <c r="MU3" s="1113"/>
      <c r="MV3" s="1113"/>
      <c r="MW3" s="1113"/>
      <c r="MX3" s="1113"/>
      <c r="MY3" s="1113"/>
      <c r="MZ3" s="1113"/>
      <c r="NA3" s="1113"/>
      <c r="NB3" s="1113"/>
      <c r="NC3" s="1113"/>
      <c r="ND3" s="1113"/>
      <c r="NE3" s="1113"/>
      <c r="NF3" s="1113"/>
      <c r="NG3" s="1113"/>
      <c r="NH3" s="1113"/>
      <c r="NI3" s="1113"/>
      <c r="NJ3" s="1113"/>
      <c r="NK3" s="1113"/>
      <c r="NL3" s="1113"/>
      <c r="NM3" s="1113"/>
      <c r="NN3" s="1113"/>
      <c r="NO3" s="1113"/>
      <c r="NP3" s="1113"/>
      <c r="NQ3" s="1113"/>
      <c r="NR3" s="1113"/>
      <c r="NS3" s="1113"/>
      <c r="NT3" s="1113"/>
      <c r="NU3" s="1113"/>
      <c r="NV3" s="1113"/>
      <c r="NW3" s="1113"/>
      <c r="NX3" s="1113"/>
      <c r="NY3" s="1113"/>
      <c r="NZ3" s="1113"/>
      <c r="OA3" s="1113"/>
      <c r="OB3" s="1113"/>
      <c r="OC3" s="1113"/>
      <c r="OD3" s="1113"/>
      <c r="OE3" s="1113"/>
      <c r="OF3" s="1113"/>
      <c r="OG3" s="1113"/>
      <c r="OH3" s="1113"/>
      <c r="OI3" s="1113"/>
      <c r="OJ3" s="1113"/>
      <c r="OK3" s="1113"/>
      <c r="OL3" s="1113"/>
      <c r="OM3" s="1113"/>
      <c r="ON3" s="1113"/>
      <c r="OO3" s="1113"/>
      <c r="OP3" s="1113"/>
      <c r="OQ3" s="1113"/>
      <c r="OR3" s="1113"/>
      <c r="OS3" s="1113"/>
      <c r="OT3" s="1113"/>
      <c r="OU3" s="1113"/>
      <c r="OV3" s="1113"/>
      <c r="OW3" s="1113"/>
      <c r="OX3" s="1113"/>
      <c r="OY3" s="1113"/>
      <c r="OZ3" s="1113"/>
      <c r="PA3" s="1113"/>
      <c r="PB3" s="1113"/>
      <c r="PC3" s="1113"/>
      <c r="PD3" s="1113"/>
      <c r="PE3" s="1113"/>
      <c r="PF3" s="1113"/>
      <c r="PG3" s="1113"/>
      <c r="PH3" s="1113"/>
      <c r="PI3" s="1113"/>
      <c r="PJ3" s="1113"/>
      <c r="PK3" s="1113"/>
      <c r="PL3" s="1113"/>
      <c r="PM3" s="1113"/>
      <c r="PN3" s="1113"/>
      <c r="PO3" s="1113"/>
      <c r="PP3" s="1113"/>
      <c r="PQ3" s="1113"/>
      <c r="PR3" s="1113"/>
      <c r="PS3" s="1113"/>
      <c r="PT3" s="1113"/>
      <c r="PU3" s="1113"/>
      <c r="PV3" s="1113"/>
      <c r="PW3" s="1113"/>
      <c r="PX3" s="1113"/>
      <c r="PY3" s="1113"/>
      <c r="PZ3" s="1113"/>
      <c r="QA3" s="1113"/>
      <c r="QB3" s="1113"/>
      <c r="QC3" s="1113"/>
      <c r="QD3" s="1113"/>
      <c r="QE3" s="1113"/>
      <c r="QF3" s="1113"/>
      <c r="QG3" s="1113"/>
      <c r="QH3" s="1113"/>
      <c r="QI3" s="1113"/>
      <c r="QJ3" s="1113"/>
      <c r="QK3" s="1113"/>
      <c r="QL3" s="1113"/>
      <c r="QM3" s="1113"/>
      <c r="QN3" s="1113"/>
      <c r="QO3" s="1113"/>
      <c r="QP3" s="1113"/>
      <c r="QQ3" s="1113"/>
      <c r="QR3" s="1113"/>
      <c r="QS3" s="1113"/>
      <c r="QT3" s="1113"/>
      <c r="QU3" s="1113"/>
      <c r="QV3" s="1113"/>
      <c r="QW3" s="1113"/>
      <c r="QX3" s="1113"/>
      <c r="QY3" s="1113"/>
      <c r="QZ3" s="1113"/>
      <c r="RA3" s="1113"/>
      <c r="RB3" s="1113"/>
      <c r="RC3" s="1113"/>
      <c r="RD3" s="1113"/>
      <c r="RE3" s="1113"/>
      <c r="RF3" s="1113"/>
      <c r="RG3" s="1113"/>
      <c r="RH3" s="1113"/>
      <c r="RI3" s="1113"/>
      <c r="RJ3" s="1113"/>
      <c r="RK3" s="1113"/>
      <c r="RL3" s="1113"/>
      <c r="RM3" s="1113"/>
      <c r="RN3" s="1113"/>
      <c r="RO3" s="1113"/>
      <c r="RP3" s="1113"/>
      <c r="RQ3" s="1113"/>
      <c r="RR3" s="1113"/>
      <c r="RS3" s="1113"/>
      <c r="RT3" s="1113"/>
      <c r="RU3" s="1113"/>
      <c r="RV3" s="1113"/>
      <c r="RW3" s="1113"/>
      <c r="RX3" s="1113"/>
      <c r="RY3" s="1113"/>
      <c r="RZ3" s="1113"/>
      <c r="SA3" s="1113"/>
      <c r="SB3" s="1113"/>
      <c r="SC3" s="1113"/>
      <c r="SD3" s="1113"/>
      <c r="SE3" s="1113"/>
      <c r="SF3" s="1113"/>
      <c r="SG3" s="1113"/>
      <c r="SH3" s="1113"/>
      <c r="SI3" s="1113"/>
      <c r="SJ3" s="1113"/>
      <c r="SK3" s="1113"/>
      <c r="SL3" s="1113"/>
      <c r="SM3" s="1113"/>
      <c r="SN3" s="1113"/>
      <c r="SO3" s="1113"/>
      <c r="SP3" s="1113"/>
      <c r="SQ3" s="1113"/>
      <c r="SR3" s="1113"/>
      <c r="SS3" s="1113"/>
      <c r="ST3" s="1113"/>
      <c r="SU3" s="1113"/>
      <c r="SV3" s="1113"/>
      <c r="SW3" s="1113"/>
      <c r="SX3" s="1113"/>
      <c r="SY3" s="1113"/>
      <c r="SZ3" s="1113"/>
      <c r="TA3" s="1113"/>
      <c r="TB3" s="1113"/>
      <c r="TC3" s="1113"/>
      <c r="TD3" s="1113"/>
      <c r="TE3" s="1113"/>
      <c r="TF3" s="1113"/>
      <c r="TG3" s="1113"/>
      <c r="TH3" s="1113"/>
      <c r="TI3" s="1113"/>
      <c r="TJ3" s="1113"/>
      <c r="TK3" s="1113"/>
      <c r="TL3" s="1113"/>
      <c r="TM3" s="1113"/>
      <c r="TN3" s="1113"/>
      <c r="TO3" s="1113"/>
      <c r="TP3" s="1113"/>
      <c r="TQ3" s="1113"/>
      <c r="TR3" s="1113"/>
      <c r="TS3" s="1113"/>
      <c r="TT3" s="1113"/>
      <c r="TU3" s="1113"/>
      <c r="TV3" s="1113"/>
      <c r="TW3" s="1113"/>
      <c r="TX3" s="1113"/>
      <c r="TY3" s="1113"/>
      <c r="TZ3" s="1113"/>
      <c r="UA3" s="1113"/>
      <c r="UB3" s="1113"/>
      <c r="UC3" s="1113"/>
      <c r="UD3" s="1113"/>
      <c r="UE3" s="1113"/>
      <c r="UF3" s="1113"/>
      <c r="UG3" s="1113"/>
      <c r="UH3" s="1113"/>
      <c r="UI3" s="1113"/>
      <c r="UJ3" s="1113"/>
      <c r="UK3" s="1113"/>
      <c r="UL3" s="1113"/>
      <c r="UM3" s="1113"/>
      <c r="UN3" s="1113"/>
      <c r="UO3" s="1113"/>
      <c r="UP3" s="1113"/>
      <c r="UQ3" s="1113"/>
      <c r="UR3" s="1113"/>
      <c r="US3" s="1113"/>
      <c r="UT3" s="1113"/>
      <c r="UU3" s="1113"/>
      <c r="UV3" s="1113"/>
      <c r="UW3" s="1113"/>
      <c r="UX3" s="1113"/>
      <c r="UY3" s="1113"/>
      <c r="UZ3" s="1113"/>
      <c r="VA3" s="1113"/>
      <c r="VB3" s="1113"/>
      <c r="VC3" s="1113"/>
      <c r="VD3" s="1113"/>
      <c r="VE3" s="1113"/>
      <c r="VF3" s="1113"/>
      <c r="VG3" s="1113"/>
      <c r="VH3" s="1113"/>
      <c r="VI3" s="1113"/>
      <c r="VJ3" s="1113"/>
      <c r="VK3" s="1113"/>
      <c r="VL3" s="1113"/>
      <c r="VM3" s="1113"/>
      <c r="VN3" s="1113"/>
      <c r="VO3" s="1113"/>
      <c r="VP3" s="1113"/>
      <c r="VQ3" s="1113"/>
      <c r="VR3" s="1113"/>
      <c r="VS3" s="1113"/>
      <c r="VT3" s="1113"/>
      <c r="VU3" s="1113"/>
      <c r="VV3" s="1113"/>
      <c r="VW3" s="1113"/>
      <c r="VX3" s="1113"/>
      <c r="VY3" s="1113"/>
      <c r="VZ3" s="1113"/>
      <c r="WA3" s="1113"/>
      <c r="WB3" s="1113"/>
      <c r="WC3" s="1113"/>
      <c r="WD3" s="1113"/>
      <c r="WE3" s="1113"/>
      <c r="WF3" s="1113"/>
      <c r="WG3" s="1113"/>
      <c r="WH3" s="1113"/>
      <c r="WI3" s="1113"/>
      <c r="WJ3" s="1113"/>
      <c r="WK3" s="1113"/>
      <c r="WL3" s="1113"/>
      <c r="WM3" s="1113"/>
      <c r="WN3" s="1113"/>
      <c r="WO3" s="1113"/>
      <c r="WP3" s="1113"/>
      <c r="WQ3" s="1113"/>
      <c r="WR3" s="1113"/>
      <c r="WS3" s="1113"/>
      <c r="WT3" s="1113"/>
      <c r="WU3" s="1113"/>
      <c r="WV3" s="1113"/>
      <c r="WW3" s="1113"/>
      <c r="WX3" s="1113"/>
      <c r="WY3" s="1113"/>
      <c r="WZ3" s="1113"/>
      <c r="XA3" s="1113"/>
      <c r="XB3" s="1113"/>
      <c r="XC3" s="1113"/>
      <c r="XD3" s="1113"/>
      <c r="XE3" s="1113"/>
      <c r="XF3" s="1113"/>
      <c r="XG3" s="1113"/>
      <c r="XH3" s="1113"/>
      <c r="XI3" s="1113"/>
      <c r="XJ3" s="1113"/>
      <c r="XK3" s="1113"/>
      <c r="XL3" s="1113"/>
      <c r="XM3" s="1113"/>
      <c r="XN3" s="1113"/>
      <c r="XO3" s="1113"/>
      <c r="XP3" s="1113"/>
      <c r="XQ3" s="1113"/>
      <c r="XR3" s="1113"/>
      <c r="XS3" s="1113"/>
      <c r="XT3" s="1113"/>
      <c r="XU3" s="1113"/>
      <c r="XV3" s="1113"/>
      <c r="XW3" s="1113"/>
      <c r="XX3" s="1113"/>
      <c r="XY3" s="1113"/>
      <c r="XZ3" s="1113"/>
      <c r="YA3" s="1113"/>
      <c r="YB3" s="1113"/>
      <c r="YC3" s="1113"/>
      <c r="YD3" s="1113"/>
      <c r="YE3" s="1113"/>
      <c r="YF3" s="1113"/>
      <c r="YG3" s="1113"/>
      <c r="YH3" s="1113"/>
      <c r="YI3" s="1113"/>
      <c r="YJ3" s="1113"/>
      <c r="YK3" s="1113"/>
      <c r="YL3" s="1113"/>
      <c r="YM3" s="1113"/>
      <c r="YN3" s="1113"/>
      <c r="YO3" s="1113"/>
      <c r="YP3" s="1113"/>
      <c r="YQ3" s="1113"/>
      <c r="YR3" s="1113"/>
      <c r="YS3" s="1113"/>
      <c r="YT3" s="1113"/>
      <c r="YU3" s="1113"/>
      <c r="YV3" s="1113"/>
      <c r="YW3" s="1113"/>
      <c r="YX3" s="1113"/>
      <c r="YY3" s="1113"/>
      <c r="YZ3" s="1113"/>
      <c r="ZA3" s="1113"/>
      <c r="ZB3" s="1113"/>
      <c r="ZC3" s="1113"/>
      <c r="ZD3" s="1113"/>
      <c r="ZE3" s="1113"/>
      <c r="ZF3" s="1113"/>
      <c r="ZG3" s="1113"/>
      <c r="ZH3" s="1113"/>
      <c r="ZI3" s="1113"/>
      <c r="ZJ3" s="1113"/>
      <c r="ZK3" s="1113"/>
      <c r="ZL3" s="1113"/>
      <c r="ZM3" s="1113"/>
      <c r="ZN3" s="1113"/>
      <c r="ZO3" s="1113"/>
      <c r="ZP3" s="1113"/>
      <c r="ZQ3" s="1113"/>
      <c r="ZR3" s="1113"/>
      <c r="ZS3" s="1113"/>
      <c r="ZT3" s="1113"/>
      <c r="ZU3" s="1113"/>
      <c r="ZV3" s="1113"/>
      <c r="ZW3" s="1113"/>
      <c r="ZX3" s="1113"/>
      <c r="ZY3" s="1113"/>
      <c r="ZZ3" s="1113"/>
      <c r="AAA3" s="1113"/>
      <c r="AAB3" s="1113"/>
      <c r="AAC3" s="1113"/>
      <c r="AAD3" s="1113"/>
      <c r="AAE3" s="1113"/>
      <c r="AAF3" s="1113"/>
      <c r="AAG3" s="1113"/>
      <c r="AAH3" s="1113"/>
      <c r="AAI3" s="1113"/>
      <c r="AAJ3" s="1113"/>
      <c r="AAK3" s="1113"/>
      <c r="AAL3" s="1113"/>
      <c r="AAM3" s="1113"/>
      <c r="AAN3" s="1113"/>
      <c r="AAO3" s="1113"/>
      <c r="AAP3" s="1113"/>
      <c r="AAQ3" s="1113"/>
      <c r="AAR3" s="1113"/>
      <c r="AAS3" s="1113"/>
      <c r="AAT3" s="1113"/>
      <c r="AAU3" s="1113"/>
      <c r="AAV3" s="1113"/>
      <c r="AAW3" s="1113"/>
      <c r="AAX3" s="1113"/>
      <c r="AAY3" s="1113"/>
      <c r="AAZ3" s="1113"/>
      <c r="ABA3" s="1113"/>
      <c r="ABB3" s="1113"/>
      <c r="ABC3" s="1113"/>
      <c r="ABD3" s="1113"/>
      <c r="ABE3" s="1113"/>
      <c r="ABF3" s="1113"/>
      <c r="ABG3" s="1113"/>
      <c r="ABH3" s="1113"/>
      <c r="ABI3" s="1113"/>
      <c r="ABJ3" s="1113"/>
      <c r="ABK3" s="1113"/>
      <c r="ABL3" s="1113"/>
      <c r="ABM3" s="1113"/>
      <c r="ABN3" s="1113"/>
      <c r="ABO3" s="1113"/>
      <c r="ABP3" s="1113"/>
      <c r="ABQ3" s="1113"/>
      <c r="ABR3" s="1113"/>
      <c r="ABS3" s="1113"/>
      <c r="ABT3" s="1113"/>
      <c r="ABU3" s="1113"/>
      <c r="ABV3" s="1113"/>
      <c r="ABW3" s="1113"/>
      <c r="ABX3" s="1113"/>
      <c r="ABY3" s="1113"/>
      <c r="ABZ3" s="1113"/>
      <c r="ACA3" s="1113"/>
      <c r="ACB3" s="1113"/>
      <c r="ACC3" s="1113"/>
      <c r="ACD3" s="1113"/>
      <c r="ACE3" s="1113"/>
      <c r="ACF3" s="1113"/>
      <c r="ACG3" s="1113"/>
      <c r="ACH3" s="1113"/>
      <c r="ACI3" s="1113"/>
      <c r="ACJ3" s="1113"/>
      <c r="ACK3" s="1113"/>
      <c r="ACL3" s="1113"/>
      <c r="ACM3" s="1113"/>
      <c r="ACN3" s="1113"/>
      <c r="ACO3" s="1113"/>
      <c r="ACP3" s="1113"/>
      <c r="ACQ3" s="1113"/>
      <c r="ACR3" s="1113"/>
      <c r="ACS3" s="1113"/>
      <c r="ACT3" s="1113"/>
      <c r="ACU3" s="1113"/>
      <c r="ACV3" s="1113"/>
      <c r="ACW3" s="1113"/>
      <c r="ACX3" s="1113"/>
      <c r="ACY3" s="1113"/>
      <c r="ACZ3" s="1113"/>
      <c r="ADA3" s="1113"/>
      <c r="ADB3" s="1113"/>
      <c r="ADC3" s="1113"/>
      <c r="ADD3" s="1113"/>
      <c r="ADE3" s="1113"/>
      <c r="ADF3" s="1113"/>
      <c r="ADG3" s="1113"/>
      <c r="ADH3" s="1113"/>
      <c r="ADI3" s="1113"/>
      <c r="ADJ3" s="1113"/>
      <c r="ADK3" s="1113"/>
      <c r="ADL3" s="1113"/>
      <c r="ADM3" s="1113"/>
      <c r="ADN3" s="1113"/>
      <c r="ADO3" s="1113"/>
      <c r="ADP3" s="1113"/>
      <c r="ADQ3" s="1113"/>
      <c r="ADR3" s="1113"/>
      <c r="ADS3" s="1113"/>
      <c r="ADT3" s="1113"/>
      <c r="ADU3" s="1113"/>
      <c r="ADV3" s="1113"/>
      <c r="ADW3" s="1113"/>
      <c r="ADX3" s="1113"/>
      <c r="ADY3" s="1113"/>
      <c r="ADZ3" s="1113"/>
      <c r="AEA3" s="1113"/>
      <c r="AEB3" s="1113"/>
      <c r="AEC3" s="1113"/>
      <c r="AED3" s="1113"/>
      <c r="AEE3" s="1113"/>
      <c r="AEF3" s="1113"/>
      <c r="AEG3" s="1113"/>
      <c r="AEH3" s="1113"/>
      <c r="AEI3" s="1113"/>
      <c r="AEJ3" s="1113"/>
      <c r="AEK3" s="1113"/>
      <c r="AEL3" s="1113"/>
      <c r="AEM3" s="1113"/>
      <c r="AEN3" s="1113"/>
      <c r="AEO3" s="1113"/>
      <c r="AEP3" s="1113"/>
      <c r="AEQ3" s="1113"/>
      <c r="AER3" s="1113"/>
      <c r="AES3" s="1113"/>
      <c r="AET3" s="1113"/>
      <c r="AEU3" s="1113"/>
      <c r="AEV3" s="1113"/>
      <c r="AEW3" s="1113"/>
      <c r="AEX3" s="1113"/>
      <c r="AEY3" s="1113"/>
      <c r="AEZ3" s="1113"/>
      <c r="AFA3" s="1113"/>
      <c r="AFB3" s="1113"/>
      <c r="AFC3" s="1113"/>
      <c r="AFD3" s="1113"/>
      <c r="AFE3" s="1113"/>
      <c r="AFF3" s="1113"/>
      <c r="AFG3" s="1113"/>
      <c r="AFH3" s="1113"/>
      <c r="AFI3" s="1113"/>
      <c r="AFJ3" s="1113"/>
      <c r="AFK3" s="1113"/>
      <c r="AFL3" s="1113"/>
      <c r="AFM3" s="1113"/>
      <c r="AFN3" s="1113"/>
      <c r="AFO3" s="1113"/>
      <c r="AFP3" s="1113"/>
      <c r="AFQ3" s="1113"/>
      <c r="AFR3" s="1113"/>
      <c r="AFS3" s="1113"/>
      <c r="AFT3" s="1113"/>
      <c r="AFU3" s="1113"/>
      <c r="AFV3" s="1113"/>
      <c r="AFW3" s="1113"/>
      <c r="AFX3" s="1113"/>
      <c r="AFY3" s="1113"/>
      <c r="AFZ3" s="1113"/>
      <c r="AGA3" s="1113"/>
      <c r="AGB3" s="1113"/>
      <c r="AGC3" s="1113"/>
      <c r="AGD3" s="1113"/>
      <c r="AGE3" s="1113"/>
      <c r="AGF3" s="1113"/>
      <c r="AGG3" s="1113"/>
      <c r="AGH3" s="1113"/>
      <c r="AGI3" s="1113"/>
      <c r="AGJ3" s="1113"/>
      <c r="AGK3" s="1113"/>
      <c r="AGL3" s="1113"/>
      <c r="AGM3" s="1113"/>
      <c r="AGN3" s="1113"/>
      <c r="AGO3" s="1113"/>
      <c r="AGP3" s="1113"/>
      <c r="AGQ3" s="1113"/>
      <c r="AGR3" s="1113"/>
      <c r="AGS3" s="1113"/>
      <c r="AGT3" s="1113"/>
      <c r="AGU3" s="1113"/>
      <c r="AGV3" s="1113"/>
      <c r="AGW3" s="1113"/>
      <c r="AGX3" s="1113"/>
      <c r="AGY3" s="1113"/>
      <c r="AGZ3" s="1113"/>
      <c r="AHA3" s="1113"/>
      <c r="AHB3" s="1113"/>
      <c r="AHC3" s="1113"/>
      <c r="AHD3" s="1113"/>
      <c r="AHE3" s="1113"/>
      <c r="AHF3" s="1113"/>
      <c r="AHG3" s="1113"/>
      <c r="AHH3" s="1113"/>
      <c r="AHI3" s="1113"/>
      <c r="AHJ3" s="1113"/>
      <c r="AHK3" s="1113"/>
      <c r="AHL3" s="1113"/>
      <c r="AHM3" s="1113"/>
      <c r="AHN3" s="1113"/>
      <c r="AHO3" s="1113"/>
      <c r="AHP3" s="1113"/>
      <c r="AHQ3" s="1113"/>
      <c r="AHR3" s="1113"/>
      <c r="AHS3" s="1113"/>
      <c r="AHT3" s="1113"/>
      <c r="AHU3" s="1113"/>
      <c r="AHV3" s="1113"/>
      <c r="AHW3" s="1113"/>
      <c r="AHX3" s="1113"/>
      <c r="AHY3" s="1113"/>
      <c r="AHZ3" s="1113"/>
      <c r="AIA3" s="1113"/>
      <c r="AIB3" s="1113"/>
      <c r="AIC3" s="1113"/>
      <c r="AID3" s="1113"/>
      <c r="AIE3" s="1113"/>
      <c r="AIF3" s="1113"/>
      <c r="AIG3" s="1113"/>
      <c r="AIH3" s="1113"/>
      <c r="AII3" s="1113"/>
      <c r="AIJ3" s="1113"/>
      <c r="AIK3" s="1113"/>
      <c r="AIL3" s="1113"/>
      <c r="AIM3" s="1113"/>
      <c r="AIN3" s="1113"/>
      <c r="AIO3" s="1113"/>
      <c r="AIP3" s="1113"/>
      <c r="AIQ3" s="1113"/>
      <c r="AIR3" s="1113"/>
      <c r="AIS3" s="1113"/>
      <c r="AIT3" s="1113"/>
      <c r="AIU3" s="1113"/>
      <c r="AIV3" s="1113"/>
      <c r="AIW3" s="1113"/>
      <c r="AIX3" s="1113"/>
      <c r="AIY3" s="1113"/>
      <c r="AIZ3" s="1113"/>
      <c r="AJA3" s="1113"/>
      <c r="AJB3" s="1113"/>
      <c r="AJC3" s="1113"/>
      <c r="AJD3" s="1113"/>
      <c r="AJE3" s="1113"/>
      <c r="AJF3" s="1113"/>
      <c r="AJG3" s="1113"/>
      <c r="AJH3" s="1113"/>
      <c r="AJI3" s="1113"/>
      <c r="AJJ3" s="1113"/>
      <c r="AJK3" s="1113"/>
      <c r="AJL3" s="1113"/>
      <c r="AJM3" s="1113"/>
      <c r="AJN3" s="1113"/>
      <c r="AJO3" s="1113"/>
      <c r="AJP3" s="1113"/>
      <c r="AJQ3" s="1113"/>
      <c r="AJR3" s="1113"/>
      <c r="AJS3" s="1113"/>
      <c r="AJT3" s="1113"/>
      <c r="AJU3" s="1113"/>
      <c r="AJV3" s="1113"/>
      <c r="AJW3" s="1113"/>
      <c r="AJX3" s="1113"/>
      <c r="AJY3" s="1113"/>
      <c r="AJZ3" s="1113"/>
      <c r="AKA3" s="1113"/>
      <c r="AKB3" s="1113"/>
      <c r="AKC3" s="1113"/>
      <c r="AKD3" s="1113"/>
      <c r="AKE3" s="1113"/>
      <c r="AKF3" s="1113"/>
      <c r="AKG3" s="1113"/>
      <c r="AKH3" s="1113"/>
      <c r="AKI3" s="1113"/>
      <c r="AKJ3" s="1113"/>
      <c r="AKK3" s="1113"/>
      <c r="AKL3" s="1113"/>
      <c r="AKM3" s="1113"/>
      <c r="AKN3" s="1113"/>
      <c r="AKO3" s="1113"/>
      <c r="AKP3" s="1113"/>
      <c r="AKQ3" s="1113"/>
      <c r="AKR3" s="1113"/>
      <c r="AKS3" s="1113"/>
      <c r="AKT3" s="1113"/>
      <c r="AKU3" s="1113"/>
      <c r="AKV3" s="1113"/>
      <c r="AKW3" s="1113"/>
      <c r="AKX3" s="1113"/>
      <c r="AKY3" s="1113"/>
      <c r="AKZ3" s="1113"/>
      <c r="ALA3" s="1113"/>
      <c r="ALB3" s="1113"/>
      <c r="ALC3" s="1113"/>
      <c r="ALD3" s="1113"/>
      <c r="ALE3" s="1113"/>
      <c r="ALF3" s="1113"/>
      <c r="ALG3" s="1113"/>
      <c r="ALH3" s="1113"/>
      <c r="ALI3" s="1113"/>
      <c r="ALJ3" s="1113"/>
      <c r="ALK3" s="1113"/>
      <c r="ALL3" s="1113"/>
      <c r="ALM3" s="1113"/>
      <c r="ALN3" s="1113"/>
      <c r="ALO3" s="1113"/>
      <c r="ALP3" s="1113"/>
      <c r="ALQ3" s="1113"/>
      <c r="ALR3" s="1113"/>
      <c r="ALS3" s="1113"/>
      <c r="ALT3" s="1113"/>
      <c r="ALU3" s="1113"/>
      <c r="ALV3" s="1113"/>
      <c r="ALW3" s="1113"/>
      <c r="ALX3" s="1113"/>
      <c r="ALY3" s="1113"/>
      <c r="ALZ3" s="1113"/>
      <c r="AMA3" s="1113"/>
      <c r="AMB3" s="1113"/>
      <c r="AMC3" s="1113"/>
      <c r="AMD3" s="1113"/>
      <c r="AME3" s="1113"/>
      <c r="AMF3" s="1113"/>
      <c r="AMG3" s="1113"/>
      <c r="AMH3" s="1113"/>
      <c r="AMI3" s="1113"/>
      <c r="AMJ3" s="1113"/>
      <c r="AMK3" s="1113"/>
      <c r="AML3" s="1113"/>
      <c r="AMM3" s="1113"/>
      <c r="AMN3" s="1113"/>
      <c r="AMO3" s="1113"/>
      <c r="AMP3" s="1113"/>
      <c r="AMQ3" s="1113"/>
      <c r="AMR3" s="1113"/>
      <c r="AMS3" s="1113"/>
      <c r="AMT3" s="1113"/>
      <c r="AMU3" s="1113"/>
      <c r="AMV3" s="1113"/>
      <c r="AMW3" s="1113"/>
      <c r="AMX3" s="1113"/>
      <c r="AMY3" s="1113"/>
      <c r="AMZ3" s="1113"/>
      <c r="ANA3" s="1113"/>
      <c r="ANB3" s="1113"/>
      <c r="ANC3" s="1113"/>
      <c r="AND3" s="1113"/>
      <c r="ANE3" s="1113"/>
      <c r="ANF3" s="1113"/>
      <c r="ANG3" s="1113"/>
      <c r="ANH3" s="1113"/>
      <c r="ANI3" s="1113"/>
      <c r="ANJ3" s="1113"/>
      <c r="ANK3" s="1113"/>
      <c r="ANL3" s="1113"/>
      <c r="ANM3" s="1113"/>
      <c r="ANN3" s="1113"/>
      <c r="ANO3" s="1113"/>
      <c r="ANP3" s="1113"/>
      <c r="ANQ3" s="1113"/>
      <c r="ANR3" s="1113"/>
      <c r="ANS3" s="1113"/>
      <c r="ANT3" s="1113"/>
      <c r="ANU3" s="1113"/>
      <c r="ANV3" s="1113"/>
      <c r="ANW3" s="1113"/>
      <c r="ANX3" s="1113"/>
      <c r="ANY3" s="1113"/>
      <c r="ANZ3" s="1113"/>
      <c r="AOA3" s="1113"/>
      <c r="AOB3" s="1113"/>
      <c r="AOC3" s="1113"/>
      <c r="AOD3" s="1113"/>
      <c r="AOE3" s="1113"/>
      <c r="AOF3" s="1113"/>
      <c r="AOG3" s="1113"/>
      <c r="AOH3" s="1113"/>
      <c r="AOI3" s="1113"/>
      <c r="AOJ3" s="1113"/>
      <c r="AOK3" s="1113"/>
      <c r="AOL3" s="1113"/>
      <c r="AOM3" s="1113"/>
      <c r="AON3" s="1113"/>
      <c r="AOO3" s="1113"/>
      <c r="AOP3" s="1113"/>
      <c r="AOQ3" s="1113"/>
      <c r="AOR3" s="1113"/>
      <c r="AOS3" s="1113"/>
      <c r="AOT3" s="1113"/>
      <c r="AOU3" s="1113"/>
      <c r="AOV3" s="1113"/>
      <c r="AOW3" s="1113"/>
      <c r="AOX3" s="1113"/>
      <c r="AOY3" s="1113"/>
      <c r="AOZ3" s="1113"/>
      <c r="APA3" s="1113"/>
      <c r="APB3" s="1113"/>
      <c r="APC3" s="1113"/>
      <c r="APD3" s="1113"/>
      <c r="APE3" s="1113"/>
      <c r="APF3" s="1113"/>
      <c r="APG3" s="1113"/>
      <c r="APH3" s="1113"/>
      <c r="API3" s="1113"/>
      <c r="APJ3" s="1113"/>
      <c r="APK3" s="1113"/>
      <c r="APL3" s="1113"/>
      <c r="APM3" s="1113"/>
      <c r="APN3" s="1113"/>
      <c r="APO3" s="1113"/>
      <c r="APP3" s="1113"/>
      <c r="APQ3" s="1113"/>
      <c r="APR3" s="1113"/>
      <c r="APS3" s="1113"/>
      <c r="APT3" s="1113"/>
      <c r="APU3" s="1113"/>
      <c r="APV3" s="1113"/>
      <c r="APW3" s="1113"/>
      <c r="APX3" s="1113"/>
      <c r="APY3" s="1113"/>
      <c r="APZ3" s="1113"/>
      <c r="AQA3" s="1113"/>
      <c r="AQB3" s="1113"/>
      <c r="AQC3" s="1113"/>
      <c r="AQD3" s="1113"/>
      <c r="AQE3" s="1113"/>
      <c r="AQF3" s="1113"/>
      <c r="AQG3" s="1113"/>
      <c r="AQH3" s="1113"/>
      <c r="AQI3" s="1113"/>
      <c r="AQJ3" s="1113"/>
      <c r="AQK3" s="1113"/>
      <c r="AQL3" s="1113"/>
      <c r="AQM3" s="1113"/>
      <c r="AQN3" s="1113"/>
      <c r="AQO3" s="1113"/>
      <c r="AQP3" s="1113"/>
      <c r="AQQ3" s="1113"/>
      <c r="AQR3" s="1113"/>
      <c r="AQS3" s="1113"/>
      <c r="AQT3" s="1113"/>
      <c r="AQU3" s="1113"/>
      <c r="AQV3" s="1113"/>
      <c r="AQW3" s="1113"/>
      <c r="AQX3" s="1113"/>
      <c r="AQY3" s="1113"/>
      <c r="AQZ3" s="1113"/>
      <c r="ARA3" s="1113"/>
      <c r="ARB3" s="1113"/>
      <c r="ARC3" s="1113"/>
      <c r="ARD3" s="1113"/>
      <c r="ARE3" s="1113"/>
      <c r="ARF3" s="1113"/>
      <c r="ARG3" s="1113"/>
      <c r="ARH3" s="1113"/>
      <c r="ARI3" s="1113"/>
      <c r="ARJ3" s="1113"/>
      <c r="ARK3" s="1113"/>
      <c r="ARL3" s="1113"/>
      <c r="ARM3" s="1113"/>
      <c r="ARN3" s="1113"/>
      <c r="ARO3" s="1113"/>
      <c r="ARP3" s="1113"/>
      <c r="ARQ3" s="1113"/>
      <c r="ARR3" s="1113"/>
      <c r="ARS3" s="1113"/>
      <c r="ART3" s="1113"/>
      <c r="ARU3" s="1113"/>
      <c r="ARV3" s="1113"/>
      <c r="ARW3" s="1113"/>
      <c r="ARX3" s="1113"/>
      <c r="ARY3" s="1113"/>
      <c r="ARZ3" s="1113"/>
      <c r="ASA3" s="1113"/>
      <c r="ASB3" s="1113"/>
      <c r="ASC3" s="1113"/>
      <c r="ASD3" s="1113"/>
      <c r="ASE3" s="1113"/>
      <c r="ASF3" s="1113"/>
      <c r="ASG3" s="1113"/>
      <c r="ASH3" s="1113"/>
      <c r="ASI3" s="1113"/>
      <c r="ASJ3" s="1113"/>
      <c r="ASK3" s="1113"/>
      <c r="ASL3" s="1113"/>
      <c r="ASM3" s="1113"/>
      <c r="ASN3" s="1113"/>
      <c r="ASO3" s="1113"/>
      <c r="ASP3" s="1113"/>
      <c r="ASQ3" s="1113"/>
      <c r="ASR3" s="1113"/>
      <c r="ASS3" s="1113"/>
      <c r="AST3" s="1113"/>
      <c r="ASU3" s="1113"/>
      <c r="ASV3" s="1113"/>
      <c r="ASW3" s="1113"/>
      <c r="ASX3" s="1113"/>
      <c r="ASY3" s="1113"/>
      <c r="ASZ3" s="1113"/>
      <c r="ATA3" s="1113"/>
      <c r="ATB3" s="1113"/>
      <c r="ATC3" s="1113"/>
      <c r="ATD3" s="1113"/>
      <c r="ATE3" s="1113"/>
      <c r="ATF3" s="1113"/>
      <c r="ATG3" s="1113"/>
      <c r="ATH3" s="1113"/>
      <c r="ATI3" s="1113"/>
      <c r="ATJ3" s="1113"/>
      <c r="ATK3" s="1113"/>
      <c r="ATL3" s="1113"/>
      <c r="ATM3" s="1113"/>
      <c r="ATN3" s="1113"/>
      <c r="ATO3" s="1113"/>
      <c r="ATP3" s="1113"/>
      <c r="ATQ3" s="1113"/>
      <c r="ATR3" s="1113"/>
      <c r="ATS3" s="1113"/>
      <c r="ATT3" s="1113"/>
      <c r="ATU3" s="1113"/>
      <c r="ATV3" s="1113"/>
      <c r="ATW3" s="1113"/>
      <c r="ATX3" s="1113"/>
      <c r="ATY3" s="1113"/>
      <c r="ATZ3" s="1113"/>
      <c r="AUA3" s="1113"/>
      <c r="AUB3" s="1113"/>
      <c r="AUC3" s="1113"/>
      <c r="AUD3" s="1113"/>
      <c r="AUE3" s="1113"/>
      <c r="AUF3" s="1113"/>
      <c r="AUG3" s="1113"/>
      <c r="AUH3" s="1113"/>
      <c r="AUI3" s="1113"/>
      <c r="AUJ3" s="1113"/>
      <c r="AUK3" s="1113"/>
      <c r="AUL3" s="1113"/>
      <c r="AUM3" s="1113"/>
      <c r="AUN3" s="1113"/>
      <c r="AUO3" s="1113"/>
      <c r="AUP3" s="1113"/>
      <c r="AUQ3" s="1113"/>
      <c r="AUR3" s="1113"/>
      <c r="AUS3" s="1113"/>
      <c r="AUT3" s="1113"/>
      <c r="AUU3" s="1113"/>
      <c r="AUV3" s="1113"/>
      <c r="AUW3" s="1113"/>
      <c r="AUX3" s="1113"/>
      <c r="AUY3" s="1113"/>
      <c r="AUZ3" s="1113"/>
      <c r="AVA3" s="1113"/>
      <c r="AVB3" s="1113"/>
      <c r="AVC3" s="1113"/>
      <c r="AVD3" s="1113"/>
      <c r="AVE3" s="1113"/>
      <c r="AVF3" s="1113"/>
      <c r="AVG3" s="1113"/>
      <c r="AVH3" s="1113"/>
      <c r="AVI3" s="1113"/>
      <c r="AVJ3" s="1113"/>
      <c r="AVK3" s="1113"/>
      <c r="AVL3" s="1113"/>
      <c r="AVM3" s="1113"/>
      <c r="AVN3" s="1113"/>
      <c r="AVO3" s="1113"/>
      <c r="AVP3" s="1113"/>
      <c r="AVQ3" s="1113"/>
      <c r="AVR3" s="1113"/>
      <c r="AVS3" s="1113"/>
      <c r="AVT3" s="1113"/>
      <c r="AVU3" s="1113"/>
      <c r="AVV3" s="1113"/>
      <c r="AVW3" s="1113"/>
      <c r="AVX3" s="1113"/>
      <c r="AVY3" s="1113"/>
      <c r="AVZ3" s="1113"/>
      <c r="AWA3" s="1113"/>
      <c r="AWB3" s="1113"/>
      <c r="AWC3" s="1113"/>
      <c r="AWD3" s="1113"/>
      <c r="AWE3" s="1113"/>
      <c r="AWF3" s="1113"/>
      <c r="AWG3" s="1113"/>
      <c r="AWH3" s="1113"/>
      <c r="AWI3" s="1113"/>
      <c r="AWJ3" s="1113"/>
      <c r="AWK3" s="1113"/>
      <c r="AWL3" s="1113"/>
      <c r="AWM3" s="1113"/>
      <c r="AWN3" s="1113"/>
      <c r="AWO3" s="1113"/>
      <c r="AWP3" s="1113"/>
      <c r="AWQ3" s="1113"/>
      <c r="AWR3" s="1113"/>
      <c r="AWS3" s="1113"/>
      <c r="AWT3" s="1113"/>
      <c r="AWU3" s="1113"/>
      <c r="AWV3" s="1113"/>
      <c r="AWW3" s="1113"/>
      <c r="AWX3" s="1113"/>
      <c r="AWY3" s="1113"/>
      <c r="AWZ3" s="1113"/>
      <c r="AXA3" s="1113"/>
      <c r="AXB3" s="1113"/>
      <c r="AXC3" s="1113"/>
      <c r="AXD3" s="1113"/>
      <c r="AXE3" s="1113"/>
      <c r="AXF3" s="1113"/>
      <c r="AXG3" s="1113"/>
      <c r="AXH3" s="1113"/>
      <c r="AXI3" s="1113"/>
      <c r="AXJ3" s="1113"/>
      <c r="AXK3" s="1113"/>
      <c r="AXL3" s="1113"/>
      <c r="AXM3" s="1113"/>
      <c r="AXN3" s="1113"/>
      <c r="AXO3" s="1113"/>
      <c r="AXP3" s="1113"/>
      <c r="AXQ3" s="1113"/>
      <c r="AXR3" s="1113"/>
      <c r="AXS3" s="1113"/>
      <c r="AXT3" s="1113"/>
      <c r="AXU3" s="1113"/>
      <c r="AXV3" s="1113"/>
      <c r="AXW3" s="1113"/>
      <c r="AXX3" s="1113"/>
      <c r="AXY3" s="1113"/>
      <c r="AXZ3" s="1113"/>
      <c r="AYA3" s="1113"/>
      <c r="AYB3" s="1113"/>
      <c r="AYC3" s="1113"/>
      <c r="AYD3" s="1113"/>
      <c r="AYE3" s="1113"/>
      <c r="AYF3" s="1113"/>
      <c r="AYG3" s="1113"/>
      <c r="AYH3" s="1113"/>
      <c r="AYI3" s="1113"/>
      <c r="AYJ3" s="1113"/>
      <c r="AYK3" s="1113"/>
      <c r="AYL3" s="1113"/>
      <c r="AYM3" s="1113"/>
      <c r="AYN3" s="1113"/>
      <c r="AYO3" s="1113"/>
      <c r="AYP3" s="1113"/>
      <c r="AYQ3" s="1113"/>
      <c r="AYR3" s="1113"/>
      <c r="AYS3" s="1113"/>
      <c r="AYT3" s="1113"/>
      <c r="AYU3" s="1113"/>
      <c r="AYV3" s="1113"/>
      <c r="AYW3" s="1113"/>
      <c r="AYX3" s="1113"/>
      <c r="AYY3" s="1113"/>
      <c r="AYZ3" s="1113"/>
      <c r="AZA3" s="1113"/>
      <c r="AZB3" s="1113"/>
      <c r="AZC3" s="1113"/>
      <c r="AZD3" s="1113"/>
      <c r="AZE3" s="1113"/>
      <c r="AZF3" s="1113"/>
      <c r="AZG3" s="1113"/>
      <c r="AZH3" s="1113"/>
      <c r="AZI3" s="1113"/>
      <c r="AZJ3" s="1113"/>
      <c r="AZK3" s="1113"/>
      <c r="AZL3" s="1113"/>
      <c r="AZM3" s="1113"/>
      <c r="AZN3" s="1113"/>
      <c r="AZO3" s="1113"/>
      <c r="AZP3" s="1113"/>
      <c r="AZQ3" s="1113"/>
      <c r="AZR3" s="1113"/>
      <c r="AZS3" s="1113"/>
      <c r="AZT3" s="1113"/>
      <c r="AZU3" s="1113"/>
      <c r="AZV3" s="1113"/>
      <c r="AZW3" s="1113"/>
      <c r="AZX3" s="1113"/>
      <c r="AZY3" s="1113"/>
      <c r="AZZ3" s="1113"/>
      <c r="BAA3" s="1113"/>
      <c r="BAB3" s="1113"/>
      <c r="BAC3" s="1113"/>
      <c r="BAD3" s="1113"/>
      <c r="BAE3" s="1113"/>
      <c r="BAF3" s="1113"/>
      <c r="BAG3" s="1113"/>
      <c r="BAH3" s="1113"/>
      <c r="BAI3" s="1113"/>
      <c r="BAJ3" s="1113"/>
      <c r="BAK3" s="1113"/>
      <c r="BAL3" s="1113"/>
      <c r="BAM3" s="1113"/>
      <c r="BAN3" s="1113"/>
      <c r="BAO3" s="1113"/>
      <c r="BAP3" s="1113"/>
      <c r="BAQ3" s="1113"/>
      <c r="BAR3" s="1113"/>
      <c r="BAS3" s="1113"/>
      <c r="BAT3" s="1113"/>
      <c r="BAU3" s="1113"/>
      <c r="BAV3" s="1113"/>
      <c r="BAW3" s="1113"/>
      <c r="BAX3" s="1113"/>
      <c r="BAY3" s="1113"/>
      <c r="BAZ3" s="1113"/>
      <c r="BBA3" s="1113"/>
      <c r="BBB3" s="1113"/>
      <c r="BBC3" s="1113"/>
      <c r="BBD3" s="1113"/>
      <c r="BBE3" s="1113"/>
      <c r="BBF3" s="1113"/>
      <c r="BBG3" s="1113"/>
      <c r="BBH3" s="1113"/>
      <c r="BBI3" s="1113"/>
      <c r="BBJ3" s="1113"/>
      <c r="BBK3" s="1113"/>
      <c r="BBL3" s="1113"/>
      <c r="BBM3" s="1113"/>
      <c r="BBN3" s="1113"/>
      <c r="BBO3" s="1113"/>
      <c r="BBP3" s="1113"/>
      <c r="BBQ3" s="1113"/>
      <c r="BBR3" s="1113"/>
      <c r="BBS3" s="1113"/>
      <c r="BBT3" s="1113"/>
      <c r="BBU3" s="1113"/>
      <c r="BBV3" s="1113"/>
      <c r="BBW3" s="1113"/>
      <c r="BBX3" s="1113"/>
      <c r="BBY3" s="1113"/>
      <c r="BBZ3" s="1113"/>
      <c r="BCA3" s="1113"/>
      <c r="BCB3" s="1113"/>
      <c r="BCC3" s="1113"/>
      <c r="BCD3" s="1113"/>
      <c r="BCE3" s="1113"/>
      <c r="BCF3" s="1113"/>
      <c r="BCG3" s="1113"/>
      <c r="BCH3" s="1113"/>
      <c r="BCI3" s="1113"/>
      <c r="BCJ3" s="1113"/>
      <c r="BCK3" s="1113"/>
      <c r="BCL3" s="1113"/>
      <c r="BCM3" s="1113"/>
      <c r="BCN3" s="1113"/>
      <c r="BCO3" s="1113"/>
      <c r="BCP3" s="1113"/>
      <c r="BCQ3" s="1113"/>
      <c r="BCR3" s="1113"/>
      <c r="BCS3" s="1113"/>
      <c r="BCT3" s="1113"/>
      <c r="BCU3" s="1113"/>
      <c r="BCV3" s="1113"/>
      <c r="BCW3" s="1113"/>
      <c r="BCX3" s="1113"/>
      <c r="BCY3" s="1113"/>
      <c r="BCZ3" s="1113"/>
      <c r="BDA3" s="1113"/>
      <c r="BDB3" s="1113"/>
      <c r="BDC3" s="1113"/>
      <c r="BDD3" s="1113"/>
      <c r="BDE3" s="1113"/>
      <c r="BDF3" s="1113"/>
      <c r="BDG3" s="1113"/>
      <c r="BDH3" s="1113"/>
      <c r="BDI3" s="1113"/>
      <c r="BDJ3" s="1113"/>
      <c r="BDK3" s="1113"/>
      <c r="BDL3" s="1113"/>
      <c r="BDM3" s="1113"/>
      <c r="BDN3" s="1113"/>
      <c r="BDO3" s="1113"/>
      <c r="BDP3" s="1113"/>
      <c r="BDQ3" s="1113"/>
      <c r="BDR3" s="1113"/>
      <c r="BDS3" s="1113"/>
      <c r="BDT3" s="1113"/>
      <c r="BDU3" s="1113"/>
      <c r="BDV3" s="1113"/>
      <c r="BDW3" s="1113"/>
      <c r="BDX3" s="1113"/>
      <c r="BDY3" s="1113"/>
      <c r="BDZ3" s="1113"/>
      <c r="BEA3" s="1113"/>
      <c r="BEB3" s="1113"/>
      <c r="BEC3" s="1113"/>
      <c r="BED3" s="1113"/>
      <c r="BEE3" s="1113"/>
      <c r="BEF3" s="1113"/>
      <c r="BEG3" s="1113"/>
      <c r="BEH3" s="1113"/>
      <c r="BEI3" s="1113"/>
      <c r="BEJ3" s="1113"/>
      <c r="BEK3" s="1113"/>
      <c r="BEL3" s="1113"/>
      <c r="BEM3" s="1113"/>
      <c r="BEN3" s="1113"/>
      <c r="BEO3" s="1113"/>
      <c r="BEP3" s="1113"/>
      <c r="BEQ3" s="1113"/>
      <c r="BER3" s="1113"/>
      <c r="BES3" s="1113"/>
      <c r="BET3" s="1113"/>
      <c r="BEU3" s="1113"/>
      <c r="BEV3" s="1113"/>
      <c r="BEW3" s="1113"/>
      <c r="BEX3" s="1113"/>
      <c r="BEY3" s="1113"/>
      <c r="BEZ3" s="1113"/>
      <c r="BFA3" s="1113"/>
      <c r="BFB3" s="1113"/>
      <c r="BFC3" s="1113"/>
      <c r="BFD3" s="1113"/>
      <c r="BFE3" s="1113"/>
      <c r="BFF3" s="1113"/>
      <c r="BFG3" s="1113"/>
      <c r="BFH3" s="1113"/>
      <c r="BFI3" s="1113"/>
      <c r="BFJ3" s="1113"/>
      <c r="BFK3" s="1113"/>
      <c r="BFL3" s="1113"/>
      <c r="BFM3" s="1113"/>
      <c r="BFN3" s="1113"/>
      <c r="BFO3" s="1113"/>
      <c r="BFP3" s="1113"/>
      <c r="BFQ3" s="1113"/>
      <c r="BFR3" s="1113"/>
      <c r="BFS3" s="1113"/>
      <c r="BFT3" s="1113"/>
      <c r="BFU3" s="1113"/>
      <c r="BFV3" s="1113"/>
      <c r="BFW3" s="1113"/>
      <c r="BFX3" s="1113"/>
      <c r="BFY3" s="1113"/>
      <c r="BFZ3" s="1113"/>
      <c r="BGA3" s="1113"/>
      <c r="BGB3" s="1113"/>
      <c r="BGC3" s="1113"/>
      <c r="BGD3" s="1113"/>
      <c r="BGE3" s="1113"/>
      <c r="BGF3" s="1113"/>
      <c r="BGG3" s="1113"/>
      <c r="BGH3" s="1113"/>
      <c r="BGI3" s="1113"/>
      <c r="BGJ3" s="1113"/>
      <c r="BGK3" s="1113"/>
      <c r="BGL3" s="1113"/>
      <c r="BGM3" s="1113"/>
      <c r="BGN3" s="1113"/>
      <c r="BGO3" s="1113"/>
      <c r="BGP3" s="1113"/>
      <c r="BGQ3" s="1113"/>
      <c r="BGR3" s="1113"/>
      <c r="BGS3" s="1113"/>
      <c r="BGT3" s="1113"/>
      <c r="BGU3" s="1113"/>
      <c r="BGV3" s="1113"/>
      <c r="BGW3" s="1113"/>
      <c r="BGX3" s="1113"/>
      <c r="BGY3" s="1113"/>
      <c r="BGZ3" s="1113"/>
      <c r="BHA3" s="1113"/>
      <c r="BHB3" s="1113"/>
      <c r="BHC3" s="1113"/>
      <c r="BHD3" s="1113"/>
      <c r="BHE3" s="1113"/>
      <c r="BHF3" s="1113"/>
      <c r="BHG3" s="1113"/>
      <c r="BHH3" s="1113"/>
      <c r="BHI3" s="1113"/>
      <c r="BHJ3" s="1113"/>
      <c r="BHK3" s="1113"/>
      <c r="BHL3" s="1113"/>
      <c r="BHM3" s="1113"/>
      <c r="BHN3" s="1113"/>
      <c r="BHO3" s="1113"/>
      <c r="BHP3" s="1113"/>
      <c r="BHQ3" s="1113"/>
      <c r="BHR3" s="1113"/>
      <c r="BHS3" s="1113"/>
      <c r="BHT3" s="1113"/>
      <c r="BHU3" s="1113"/>
      <c r="BHV3" s="1113"/>
      <c r="BHW3" s="1113"/>
      <c r="BHX3" s="1113"/>
      <c r="BHY3" s="1113"/>
      <c r="BHZ3" s="1113"/>
      <c r="BIA3" s="1113"/>
      <c r="BIB3" s="1113"/>
      <c r="BIC3" s="1113"/>
      <c r="BID3" s="1113"/>
      <c r="BIE3" s="1113"/>
      <c r="BIF3" s="1113"/>
      <c r="BIG3" s="1113"/>
      <c r="BIH3" s="1113"/>
      <c r="BII3" s="1113"/>
      <c r="BIJ3" s="1113"/>
      <c r="BIK3" s="1113"/>
      <c r="BIL3" s="1113"/>
      <c r="BIM3" s="1113"/>
      <c r="BIN3" s="1113"/>
      <c r="BIO3" s="1113"/>
      <c r="BIP3" s="1113"/>
      <c r="BIQ3" s="1113"/>
      <c r="BIR3" s="1113"/>
      <c r="BIS3" s="1113"/>
      <c r="BIT3" s="1113"/>
      <c r="BIU3" s="1113"/>
      <c r="BIV3" s="1113"/>
      <c r="BIW3" s="1113"/>
      <c r="BIX3" s="1113"/>
      <c r="BIY3" s="1113"/>
      <c r="BIZ3" s="1113"/>
      <c r="BJA3" s="1113"/>
      <c r="BJB3" s="1113"/>
      <c r="BJC3" s="1113"/>
      <c r="BJD3" s="1113"/>
      <c r="BJE3" s="1113"/>
      <c r="BJF3" s="1113"/>
      <c r="BJG3" s="1113"/>
      <c r="BJH3" s="1113"/>
      <c r="BJI3" s="1113"/>
      <c r="BJJ3" s="1113"/>
      <c r="BJK3" s="1113"/>
      <c r="BJL3" s="1113"/>
      <c r="BJM3" s="1113"/>
      <c r="BJN3" s="1113"/>
      <c r="BJO3" s="1113"/>
      <c r="BJP3" s="1113"/>
      <c r="BJQ3" s="1113"/>
      <c r="BJR3" s="1113"/>
      <c r="BJS3" s="1113"/>
      <c r="BJT3" s="1113"/>
      <c r="BJU3" s="1113"/>
      <c r="BJV3" s="1113"/>
      <c r="BJW3" s="1113"/>
      <c r="BJX3" s="1113"/>
      <c r="BJY3" s="1113"/>
      <c r="BJZ3" s="1113"/>
      <c r="BKA3" s="1113"/>
      <c r="BKB3" s="1113"/>
      <c r="BKC3" s="1113"/>
      <c r="BKD3" s="1113"/>
      <c r="BKE3" s="1113"/>
      <c r="BKF3" s="1113"/>
      <c r="BKG3" s="1113"/>
      <c r="BKH3" s="1113"/>
      <c r="BKI3" s="1113"/>
      <c r="BKJ3" s="1113"/>
      <c r="BKK3" s="1113"/>
      <c r="BKL3" s="1113"/>
      <c r="BKM3" s="1113"/>
      <c r="BKN3" s="1113"/>
      <c r="BKO3" s="1113"/>
      <c r="BKP3" s="1113"/>
      <c r="BKQ3" s="1113"/>
      <c r="BKR3" s="1113"/>
      <c r="BKS3" s="1113"/>
      <c r="BKT3" s="1113"/>
      <c r="BKU3" s="1113"/>
      <c r="BKV3" s="1113"/>
      <c r="BKW3" s="1113"/>
      <c r="BKX3" s="1113"/>
      <c r="BKY3" s="1113"/>
      <c r="BKZ3" s="1113"/>
      <c r="BLA3" s="1113"/>
      <c r="BLB3" s="1113"/>
      <c r="BLC3" s="1113"/>
      <c r="BLD3" s="1113"/>
      <c r="BLE3" s="1113"/>
      <c r="BLF3" s="1113"/>
      <c r="BLG3" s="1113"/>
      <c r="BLH3" s="1113"/>
      <c r="BLI3" s="1113"/>
      <c r="BLJ3" s="1113"/>
      <c r="BLK3" s="1113"/>
      <c r="BLL3" s="1113"/>
      <c r="BLM3" s="1113"/>
      <c r="BLN3" s="1113"/>
      <c r="BLO3" s="1113"/>
      <c r="BLP3" s="1113"/>
      <c r="BLQ3" s="1113"/>
      <c r="BLR3" s="1113"/>
      <c r="BLS3" s="1113"/>
      <c r="BLT3" s="1113"/>
      <c r="BLU3" s="1113"/>
      <c r="BLV3" s="1113"/>
      <c r="BLW3" s="1113"/>
      <c r="BLX3" s="1113"/>
      <c r="BLY3" s="1113"/>
      <c r="BLZ3" s="1113"/>
      <c r="BMA3" s="1113"/>
      <c r="BMB3" s="1113"/>
      <c r="BMC3" s="1113"/>
      <c r="BMD3" s="1113"/>
      <c r="BME3" s="1113"/>
      <c r="BMF3" s="1113"/>
      <c r="BMG3" s="1113"/>
      <c r="BMH3" s="1113"/>
      <c r="BMI3" s="1113"/>
      <c r="BMJ3" s="1113"/>
      <c r="BMK3" s="1113"/>
      <c r="BML3" s="1113"/>
      <c r="BMM3" s="1113"/>
      <c r="BMN3" s="1113"/>
      <c r="BMO3" s="1113"/>
      <c r="BMP3" s="1113"/>
      <c r="BMQ3" s="1113"/>
      <c r="BMR3" s="1113"/>
      <c r="BMS3" s="1113"/>
      <c r="BMT3" s="1113"/>
      <c r="BMU3" s="1113"/>
      <c r="BMV3" s="1113"/>
      <c r="BMW3" s="1113"/>
      <c r="BMX3" s="1113"/>
      <c r="BMY3" s="1113"/>
      <c r="BMZ3" s="1113"/>
      <c r="BNA3" s="1113"/>
      <c r="BNB3" s="1113"/>
      <c r="BNC3" s="1113"/>
      <c r="BND3" s="1113"/>
      <c r="BNE3" s="1113"/>
      <c r="BNF3" s="1113"/>
      <c r="BNG3" s="1113"/>
      <c r="BNH3" s="1113"/>
      <c r="BNI3" s="1113"/>
      <c r="BNJ3" s="1113"/>
      <c r="BNK3" s="1113"/>
      <c r="BNL3" s="1113"/>
      <c r="BNM3" s="1113"/>
      <c r="BNN3" s="1113"/>
      <c r="BNO3" s="1113"/>
      <c r="BNP3" s="1113"/>
      <c r="BNQ3" s="1113"/>
      <c r="BNR3" s="1113"/>
      <c r="BNS3" s="1113"/>
      <c r="BNT3" s="1113"/>
      <c r="BNU3" s="1113"/>
      <c r="BNV3" s="1113"/>
      <c r="BNW3" s="1113"/>
      <c r="BNX3" s="1113"/>
      <c r="BNY3" s="1113"/>
      <c r="BNZ3" s="1113"/>
      <c r="BOA3" s="1113"/>
      <c r="BOB3" s="1113"/>
      <c r="BOC3" s="1113"/>
      <c r="BOD3" s="1113"/>
      <c r="BOE3" s="1113"/>
      <c r="BOF3" s="1113"/>
      <c r="BOG3" s="1113"/>
      <c r="BOH3" s="1113"/>
      <c r="BOI3" s="1113"/>
      <c r="BOJ3" s="1113"/>
      <c r="BOK3" s="1113"/>
      <c r="BOL3" s="1113"/>
      <c r="BOM3" s="1113"/>
      <c r="BON3" s="1113"/>
      <c r="BOO3" s="1113"/>
      <c r="BOP3" s="1113"/>
      <c r="BOQ3" s="1113"/>
      <c r="BOR3" s="1113"/>
      <c r="BOS3" s="1113"/>
      <c r="BOT3" s="1113"/>
      <c r="BOU3" s="1113"/>
      <c r="BOV3" s="1113"/>
      <c r="BOW3" s="1113"/>
      <c r="BOX3" s="1113"/>
      <c r="BOY3" s="1113"/>
      <c r="BOZ3" s="1113"/>
      <c r="BPA3" s="1113"/>
      <c r="BPB3" s="1113"/>
      <c r="BPC3" s="1113"/>
      <c r="BPD3" s="1113"/>
      <c r="BPE3" s="1113"/>
      <c r="BPF3" s="1113"/>
      <c r="BPG3" s="1113"/>
      <c r="BPH3" s="1113"/>
      <c r="BPI3" s="1113"/>
      <c r="BPJ3" s="1113"/>
      <c r="BPK3" s="1113"/>
      <c r="BPL3" s="1113"/>
      <c r="BPM3" s="1113"/>
      <c r="BPN3" s="1113"/>
      <c r="BPO3" s="1113"/>
      <c r="BPP3" s="1113"/>
      <c r="BPQ3" s="1113"/>
      <c r="BPR3" s="1113"/>
      <c r="BPS3" s="1113"/>
      <c r="BPT3" s="1113"/>
      <c r="BPU3" s="1113"/>
      <c r="BPV3" s="1113"/>
      <c r="BPW3" s="1113"/>
      <c r="BPX3" s="1113"/>
      <c r="BPY3" s="1113"/>
      <c r="BPZ3" s="1113"/>
      <c r="BQA3" s="1113"/>
      <c r="BQB3" s="1113"/>
      <c r="BQC3" s="1113"/>
      <c r="BQD3" s="1113"/>
      <c r="BQE3" s="1113"/>
      <c r="BQF3" s="1113"/>
      <c r="BQG3" s="1113"/>
      <c r="BQH3" s="1113"/>
      <c r="BQI3" s="1113"/>
      <c r="BQJ3" s="1113"/>
      <c r="BQK3" s="1113"/>
      <c r="BQL3" s="1113"/>
      <c r="BQM3" s="1113"/>
      <c r="BQN3" s="1113"/>
      <c r="BQO3" s="1113"/>
      <c r="BQP3" s="1113"/>
      <c r="BQQ3" s="1113"/>
      <c r="BQR3" s="1113"/>
      <c r="BQS3" s="1113"/>
      <c r="BQT3" s="1113"/>
      <c r="BQU3" s="1113"/>
      <c r="BQV3" s="1113"/>
      <c r="BQW3" s="1113"/>
      <c r="BQX3" s="1113"/>
      <c r="BQY3" s="1113"/>
      <c r="BQZ3" s="1113"/>
      <c r="BRA3" s="1113"/>
      <c r="BRB3" s="1113"/>
      <c r="BRC3" s="1113"/>
      <c r="BRD3" s="1113"/>
      <c r="BRE3" s="1113"/>
      <c r="BRF3" s="1113"/>
      <c r="BRG3" s="1113"/>
      <c r="BRH3" s="1113"/>
      <c r="BRI3" s="1113"/>
      <c r="BRJ3" s="1113"/>
      <c r="BRK3" s="1113"/>
      <c r="BRL3" s="1113"/>
      <c r="BRM3" s="1113"/>
      <c r="BRN3" s="1113"/>
      <c r="BRO3" s="1113"/>
      <c r="BRP3" s="1113"/>
      <c r="BRQ3" s="1113"/>
      <c r="BRR3" s="1113"/>
      <c r="BRS3" s="1113"/>
      <c r="BRT3" s="1113"/>
      <c r="BRU3" s="1113"/>
      <c r="BRV3" s="1113"/>
      <c r="BRW3" s="1113"/>
      <c r="BRX3" s="1113"/>
      <c r="BRY3" s="1113"/>
      <c r="BRZ3" s="1113"/>
      <c r="BSA3" s="1113"/>
      <c r="BSB3" s="1113"/>
      <c r="BSC3" s="1113"/>
      <c r="BSD3" s="1113"/>
      <c r="BSE3" s="1113"/>
      <c r="BSF3" s="1113"/>
      <c r="BSG3" s="1113"/>
      <c r="BSH3" s="1113"/>
      <c r="BSI3" s="1113"/>
      <c r="BSJ3" s="1113"/>
      <c r="BSK3" s="1113"/>
      <c r="BSL3" s="1113"/>
      <c r="BSM3" s="1113"/>
      <c r="BSN3" s="1113"/>
      <c r="BSO3" s="1113"/>
      <c r="BSP3" s="1113"/>
      <c r="BSQ3" s="1113"/>
      <c r="BSR3" s="1113"/>
      <c r="BSS3" s="1113"/>
      <c r="BST3" s="1113"/>
      <c r="BSU3" s="1113"/>
      <c r="BSV3" s="1113"/>
      <c r="BSW3" s="1113"/>
      <c r="BSX3" s="1113"/>
      <c r="BSY3" s="1113"/>
      <c r="BSZ3" s="1113"/>
      <c r="BTA3" s="1113"/>
      <c r="BTB3" s="1113"/>
      <c r="BTC3" s="1113"/>
      <c r="BTD3" s="1113"/>
      <c r="BTE3" s="1113"/>
      <c r="BTF3" s="1113"/>
      <c r="BTG3" s="1113"/>
      <c r="BTH3" s="1113"/>
      <c r="BTI3" s="1113"/>
      <c r="BTJ3" s="1113"/>
      <c r="BTK3" s="1113"/>
      <c r="BTL3" s="1113"/>
      <c r="BTM3" s="1113"/>
      <c r="BTN3" s="1113"/>
      <c r="BTO3" s="1113"/>
      <c r="BTP3" s="1113"/>
      <c r="BTQ3" s="1113"/>
      <c r="BTR3" s="1113"/>
      <c r="BTS3" s="1113"/>
      <c r="BTT3" s="1113"/>
      <c r="BTU3" s="1113"/>
      <c r="BTV3" s="1113"/>
      <c r="BTW3" s="1113"/>
      <c r="BTX3" s="1113"/>
      <c r="BTY3" s="1113"/>
      <c r="BTZ3" s="1113"/>
      <c r="BUA3" s="1113"/>
      <c r="BUB3" s="1113"/>
      <c r="BUC3" s="1113"/>
      <c r="BUD3" s="1113"/>
      <c r="BUE3" s="1113"/>
      <c r="BUF3" s="1113"/>
      <c r="BUG3" s="1113"/>
      <c r="BUH3" s="1113"/>
      <c r="BUI3" s="1113"/>
      <c r="BUJ3" s="1113"/>
      <c r="BUK3" s="1113"/>
      <c r="BUL3" s="1113"/>
      <c r="BUM3" s="1113"/>
      <c r="BUN3" s="1113"/>
      <c r="BUO3" s="1113"/>
      <c r="BUP3" s="1113"/>
      <c r="BUQ3" s="1113"/>
      <c r="BUR3" s="1113"/>
      <c r="BUS3" s="1113"/>
      <c r="BUT3" s="1113"/>
      <c r="BUU3" s="1113"/>
      <c r="BUV3" s="1113"/>
      <c r="BUW3" s="1113"/>
      <c r="BUX3" s="1113"/>
      <c r="BUY3" s="1113"/>
      <c r="BUZ3" s="1113"/>
      <c r="BVA3" s="1113"/>
      <c r="BVB3" s="1113"/>
      <c r="BVC3" s="1113"/>
      <c r="BVD3" s="1113"/>
      <c r="BVE3" s="1113"/>
      <c r="BVF3" s="1113"/>
      <c r="BVG3" s="1113"/>
      <c r="BVH3" s="1113"/>
      <c r="BVI3" s="1113"/>
      <c r="BVJ3" s="1113"/>
      <c r="BVK3" s="1113"/>
      <c r="BVL3" s="1113"/>
      <c r="BVM3" s="1113"/>
      <c r="BVN3" s="1113"/>
      <c r="BVO3" s="1113"/>
      <c r="BVP3" s="1113"/>
      <c r="BVQ3" s="1113"/>
      <c r="BVR3" s="1113"/>
      <c r="BVS3" s="1113"/>
      <c r="BVT3" s="1113"/>
      <c r="BVU3" s="1113"/>
      <c r="BVV3" s="1113"/>
      <c r="BVW3" s="1113"/>
      <c r="BVX3" s="1113"/>
      <c r="BVY3" s="1113"/>
      <c r="BVZ3" s="1113"/>
      <c r="BWA3" s="1113"/>
      <c r="BWB3" s="1113"/>
      <c r="BWC3" s="1113"/>
      <c r="BWD3" s="1113"/>
      <c r="BWE3" s="1113"/>
      <c r="BWF3" s="1113"/>
      <c r="BWG3" s="1113"/>
      <c r="BWH3" s="1113"/>
      <c r="BWI3" s="1113"/>
      <c r="BWJ3" s="1113"/>
      <c r="BWK3" s="1113"/>
      <c r="BWL3" s="1113"/>
      <c r="BWM3" s="1113"/>
      <c r="BWN3" s="1113"/>
      <c r="BWO3" s="1113"/>
      <c r="BWP3" s="1113"/>
      <c r="BWQ3" s="1113"/>
      <c r="BWR3" s="1113"/>
      <c r="BWS3" s="1113"/>
      <c r="BWT3" s="1113"/>
      <c r="BWU3" s="1113"/>
      <c r="BWV3" s="1113"/>
      <c r="BWW3" s="1113"/>
      <c r="BWX3" s="1113"/>
      <c r="BWY3" s="1113"/>
      <c r="BWZ3" s="1113"/>
      <c r="BXA3" s="1113"/>
      <c r="BXB3" s="1113"/>
      <c r="BXC3" s="1113"/>
      <c r="BXD3" s="1113"/>
      <c r="BXE3" s="1113"/>
      <c r="BXF3" s="1113"/>
      <c r="BXG3" s="1113"/>
      <c r="BXH3" s="1113"/>
      <c r="BXI3" s="1113"/>
      <c r="BXJ3" s="1113"/>
      <c r="BXK3" s="1113"/>
      <c r="BXL3" s="1113"/>
      <c r="BXM3" s="1113"/>
      <c r="BXN3" s="1113"/>
      <c r="BXO3" s="1113"/>
      <c r="BXP3" s="1113"/>
      <c r="BXQ3" s="1113"/>
      <c r="BXR3" s="1113"/>
      <c r="BXS3" s="1113"/>
      <c r="BXT3" s="1113"/>
      <c r="BXU3" s="1113"/>
      <c r="BXV3" s="1113"/>
      <c r="BXW3" s="1113"/>
      <c r="BXX3" s="1113"/>
      <c r="BXY3" s="1113"/>
      <c r="BXZ3" s="1113"/>
      <c r="BYA3" s="1113"/>
      <c r="BYB3" s="1113"/>
      <c r="BYC3" s="1113"/>
      <c r="BYD3" s="1113"/>
      <c r="BYE3" s="1113"/>
      <c r="BYF3" s="1113"/>
      <c r="BYG3" s="1113"/>
      <c r="BYH3" s="1113"/>
      <c r="BYI3" s="1113"/>
      <c r="BYJ3" s="1113"/>
      <c r="BYK3" s="1113"/>
      <c r="BYL3" s="1113"/>
      <c r="BYM3" s="1113"/>
      <c r="BYN3" s="1113"/>
      <c r="BYO3" s="1113"/>
      <c r="BYP3" s="1113"/>
      <c r="BYQ3" s="1113"/>
      <c r="BYR3" s="1113"/>
      <c r="BYS3" s="1113"/>
      <c r="BYT3" s="1113"/>
      <c r="BYU3" s="1113"/>
      <c r="BYV3" s="1113"/>
      <c r="BYW3" s="1113"/>
      <c r="BYX3" s="1113"/>
      <c r="BYY3" s="1113"/>
      <c r="BYZ3" s="1113"/>
      <c r="BZA3" s="1113"/>
      <c r="BZB3" s="1113"/>
      <c r="BZC3" s="1113"/>
      <c r="BZD3" s="1113"/>
      <c r="BZE3" s="1113"/>
      <c r="BZF3" s="1113"/>
      <c r="BZG3" s="1113"/>
      <c r="BZH3" s="1113"/>
      <c r="BZI3" s="1113"/>
      <c r="BZJ3" s="1113"/>
      <c r="BZK3" s="1113"/>
      <c r="BZL3" s="1113"/>
      <c r="BZM3" s="1113"/>
      <c r="BZN3" s="1113"/>
      <c r="BZO3" s="1113"/>
      <c r="BZP3" s="1113"/>
      <c r="BZQ3" s="1113"/>
      <c r="BZR3" s="1113"/>
      <c r="BZS3" s="1113"/>
      <c r="BZT3" s="1113"/>
      <c r="BZU3" s="1113"/>
      <c r="BZV3" s="1113"/>
      <c r="BZW3" s="1113"/>
      <c r="BZX3" s="1113"/>
      <c r="BZY3" s="1113"/>
      <c r="BZZ3" s="1113"/>
      <c r="CAA3" s="1113"/>
      <c r="CAB3" s="1113"/>
      <c r="CAC3" s="1113"/>
      <c r="CAD3" s="1113"/>
      <c r="CAE3" s="1113"/>
      <c r="CAF3" s="1113"/>
      <c r="CAG3" s="1113"/>
      <c r="CAH3" s="1113"/>
      <c r="CAI3" s="1113"/>
      <c r="CAJ3" s="1113"/>
      <c r="CAK3" s="1113"/>
      <c r="CAL3" s="1113"/>
      <c r="CAM3" s="1113"/>
      <c r="CAN3" s="1113"/>
      <c r="CAO3" s="1113"/>
      <c r="CAP3" s="1113"/>
      <c r="CAQ3" s="1113"/>
      <c r="CAR3" s="1113"/>
      <c r="CAS3" s="1113"/>
      <c r="CAT3" s="1113"/>
      <c r="CAU3" s="1113"/>
      <c r="CAV3" s="1113"/>
      <c r="CAW3" s="1113"/>
      <c r="CAX3" s="1113"/>
      <c r="CAY3" s="1113"/>
      <c r="CAZ3" s="1113"/>
      <c r="CBA3" s="1113"/>
      <c r="CBB3" s="1113"/>
      <c r="CBC3" s="1113"/>
      <c r="CBD3" s="1113"/>
      <c r="CBE3" s="1113"/>
      <c r="CBF3" s="1113"/>
      <c r="CBG3" s="1113"/>
      <c r="CBH3" s="1113"/>
      <c r="CBI3" s="1113"/>
      <c r="CBJ3" s="1113"/>
      <c r="CBK3" s="1113"/>
      <c r="CBL3" s="1113"/>
      <c r="CBM3" s="1113"/>
      <c r="CBN3" s="1113"/>
      <c r="CBO3" s="1113"/>
      <c r="CBP3" s="1113"/>
      <c r="CBQ3" s="1113"/>
      <c r="CBR3" s="1113"/>
      <c r="CBS3" s="1113"/>
      <c r="CBT3" s="1113"/>
      <c r="CBU3" s="1113"/>
      <c r="CBV3" s="1113"/>
      <c r="CBW3" s="1113"/>
      <c r="CBX3" s="1113"/>
      <c r="CBY3" s="1113"/>
      <c r="CBZ3" s="1113"/>
      <c r="CCA3" s="1113"/>
      <c r="CCB3" s="1113"/>
      <c r="CCC3" s="1113"/>
      <c r="CCD3" s="1113"/>
      <c r="CCE3" s="1113"/>
      <c r="CCF3" s="1113"/>
      <c r="CCG3" s="1113"/>
      <c r="CCH3" s="1113"/>
      <c r="CCI3" s="1113"/>
      <c r="CCJ3" s="1113"/>
      <c r="CCK3" s="1113"/>
      <c r="CCL3" s="1113"/>
      <c r="CCM3" s="1113"/>
      <c r="CCN3" s="1113"/>
      <c r="CCO3" s="1113"/>
      <c r="CCP3" s="1113"/>
      <c r="CCQ3" s="1113"/>
      <c r="CCR3" s="1113"/>
      <c r="CCS3" s="1113"/>
      <c r="CCT3" s="1113"/>
      <c r="CCU3" s="1113"/>
      <c r="CCV3" s="1113"/>
      <c r="CCW3" s="1113"/>
      <c r="CCX3" s="1113"/>
      <c r="CCY3" s="1113"/>
      <c r="CCZ3" s="1113"/>
      <c r="CDA3" s="1113"/>
      <c r="CDB3" s="1113"/>
      <c r="CDC3" s="1113"/>
      <c r="CDD3" s="1113"/>
      <c r="CDE3" s="1113"/>
      <c r="CDF3" s="1113"/>
      <c r="CDG3" s="1113"/>
      <c r="CDH3" s="1113"/>
      <c r="CDI3" s="1113"/>
      <c r="CDJ3" s="1113"/>
      <c r="CDK3" s="1113"/>
      <c r="CDL3" s="1113"/>
      <c r="CDM3" s="1113"/>
      <c r="CDN3" s="1113"/>
      <c r="CDO3" s="1113"/>
      <c r="CDP3" s="1113"/>
      <c r="CDQ3" s="1113"/>
      <c r="CDR3" s="1113"/>
      <c r="CDS3" s="1113"/>
      <c r="CDT3" s="1113"/>
      <c r="CDU3" s="1113"/>
      <c r="CDV3" s="1113"/>
      <c r="CDW3" s="1113"/>
      <c r="CDX3" s="1113"/>
      <c r="CDY3" s="1113"/>
      <c r="CDZ3" s="1113"/>
      <c r="CEA3" s="1113"/>
      <c r="CEB3" s="1113"/>
      <c r="CEC3" s="1113"/>
      <c r="CED3" s="1113"/>
      <c r="CEE3" s="1113"/>
      <c r="CEF3" s="1113"/>
      <c r="CEG3" s="1113"/>
      <c r="CEH3" s="1113"/>
      <c r="CEI3" s="1113"/>
      <c r="CEJ3" s="1113"/>
      <c r="CEK3" s="1113"/>
      <c r="CEL3" s="1113"/>
      <c r="CEM3" s="1113"/>
      <c r="CEN3" s="1113"/>
      <c r="CEO3" s="1113"/>
      <c r="CEP3" s="1113"/>
      <c r="CEQ3" s="1113"/>
      <c r="CER3" s="1113"/>
      <c r="CES3" s="1113"/>
      <c r="CET3" s="1113"/>
      <c r="CEU3" s="1113"/>
      <c r="CEV3" s="1113"/>
      <c r="CEW3" s="1113"/>
      <c r="CEX3" s="1113"/>
      <c r="CEY3" s="1113"/>
      <c r="CEZ3" s="1113"/>
      <c r="CFA3" s="1113"/>
      <c r="CFB3" s="1113"/>
      <c r="CFC3" s="1113"/>
      <c r="CFD3" s="1113"/>
      <c r="CFE3" s="1113"/>
      <c r="CFF3" s="1113"/>
      <c r="CFG3" s="1113"/>
      <c r="CFH3" s="1113"/>
      <c r="CFI3" s="1113"/>
      <c r="CFJ3" s="1113"/>
      <c r="CFK3" s="1113"/>
      <c r="CFL3" s="1113"/>
      <c r="CFM3" s="1113"/>
      <c r="CFN3" s="1113"/>
      <c r="CFO3" s="1113"/>
      <c r="CFP3" s="1113"/>
      <c r="CFQ3" s="1113"/>
      <c r="CFR3" s="1113"/>
      <c r="CFS3" s="1113"/>
      <c r="CFT3" s="1113"/>
      <c r="CFU3" s="1113"/>
      <c r="CFV3" s="1113"/>
      <c r="CFW3" s="1113"/>
      <c r="CFX3" s="1113"/>
      <c r="CFY3" s="1113"/>
      <c r="CFZ3" s="1113"/>
      <c r="CGA3" s="1113"/>
      <c r="CGB3" s="1113"/>
      <c r="CGC3" s="1113"/>
      <c r="CGD3" s="1113"/>
      <c r="CGE3" s="1113"/>
      <c r="CGF3" s="1113"/>
      <c r="CGG3" s="1113"/>
      <c r="CGH3" s="1113"/>
      <c r="CGI3" s="1113"/>
      <c r="CGJ3" s="1113"/>
      <c r="CGK3" s="1113"/>
      <c r="CGL3" s="1113"/>
      <c r="CGM3" s="1113"/>
      <c r="CGN3" s="1113"/>
      <c r="CGO3" s="1113"/>
      <c r="CGP3" s="1113"/>
      <c r="CGQ3" s="1113"/>
      <c r="CGR3" s="1113"/>
      <c r="CGS3" s="1113"/>
      <c r="CGT3" s="1113"/>
      <c r="CGU3" s="1113"/>
      <c r="CGV3" s="1113"/>
      <c r="CGW3" s="1113"/>
      <c r="CGX3" s="1113"/>
      <c r="CGY3" s="1113"/>
      <c r="CGZ3" s="1113"/>
      <c r="CHA3" s="1113"/>
      <c r="CHB3" s="1113"/>
      <c r="CHC3" s="1113"/>
      <c r="CHD3" s="1113"/>
      <c r="CHE3" s="1113"/>
      <c r="CHF3" s="1113"/>
      <c r="CHG3" s="1113"/>
      <c r="CHH3" s="1113"/>
      <c r="CHI3" s="1113"/>
      <c r="CHJ3" s="1113"/>
      <c r="CHK3" s="1113"/>
      <c r="CHL3" s="1113"/>
      <c r="CHM3" s="1113"/>
      <c r="CHN3" s="1113"/>
      <c r="CHO3" s="1113"/>
      <c r="CHP3" s="1113"/>
      <c r="CHQ3" s="1113"/>
      <c r="CHR3" s="1113"/>
      <c r="CHS3" s="1113"/>
      <c r="CHT3" s="1113"/>
      <c r="CHU3" s="1113"/>
      <c r="CHV3" s="1113"/>
      <c r="CHW3" s="1113"/>
      <c r="CHX3" s="1113"/>
      <c r="CHY3" s="1113"/>
      <c r="CHZ3" s="1113"/>
      <c r="CIA3" s="1113"/>
      <c r="CIB3" s="1113"/>
      <c r="CIC3" s="1113"/>
      <c r="CID3" s="1113"/>
      <c r="CIE3" s="1113"/>
      <c r="CIF3" s="1113"/>
      <c r="CIG3" s="1113"/>
      <c r="CIH3" s="1113"/>
      <c r="CII3" s="1113"/>
      <c r="CIJ3" s="1113"/>
      <c r="CIK3" s="1113"/>
      <c r="CIL3" s="1113"/>
      <c r="CIM3" s="1113"/>
      <c r="CIN3" s="1113"/>
      <c r="CIO3" s="1113"/>
      <c r="CIP3" s="1113"/>
      <c r="CIQ3" s="1113"/>
      <c r="CIR3" s="1113"/>
      <c r="CIS3" s="1113"/>
      <c r="CIT3" s="1113"/>
      <c r="CIU3" s="1113"/>
      <c r="CIV3" s="1113"/>
      <c r="CIW3" s="1113"/>
      <c r="CIX3" s="1113"/>
      <c r="CIY3" s="1113"/>
      <c r="CIZ3" s="1113"/>
      <c r="CJA3" s="1113"/>
      <c r="CJB3" s="1113"/>
      <c r="CJC3" s="1113"/>
      <c r="CJD3" s="1113"/>
      <c r="CJE3" s="1113"/>
      <c r="CJF3" s="1113"/>
      <c r="CJG3" s="1113"/>
      <c r="CJH3" s="1113"/>
      <c r="CJI3" s="1113"/>
      <c r="CJJ3" s="1113"/>
      <c r="CJK3" s="1113"/>
      <c r="CJL3" s="1113"/>
      <c r="CJM3" s="1113"/>
      <c r="CJN3" s="1113"/>
      <c r="CJO3" s="1113"/>
      <c r="CJP3" s="1113"/>
      <c r="CJQ3" s="1113"/>
      <c r="CJR3" s="1113"/>
      <c r="CJS3" s="1113"/>
      <c r="CJT3" s="1113"/>
      <c r="CJU3" s="1113"/>
      <c r="CJV3" s="1113"/>
      <c r="CJW3" s="1113"/>
      <c r="CJX3" s="1113"/>
      <c r="CJY3" s="1113"/>
      <c r="CJZ3" s="1113"/>
      <c r="CKA3" s="1113"/>
      <c r="CKB3" s="1113"/>
      <c r="CKC3" s="1113"/>
      <c r="CKD3" s="1113"/>
      <c r="CKE3" s="1113"/>
      <c r="CKF3" s="1113"/>
      <c r="CKG3" s="1113"/>
      <c r="CKH3" s="1113"/>
      <c r="CKI3" s="1113"/>
      <c r="CKJ3" s="1113"/>
      <c r="CKK3" s="1113"/>
      <c r="CKL3" s="1113"/>
      <c r="CKM3" s="1113"/>
      <c r="CKN3" s="1113"/>
      <c r="CKO3" s="1113"/>
      <c r="CKP3" s="1113"/>
      <c r="CKQ3" s="1113"/>
      <c r="CKR3" s="1113"/>
      <c r="CKS3" s="1113"/>
      <c r="CKT3" s="1113"/>
      <c r="CKU3" s="1113"/>
      <c r="CKV3" s="1113"/>
      <c r="CKW3" s="1113"/>
      <c r="CKX3" s="1113"/>
      <c r="CKY3" s="1113"/>
      <c r="CKZ3" s="1113"/>
      <c r="CLA3" s="1113"/>
      <c r="CLB3" s="1113"/>
      <c r="CLC3" s="1113"/>
      <c r="CLD3" s="1113"/>
      <c r="CLE3" s="1113"/>
      <c r="CLF3" s="1113"/>
      <c r="CLG3" s="1113"/>
      <c r="CLH3" s="1113"/>
      <c r="CLI3" s="1113"/>
      <c r="CLJ3" s="1113"/>
      <c r="CLK3" s="1113"/>
      <c r="CLL3" s="1113"/>
      <c r="CLM3" s="1113"/>
      <c r="CLN3" s="1113"/>
      <c r="CLO3" s="1113"/>
      <c r="CLP3" s="1113"/>
      <c r="CLQ3" s="1113"/>
      <c r="CLR3" s="1113"/>
      <c r="CLS3" s="1113"/>
      <c r="CLT3" s="1113"/>
      <c r="CLU3" s="1113"/>
      <c r="CLV3" s="1113"/>
      <c r="CLW3" s="1113"/>
      <c r="CLX3" s="1113"/>
      <c r="CLY3" s="1113"/>
      <c r="CLZ3" s="1113"/>
      <c r="CMA3" s="1113"/>
      <c r="CMB3" s="1113"/>
      <c r="CMC3" s="1113"/>
      <c r="CMD3" s="1113"/>
      <c r="CME3" s="1113"/>
      <c r="CMF3" s="1113"/>
      <c r="CMG3" s="1113"/>
      <c r="CMH3" s="1113"/>
      <c r="CMI3" s="1113"/>
      <c r="CMJ3" s="1113"/>
      <c r="CMK3" s="1113"/>
      <c r="CML3" s="1113"/>
      <c r="CMM3" s="1113"/>
      <c r="CMN3" s="1113"/>
      <c r="CMO3" s="1113"/>
      <c r="CMP3" s="1113"/>
      <c r="CMQ3" s="1113"/>
      <c r="CMR3" s="1113"/>
      <c r="CMS3" s="1113"/>
      <c r="CMT3" s="1113"/>
      <c r="CMU3" s="1113"/>
      <c r="CMV3" s="1113"/>
      <c r="CMW3" s="1113"/>
      <c r="CMX3" s="1113"/>
      <c r="CMY3" s="1113"/>
      <c r="CMZ3" s="1113"/>
      <c r="CNA3" s="1113"/>
      <c r="CNB3" s="1113"/>
      <c r="CNC3" s="1113"/>
      <c r="CND3" s="1113"/>
      <c r="CNE3" s="1113"/>
      <c r="CNF3" s="1113"/>
      <c r="CNG3" s="1113"/>
      <c r="CNH3" s="1113"/>
      <c r="CNI3" s="1113"/>
      <c r="CNJ3" s="1113"/>
      <c r="CNK3" s="1113"/>
      <c r="CNL3" s="1113"/>
      <c r="CNM3" s="1113"/>
      <c r="CNN3" s="1113"/>
      <c r="CNO3" s="1113"/>
      <c r="CNP3" s="1113"/>
      <c r="CNQ3" s="1113"/>
      <c r="CNR3" s="1113"/>
      <c r="CNS3" s="1113"/>
      <c r="CNT3" s="1113"/>
      <c r="CNU3" s="1113"/>
      <c r="CNV3" s="1113"/>
      <c r="CNW3" s="1113"/>
      <c r="CNX3" s="1113"/>
      <c r="CNY3" s="1113"/>
      <c r="CNZ3" s="1113"/>
      <c r="COA3" s="1113"/>
      <c r="COB3" s="1113"/>
      <c r="COC3" s="1113"/>
      <c r="COD3" s="1113"/>
      <c r="COE3" s="1113"/>
      <c r="COF3" s="1113"/>
      <c r="COG3" s="1113"/>
      <c r="COH3" s="1113"/>
      <c r="COI3" s="1113"/>
      <c r="COJ3" s="1113"/>
      <c r="COK3" s="1113"/>
      <c r="COL3" s="1113"/>
      <c r="COM3" s="1113"/>
      <c r="CON3" s="1113"/>
      <c r="COO3" s="1113"/>
      <c r="COP3" s="1113"/>
      <c r="COQ3" s="1113"/>
      <c r="COR3" s="1113"/>
      <c r="COS3" s="1113"/>
      <c r="COT3" s="1113"/>
      <c r="COU3" s="1113"/>
      <c r="COV3" s="1113"/>
      <c r="COW3" s="1113"/>
      <c r="COX3" s="1113"/>
      <c r="COY3" s="1113"/>
      <c r="COZ3" s="1113"/>
      <c r="CPA3" s="1113"/>
      <c r="CPB3" s="1113"/>
      <c r="CPC3" s="1113"/>
      <c r="CPD3" s="1113"/>
      <c r="CPE3" s="1113"/>
      <c r="CPF3" s="1113"/>
      <c r="CPG3" s="1113"/>
      <c r="CPH3" s="1113"/>
      <c r="CPI3" s="1113"/>
      <c r="CPJ3" s="1113"/>
      <c r="CPK3" s="1113"/>
      <c r="CPL3" s="1113"/>
      <c r="CPM3" s="1113"/>
      <c r="CPN3" s="1113"/>
      <c r="CPO3" s="1113"/>
      <c r="CPP3" s="1113"/>
      <c r="CPQ3" s="1113"/>
      <c r="CPR3" s="1113"/>
      <c r="CPS3" s="1113"/>
      <c r="CPT3" s="1113"/>
      <c r="CPU3" s="1113"/>
      <c r="CPV3" s="1113"/>
      <c r="CPW3" s="1113"/>
      <c r="CPX3" s="1113"/>
      <c r="CPY3" s="1113"/>
      <c r="CPZ3" s="1113"/>
      <c r="CQA3" s="1113"/>
      <c r="CQB3" s="1113"/>
      <c r="CQC3" s="1113"/>
      <c r="CQD3" s="1113"/>
      <c r="CQE3" s="1113"/>
      <c r="CQF3" s="1113"/>
      <c r="CQG3" s="1113"/>
      <c r="CQH3" s="1113"/>
      <c r="CQI3" s="1113"/>
      <c r="CQJ3" s="1113"/>
      <c r="CQK3" s="1113"/>
      <c r="CQL3" s="1113"/>
      <c r="CQM3" s="1113"/>
      <c r="CQN3" s="1113"/>
      <c r="CQO3" s="1113"/>
      <c r="CQP3" s="1113"/>
      <c r="CQQ3" s="1113"/>
      <c r="CQR3" s="1113"/>
      <c r="CQS3" s="1113"/>
      <c r="CQT3" s="1113"/>
      <c r="CQU3" s="1113"/>
      <c r="CQV3" s="1113"/>
      <c r="CQW3" s="1113"/>
      <c r="CQX3" s="1113"/>
      <c r="CQY3" s="1113"/>
      <c r="CQZ3" s="1113"/>
      <c r="CRA3" s="1113"/>
      <c r="CRB3" s="1113"/>
      <c r="CRC3" s="1113"/>
      <c r="CRD3" s="1113"/>
      <c r="CRE3" s="1113"/>
      <c r="CRF3" s="1113"/>
      <c r="CRG3" s="1113"/>
      <c r="CRH3" s="1113"/>
      <c r="CRI3" s="1113"/>
      <c r="CRJ3" s="1113"/>
      <c r="CRK3" s="1113"/>
      <c r="CRL3" s="1113"/>
      <c r="CRM3" s="1113"/>
      <c r="CRN3" s="1113"/>
      <c r="CRO3" s="1113"/>
      <c r="CRP3" s="1113"/>
      <c r="CRQ3" s="1113"/>
      <c r="CRR3" s="1113"/>
      <c r="CRS3" s="1113"/>
      <c r="CRT3" s="1113"/>
      <c r="CRU3" s="1113"/>
      <c r="CRV3" s="1113"/>
      <c r="CRW3" s="1113"/>
      <c r="CRX3" s="1113"/>
      <c r="CRY3" s="1113"/>
      <c r="CRZ3" s="1113"/>
      <c r="CSA3" s="1113"/>
      <c r="CSB3" s="1113"/>
      <c r="CSC3" s="1113"/>
      <c r="CSD3" s="1113"/>
      <c r="CSE3" s="1113"/>
      <c r="CSF3" s="1113"/>
      <c r="CSG3" s="1113"/>
      <c r="CSH3" s="1113"/>
      <c r="CSI3" s="1113"/>
      <c r="CSJ3" s="1113"/>
      <c r="CSK3" s="1113"/>
      <c r="CSL3" s="1113"/>
      <c r="CSM3" s="1113"/>
      <c r="CSN3" s="1113"/>
      <c r="CSO3" s="1113"/>
      <c r="CSP3" s="1113"/>
      <c r="CSQ3" s="1113"/>
      <c r="CSR3" s="1113"/>
      <c r="CSS3" s="1113"/>
      <c r="CST3" s="1113"/>
      <c r="CSU3" s="1113"/>
      <c r="CSV3" s="1113"/>
      <c r="CSW3" s="1113"/>
      <c r="CSX3" s="1113"/>
      <c r="CSY3" s="1113"/>
      <c r="CSZ3" s="1113"/>
      <c r="CTA3" s="1113"/>
      <c r="CTB3" s="1113"/>
      <c r="CTC3" s="1113"/>
      <c r="CTD3" s="1113"/>
      <c r="CTE3" s="1113"/>
      <c r="CTF3" s="1113"/>
      <c r="CTG3" s="1113"/>
      <c r="CTH3" s="1113"/>
      <c r="CTI3" s="1113"/>
      <c r="CTJ3" s="1113"/>
      <c r="CTK3" s="1113"/>
      <c r="CTL3" s="1113"/>
      <c r="CTM3" s="1113"/>
      <c r="CTN3" s="1113"/>
      <c r="CTO3" s="1113"/>
      <c r="CTP3" s="1113"/>
      <c r="CTQ3" s="1113"/>
      <c r="CTR3" s="1113"/>
      <c r="CTS3" s="1113"/>
      <c r="CTT3" s="1113"/>
      <c r="CTU3" s="1113"/>
      <c r="CTV3" s="1113"/>
      <c r="CTW3" s="1113"/>
      <c r="CTX3" s="1113"/>
      <c r="CTY3" s="1113"/>
      <c r="CTZ3" s="1113"/>
      <c r="CUA3" s="1113"/>
      <c r="CUB3" s="1113"/>
      <c r="CUC3" s="1113"/>
      <c r="CUD3" s="1113"/>
      <c r="CUE3" s="1113"/>
      <c r="CUF3" s="1113"/>
      <c r="CUG3" s="1113"/>
      <c r="CUH3" s="1113"/>
      <c r="CUI3" s="1113"/>
      <c r="CUJ3" s="1113"/>
      <c r="CUK3" s="1113"/>
      <c r="CUL3" s="1113"/>
      <c r="CUM3" s="1113"/>
      <c r="CUN3" s="1113"/>
      <c r="CUO3" s="1113"/>
      <c r="CUP3" s="1113"/>
      <c r="CUQ3" s="1113"/>
      <c r="CUR3" s="1113"/>
      <c r="CUS3" s="1113"/>
      <c r="CUT3" s="1113"/>
      <c r="CUU3" s="1113"/>
      <c r="CUV3" s="1113"/>
      <c r="CUW3" s="1113"/>
      <c r="CUX3" s="1113"/>
      <c r="CUY3" s="1113"/>
      <c r="CUZ3" s="1113"/>
      <c r="CVA3" s="1113"/>
      <c r="CVB3" s="1113"/>
      <c r="CVC3" s="1113"/>
      <c r="CVD3" s="1113"/>
      <c r="CVE3" s="1113"/>
      <c r="CVF3" s="1113"/>
      <c r="CVG3" s="1113"/>
      <c r="CVH3" s="1113"/>
      <c r="CVI3" s="1113"/>
      <c r="CVJ3" s="1113"/>
      <c r="CVK3" s="1113"/>
      <c r="CVL3" s="1113"/>
      <c r="CVM3" s="1113"/>
      <c r="CVN3" s="1113"/>
      <c r="CVO3" s="1113"/>
      <c r="CVP3" s="1113"/>
      <c r="CVQ3" s="1113"/>
      <c r="CVR3" s="1113"/>
      <c r="CVS3" s="1113"/>
      <c r="CVT3" s="1113"/>
      <c r="CVU3" s="1113"/>
      <c r="CVV3" s="1113"/>
      <c r="CVW3" s="1113"/>
      <c r="CVX3" s="1113"/>
      <c r="CVY3" s="1113"/>
      <c r="CVZ3" s="1113"/>
      <c r="CWA3" s="1113"/>
      <c r="CWB3" s="1113"/>
      <c r="CWC3" s="1113"/>
      <c r="CWD3" s="1113"/>
      <c r="CWE3" s="1113"/>
      <c r="CWF3" s="1113"/>
      <c r="CWG3" s="1113"/>
      <c r="CWH3" s="1113"/>
      <c r="CWI3" s="1113"/>
      <c r="CWJ3" s="1113"/>
      <c r="CWK3" s="1113"/>
      <c r="CWL3" s="1113"/>
      <c r="CWM3" s="1113"/>
      <c r="CWN3" s="1113"/>
      <c r="CWO3" s="1113"/>
      <c r="CWP3" s="1113"/>
      <c r="CWQ3" s="1113"/>
      <c r="CWR3" s="1113"/>
      <c r="CWS3" s="1113"/>
      <c r="CWT3" s="1113"/>
      <c r="CWU3" s="1113"/>
      <c r="CWV3" s="1113"/>
      <c r="CWW3" s="1113"/>
      <c r="CWX3" s="1113"/>
      <c r="CWY3" s="1113"/>
      <c r="CWZ3" s="1113"/>
      <c r="CXA3" s="1113"/>
      <c r="CXB3" s="1113"/>
      <c r="CXC3" s="1113"/>
      <c r="CXD3" s="1113"/>
      <c r="CXE3" s="1113"/>
      <c r="CXF3" s="1113"/>
      <c r="CXG3" s="1113"/>
      <c r="CXH3" s="1113"/>
      <c r="CXI3" s="1113"/>
      <c r="CXJ3" s="1113"/>
      <c r="CXK3" s="1113"/>
      <c r="CXL3" s="1113"/>
      <c r="CXM3" s="1113"/>
      <c r="CXN3" s="1113"/>
      <c r="CXO3" s="1113"/>
      <c r="CXP3" s="1113"/>
      <c r="CXQ3" s="1113"/>
      <c r="CXR3" s="1113"/>
      <c r="CXS3" s="1113"/>
      <c r="CXT3" s="1113"/>
      <c r="CXU3" s="1113"/>
      <c r="CXV3" s="1113"/>
      <c r="CXW3" s="1113"/>
      <c r="CXX3" s="1113"/>
      <c r="CXY3" s="1113"/>
      <c r="CXZ3" s="1113"/>
      <c r="CYA3" s="1113"/>
      <c r="CYB3" s="1113"/>
      <c r="CYC3" s="1113"/>
      <c r="CYD3" s="1113"/>
      <c r="CYE3" s="1113"/>
      <c r="CYF3" s="1113"/>
      <c r="CYG3" s="1113"/>
      <c r="CYH3" s="1113"/>
      <c r="CYI3" s="1113"/>
      <c r="CYJ3" s="1113"/>
      <c r="CYK3" s="1113"/>
      <c r="CYL3" s="1113"/>
      <c r="CYM3" s="1113"/>
      <c r="CYN3" s="1113"/>
      <c r="CYO3" s="1113"/>
      <c r="CYP3" s="1113"/>
      <c r="CYQ3" s="1113"/>
      <c r="CYR3" s="1113"/>
      <c r="CYS3" s="1113"/>
      <c r="CYT3" s="1113"/>
      <c r="CYU3" s="1113"/>
      <c r="CYV3" s="1113"/>
      <c r="CYW3" s="1113"/>
      <c r="CYX3" s="1113"/>
      <c r="CYY3" s="1113"/>
      <c r="CYZ3" s="1113"/>
      <c r="CZA3" s="1113"/>
      <c r="CZB3" s="1113"/>
      <c r="CZC3" s="1113"/>
      <c r="CZD3" s="1113"/>
      <c r="CZE3" s="1113"/>
      <c r="CZF3" s="1113"/>
      <c r="CZG3" s="1113"/>
      <c r="CZH3" s="1113"/>
      <c r="CZI3" s="1113"/>
      <c r="CZJ3" s="1113"/>
      <c r="CZK3" s="1113"/>
      <c r="CZL3" s="1113"/>
      <c r="CZM3" s="1113"/>
      <c r="CZN3" s="1113"/>
      <c r="CZO3" s="1113"/>
      <c r="CZP3" s="1113"/>
      <c r="CZQ3" s="1113"/>
      <c r="CZR3" s="1113"/>
      <c r="CZS3" s="1113"/>
      <c r="CZT3" s="1113"/>
      <c r="CZU3" s="1113"/>
      <c r="CZV3" s="1113"/>
      <c r="CZW3" s="1113"/>
      <c r="CZX3" s="1113"/>
      <c r="CZY3" s="1113"/>
      <c r="CZZ3" s="1113"/>
      <c r="DAA3" s="1113"/>
      <c r="DAB3" s="1113"/>
      <c r="DAC3" s="1113"/>
      <c r="DAD3" s="1113"/>
      <c r="DAE3" s="1113"/>
      <c r="DAF3" s="1113"/>
      <c r="DAG3" s="1113"/>
      <c r="DAH3" s="1113"/>
      <c r="DAI3" s="1113"/>
      <c r="DAJ3" s="1113"/>
      <c r="DAK3" s="1113"/>
      <c r="DAL3" s="1113"/>
      <c r="DAM3" s="1113"/>
      <c r="DAN3" s="1113"/>
      <c r="DAO3" s="1113"/>
      <c r="DAP3" s="1113"/>
      <c r="DAQ3" s="1113"/>
      <c r="DAR3" s="1113"/>
      <c r="DAS3" s="1113"/>
      <c r="DAT3" s="1113"/>
      <c r="DAU3" s="1113"/>
      <c r="DAV3" s="1113"/>
      <c r="DAW3" s="1113"/>
      <c r="DAX3" s="1113"/>
      <c r="DAY3" s="1113"/>
      <c r="DAZ3" s="1113"/>
      <c r="DBA3" s="1113"/>
      <c r="DBB3" s="1113"/>
      <c r="DBC3" s="1113"/>
      <c r="DBD3" s="1113"/>
      <c r="DBE3" s="1113"/>
      <c r="DBF3" s="1113"/>
      <c r="DBG3" s="1113"/>
      <c r="DBH3" s="1113"/>
      <c r="DBI3" s="1113"/>
      <c r="DBJ3" s="1113"/>
      <c r="DBK3" s="1113"/>
      <c r="DBL3" s="1113"/>
      <c r="DBM3" s="1113"/>
      <c r="DBN3" s="1113"/>
      <c r="DBO3" s="1113"/>
      <c r="DBP3" s="1113"/>
      <c r="DBQ3" s="1113"/>
      <c r="DBR3" s="1113"/>
      <c r="DBS3" s="1113"/>
      <c r="DBT3" s="1113"/>
      <c r="DBU3" s="1113"/>
      <c r="DBV3" s="1113"/>
      <c r="DBW3" s="1113"/>
      <c r="DBX3" s="1113"/>
      <c r="DBY3" s="1113"/>
      <c r="DBZ3" s="1113"/>
      <c r="DCA3" s="1113"/>
      <c r="DCB3" s="1113"/>
      <c r="DCC3" s="1113"/>
      <c r="DCD3" s="1113"/>
      <c r="DCE3" s="1113"/>
      <c r="DCF3" s="1113"/>
      <c r="DCG3" s="1113"/>
      <c r="DCH3" s="1113"/>
      <c r="DCI3" s="1113"/>
      <c r="DCJ3" s="1113"/>
      <c r="DCK3" s="1113"/>
      <c r="DCL3" s="1113"/>
      <c r="DCM3" s="1113"/>
      <c r="DCN3" s="1113"/>
      <c r="DCO3" s="1113"/>
      <c r="DCP3" s="1113"/>
      <c r="DCQ3" s="1113"/>
      <c r="DCR3" s="1113"/>
      <c r="DCS3" s="1113"/>
      <c r="DCT3" s="1113"/>
      <c r="DCU3" s="1113"/>
      <c r="DCV3" s="1113"/>
      <c r="DCW3" s="1113"/>
      <c r="DCX3" s="1113"/>
      <c r="DCY3" s="1113"/>
      <c r="DCZ3" s="1113"/>
      <c r="DDA3" s="1113"/>
      <c r="DDB3" s="1113"/>
      <c r="DDC3" s="1113"/>
      <c r="DDD3" s="1113"/>
      <c r="DDE3" s="1113"/>
      <c r="DDF3" s="1113"/>
      <c r="DDG3" s="1113"/>
      <c r="DDH3" s="1113"/>
      <c r="DDI3" s="1113"/>
      <c r="DDJ3" s="1113"/>
      <c r="DDK3" s="1113"/>
      <c r="DDL3" s="1113"/>
      <c r="DDM3" s="1113"/>
      <c r="DDN3" s="1113"/>
      <c r="DDO3" s="1113"/>
      <c r="DDP3" s="1113"/>
      <c r="DDQ3" s="1113"/>
      <c r="DDR3" s="1113"/>
      <c r="DDS3" s="1113"/>
      <c r="DDT3" s="1113"/>
      <c r="DDU3" s="1113"/>
      <c r="DDV3" s="1113"/>
      <c r="DDW3" s="1113"/>
      <c r="DDX3" s="1113"/>
      <c r="DDY3" s="1113"/>
      <c r="DDZ3" s="1113"/>
      <c r="DEA3" s="1113"/>
      <c r="DEB3" s="1113"/>
      <c r="DEC3" s="1113"/>
      <c r="DED3" s="1113"/>
      <c r="DEE3" s="1113"/>
      <c r="DEF3" s="1113"/>
      <c r="DEG3" s="1113"/>
      <c r="DEH3" s="1113"/>
      <c r="DEI3" s="1113"/>
      <c r="DEJ3" s="1113"/>
      <c r="DEK3" s="1113"/>
      <c r="DEL3" s="1113"/>
      <c r="DEM3" s="1113"/>
      <c r="DEN3" s="1113"/>
      <c r="DEO3" s="1113"/>
      <c r="DEP3" s="1113"/>
      <c r="DEQ3" s="1113"/>
      <c r="DER3" s="1113"/>
      <c r="DES3" s="1113"/>
      <c r="DET3" s="1113"/>
      <c r="DEU3" s="1113"/>
      <c r="DEV3" s="1113"/>
      <c r="DEW3" s="1113"/>
      <c r="DEX3" s="1113"/>
      <c r="DEY3" s="1113"/>
      <c r="DEZ3" s="1113"/>
      <c r="DFA3" s="1113"/>
      <c r="DFB3" s="1113"/>
      <c r="DFC3" s="1113"/>
      <c r="DFD3" s="1113"/>
      <c r="DFE3" s="1113"/>
      <c r="DFF3" s="1113"/>
      <c r="DFG3" s="1113"/>
      <c r="DFH3" s="1113"/>
      <c r="DFI3" s="1113"/>
      <c r="DFJ3" s="1113"/>
      <c r="DFK3" s="1113"/>
      <c r="DFL3" s="1113"/>
      <c r="DFM3" s="1113"/>
      <c r="DFN3" s="1113"/>
      <c r="DFO3" s="1113"/>
      <c r="DFP3" s="1113"/>
      <c r="DFQ3" s="1113"/>
      <c r="DFR3" s="1113"/>
      <c r="DFS3" s="1113"/>
      <c r="DFT3" s="1113"/>
      <c r="DFU3" s="1113"/>
      <c r="DFV3" s="1113"/>
      <c r="DFW3" s="1113"/>
      <c r="DFX3" s="1113"/>
      <c r="DFY3" s="1113"/>
      <c r="DFZ3" s="1113"/>
      <c r="DGA3" s="1113"/>
      <c r="DGB3" s="1113"/>
      <c r="DGC3" s="1113"/>
      <c r="DGD3" s="1113"/>
      <c r="DGE3" s="1113"/>
      <c r="DGF3" s="1113"/>
      <c r="DGG3" s="1113"/>
      <c r="DGH3" s="1113"/>
      <c r="DGI3" s="1113"/>
      <c r="DGJ3" s="1113"/>
      <c r="DGK3" s="1113"/>
      <c r="DGL3" s="1113"/>
      <c r="DGM3" s="1113"/>
      <c r="DGN3" s="1113"/>
      <c r="DGO3" s="1113"/>
      <c r="DGP3" s="1113"/>
      <c r="DGQ3" s="1113"/>
      <c r="DGR3" s="1113"/>
      <c r="DGS3" s="1113"/>
      <c r="DGT3" s="1113"/>
      <c r="DGU3" s="1113"/>
      <c r="DGV3" s="1113"/>
      <c r="DGW3" s="1113"/>
      <c r="DGX3" s="1113"/>
      <c r="DGY3" s="1113"/>
      <c r="DGZ3" s="1113"/>
      <c r="DHA3" s="1113"/>
      <c r="DHB3" s="1113"/>
      <c r="DHC3" s="1113"/>
      <c r="DHD3" s="1113"/>
      <c r="DHE3" s="1113"/>
      <c r="DHF3" s="1113"/>
      <c r="DHG3" s="1113"/>
      <c r="DHH3" s="1113"/>
      <c r="DHI3" s="1113"/>
      <c r="DHJ3" s="1113"/>
      <c r="DHK3" s="1113"/>
      <c r="DHL3" s="1113"/>
      <c r="DHM3" s="1113"/>
      <c r="DHN3" s="1113"/>
      <c r="DHO3" s="1113"/>
      <c r="DHP3" s="1113"/>
      <c r="DHQ3" s="1113"/>
      <c r="DHR3" s="1113"/>
      <c r="DHS3" s="1113"/>
      <c r="DHT3" s="1113"/>
      <c r="DHU3" s="1113"/>
      <c r="DHV3" s="1113"/>
      <c r="DHW3" s="1113"/>
      <c r="DHX3" s="1113"/>
      <c r="DHY3" s="1113"/>
      <c r="DHZ3" s="1113"/>
      <c r="DIA3" s="1113"/>
      <c r="DIB3" s="1113"/>
      <c r="DIC3" s="1113"/>
      <c r="DID3" s="1113"/>
      <c r="DIE3" s="1113"/>
      <c r="DIF3" s="1113"/>
      <c r="DIG3" s="1113"/>
      <c r="DIH3" s="1113"/>
      <c r="DII3" s="1113"/>
      <c r="DIJ3" s="1113"/>
      <c r="DIK3" s="1113"/>
      <c r="DIL3" s="1113"/>
      <c r="DIM3" s="1113"/>
      <c r="DIN3" s="1113"/>
      <c r="DIO3" s="1113"/>
      <c r="DIP3" s="1113"/>
      <c r="DIQ3" s="1113"/>
      <c r="DIR3" s="1113"/>
      <c r="DIS3" s="1113"/>
      <c r="DIT3" s="1113"/>
      <c r="DIU3" s="1113"/>
      <c r="DIV3" s="1113"/>
      <c r="DIW3" s="1113"/>
      <c r="DIX3" s="1113"/>
      <c r="DIY3" s="1113"/>
      <c r="DIZ3" s="1113"/>
      <c r="DJA3" s="1113"/>
      <c r="DJB3" s="1113"/>
      <c r="DJC3" s="1113"/>
      <c r="DJD3" s="1113"/>
      <c r="DJE3" s="1113"/>
      <c r="DJF3" s="1113"/>
      <c r="DJG3" s="1113"/>
      <c r="DJH3" s="1113"/>
      <c r="DJI3" s="1113"/>
      <c r="DJJ3" s="1113"/>
      <c r="DJK3" s="1113"/>
      <c r="DJL3" s="1113"/>
      <c r="DJM3" s="1113"/>
      <c r="DJN3" s="1113"/>
      <c r="DJO3" s="1113"/>
      <c r="DJP3" s="1113"/>
      <c r="DJQ3" s="1113"/>
      <c r="DJR3" s="1113"/>
      <c r="DJS3" s="1113"/>
      <c r="DJT3" s="1113"/>
      <c r="DJU3" s="1113"/>
      <c r="DJV3" s="1113"/>
      <c r="DJW3" s="1113"/>
      <c r="DJX3" s="1113"/>
      <c r="DJY3" s="1113"/>
      <c r="DJZ3" s="1113"/>
      <c r="DKA3" s="1113"/>
      <c r="DKB3" s="1113"/>
      <c r="DKC3" s="1113"/>
      <c r="DKD3" s="1113"/>
      <c r="DKE3" s="1113"/>
      <c r="DKF3" s="1113"/>
      <c r="DKG3" s="1113"/>
      <c r="DKH3" s="1113"/>
      <c r="DKI3" s="1113"/>
      <c r="DKJ3" s="1113"/>
      <c r="DKK3" s="1113"/>
      <c r="DKL3" s="1113"/>
      <c r="DKM3" s="1113"/>
      <c r="DKN3" s="1113"/>
      <c r="DKO3" s="1113"/>
      <c r="DKP3" s="1113"/>
      <c r="DKQ3" s="1113"/>
      <c r="DKR3" s="1113"/>
      <c r="DKS3" s="1113"/>
      <c r="DKT3" s="1113"/>
      <c r="DKU3" s="1113"/>
      <c r="DKV3" s="1113"/>
      <c r="DKW3" s="1113"/>
      <c r="DKX3" s="1113"/>
      <c r="DKY3" s="1113"/>
      <c r="DKZ3" s="1113"/>
      <c r="DLA3" s="1113"/>
      <c r="DLB3" s="1113"/>
      <c r="DLC3" s="1113"/>
      <c r="DLD3" s="1113"/>
      <c r="DLE3" s="1113"/>
      <c r="DLF3" s="1113"/>
      <c r="DLG3" s="1113"/>
      <c r="DLH3" s="1113"/>
      <c r="DLI3" s="1113"/>
      <c r="DLJ3" s="1113"/>
      <c r="DLK3" s="1113"/>
      <c r="DLL3" s="1113"/>
      <c r="DLM3" s="1113"/>
      <c r="DLN3" s="1113"/>
      <c r="DLO3" s="1113"/>
      <c r="DLP3" s="1113"/>
      <c r="DLQ3" s="1113"/>
      <c r="DLR3" s="1113"/>
      <c r="DLS3" s="1113"/>
      <c r="DLT3" s="1113"/>
      <c r="DLU3" s="1113"/>
      <c r="DLV3" s="1113"/>
      <c r="DLW3" s="1113"/>
      <c r="DLX3" s="1113"/>
      <c r="DLY3" s="1113"/>
      <c r="DLZ3" s="1113"/>
      <c r="DMA3" s="1113"/>
      <c r="DMB3" s="1113"/>
      <c r="DMC3" s="1113"/>
      <c r="DMD3" s="1113"/>
      <c r="DME3" s="1113"/>
      <c r="DMF3" s="1113"/>
      <c r="DMG3" s="1113"/>
      <c r="DMH3" s="1113"/>
      <c r="DMI3" s="1113"/>
      <c r="DMJ3" s="1113"/>
      <c r="DMK3" s="1113"/>
      <c r="DML3" s="1113"/>
      <c r="DMM3" s="1113"/>
      <c r="DMN3" s="1113"/>
      <c r="DMO3" s="1113"/>
      <c r="DMP3" s="1113"/>
      <c r="DMQ3" s="1113"/>
      <c r="DMR3" s="1113"/>
      <c r="DMS3" s="1113"/>
      <c r="DMT3" s="1113"/>
      <c r="DMU3" s="1113"/>
      <c r="DMV3" s="1113"/>
      <c r="DMW3" s="1113"/>
      <c r="DMX3" s="1113"/>
      <c r="DMY3" s="1113"/>
      <c r="DMZ3" s="1113"/>
      <c r="DNA3" s="1113"/>
      <c r="DNB3" s="1113"/>
      <c r="DNC3" s="1113"/>
      <c r="DND3" s="1113"/>
      <c r="DNE3" s="1113"/>
      <c r="DNF3" s="1113"/>
      <c r="DNG3" s="1113"/>
      <c r="DNH3" s="1113"/>
      <c r="DNI3" s="1113"/>
      <c r="DNJ3" s="1113"/>
      <c r="DNK3" s="1113"/>
      <c r="DNL3" s="1113"/>
      <c r="DNM3" s="1113"/>
      <c r="DNN3" s="1113"/>
      <c r="DNO3" s="1113"/>
      <c r="DNP3" s="1113"/>
      <c r="DNQ3" s="1113"/>
      <c r="DNR3" s="1113"/>
      <c r="DNS3" s="1113"/>
      <c r="DNT3" s="1113"/>
      <c r="DNU3" s="1113"/>
      <c r="DNV3" s="1113"/>
      <c r="DNW3" s="1113"/>
      <c r="DNX3" s="1113"/>
      <c r="DNY3" s="1113"/>
      <c r="DNZ3" s="1113"/>
      <c r="DOA3" s="1113"/>
      <c r="DOB3" s="1113"/>
      <c r="DOC3" s="1113"/>
      <c r="DOD3" s="1113"/>
      <c r="DOE3" s="1113"/>
      <c r="DOF3" s="1113"/>
      <c r="DOG3" s="1113"/>
      <c r="DOH3" s="1113"/>
      <c r="DOI3" s="1113"/>
      <c r="DOJ3" s="1113"/>
      <c r="DOK3" s="1113"/>
      <c r="DOL3" s="1113"/>
      <c r="DOM3" s="1113"/>
      <c r="DON3" s="1113"/>
      <c r="DOO3" s="1113"/>
      <c r="DOP3" s="1113"/>
      <c r="DOQ3" s="1113"/>
      <c r="DOR3" s="1113"/>
      <c r="DOS3" s="1113"/>
      <c r="DOT3" s="1113"/>
      <c r="DOU3" s="1113"/>
      <c r="DOV3" s="1113"/>
      <c r="DOW3" s="1113"/>
      <c r="DOX3" s="1113"/>
      <c r="DOY3" s="1113"/>
      <c r="DOZ3" s="1113"/>
      <c r="DPA3" s="1113"/>
      <c r="DPB3" s="1113"/>
      <c r="DPC3" s="1113"/>
      <c r="DPD3" s="1113"/>
      <c r="DPE3" s="1113"/>
      <c r="DPF3" s="1113"/>
      <c r="DPG3" s="1113"/>
      <c r="DPH3" s="1113"/>
      <c r="DPI3" s="1113"/>
      <c r="DPJ3" s="1113"/>
      <c r="DPK3" s="1113"/>
      <c r="DPL3" s="1113"/>
      <c r="DPM3" s="1113"/>
      <c r="DPN3" s="1113"/>
      <c r="DPO3" s="1113"/>
      <c r="DPP3" s="1113"/>
      <c r="DPQ3" s="1113"/>
      <c r="DPR3" s="1113"/>
      <c r="DPS3" s="1113"/>
      <c r="DPT3" s="1113"/>
      <c r="DPU3" s="1113"/>
      <c r="DPV3" s="1113"/>
      <c r="DPW3" s="1113"/>
      <c r="DPX3" s="1113"/>
      <c r="DPY3" s="1113"/>
      <c r="DPZ3" s="1113"/>
      <c r="DQA3" s="1113"/>
      <c r="DQB3" s="1113"/>
      <c r="DQC3" s="1113"/>
      <c r="DQD3" s="1113"/>
      <c r="DQE3" s="1113"/>
      <c r="DQF3" s="1113"/>
      <c r="DQG3" s="1113"/>
      <c r="DQH3" s="1113"/>
      <c r="DQI3" s="1113"/>
      <c r="DQJ3" s="1113"/>
      <c r="DQK3" s="1113"/>
      <c r="DQL3" s="1113"/>
      <c r="DQM3" s="1113"/>
      <c r="DQN3" s="1113"/>
      <c r="DQO3" s="1113"/>
      <c r="DQP3" s="1113"/>
      <c r="DQQ3" s="1113"/>
      <c r="DQR3" s="1113"/>
      <c r="DQS3" s="1113"/>
      <c r="DQT3" s="1113"/>
      <c r="DQU3" s="1113"/>
      <c r="DQV3" s="1113"/>
      <c r="DQW3" s="1113"/>
      <c r="DQX3" s="1113"/>
      <c r="DQY3" s="1113"/>
      <c r="DQZ3" s="1113"/>
      <c r="DRA3" s="1113"/>
      <c r="DRB3" s="1113"/>
      <c r="DRC3" s="1113"/>
      <c r="DRD3" s="1113"/>
      <c r="DRE3" s="1113"/>
      <c r="DRF3" s="1113"/>
      <c r="DRG3" s="1113"/>
      <c r="DRH3" s="1113"/>
      <c r="DRI3" s="1113"/>
      <c r="DRJ3" s="1113"/>
      <c r="DRK3" s="1113"/>
      <c r="DRL3" s="1113"/>
      <c r="DRM3" s="1113"/>
      <c r="DRN3" s="1113"/>
      <c r="DRO3" s="1113"/>
      <c r="DRP3" s="1113"/>
      <c r="DRQ3" s="1113"/>
      <c r="DRR3" s="1113"/>
      <c r="DRS3" s="1113"/>
      <c r="DRT3" s="1113"/>
      <c r="DRU3" s="1113"/>
      <c r="DRV3" s="1113"/>
      <c r="DRW3" s="1113"/>
      <c r="DRX3" s="1113"/>
      <c r="DRY3" s="1113"/>
      <c r="DRZ3" s="1113"/>
      <c r="DSA3" s="1113"/>
      <c r="DSB3" s="1113"/>
      <c r="DSC3" s="1113"/>
      <c r="DSD3" s="1113"/>
      <c r="DSE3" s="1113"/>
      <c r="DSF3" s="1113"/>
      <c r="DSG3" s="1113"/>
      <c r="DSH3" s="1113"/>
      <c r="DSI3" s="1113"/>
      <c r="DSJ3" s="1113"/>
      <c r="DSK3" s="1113"/>
      <c r="DSL3" s="1113"/>
      <c r="DSM3" s="1113"/>
      <c r="DSN3" s="1113"/>
      <c r="DSO3" s="1113"/>
      <c r="DSP3" s="1113"/>
      <c r="DSQ3" s="1113"/>
      <c r="DSR3" s="1113"/>
      <c r="DSS3" s="1113"/>
      <c r="DST3" s="1113"/>
      <c r="DSU3" s="1113"/>
      <c r="DSV3" s="1113"/>
      <c r="DSW3" s="1113"/>
      <c r="DSX3" s="1113"/>
      <c r="DSY3" s="1113"/>
      <c r="DSZ3" s="1113"/>
      <c r="DTA3" s="1113"/>
      <c r="DTB3" s="1113"/>
      <c r="DTC3" s="1113"/>
      <c r="DTD3" s="1113"/>
      <c r="DTE3" s="1113"/>
      <c r="DTF3" s="1113"/>
      <c r="DTG3" s="1113"/>
      <c r="DTH3" s="1113"/>
      <c r="DTI3" s="1113"/>
      <c r="DTJ3" s="1113"/>
      <c r="DTK3" s="1113"/>
      <c r="DTL3" s="1113"/>
      <c r="DTM3" s="1113"/>
      <c r="DTN3" s="1113"/>
      <c r="DTO3" s="1113"/>
      <c r="DTP3" s="1113"/>
      <c r="DTQ3" s="1113"/>
      <c r="DTR3" s="1113"/>
      <c r="DTS3" s="1113"/>
      <c r="DTT3" s="1113"/>
      <c r="DTU3" s="1113"/>
      <c r="DTV3" s="1113"/>
      <c r="DTW3" s="1113"/>
      <c r="DTX3" s="1113"/>
      <c r="DTY3" s="1113"/>
      <c r="DTZ3" s="1113"/>
      <c r="DUA3" s="1113"/>
      <c r="DUB3" s="1113"/>
      <c r="DUC3" s="1113"/>
      <c r="DUD3" s="1113"/>
      <c r="DUE3" s="1113"/>
      <c r="DUF3" s="1113"/>
      <c r="DUG3" s="1113"/>
      <c r="DUH3" s="1113"/>
      <c r="DUI3" s="1113"/>
      <c r="DUJ3" s="1113"/>
      <c r="DUK3" s="1113"/>
      <c r="DUL3" s="1113"/>
      <c r="DUM3" s="1113"/>
      <c r="DUN3" s="1113"/>
      <c r="DUO3" s="1113"/>
      <c r="DUP3" s="1113"/>
      <c r="DUQ3" s="1113"/>
      <c r="DUR3" s="1113"/>
      <c r="DUS3" s="1113"/>
      <c r="DUT3" s="1113"/>
      <c r="DUU3" s="1113"/>
      <c r="DUV3" s="1113"/>
      <c r="DUW3" s="1113"/>
      <c r="DUX3" s="1113"/>
      <c r="DUY3" s="1113"/>
      <c r="DUZ3" s="1113"/>
      <c r="DVA3" s="1113"/>
      <c r="DVB3" s="1113"/>
      <c r="DVC3" s="1113"/>
      <c r="DVD3" s="1113"/>
      <c r="DVE3" s="1113"/>
      <c r="DVF3" s="1113"/>
      <c r="DVG3" s="1113"/>
      <c r="DVH3" s="1113"/>
      <c r="DVI3" s="1113"/>
      <c r="DVJ3" s="1113"/>
      <c r="DVK3" s="1113"/>
      <c r="DVL3" s="1113"/>
      <c r="DVM3" s="1113"/>
      <c r="DVN3" s="1113"/>
      <c r="DVO3" s="1113"/>
      <c r="DVP3" s="1113"/>
      <c r="DVQ3" s="1113"/>
      <c r="DVR3" s="1113"/>
      <c r="DVS3" s="1113"/>
      <c r="DVT3" s="1113"/>
      <c r="DVU3" s="1113"/>
      <c r="DVV3" s="1113"/>
      <c r="DVW3" s="1113"/>
      <c r="DVX3" s="1113"/>
      <c r="DVY3" s="1113"/>
      <c r="DVZ3" s="1113"/>
      <c r="DWA3" s="1113"/>
      <c r="DWB3" s="1113"/>
      <c r="DWC3" s="1113"/>
      <c r="DWD3" s="1113"/>
      <c r="DWE3" s="1113"/>
      <c r="DWF3" s="1113"/>
      <c r="DWG3" s="1113"/>
      <c r="DWH3" s="1113"/>
      <c r="DWI3" s="1113"/>
      <c r="DWJ3" s="1113"/>
      <c r="DWK3" s="1113"/>
      <c r="DWL3" s="1113"/>
      <c r="DWM3" s="1113"/>
      <c r="DWN3" s="1113"/>
      <c r="DWO3" s="1113"/>
      <c r="DWP3" s="1113"/>
      <c r="DWQ3" s="1113"/>
      <c r="DWR3" s="1113"/>
      <c r="DWS3" s="1113"/>
      <c r="DWT3" s="1113"/>
      <c r="DWU3" s="1113"/>
      <c r="DWV3" s="1113"/>
      <c r="DWW3" s="1113"/>
      <c r="DWX3" s="1113"/>
      <c r="DWY3" s="1113"/>
      <c r="DWZ3" s="1113"/>
      <c r="DXA3" s="1113"/>
      <c r="DXB3" s="1113"/>
      <c r="DXC3" s="1113"/>
      <c r="DXD3" s="1113"/>
      <c r="DXE3" s="1113"/>
      <c r="DXF3" s="1113"/>
      <c r="DXG3" s="1113"/>
      <c r="DXH3" s="1113"/>
      <c r="DXI3" s="1113"/>
      <c r="DXJ3" s="1113"/>
      <c r="DXK3" s="1113"/>
      <c r="DXL3" s="1113"/>
      <c r="DXM3" s="1113"/>
      <c r="DXN3" s="1113"/>
      <c r="DXO3" s="1113"/>
      <c r="DXP3" s="1113"/>
      <c r="DXQ3" s="1113"/>
      <c r="DXR3" s="1113"/>
      <c r="DXS3" s="1113"/>
      <c r="DXT3" s="1113"/>
      <c r="DXU3" s="1113"/>
      <c r="DXV3" s="1113"/>
      <c r="DXW3" s="1113"/>
      <c r="DXX3" s="1113"/>
      <c r="DXY3" s="1113"/>
      <c r="DXZ3" s="1113"/>
      <c r="DYA3" s="1113"/>
      <c r="DYB3" s="1113"/>
      <c r="DYC3" s="1113"/>
      <c r="DYD3" s="1113"/>
      <c r="DYE3" s="1113"/>
      <c r="DYF3" s="1113"/>
      <c r="DYG3" s="1113"/>
      <c r="DYH3" s="1113"/>
      <c r="DYI3" s="1113"/>
      <c r="DYJ3" s="1113"/>
      <c r="DYK3" s="1113"/>
      <c r="DYL3" s="1113"/>
      <c r="DYM3" s="1113"/>
      <c r="DYN3" s="1113"/>
      <c r="DYO3" s="1113"/>
      <c r="DYP3" s="1113"/>
      <c r="DYQ3" s="1113"/>
      <c r="DYR3" s="1113"/>
      <c r="DYS3" s="1113"/>
      <c r="DYT3" s="1113"/>
      <c r="DYU3" s="1113"/>
      <c r="DYV3" s="1113"/>
      <c r="DYW3" s="1113"/>
      <c r="DYX3" s="1113"/>
      <c r="DYY3" s="1113"/>
      <c r="DYZ3" s="1113"/>
      <c r="DZA3" s="1113"/>
      <c r="DZB3" s="1113"/>
      <c r="DZC3" s="1113"/>
      <c r="DZD3" s="1113"/>
      <c r="DZE3" s="1113"/>
      <c r="DZF3" s="1113"/>
      <c r="DZG3" s="1113"/>
      <c r="DZH3" s="1113"/>
      <c r="DZI3" s="1113"/>
      <c r="DZJ3" s="1113"/>
      <c r="DZK3" s="1113"/>
      <c r="DZL3" s="1113"/>
      <c r="DZM3" s="1113"/>
      <c r="DZN3" s="1113"/>
      <c r="DZO3" s="1113"/>
      <c r="DZP3" s="1113"/>
      <c r="DZQ3" s="1113"/>
      <c r="DZR3" s="1113"/>
      <c r="DZS3" s="1113"/>
      <c r="DZT3" s="1113"/>
      <c r="DZU3" s="1113"/>
      <c r="DZV3" s="1113"/>
      <c r="DZW3" s="1113"/>
      <c r="DZX3" s="1113"/>
      <c r="DZY3" s="1113"/>
      <c r="DZZ3" s="1113"/>
      <c r="EAA3" s="1113"/>
      <c r="EAB3" s="1113"/>
      <c r="EAC3" s="1113"/>
      <c r="EAD3" s="1113"/>
      <c r="EAE3" s="1113"/>
      <c r="EAF3" s="1113"/>
      <c r="EAG3" s="1113"/>
      <c r="EAH3" s="1113"/>
      <c r="EAI3" s="1113"/>
      <c r="EAJ3" s="1113"/>
      <c r="EAK3" s="1113"/>
      <c r="EAL3" s="1113"/>
      <c r="EAM3" s="1113"/>
      <c r="EAN3" s="1113"/>
      <c r="EAO3" s="1113"/>
      <c r="EAP3" s="1113"/>
      <c r="EAQ3" s="1113"/>
      <c r="EAR3" s="1113"/>
      <c r="EAS3" s="1113"/>
      <c r="EAT3" s="1113"/>
      <c r="EAU3" s="1113"/>
      <c r="EAV3" s="1113"/>
      <c r="EAW3" s="1113"/>
      <c r="EAX3" s="1113"/>
      <c r="EAY3" s="1113"/>
      <c r="EAZ3" s="1113"/>
      <c r="EBA3" s="1113"/>
      <c r="EBB3" s="1113"/>
      <c r="EBC3" s="1113"/>
      <c r="EBD3" s="1113"/>
      <c r="EBE3" s="1113"/>
      <c r="EBF3" s="1113"/>
      <c r="EBG3" s="1113"/>
      <c r="EBH3" s="1113"/>
      <c r="EBI3" s="1113"/>
      <c r="EBJ3" s="1113"/>
      <c r="EBK3" s="1113"/>
      <c r="EBL3" s="1113"/>
      <c r="EBM3" s="1113"/>
      <c r="EBN3" s="1113"/>
      <c r="EBO3" s="1113"/>
      <c r="EBP3" s="1113"/>
      <c r="EBQ3" s="1113"/>
      <c r="EBR3" s="1113"/>
      <c r="EBS3" s="1113"/>
      <c r="EBT3" s="1113"/>
      <c r="EBU3" s="1113"/>
      <c r="EBV3" s="1113"/>
      <c r="EBW3" s="1113"/>
      <c r="EBX3" s="1113"/>
      <c r="EBY3" s="1113"/>
      <c r="EBZ3" s="1113"/>
      <c r="ECA3" s="1113"/>
      <c r="ECB3" s="1113"/>
      <c r="ECC3" s="1113"/>
      <c r="ECD3" s="1113"/>
      <c r="ECE3" s="1113"/>
      <c r="ECF3" s="1113"/>
      <c r="ECG3" s="1113"/>
      <c r="ECH3" s="1113"/>
      <c r="ECI3" s="1113"/>
      <c r="ECJ3" s="1113"/>
      <c r="ECK3" s="1113"/>
      <c r="ECL3" s="1113"/>
      <c r="ECM3" s="1113"/>
      <c r="ECN3" s="1113"/>
      <c r="ECO3" s="1113"/>
      <c r="ECP3" s="1113"/>
      <c r="ECQ3" s="1113"/>
      <c r="ECR3" s="1113"/>
      <c r="ECS3" s="1113"/>
      <c r="ECT3" s="1113"/>
      <c r="ECU3" s="1113"/>
      <c r="ECV3" s="1113"/>
      <c r="ECW3" s="1113"/>
      <c r="ECX3" s="1113"/>
      <c r="ECY3" s="1113"/>
      <c r="ECZ3" s="1113"/>
      <c r="EDA3" s="1113"/>
      <c r="EDB3" s="1113"/>
      <c r="EDC3" s="1113"/>
      <c r="EDD3" s="1113"/>
      <c r="EDE3" s="1113"/>
      <c r="EDF3" s="1113"/>
      <c r="EDG3" s="1113"/>
      <c r="EDH3" s="1113"/>
      <c r="EDI3" s="1113"/>
      <c r="EDJ3" s="1113"/>
      <c r="EDK3" s="1113"/>
      <c r="EDL3" s="1113"/>
      <c r="EDM3" s="1113"/>
      <c r="EDN3" s="1113"/>
      <c r="EDO3" s="1113"/>
      <c r="EDP3" s="1113"/>
      <c r="EDQ3" s="1113"/>
      <c r="EDR3" s="1113"/>
      <c r="EDS3" s="1113"/>
      <c r="EDT3" s="1113"/>
      <c r="EDU3" s="1113"/>
      <c r="EDV3" s="1113"/>
      <c r="EDW3" s="1113"/>
      <c r="EDX3" s="1113"/>
      <c r="EDY3" s="1113"/>
      <c r="EDZ3" s="1113"/>
      <c r="EEA3" s="1113"/>
      <c r="EEB3" s="1113"/>
      <c r="EEC3" s="1113"/>
      <c r="EED3" s="1113"/>
      <c r="EEE3" s="1113"/>
      <c r="EEF3" s="1113"/>
      <c r="EEG3" s="1113"/>
      <c r="EEH3" s="1113"/>
      <c r="EEI3" s="1113"/>
      <c r="EEJ3" s="1113"/>
      <c r="EEK3" s="1113"/>
      <c r="EEL3" s="1113"/>
      <c r="EEM3" s="1113"/>
      <c r="EEN3" s="1113"/>
      <c r="EEO3" s="1113"/>
      <c r="EEP3" s="1113"/>
      <c r="EEQ3" s="1113"/>
      <c r="EER3" s="1113"/>
      <c r="EES3" s="1113"/>
      <c r="EET3" s="1113"/>
      <c r="EEU3" s="1113"/>
      <c r="EEV3" s="1113"/>
      <c r="EEW3" s="1113"/>
      <c r="EEX3" s="1113"/>
      <c r="EEY3" s="1113"/>
      <c r="EEZ3" s="1113"/>
      <c r="EFA3" s="1113"/>
      <c r="EFB3" s="1113"/>
      <c r="EFC3" s="1113"/>
      <c r="EFD3" s="1113"/>
      <c r="EFE3" s="1113"/>
      <c r="EFF3" s="1113"/>
      <c r="EFG3" s="1113"/>
      <c r="EFH3" s="1113"/>
      <c r="EFI3" s="1113"/>
      <c r="EFJ3" s="1113"/>
      <c r="EFK3" s="1113"/>
      <c r="EFL3" s="1113"/>
      <c r="EFM3" s="1113"/>
      <c r="EFN3" s="1113"/>
      <c r="EFO3" s="1113"/>
      <c r="EFP3" s="1113"/>
      <c r="EFQ3" s="1113"/>
      <c r="EFR3" s="1113"/>
      <c r="EFS3" s="1113"/>
      <c r="EFT3" s="1113"/>
      <c r="EFU3" s="1113"/>
      <c r="EFV3" s="1113"/>
      <c r="EFW3" s="1113"/>
      <c r="EFX3" s="1113"/>
      <c r="EFY3" s="1113"/>
      <c r="EFZ3" s="1113"/>
      <c r="EGA3" s="1113"/>
      <c r="EGB3" s="1113"/>
      <c r="EGC3" s="1113"/>
      <c r="EGD3" s="1113"/>
      <c r="EGE3" s="1113"/>
      <c r="EGF3" s="1113"/>
      <c r="EGG3" s="1113"/>
      <c r="EGH3" s="1113"/>
      <c r="EGI3" s="1113"/>
      <c r="EGJ3" s="1113"/>
      <c r="EGK3" s="1113"/>
      <c r="EGL3" s="1113"/>
      <c r="EGM3" s="1113"/>
      <c r="EGN3" s="1113"/>
      <c r="EGO3" s="1113"/>
      <c r="EGP3" s="1113"/>
      <c r="EGQ3" s="1113"/>
      <c r="EGR3" s="1113"/>
      <c r="EGS3" s="1113"/>
      <c r="EGT3" s="1113"/>
      <c r="EGU3" s="1113"/>
      <c r="EGV3" s="1113"/>
      <c r="EGW3" s="1113"/>
      <c r="EGX3" s="1113"/>
      <c r="EGY3" s="1113"/>
      <c r="EGZ3" s="1113"/>
      <c r="EHA3" s="1113"/>
      <c r="EHB3" s="1113"/>
      <c r="EHC3" s="1113"/>
      <c r="EHD3" s="1113"/>
      <c r="EHE3" s="1113"/>
      <c r="EHF3" s="1113"/>
      <c r="EHG3" s="1113"/>
      <c r="EHH3" s="1113"/>
      <c r="EHI3" s="1113"/>
      <c r="EHJ3" s="1113"/>
      <c r="EHK3" s="1113"/>
      <c r="EHL3" s="1113"/>
      <c r="EHM3" s="1113"/>
      <c r="EHN3" s="1113"/>
      <c r="EHO3" s="1113"/>
      <c r="EHP3" s="1113"/>
      <c r="EHQ3" s="1113"/>
      <c r="EHR3" s="1113"/>
      <c r="EHS3" s="1113"/>
      <c r="EHT3" s="1113"/>
      <c r="EHU3" s="1113"/>
      <c r="EHV3" s="1113"/>
      <c r="EHW3" s="1113"/>
      <c r="EHX3" s="1113"/>
      <c r="EHY3" s="1113"/>
      <c r="EHZ3" s="1113"/>
      <c r="EIA3" s="1113"/>
      <c r="EIB3" s="1113"/>
      <c r="EIC3" s="1113"/>
      <c r="EID3" s="1113"/>
      <c r="EIE3" s="1113"/>
      <c r="EIF3" s="1113"/>
      <c r="EIG3" s="1113"/>
      <c r="EIH3" s="1113"/>
      <c r="EII3" s="1113"/>
      <c r="EIJ3" s="1113"/>
      <c r="EIK3" s="1113"/>
      <c r="EIL3" s="1113"/>
      <c r="EIM3" s="1113"/>
      <c r="EIN3" s="1113"/>
      <c r="EIO3" s="1113"/>
      <c r="EIP3" s="1113"/>
      <c r="EIQ3" s="1113"/>
      <c r="EIR3" s="1113"/>
      <c r="EIS3" s="1113"/>
      <c r="EIT3" s="1113"/>
      <c r="EIU3" s="1113"/>
      <c r="EIV3" s="1113"/>
      <c r="EIW3" s="1113"/>
      <c r="EIX3" s="1113"/>
      <c r="EIY3" s="1113"/>
      <c r="EIZ3" s="1113"/>
      <c r="EJA3" s="1113"/>
      <c r="EJB3" s="1113"/>
      <c r="EJC3" s="1113"/>
      <c r="EJD3" s="1113"/>
      <c r="EJE3" s="1113"/>
      <c r="EJF3" s="1113"/>
      <c r="EJG3" s="1113"/>
      <c r="EJH3" s="1113"/>
      <c r="EJI3" s="1113"/>
      <c r="EJJ3" s="1113"/>
      <c r="EJK3" s="1113"/>
      <c r="EJL3" s="1113"/>
      <c r="EJM3" s="1113"/>
      <c r="EJN3" s="1113"/>
      <c r="EJO3" s="1113"/>
      <c r="EJP3" s="1113"/>
      <c r="EJQ3" s="1113"/>
      <c r="EJR3" s="1113"/>
      <c r="EJS3" s="1113"/>
      <c r="EJT3" s="1113"/>
      <c r="EJU3" s="1113"/>
      <c r="EJV3" s="1113"/>
      <c r="EJW3" s="1113"/>
      <c r="EJX3" s="1113"/>
      <c r="EJY3" s="1113"/>
      <c r="EJZ3" s="1113"/>
      <c r="EKA3" s="1113"/>
      <c r="EKB3" s="1113"/>
      <c r="EKC3" s="1113"/>
      <c r="EKD3" s="1113"/>
      <c r="EKE3" s="1113"/>
      <c r="EKF3" s="1113"/>
      <c r="EKG3" s="1113"/>
      <c r="EKH3" s="1113"/>
      <c r="EKI3" s="1113"/>
      <c r="EKJ3" s="1113"/>
      <c r="EKK3" s="1113"/>
      <c r="EKL3" s="1113"/>
      <c r="EKM3" s="1113"/>
      <c r="EKN3" s="1113"/>
      <c r="EKO3" s="1113"/>
      <c r="EKP3" s="1113"/>
      <c r="EKQ3" s="1113"/>
      <c r="EKR3" s="1113"/>
      <c r="EKS3" s="1113"/>
      <c r="EKT3" s="1113"/>
      <c r="EKU3" s="1113"/>
      <c r="EKV3" s="1113"/>
      <c r="EKW3" s="1113"/>
      <c r="EKX3" s="1113"/>
      <c r="EKY3" s="1113"/>
      <c r="EKZ3" s="1113"/>
      <c r="ELA3" s="1113"/>
      <c r="ELB3" s="1113"/>
      <c r="ELC3" s="1113"/>
      <c r="ELD3" s="1113"/>
      <c r="ELE3" s="1113"/>
      <c r="ELF3" s="1113"/>
      <c r="ELG3" s="1113"/>
      <c r="ELH3" s="1113"/>
      <c r="ELI3" s="1113"/>
      <c r="ELJ3" s="1113"/>
      <c r="ELK3" s="1113"/>
      <c r="ELL3" s="1113"/>
      <c r="ELM3" s="1113"/>
      <c r="ELN3" s="1113"/>
      <c r="ELO3" s="1113"/>
      <c r="ELP3" s="1113"/>
      <c r="ELQ3" s="1113"/>
      <c r="ELR3" s="1113"/>
      <c r="ELS3" s="1113"/>
      <c r="ELT3" s="1113"/>
      <c r="ELU3" s="1113"/>
      <c r="ELV3" s="1113"/>
      <c r="ELW3" s="1113"/>
      <c r="ELX3" s="1113"/>
      <c r="ELY3" s="1113"/>
      <c r="ELZ3" s="1113"/>
      <c r="EMA3" s="1113"/>
      <c r="EMB3" s="1113"/>
      <c r="EMC3" s="1113"/>
      <c r="EMD3" s="1113"/>
      <c r="EME3" s="1113"/>
      <c r="EMF3" s="1113"/>
      <c r="EMG3" s="1113"/>
      <c r="EMH3" s="1113"/>
      <c r="EMI3" s="1113"/>
      <c r="EMJ3" s="1113"/>
      <c r="EMK3" s="1113"/>
      <c r="EML3" s="1113"/>
      <c r="EMM3" s="1113"/>
      <c r="EMN3" s="1113"/>
      <c r="EMO3" s="1113"/>
      <c r="EMP3" s="1113"/>
      <c r="EMQ3" s="1113"/>
      <c r="EMR3" s="1113"/>
      <c r="EMS3" s="1113"/>
      <c r="EMT3" s="1113"/>
      <c r="EMU3" s="1113"/>
      <c r="EMV3" s="1113"/>
      <c r="EMW3" s="1113"/>
      <c r="EMX3" s="1113"/>
      <c r="EMY3" s="1113"/>
      <c r="EMZ3" s="1113"/>
      <c r="ENA3" s="1113"/>
      <c r="ENB3" s="1113"/>
      <c r="ENC3" s="1113"/>
      <c r="END3" s="1113"/>
      <c r="ENE3" s="1113"/>
      <c r="ENF3" s="1113"/>
      <c r="ENG3" s="1113"/>
      <c r="ENH3" s="1113"/>
      <c r="ENI3" s="1113"/>
      <c r="ENJ3" s="1113"/>
      <c r="ENK3" s="1113"/>
      <c r="ENL3" s="1113"/>
      <c r="ENM3" s="1113"/>
      <c r="ENN3" s="1113"/>
      <c r="ENO3" s="1113"/>
      <c r="ENP3" s="1113"/>
      <c r="ENQ3" s="1113"/>
      <c r="ENR3" s="1113"/>
      <c r="ENS3" s="1113"/>
      <c r="ENT3" s="1113"/>
      <c r="ENU3" s="1113"/>
      <c r="ENV3" s="1113"/>
      <c r="ENW3" s="1113"/>
      <c r="ENX3" s="1113"/>
      <c r="ENY3" s="1113"/>
      <c r="ENZ3" s="1113"/>
      <c r="EOA3" s="1113"/>
      <c r="EOB3" s="1113"/>
      <c r="EOC3" s="1113"/>
      <c r="EOD3" s="1113"/>
      <c r="EOE3" s="1113"/>
      <c r="EOF3" s="1113"/>
      <c r="EOG3" s="1113"/>
      <c r="EOH3" s="1113"/>
      <c r="EOI3" s="1113"/>
      <c r="EOJ3" s="1113"/>
      <c r="EOK3" s="1113"/>
      <c r="EOL3" s="1113"/>
      <c r="EOM3" s="1113"/>
      <c r="EON3" s="1113"/>
      <c r="EOO3" s="1113"/>
      <c r="EOP3" s="1113"/>
      <c r="EOQ3" s="1113"/>
      <c r="EOR3" s="1113"/>
      <c r="EOS3" s="1113"/>
      <c r="EOT3" s="1113"/>
      <c r="EOU3" s="1113"/>
      <c r="EOV3" s="1113"/>
      <c r="EOW3" s="1113"/>
      <c r="EOX3" s="1113"/>
      <c r="EOY3" s="1113"/>
      <c r="EOZ3" s="1113"/>
      <c r="EPA3" s="1113"/>
      <c r="EPB3" s="1113"/>
      <c r="EPC3" s="1113"/>
      <c r="EPD3" s="1113"/>
      <c r="EPE3" s="1113"/>
      <c r="EPF3" s="1113"/>
      <c r="EPG3" s="1113"/>
      <c r="EPH3" s="1113"/>
      <c r="EPI3" s="1113"/>
      <c r="EPJ3" s="1113"/>
      <c r="EPK3" s="1113"/>
      <c r="EPL3" s="1113"/>
      <c r="EPM3" s="1113"/>
      <c r="EPN3" s="1113"/>
      <c r="EPO3" s="1113"/>
      <c r="EPP3" s="1113"/>
      <c r="EPQ3" s="1113"/>
      <c r="EPR3" s="1113"/>
      <c r="EPS3" s="1113"/>
      <c r="EPT3" s="1113"/>
      <c r="EPU3" s="1113"/>
      <c r="EPV3" s="1113"/>
      <c r="EPW3" s="1113"/>
      <c r="EPX3" s="1113"/>
      <c r="EPY3" s="1113"/>
      <c r="EPZ3" s="1113"/>
      <c r="EQA3" s="1113"/>
      <c r="EQB3" s="1113"/>
      <c r="EQC3" s="1113"/>
      <c r="EQD3" s="1113"/>
      <c r="EQE3" s="1113"/>
      <c r="EQF3" s="1113"/>
      <c r="EQG3" s="1113"/>
      <c r="EQH3" s="1113"/>
      <c r="EQI3" s="1113"/>
      <c r="EQJ3" s="1113"/>
      <c r="EQK3" s="1113"/>
      <c r="EQL3" s="1113"/>
      <c r="EQM3" s="1113"/>
      <c r="EQN3" s="1113"/>
      <c r="EQO3" s="1113"/>
      <c r="EQP3" s="1113"/>
      <c r="EQQ3" s="1113"/>
      <c r="EQR3" s="1113"/>
      <c r="EQS3" s="1113"/>
      <c r="EQT3" s="1113"/>
      <c r="EQU3" s="1113"/>
      <c r="EQV3" s="1113"/>
      <c r="EQW3" s="1113"/>
      <c r="EQX3" s="1113"/>
      <c r="EQY3" s="1113"/>
      <c r="EQZ3" s="1113"/>
      <c r="ERA3" s="1113"/>
      <c r="ERB3" s="1113"/>
      <c r="ERC3" s="1113"/>
      <c r="ERD3" s="1113"/>
      <c r="ERE3" s="1113"/>
      <c r="ERF3" s="1113"/>
      <c r="ERG3" s="1113"/>
      <c r="ERH3" s="1113"/>
      <c r="ERI3" s="1113"/>
      <c r="ERJ3" s="1113"/>
      <c r="ERK3" s="1113"/>
      <c r="ERL3" s="1113"/>
      <c r="ERM3" s="1113"/>
      <c r="ERN3" s="1113"/>
      <c r="ERO3" s="1113"/>
      <c r="ERP3" s="1113"/>
      <c r="ERQ3" s="1113"/>
      <c r="ERR3" s="1113"/>
      <c r="ERS3" s="1113"/>
      <c r="ERT3" s="1113"/>
      <c r="ERU3" s="1113"/>
      <c r="ERV3" s="1113"/>
      <c r="ERW3" s="1113"/>
      <c r="ERX3" s="1113"/>
      <c r="ERY3" s="1113"/>
      <c r="ERZ3" s="1113"/>
      <c r="ESA3" s="1113"/>
      <c r="ESB3" s="1113"/>
      <c r="ESC3" s="1113"/>
      <c r="ESD3" s="1113"/>
      <c r="ESE3" s="1113"/>
      <c r="ESF3" s="1113"/>
      <c r="ESG3" s="1113"/>
      <c r="ESH3" s="1113"/>
      <c r="ESI3" s="1113"/>
      <c r="ESJ3" s="1113"/>
      <c r="ESK3" s="1113"/>
      <c r="ESL3" s="1113"/>
      <c r="ESM3" s="1113"/>
      <c r="ESN3" s="1113"/>
      <c r="ESO3" s="1113"/>
      <c r="ESP3" s="1113"/>
      <c r="ESQ3" s="1113"/>
      <c r="ESR3" s="1113"/>
      <c r="ESS3" s="1113"/>
      <c r="EST3" s="1113"/>
      <c r="ESU3" s="1113"/>
      <c r="ESV3" s="1113"/>
      <c r="ESW3" s="1113"/>
      <c r="ESX3" s="1113"/>
      <c r="ESY3" s="1113"/>
      <c r="ESZ3" s="1113"/>
      <c r="ETA3" s="1113"/>
      <c r="ETB3" s="1113"/>
      <c r="ETC3" s="1113"/>
      <c r="ETD3" s="1113"/>
      <c r="ETE3" s="1113"/>
      <c r="ETF3" s="1113"/>
      <c r="ETG3" s="1113"/>
      <c r="ETH3" s="1113"/>
      <c r="ETI3" s="1113"/>
      <c r="ETJ3" s="1113"/>
      <c r="ETK3" s="1113"/>
      <c r="ETL3" s="1113"/>
      <c r="ETM3" s="1113"/>
      <c r="ETN3" s="1113"/>
      <c r="ETO3" s="1113"/>
      <c r="ETP3" s="1113"/>
      <c r="ETQ3" s="1113"/>
      <c r="ETR3" s="1113"/>
      <c r="ETS3" s="1113"/>
      <c r="ETT3" s="1113"/>
      <c r="ETU3" s="1113"/>
      <c r="ETV3" s="1113"/>
      <c r="ETW3" s="1113"/>
      <c r="ETX3" s="1113"/>
      <c r="ETY3" s="1113"/>
      <c r="ETZ3" s="1113"/>
      <c r="EUA3" s="1113"/>
      <c r="EUB3" s="1113"/>
      <c r="EUC3" s="1113"/>
      <c r="EUD3" s="1113"/>
      <c r="EUE3" s="1113"/>
      <c r="EUF3" s="1113"/>
      <c r="EUG3" s="1113"/>
      <c r="EUH3" s="1113"/>
      <c r="EUI3" s="1113"/>
      <c r="EUJ3" s="1113"/>
      <c r="EUK3" s="1113"/>
      <c r="EUL3" s="1113"/>
      <c r="EUM3" s="1113"/>
      <c r="EUN3" s="1113"/>
      <c r="EUO3" s="1113"/>
      <c r="EUP3" s="1113"/>
      <c r="EUQ3" s="1113"/>
      <c r="EUR3" s="1113"/>
      <c r="EUS3" s="1113"/>
      <c r="EUT3" s="1113"/>
      <c r="EUU3" s="1113"/>
      <c r="EUV3" s="1113"/>
      <c r="EUW3" s="1113"/>
      <c r="EUX3" s="1113"/>
      <c r="EUY3" s="1113"/>
      <c r="EUZ3" s="1113"/>
      <c r="EVA3" s="1113"/>
      <c r="EVB3" s="1113"/>
      <c r="EVC3" s="1113"/>
      <c r="EVD3" s="1113"/>
      <c r="EVE3" s="1113"/>
      <c r="EVF3" s="1113"/>
      <c r="EVG3" s="1113"/>
      <c r="EVH3" s="1113"/>
      <c r="EVI3" s="1113"/>
      <c r="EVJ3" s="1113"/>
      <c r="EVK3" s="1113"/>
      <c r="EVL3" s="1113"/>
      <c r="EVM3" s="1113"/>
      <c r="EVN3" s="1113"/>
      <c r="EVO3" s="1113"/>
      <c r="EVP3" s="1113"/>
      <c r="EVQ3" s="1113"/>
      <c r="EVR3" s="1113"/>
      <c r="EVS3" s="1113"/>
      <c r="EVT3" s="1113"/>
      <c r="EVU3" s="1113"/>
      <c r="EVV3" s="1113"/>
      <c r="EVW3" s="1113"/>
      <c r="EVX3" s="1113"/>
      <c r="EVY3" s="1113"/>
      <c r="EVZ3" s="1113"/>
      <c r="EWA3" s="1113"/>
      <c r="EWB3" s="1113"/>
      <c r="EWC3" s="1113"/>
      <c r="EWD3" s="1113"/>
      <c r="EWE3" s="1113"/>
      <c r="EWF3" s="1113"/>
      <c r="EWG3" s="1113"/>
      <c r="EWH3" s="1113"/>
      <c r="EWI3" s="1113"/>
      <c r="EWJ3" s="1113"/>
      <c r="EWK3" s="1113"/>
      <c r="EWL3" s="1113"/>
      <c r="EWM3" s="1113"/>
      <c r="EWN3" s="1113"/>
      <c r="EWO3" s="1113"/>
      <c r="EWP3" s="1113"/>
      <c r="EWQ3" s="1113"/>
      <c r="EWR3" s="1113"/>
      <c r="EWS3" s="1113"/>
      <c r="EWT3" s="1113"/>
      <c r="EWU3" s="1113"/>
      <c r="EWV3" s="1113"/>
      <c r="EWW3" s="1113"/>
      <c r="EWX3" s="1113"/>
      <c r="EWY3" s="1113"/>
      <c r="EWZ3" s="1113"/>
      <c r="EXA3" s="1113"/>
      <c r="EXB3" s="1113"/>
      <c r="EXC3" s="1113"/>
      <c r="EXD3" s="1113"/>
      <c r="EXE3" s="1113"/>
      <c r="EXF3" s="1113"/>
      <c r="EXG3" s="1113"/>
      <c r="EXH3" s="1113"/>
      <c r="EXI3" s="1113"/>
      <c r="EXJ3" s="1113"/>
      <c r="EXK3" s="1113"/>
      <c r="EXL3" s="1113"/>
      <c r="EXM3" s="1113"/>
      <c r="EXN3" s="1113"/>
      <c r="EXO3" s="1113"/>
      <c r="EXP3" s="1113"/>
      <c r="EXQ3" s="1113"/>
      <c r="EXR3" s="1113"/>
      <c r="EXS3" s="1113"/>
      <c r="EXT3" s="1113"/>
      <c r="EXU3" s="1113"/>
      <c r="EXV3" s="1113"/>
      <c r="EXW3" s="1113"/>
      <c r="EXX3" s="1113"/>
      <c r="EXY3" s="1113"/>
      <c r="EXZ3" s="1113"/>
      <c r="EYA3" s="1113"/>
      <c r="EYB3" s="1113"/>
      <c r="EYC3" s="1113"/>
      <c r="EYD3" s="1113"/>
      <c r="EYE3" s="1113"/>
      <c r="EYF3" s="1113"/>
      <c r="EYG3" s="1113"/>
      <c r="EYH3" s="1113"/>
      <c r="EYI3" s="1113"/>
      <c r="EYJ3" s="1113"/>
      <c r="EYK3" s="1113"/>
      <c r="EYL3" s="1113"/>
      <c r="EYM3" s="1113"/>
      <c r="EYN3" s="1113"/>
      <c r="EYO3" s="1113"/>
      <c r="EYP3" s="1113"/>
      <c r="EYQ3" s="1113"/>
      <c r="EYR3" s="1113"/>
      <c r="EYS3" s="1113"/>
      <c r="EYT3" s="1113"/>
      <c r="EYU3" s="1113"/>
      <c r="EYV3" s="1113"/>
      <c r="EYW3" s="1113"/>
      <c r="EYX3" s="1113"/>
      <c r="EYY3" s="1113"/>
      <c r="EYZ3" s="1113"/>
      <c r="EZA3" s="1113"/>
      <c r="EZB3" s="1113"/>
      <c r="EZC3" s="1113"/>
      <c r="EZD3" s="1113"/>
      <c r="EZE3" s="1113"/>
      <c r="EZF3" s="1113"/>
      <c r="EZG3" s="1113"/>
      <c r="EZH3" s="1113"/>
      <c r="EZI3" s="1113"/>
      <c r="EZJ3" s="1113"/>
      <c r="EZK3" s="1113"/>
      <c r="EZL3" s="1113"/>
      <c r="EZM3" s="1113"/>
      <c r="EZN3" s="1113"/>
      <c r="EZO3" s="1113"/>
      <c r="EZP3" s="1113"/>
      <c r="EZQ3" s="1113"/>
      <c r="EZR3" s="1113"/>
      <c r="EZS3" s="1113"/>
      <c r="EZT3" s="1113"/>
      <c r="EZU3" s="1113"/>
      <c r="EZV3" s="1113"/>
      <c r="EZW3" s="1113"/>
      <c r="EZX3" s="1113"/>
      <c r="EZY3" s="1113"/>
      <c r="EZZ3" s="1113"/>
      <c r="FAA3" s="1113"/>
      <c r="FAB3" s="1113"/>
      <c r="FAC3" s="1113"/>
      <c r="FAD3" s="1113"/>
      <c r="FAE3" s="1113"/>
      <c r="FAF3" s="1113"/>
      <c r="FAG3" s="1113"/>
      <c r="FAH3" s="1113"/>
      <c r="FAI3" s="1113"/>
      <c r="FAJ3" s="1113"/>
      <c r="FAK3" s="1113"/>
      <c r="FAL3" s="1113"/>
      <c r="FAM3" s="1113"/>
      <c r="FAN3" s="1113"/>
      <c r="FAO3" s="1113"/>
      <c r="FAP3" s="1113"/>
      <c r="FAQ3" s="1113"/>
      <c r="FAR3" s="1113"/>
      <c r="FAS3" s="1113"/>
      <c r="FAT3" s="1113"/>
      <c r="FAU3" s="1113"/>
      <c r="FAV3" s="1113"/>
      <c r="FAW3" s="1113"/>
      <c r="FAX3" s="1113"/>
      <c r="FAY3" s="1113"/>
      <c r="FAZ3" s="1113"/>
      <c r="FBA3" s="1113"/>
      <c r="FBB3" s="1113"/>
      <c r="FBC3" s="1113"/>
      <c r="FBD3" s="1113"/>
      <c r="FBE3" s="1113"/>
      <c r="FBF3" s="1113"/>
      <c r="FBG3" s="1113"/>
      <c r="FBH3" s="1113"/>
      <c r="FBI3" s="1113"/>
      <c r="FBJ3" s="1113"/>
      <c r="FBK3" s="1113"/>
      <c r="FBL3" s="1113"/>
      <c r="FBM3" s="1113"/>
      <c r="FBN3" s="1113"/>
      <c r="FBO3" s="1113"/>
      <c r="FBP3" s="1113"/>
      <c r="FBQ3" s="1113"/>
      <c r="FBR3" s="1113"/>
      <c r="FBS3" s="1113"/>
      <c r="FBT3" s="1113"/>
      <c r="FBU3" s="1113"/>
      <c r="FBV3" s="1113"/>
      <c r="FBW3" s="1113"/>
      <c r="FBX3" s="1113"/>
      <c r="FBY3" s="1113"/>
      <c r="FBZ3" s="1113"/>
      <c r="FCA3" s="1113"/>
      <c r="FCB3" s="1113"/>
      <c r="FCC3" s="1113"/>
      <c r="FCD3" s="1113"/>
      <c r="FCE3" s="1113"/>
      <c r="FCF3" s="1113"/>
      <c r="FCG3" s="1113"/>
      <c r="FCH3" s="1113"/>
      <c r="FCI3" s="1113"/>
      <c r="FCJ3" s="1113"/>
      <c r="FCK3" s="1113"/>
      <c r="FCL3" s="1113"/>
      <c r="FCM3" s="1113"/>
      <c r="FCN3" s="1113"/>
      <c r="FCO3" s="1113"/>
      <c r="FCP3" s="1113"/>
      <c r="FCQ3" s="1113"/>
      <c r="FCR3" s="1113"/>
      <c r="FCS3" s="1113"/>
      <c r="FCT3" s="1113"/>
      <c r="FCU3" s="1113"/>
      <c r="FCV3" s="1113"/>
      <c r="FCW3" s="1113"/>
      <c r="FCX3" s="1113"/>
      <c r="FCY3" s="1113"/>
      <c r="FCZ3" s="1113"/>
      <c r="FDA3" s="1113"/>
      <c r="FDB3" s="1113"/>
      <c r="FDC3" s="1113"/>
      <c r="FDD3" s="1113"/>
      <c r="FDE3" s="1113"/>
      <c r="FDF3" s="1113"/>
      <c r="FDG3" s="1113"/>
      <c r="FDH3" s="1113"/>
      <c r="FDI3" s="1113"/>
      <c r="FDJ3" s="1113"/>
      <c r="FDK3" s="1113"/>
      <c r="FDL3" s="1113"/>
      <c r="FDM3" s="1113"/>
      <c r="FDN3" s="1113"/>
      <c r="FDO3" s="1113"/>
      <c r="FDP3" s="1113"/>
      <c r="FDQ3" s="1113"/>
      <c r="FDR3" s="1113"/>
      <c r="FDS3" s="1113"/>
      <c r="FDT3" s="1113"/>
      <c r="FDU3" s="1113"/>
      <c r="FDV3" s="1113"/>
      <c r="FDW3" s="1113"/>
      <c r="FDX3" s="1113"/>
      <c r="FDY3" s="1113"/>
      <c r="FDZ3" s="1113"/>
      <c r="FEA3" s="1113"/>
      <c r="FEB3" s="1113"/>
      <c r="FEC3" s="1113"/>
      <c r="FED3" s="1113"/>
      <c r="FEE3" s="1113"/>
      <c r="FEF3" s="1113"/>
      <c r="FEG3" s="1113"/>
      <c r="FEH3" s="1113"/>
      <c r="FEI3" s="1113"/>
      <c r="FEJ3" s="1113"/>
      <c r="FEK3" s="1113"/>
      <c r="FEL3" s="1113"/>
      <c r="FEM3" s="1113"/>
      <c r="FEN3" s="1113"/>
      <c r="FEO3" s="1113"/>
      <c r="FEP3" s="1113"/>
      <c r="FEQ3" s="1113"/>
      <c r="FER3" s="1113"/>
      <c r="FES3" s="1113"/>
      <c r="FET3" s="1113"/>
      <c r="FEU3" s="1113"/>
      <c r="FEV3" s="1113"/>
      <c r="FEW3" s="1113"/>
      <c r="FEX3" s="1113"/>
      <c r="FEY3" s="1113"/>
      <c r="FEZ3" s="1113"/>
      <c r="FFA3" s="1113"/>
      <c r="FFB3" s="1113"/>
      <c r="FFC3" s="1113"/>
      <c r="FFD3" s="1113"/>
      <c r="FFE3" s="1113"/>
      <c r="FFF3" s="1113"/>
      <c r="FFG3" s="1113"/>
      <c r="FFH3" s="1113"/>
      <c r="FFI3" s="1113"/>
      <c r="FFJ3" s="1113"/>
      <c r="FFK3" s="1113"/>
      <c r="FFL3" s="1113"/>
      <c r="FFM3" s="1113"/>
      <c r="FFN3" s="1113"/>
      <c r="FFO3" s="1113"/>
      <c r="FFP3" s="1113"/>
      <c r="FFQ3" s="1113"/>
      <c r="FFR3" s="1113"/>
      <c r="FFS3" s="1113"/>
      <c r="FFT3" s="1113"/>
      <c r="FFU3" s="1113"/>
      <c r="FFV3" s="1113"/>
      <c r="FFW3" s="1113"/>
      <c r="FFX3" s="1113"/>
      <c r="FFY3" s="1113"/>
      <c r="FFZ3" s="1113"/>
      <c r="FGA3" s="1113"/>
      <c r="FGB3" s="1113"/>
      <c r="FGC3" s="1113"/>
      <c r="FGD3" s="1113"/>
      <c r="FGE3" s="1113"/>
      <c r="FGF3" s="1113"/>
      <c r="FGG3" s="1113"/>
      <c r="FGH3" s="1113"/>
      <c r="FGI3" s="1113"/>
      <c r="FGJ3" s="1113"/>
      <c r="FGK3" s="1113"/>
      <c r="FGL3" s="1113"/>
      <c r="FGM3" s="1113"/>
      <c r="FGN3" s="1113"/>
      <c r="FGO3" s="1113"/>
      <c r="FGP3" s="1113"/>
      <c r="FGQ3" s="1113"/>
      <c r="FGR3" s="1113"/>
      <c r="FGS3" s="1113"/>
      <c r="FGT3" s="1113"/>
      <c r="FGU3" s="1113"/>
      <c r="FGV3" s="1113"/>
      <c r="FGW3" s="1113"/>
      <c r="FGX3" s="1113"/>
      <c r="FGY3" s="1113"/>
      <c r="FGZ3" s="1113"/>
      <c r="FHA3" s="1113"/>
      <c r="FHB3" s="1113"/>
      <c r="FHC3" s="1113"/>
      <c r="FHD3" s="1113"/>
      <c r="FHE3" s="1113"/>
      <c r="FHF3" s="1113"/>
      <c r="FHG3" s="1113"/>
      <c r="FHH3" s="1113"/>
      <c r="FHI3" s="1113"/>
      <c r="FHJ3" s="1113"/>
      <c r="FHK3" s="1113"/>
      <c r="FHL3" s="1113"/>
      <c r="FHM3" s="1113"/>
      <c r="FHN3" s="1113"/>
      <c r="FHO3" s="1113"/>
      <c r="FHP3" s="1113"/>
      <c r="FHQ3" s="1113"/>
      <c r="FHR3" s="1113"/>
      <c r="FHS3" s="1113"/>
      <c r="FHT3" s="1113"/>
      <c r="FHU3" s="1113"/>
      <c r="FHV3" s="1113"/>
      <c r="FHW3" s="1113"/>
      <c r="FHX3" s="1113"/>
      <c r="FHY3" s="1113"/>
      <c r="FHZ3" s="1113"/>
      <c r="FIA3" s="1113"/>
      <c r="FIB3" s="1113"/>
      <c r="FIC3" s="1113"/>
      <c r="FID3" s="1113"/>
      <c r="FIE3" s="1113"/>
      <c r="FIF3" s="1113"/>
      <c r="FIG3" s="1113"/>
      <c r="FIH3" s="1113"/>
      <c r="FII3" s="1113"/>
      <c r="FIJ3" s="1113"/>
      <c r="FIK3" s="1113"/>
      <c r="FIL3" s="1113"/>
      <c r="FIM3" s="1113"/>
      <c r="FIN3" s="1113"/>
      <c r="FIO3" s="1113"/>
      <c r="FIP3" s="1113"/>
      <c r="FIQ3" s="1113"/>
      <c r="FIR3" s="1113"/>
      <c r="FIS3" s="1113"/>
      <c r="FIT3" s="1113"/>
      <c r="FIU3" s="1113"/>
      <c r="FIV3" s="1113"/>
      <c r="FIW3" s="1113"/>
      <c r="FIX3" s="1113"/>
      <c r="FIY3" s="1113"/>
      <c r="FIZ3" s="1113"/>
      <c r="FJA3" s="1113"/>
      <c r="FJB3" s="1113"/>
      <c r="FJC3" s="1113"/>
      <c r="FJD3" s="1113"/>
      <c r="FJE3" s="1113"/>
      <c r="FJF3" s="1113"/>
      <c r="FJG3" s="1113"/>
      <c r="FJH3" s="1113"/>
      <c r="FJI3" s="1113"/>
      <c r="FJJ3" s="1113"/>
      <c r="FJK3" s="1113"/>
      <c r="FJL3" s="1113"/>
      <c r="FJM3" s="1113"/>
      <c r="FJN3" s="1113"/>
      <c r="FJO3" s="1113"/>
      <c r="FJP3" s="1113"/>
      <c r="FJQ3" s="1113"/>
      <c r="FJR3" s="1113"/>
      <c r="FJS3" s="1113"/>
      <c r="FJT3" s="1113"/>
      <c r="FJU3" s="1113"/>
      <c r="FJV3" s="1113"/>
      <c r="FJW3" s="1113"/>
      <c r="FJX3" s="1113"/>
      <c r="FJY3" s="1113"/>
      <c r="FJZ3" s="1113"/>
      <c r="FKA3" s="1113"/>
      <c r="FKB3" s="1113"/>
      <c r="FKC3" s="1113"/>
      <c r="FKD3" s="1113"/>
      <c r="FKE3" s="1113"/>
      <c r="FKF3" s="1113"/>
      <c r="FKG3" s="1113"/>
      <c r="FKH3" s="1113"/>
      <c r="FKI3" s="1113"/>
      <c r="FKJ3" s="1113"/>
      <c r="FKK3" s="1113"/>
      <c r="FKL3" s="1113"/>
      <c r="FKM3" s="1113"/>
      <c r="FKN3" s="1113"/>
      <c r="FKO3" s="1113"/>
      <c r="FKP3" s="1113"/>
      <c r="FKQ3" s="1113"/>
      <c r="FKR3" s="1113"/>
      <c r="FKS3" s="1113"/>
      <c r="FKT3" s="1113"/>
      <c r="FKU3" s="1113"/>
      <c r="FKV3" s="1113"/>
      <c r="FKW3" s="1113"/>
      <c r="FKX3" s="1113"/>
      <c r="FKY3" s="1113"/>
      <c r="FKZ3" s="1113"/>
      <c r="FLA3" s="1113"/>
      <c r="FLB3" s="1113"/>
      <c r="FLC3" s="1113"/>
      <c r="FLD3" s="1113"/>
      <c r="FLE3" s="1113"/>
      <c r="FLF3" s="1113"/>
      <c r="FLG3" s="1113"/>
      <c r="FLH3" s="1113"/>
      <c r="FLI3" s="1113"/>
      <c r="FLJ3" s="1113"/>
      <c r="FLK3" s="1113"/>
      <c r="FLL3" s="1113"/>
      <c r="FLM3" s="1113"/>
      <c r="FLN3" s="1113"/>
      <c r="FLO3" s="1113"/>
      <c r="FLP3" s="1113"/>
      <c r="FLQ3" s="1113"/>
      <c r="FLR3" s="1113"/>
      <c r="FLS3" s="1113"/>
      <c r="FLT3" s="1113"/>
      <c r="FLU3" s="1113"/>
      <c r="FLV3" s="1113"/>
      <c r="FLW3" s="1113"/>
      <c r="FLX3" s="1113"/>
      <c r="FLY3" s="1113"/>
      <c r="FLZ3" s="1113"/>
      <c r="FMA3" s="1113"/>
      <c r="FMB3" s="1113"/>
      <c r="FMC3" s="1113"/>
      <c r="FMD3" s="1113"/>
      <c r="FME3" s="1113"/>
      <c r="FMF3" s="1113"/>
      <c r="FMG3" s="1113"/>
      <c r="FMH3" s="1113"/>
      <c r="FMI3" s="1113"/>
      <c r="FMJ3" s="1113"/>
      <c r="FMK3" s="1113"/>
      <c r="FML3" s="1113"/>
      <c r="FMM3" s="1113"/>
      <c r="FMN3" s="1113"/>
      <c r="FMO3" s="1113"/>
      <c r="FMP3" s="1113"/>
      <c r="FMQ3" s="1113"/>
      <c r="FMR3" s="1113"/>
      <c r="FMS3" s="1113"/>
      <c r="FMT3" s="1113"/>
      <c r="FMU3" s="1113"/>
      <c r="FMV3" s="1113"/>
      <c r="FMW3" s="1113"/>
      <c r="FMX3" s="1113"/>
      <c r="FMY3" s="1113"/>
      <c r="FMZ3" s="1113"/>
      <c r="FNA3" s="1113"/>
      <c r="FNB3" s="1113"/>
      <c r="FNC3" s="1113"/>
      <c r="FND3" s="1113"/>
      <c r="FNE3" s="1113"/>
      <c r="FNF3" s="1113"/>
      <c r="FNG3" s="1113"/>
      <c r="FNH3" s="1113"/>
      <c r="FNI3" s="1113"/>
      <c r="FNJ3" s="1113"/>
      <c r="FNK3" s="1113"/>
      <c r="FNL3" s="1113"/>
      <c r="FNM3" s="1113"/>
      <c r="FNN3" s="1113"/>
      <c r="FNO3" s="1113"/>
      <c r="FNP3" s="1113"/>
      <c r="FNQ3" s="1113"/>
      <c r="FNR3" s="1113"/>
      <c r="FNS3" s="1113"/>
      <c r="FNT3" s="1113"/>
      <c r="FNU3" s="1113"/>
      <c r="FNV3" s="1113"/>
      <c r="FNW3" s="1113"/>
      <c r="FNX3" s="1113"/>
      <c r="FNY3" s="1113"/>
      <c r="FNZ3" s="1113"/>
      <c r="FOA3" s="1113"/>
      <c r="FOB3" s="1113"/>
      <c r="FOC3" s="1113"/>
      <c r="FOD3" s="1113"/>
      <c r="FOE3" s="1113"/>
      <c r="FOF3" s="1113"/>
      <c r="FOG3" s="1113"/>
      <c r="FOH3" s="1113"/>
      <c r="FOI3" s="1113"/>
      <c r="FOJ3" s="1113"/>
      <c r="FOK3" s="1113"/>
      <c r="FOL3" s="1113"/>
      <c r="FOM3" s="1113"/>
      <c r="FON3" s="1113"/>
      <c r="FOO3" s="1113"/>
      <c r="FOP3" s="1113"/>
      <c r="FOQ3" s="1113"/>
      <c r="FOR3" s="1113"/>
      <c r="FOS3" s="1113"/>
      <c r="FOT3" s="1113"/>
      <c r="FOU3" s="1113"/>
      <c r="FOV3" s="1113"/>
      <c r="FOW3" s="1113"/>
      <c r="FOX3" s="1113"/>
      <c r="FOY3" s="1113"/>
      <c r="FOZ3" s="1113"/>
      <c r="FPA3" s="1113"/>
      <c r="FPB3" s="1113"/>
      <c r="FPC3" s="1113"/>
      <c r="FPD3" s="1113"/>
      <c r="FPE3" s="1113"/>
      <c r="FPF3" s="1113"/>
      <c r="FPG3" s="1113"/>
      <c r="FPH3" s="1113"/>
      <c r="FPI3" s="1113"/>
      <c r="FPJ3" s="1113"/>
      <c r="FPK3" s="1113"/>
      <c r="FPL3" s="1113"/>
      <c r="FPM3" s="1113"/>
      <c r="FPN3" s="1113"/>
      <c r="FPO3" s="1113"/>
      <c r="FPP3" s="1113"/>
      <c r="FPQ3" s="1113"/>
      <c r="FPR3" s="1113"/>
      <c r="FPS3" s="1113"/>
      <c r="FPT3" s="1113"/>
      <c r="FPU3" s="1113"/>
      <c r="FPV3" s="1113"/>
      <c r="FPW3" s="1113"/>
      <c r="FPX3" s="1113"/>
      <c r="FPY3" s="1113"/>
      <c r="FPZ3" s="1113"/>
      <c r="FQA3" s="1113"/>
      <c r="FQB3" s="1113"/>
      <c r="FQC3" s="1113"/>
      <c r="FQD3" s="1113"/>
      <c r="FQE3" s="1113"/>
      <c r="FQF3" s="1113"/>
      <c r="FQG3" s="1113"/>
      <c r="FQH3" s="1113"/>
      <c r="FQI3" s="1113"/>
      <c r="FQJ3" s="1113"/>
      <c r="FQK3" s="1113"/>
      <c r="FQL3" s="1113"/>
      <c r="FQM3" s="1113"/>
      <c r="FQN3" s="1113"/>
      <c r="FQO3" s="1113"/>
      <c r="FQP3" s="1113"/>
      <c r="FQQ3" s="1113"/>
      <c r="FQR3" s="1113"/>
      <c r="FQS3" s="1113"/>
      <c r="FQT3" s="1113"/>
      <c r="FQU3" s="1113"/>
      <c r="FQV3" s="1113"/>
      <c r="FQW3" s="1113"/>
      <c r="FQX3" s="1113"/>
      <c r="FQY3" s="1113"/>
      <c r="FQZ3" s="1113"/>
      <c r="FRA3" s="1113"/>
      <c r="FRB3" s="1113"/>
      <c r="FRC3" s="1113"/>
      <c r="FRD3" s="1113"/>
      <c r="FRE3" s="1113"/>
      <c r="FRF3" s="1113"/>
      <c r="FRG3" s="1113"/>
      <c r="FRH3" s="1113"/>
      <c r="FRI3" s="1113"/>
      <c r="FRJ3" s="1113"/>
      <c r="FRK3" s="1113"/>
      <c r="FRL3" s="1113"/>
      <c r="FRM3" s="1113"/>
      <c r="FRN3" s="1113"/>
      <c r="FRO3" s="1113"/>
      <c r="FRP3" s="1113"/>
      <c r="FRQ3" s="1113"/>
      <c r="FRR3" s="1113"/>
      <c r="FRS3" s="1113"/>
      <c r="FRT3" s="1113"/>
      <c r="FRU3" s="1113"/>
      <c r="FRV3" s="1113"/>
      <c r="FRW3" s="1113"/>
      <c r="FRX3" s="1113"/>
      <c r="FRY3" s="1113"/>
      <c r="FRZ3" s="1113"/>
      <c r="FSA3" s="1113"/>
      <c r="FSB3" s="1113"/>
      <c r="FSC3" s="1113"/>
      <c r="FSD3" s="1113"/>
      <c r="FSE3" s="1113"/>
      <c r="FSF3" s="1113"/>
      <c r="FSG3" s="1113"/>
      <c r="FSH3" s="1113"/>
      <c r="FSI3" s="1113"/>
      <c r="FSJ3" s="1113"/>
      <c r="FSK3" s="1113"/>
      <c r="FSL3" s="1113"/>
      <c r="FSM3" s="1113"/>
      <c r="FSN3" s="1113"/>
      <c r="FSO3" s="1113"/>
      <c r="FSP3" s="1113"/>
      <c r="FSQ3" s="1113"/>
      <c r="FSR3" s="1113"/>
      <c r="FSS3" s="1113"/>
      <c r="FST3" s="1113"/>
      <c r="FSU3" s="1113"/>
      <c r="FSV3" s="1113"/>
      <c r="FSW3" s="1113"/>
      <c r="FSX3" s="1113"/>
      <c r="FSY3" s="1113"/>
      <c r="FSZ3" s="1113"/>
      <c r="FTA3" s="1113"/>
      <c r="FTB3" s="1113"/>
      <c r="FTC3" s="1113"/>
      <c r="FTD3" s="1113"/>
      <c r="FTE3" s="1113"/>
      <c r="FTF3" s="1113"/>
      <c r="FTG3" s="1113"/>
      <c r="FTH3" s="1113"/>
      <c r="FTI3" s="1113"/>
      <c r="FTJ3" s="1113"/>
      <c r="FTK3" s="1113"/>
      <c r="FTL3" s="1113"/>
      <c r="FTM3" s="1113"/>
      <c r="FTN3" s="1113"/>
      <c r="FTO3" s="1113"/>
      <c r="FTP3" s="1113"/>
      <c r="FTQ3" s="1113"/>
      <c r="FTR3" s="1113"/>
      <c r="FTS3" s="1113"/>
      <c r="FTT3" s="1113"/>
      <c r="FTU3" s="1113"/>
      <c r="FTV3" s="1113"/>
      <c r="FTW3" s="1113"/>
      <c r="FTX3" s="1113"/>
      <c r="FTY3" s="1113"/>
      <c r="FTZ3" s="1113"/>
      <c r="FUA3" s="1113"/>
      <c r="FUB3" s="1113"/>
      <c r="FUC3" s="1113"/>
      <c r="FUD3" s="1113"/>
      <c r="FUE3" s="1113"/>
      <c r="FUF3" s="1113"/>
      <c r="FUG3" s="1113"/>
      <c r="FUH3" s="1113"/>
      <c r="FUI3" s="1113"/>
      <c r="FUJ3" s="1113"/>
      <c r="FUK3" s="1113"/>
      <c r="FUL3" s="1113"/>
      <c r="FUM3" s="1113"/>
      <c r="FUN3" s="1113"/>
      <c r="FUO3" s="1113"/>
      <c r="FUP3" s="1113"/>
      <c r="FUQ3" s="1113"/>
      <c r="FUR3" s="1113"/>
      <c r="FUS3" s="1113"/>
      <c r="FUT3" s="1113"/>
      <c r="FUU3" s="1113"/>
      <c r="FUV3" s="1113"/>
      <c r="FUW3" s="1113"/>
      <c r="FUX3" s="1113"/>
      <c r="FUY3" s="1113"/>
      <c r="FUZ3" s="1113"/>
      <c r="FVA3" s="1113"/>
      <c r="FVB3" s="1113"/>
      <c r="FVC3" s="1113"/>
      <c r="FVD3" s="1113"/>
      <c r="FVE3" s="1113"/>
      <c r="FVF3" s="1113"/>
      <c r="FVG3" s="1113"/>
      <c r="FVH3" s="1113"/>
      <c r="FVI3" s="1113"/>
      <c r="FVJ3" s="1113"/>
      <c r="FVK3" s="1113"/>
      <c r="FVL3" s="1113"/>
      <c r="FVM3" s="1113"/>
      <c r="FVN3" s="1113"/>
      <c r="FVO3" s="1113"/>
      <c r="FVP3" s="1113"/>
      <c r="FVQ3" s="1113"/>
      <c r="FVR3" s="1113"/>
      <c r="FVS3" s="1113"/>
      <c r="FVT3" s="1113"/>
      <c r="FVU3" s="1113"/>
      <c r="FVV3" s="1113"/>
      <c r="FVW3" s="1113"/>
      <c r="FVX3" s="1113"/>
      <c r="FVY3" s="1113"/>
      <c r="FVZ3" s="1113"/>
      <c r="FWA3" s="1113"/>
      <c r="FWB3" s="1113"/>
      <c r="FWC3" s="1113"/>
      <c r="FWD3" s="1113"/>
      <c r="FWE3" s="1113"/>
      <c r="FWF3" s="1113"/>
      <c r="FWG3" s="1113"/>
      <c r="FWH3" s="1113"/>
      <c r="FWI3" s="1113"/>
      <c r="FWJ3" s="1113"/>
      <c r="FWK3" s="1113"/>
      <c r="FWL3" s="1113"/>
      <c r="FWM3" s="1113"/>
      <c r="FWN3" s="1113"/>
      <c r="FWO3" s="1113"/>
      <c r="FWP3" s="1113"/>
      <c r="FWQ3" s="1113"/>
      <c r="FWR3" s="1113"/>
      <c r="FWS3" s="1113"/>
      <c r="FWT3" s="1113"/>
      <c r="FWU3" s="1113"/>
      <c r="FWV3" s="1113"/>
      <c r="FWW3" s="1113"/>
      <c r="FWX3" s="1113"/>
      <c r="FWY3" s="1113"/>
      <c r="FWZ3" s="1113"/>
      <c r="FXA3" s="1113"/>
      <c r="FXB3" s="1113"/>
      <c r="FXC3" s="1113"/>
      <c r="FXD3" s="1113"/>
      <c r="FXE3" s="1113"/>
      <c r="FXF3" s="1113"/>
      <c r="FXG3" s="1113"/>
      <c r="FXH3" s="1113"/>
      <c r="FXI3" s="1113"/>
      <c r="FXJ3" s="1113"/>
      <c r="FXK3" s="1113"/>
      <c r="FXL3" s="1113"/>
      <c r="FXM3" s="1113"/>
      <c r="FXN3" s="1113"/>
      <c r="FXO3" s="1113"/>
      <c r="FXP3" s="1113"/>
      <c r="FXQ3" s="1113"/>
      <c r="FXR3" s="1113"/>
      <c r="FXS3" s="1113"/>
      <c r="FXT3" s="1113"/>
      <c r="FXU3" s="1113"/>
      <c r="FXV3" s="1113"/>
      <c r="FXW3" s="1113"/>
      <c r="FXX3" s="1113"/>
      <c r="FXY3" s="1113"/>
      <c r="FXZ3" s="1113"/>
      <c r="FYA3" s="1113"/>
      <c r="FYB3" s="1113"/>
      <c r="FYC3" s="1113"/>
      <c r="FYD3" s="1113"/>
      <c r="FYE3" s="1113"/>
      <c r="FYF3" s="1113"/>
      <c r="FYG3" s="1113"/>
      <c r="FYH3" s="1113"/>
      <c r="FYI3" s="1113"/>
      <c r="FYJ3" s="1113"/>
      <c r="FYK3" s="1113"/>
      <c r="FYL3" s="1113"/>
      <c r="FYM3" s="1113"/>
      <c r="FYN3" s="1113"/>
      <c r="FYO3" s="1113"/>
      <c r="FYP3" s="1113"/>
      <c r="FYQ3" s="1113"/>
      <c r="FYR3" s="1113"/>
      <c r="FYS3" s="1113"/>
      <c r="FYT3" s="1113"/>
      <c r="FYU3" s="1113"/>
      <c r="FYV3" s="1113"/>
      <c r="FYW3" s="1113"/>
      <c r="FYX3" s="1113"/>
      <c r="FYY3" s="1113"/>
      <c r="FYZ3" s="1113"/>
      <c r="FZA3" s="1113"/>
      <c r="FZB3" s="1113"/>
      <c r="FZC3" s="1113"/>
      <c r="FZD3" s="1113"/>
      <c r="FZE3" s="1113"/>
      <c r="FZF3" s="1113"/>
      <c r="FZG3" s="1113"/>
      <c r="FZH3" s="1113"/>
      <c r="FZI3" s="1113"/>
      <c r="FZJ3" s="1113"/>
      <c r="FZK3" s="1113"/>
      <c r="FZL3" s="1113"/>
      <c r="FZM3" s="1113"/>
      <c r="FZN3" s="1113"/>
      <c r="FZO3" s="1113"/>
      <c r="FZP3" s="1113"/>
      <c r="FZQ3" s="1113"/>
      <c r="FZR3" s="1113"/>
      <c r="FZS3" s="1113"/>
      <c r="FZT3" s="1113"/>
      <c r="FZU3" s="1113"/>
      <c r="FZV3" s="1113"/>
      <c r="FZW3" s="1113"/>
      <c r="FZX3" s="1113"/>
      <c r="FZY3" s="1113"/>
      <c r="FZZ3" s="1113"/>
      <c r="GAA3" s="1113"/>
      <c r="GAB3" s="1113"/>
      <c r="GAC3" s="1113"/>
      <c r="GAD3" s="1113"/>
      <c r="GAE3" s="1113"/>
      <c r="GAF3" s="1113"/>
      <c r="GAG3" s="1113"/>
      <c r="GAH3" s="1113"/>
      <c r="GAI3" s="1113"/>
      <c r="GAJ3" s="1113"/>
      <c r="GAK3" s="1113"/>
      <c r="GAL3" s="1113"/>
      <c r="GAM3" s="1113"/>
      <c r="GAN3" s="1113"/>
      <c r="GAO3" s="1113"/>
      <c r="GAP3" s="1113"/>
      <c r="GAQ3" s="1113"/>
      <c r="GAR3" s="1113"/>
      <c r="GAS3" s="1113"/>
      <c r="GAT3" s="1113"/>
      <c r="GAU3" s="1113"/>
      <c r="GAV3" s="1113"/>
      <c r="GAW3" s="1113"/>
      <c r="GAX3" s="1113"/>
      <c r="GAY3" s="1113"/>
      <c r="GAZ3" s="1113"/>
      <c r="GBA3" s="1113"/>
      <c r="GBB3" s="1113"/>
      <c r="GBC3" s="1113"/>
      <c r="GBD3" s="1113"/>
      <c r="GBE3" s="1113"/>
      <c r="GBF3" s="1113"/>
      <c r="GBG3" s="1113"/>
      <c r="GBH3" s="1113"/>
      <c r="GBI3" s="1113"/>
      <c r="GBJ3" s="1113"/>
      <c r="GBK3" s="1113"/>
      <c r="GBL3" s="1113"/>
      <c r="GBM3" s="1113"/>
      <c r="GBN3" s="1113"/>
      <c r="GBO3" s="1113"/>
      <c r="GBP3" s="1113"/>
      <c r="GBQ3" s="1113"/>
      <c r="GBR3" s="1113"/>
      <c r="GBS3" s="1113"/>
      <c r="GBT3" s="1113"/>
      <c r="GBU3" s="1113"/>
      <c r="GBV3" s="1113"/>
      <c r="GBW3" s="1113"/>
      <c r="GBX3" s="1113"/>
      <c r="GBY3" s="1113"/>
      <c r="GBZ3" s="1113"/>
      <c r="GCA3" s="1113"/>
      <c r="GCB3" s="1113"/>
      <c r="GCC3" s="1113"/>
      <c r="GCD3" s="1113"/>
      <c r="GCE3" s="1113"/>
      <c r="GCF3" s="1113"/>
      <c r="GCG3" s="1113"/>
      <c r="GCH3" s="1113"/>
      <c r="GCI3" s="1113"/>
      <c r="GCJ3" s="1113"/>
      <c r="GCK3" s="1113"/>
      <c r="GCL3" s="1113"/>
      <c r="GCM3" s="1113"/>
      <c r="GCN3" s="1113"/>
      <c r="GCO3" s="1113"/>
      <c r="GCP3" s="1113"/>
      <c r="GCQ3" s="1113"/>
      <c r="GCR3" s="1113"/>
      <c r="GCS3" s="1113"/>
      <c r="GCT3" s="1113"/>
      <c r="GCU3" s="1113"/>
      <c r="GCV3" s="1113"/>
      <c r="GCW3" s="1113"/>
      <c r="GCX3" s="1113"/>
      <c r="GCY3" s="1113"/>
      <c r="GCZ3" s="1113"/>
      <c r="GDA3" s="1113"/>
      <c r="GDB3" s="1113"/>
      <c r="GDC3" s="1113"/>
      <c r="GDD3" s="1113"/>
      <c r="GDE3" s="1113"/>
      <c r="GDF3" s="1113"/>
      <c r="GDG3" s="1113"/>
      <c r="GDH3" s="1113"/>
      <c r="GDI3" s="1113"/>
      <c r="GDJ3" s="1113"/>
      <c r="GDK3" s="1113"/>
      <c r="GDL3" s="1113"/>
      <c r="GDM3" s="1113"/>
      <c r="GDN3" s="1113"/>
      <c r="GDO3" s="1113"/>
      <c r="GDP3" s="1113"/>
      <c r="GDQ3" s="1113"/>
      <c r="GDR3" s="1113"/>
      <c r="GDS3" s="1113"/>
      <c r="GDT3" s="1113"/>
      <c r="GDU3" s="1113"/>
      <c r="GDV3" s="1113"/>
      <c r="GDW3" s="1113"/>
      <c r="GDX3" s="1113"/>
      <c r="GDY3" s="1113"/>
      <c r="GDZ3" s="1113"/>
      <c r="GEA3" s="1113"/>
      <c r="GEB3" s="1113"/>
      <c r="GEC3" s="1113"/>
      <c r="GED3" s="1113"/>
      <c r="GEE3" s="1113"/>
      <c r="GEF3" s="1113"/>
      <c r="GEG3" s="1113"/>
      <c r="GEH3" s="1113"/>
      <c r="GEI3" s="1113"/>
      <c r="GEJ3" s="1113"/>
      <c r="GEK3" s="1113"/>
      <c r="GEL3" s="1113"/>
      <c r="GEM3" s="1113"/>
      <c r="GEN3" s="1113"/>
      <c r="GEO3" s="1113"/>
      <c r="GEP3" s="1113"/>
      <c r="GEQ3" s="1113"/>
      <c r="GER3" s="1113"/>
      <c r="GES3" s="1113"/>
      <c r="GET3" s="1113"/>
      <c r="GEU3" s="1113"/>
      <c r="GEV3" s="1113"/>
      <c r="GEW3" s="1113"/>
      <c r="GEX3" s="1113"/>
      <c r="GEY3" s="1113"/>
      <c r="GEZ3" s="1113"/>
      <c r="GFA3" s="1113"/>
      <c r="GFB3" s="1113"/>
      <c r="GFC3" s="1113"/>
      <c r="GFD3" s="1113"/>
      <c r="GFE3" s="1113"/>
      <c r="GFF3" s="1113"/>
      <c r="GFG3" s="1113"/>
      <c r="GFH3" s="1113"/>
      <c r="GFI3" s="1113"/>
      <c r="GFJ3" s="1113"/>
      <c r="GFK3" s="1113"/>
      <c r="GFL3" s="1113"/>
      <c r="GFM3" s="1113"/>
      <c r="GFN3" s="1113"/>
      <c r="GFO3" s="1113"/>
      <c r="GFP3" s="1113"/>
      <c r="GFQ3" s="1113"/>
      <c r="GFR3" s="1113"/>
      <c r="GFS3" s="1113"/>
      <c r="GFT3" s="1113"/>
      <c r="GFU3" s="1113"/>
      <c r="GFV3" s="1113"/>
      <c r="GFW3" s="1113"/>
      <c r="GFX3" s="1113"/>
      <c r="GFY3" s="1113"/>
      <c r="GFZ3" s="1113"/>
      <c r="GGA3" s="1113"/>
      <c r="GGB3" s="1113"/>
      <c r="GGC3" s="1113"/>
      <c r="GGD3" s="1113"/>
      <c r="GGE3" s="1113"/>
      <c r="GGF3" s="1113"/>
      <c r="GGG3" s="1113"/>
      <c r="GGH3" s="1113"/>
      <c r="GGI3" s="1113"/>
      <c r="GGJ3" s="1113"/>
      <c r="GGK3" s="1113"/>
      <c r="GGL3" s="1113"/>
      <c r="GGM3" s="1113"/>
      <c r="GGN3" s="1113"/>
      <c r="GGO3" s="1113"/>
      <c r="GGP3" s="1113"/>
      <c r="GGQ3" s="1113"/>
      <c r="GGR3" s="1113"/>
      <c r="GGS3" s="1113"/>
      <c r="GGT3" s="1113"/>
      <c r="GGU3" s="1113"/>
      <c r="GGV3" s="1113"/>
      <c r="GGW3" s="1113"/>
      <c r="GGX3" s="1113"/>
      <c r="GGY3" s="1113"/>
      <c r="GGZ3" s="1113"/>
      <c r="GHA3" s="1113"/>
      <c r="GHB3" s="1113"/>
      <c r="GHC3" s="1113"/>
      <c r="GHD3" s="1113"/>
      <c r="GHE3" s="1113"/>
      <c r="GHF3" s="1113"/>
      <c r="GHG3" s="1113"/>
      <c r="GHH3" s="1113"/>
      <c r="GHI3" s="1113"/>
      <c r="GHJ3" s="1113"/>
      <c r="GHK3" s="1113"/>
      <c r="GHL3" s="1113"/>
      <c r="GHM3" s="1113"/>
      <c r="GHN3" s="1113"/>
      <c r="GHO3" s="1113"/>
      <c r="GHP3" s="1113"/>
      <c r="GHQ3" s="1113"/>
      <c r="GHR3" s="1113"/>
      <c r="GHS3" s="1113"/>
      <c r="GHT3" s="1113"/>
      <c r="GHU3" s="1113"/>
      <c r="GHV3" s="1113"/>
      <c r="GHW3" s="1113"/>
      <c r="GHX3" s="1113"/>
      <c r="GHY3" s="1113"/>
      <c r="GHZ3" s="1113"/>
      <c r="GIA3" s="1113"/>
      <c r="GIB3" s="1113"/>
      <c r="GIC3" s="1113"/>
      <c r="GID3" s="1113"/>
      <c r="GIE3" s="1113"/>
      <c r="GIF3" s="1113"/>
      <c r="GIG3" s="1113"/>
      <c r="GIH3" s="1113"/>
      <c r="GII3" s="1113"/>
      <c r="GIJ3" s="1113"/>
      <c r="GIK3" s="1113"/>
      <c r="GIL3" s="1113"/>
      <c r="GIM3" s="1113"/>
      <c r="GIN3" s="1113"/>
      <c r="GIO3" s="1113"/>
      <c r="GIP3" s="1113"/>
      <c r="GIQ3" s="1113"/>
      <c r="GIR3" s="1113"/>
      <c r="GIS3" s="1113"/>
      <c r="GIT3" s="1113"/>
      <c r="GIU3" s="1113"/>
      <c r="GIV3" s="1113"/>
      <c r="GIW3" s="1113"/>
      <c r="GIX3" s="1113"/>
      <c r="GIY3" s="1113"/>
      <c r="GIZ3" s="1113"/>
      <c r="GJA3" s="1113"/>
      <c r="GJB3" s="1113"/>
      <c r="GJC3" s="1113"/>
      <c r="GJD3" s="1113"/>
      <c r="GJE3" s="1113"/>
      <c r="GJF3" s="1113"/>
      <c r="GJG3" s="1113"/>
      <c r="GJH3" s="1113"/>
      <c r="GJI3" s="1113"/>
      <c r="GJJ3" s="1113"/>
      <c r="GJK3" s="1113"/>
      <c r="GJL3" s="1113"/>
      <c r="GJM3" s="1113"/>
      <c r="GJN3" s="1113"/>
      <c r="GJO3" s="1113"/>
      <c r="GJP3" s="1113"/>
      <c r="GJQ3" s="1113"/>
      <c r="GJR3" s="1113"/>
      <c r="GJS3" s="1113"/>
      <c r="GJT3" s="1113"/>
      <c r="GJU3" s="1113"/>
      <c r="GJV3" s="1113"/>
      <c r="GJW3" s="1113"/>
      <c r="GJX3" s="1113"/>
      <c r="GJY3" s="1113"/>
      <c r="GJZ3" s="1113"/>
      <c r="GKA3" s="1113"/>
      <c r="GKB3" s="1113"/>
      <c r="GKC3" s="1113"/>
      <c r="GKD3" s="1113"/>
      <c r="GKE3" s="1113"/>
      <c r="GKF3" s="1113"/>
      <c r="GKG3" s="1113"/>
      <c r="GKH3" s="1113"/>
      <c r="GKI3" s="1113"/>
      <c r="GKJ3" s="1113"/>
      <c r="GKK3" s="1113"/>
      <c r="GKL3" s="1113"/>
      <c r="GKM3" s="1113"/>
      <c r="GKN3" s="1113"/>
      <c r="GKO3" s="1113"/>
      <c r="GKP3" s="1113"/>
      <c r="GKQ3" s="1113"/>
      <c r="GKR3" s="1113"/>
      <c r="GKS3" s="1113"/>
      <c r="GKT3" s="1113"/>
      <c r="GKU3" s="1113"/>
      <c r="GKV3" s="1113"/>
      <c r="GKW3" s="1113"/>
      <c r="GKX3" s="1113"/>
      <c r="GKY3" s="1113"/>
      <c r="GKZ3" s="1113"/>
      <c r="GLA3" s="1113"/>
      <c r="GLB3" s="1113"/>
      <c r="GLC3" s="1113"/>
      <c r="GLD3" s="1113"/>
      <c r="GLE3" s="1113"/>
      <c r="GLF3" s="1113"/>
      <c r="GLG3" s="1113"/>
      <c r="GLH3" s="1113"/>
      <c r="GLI3" s="1113"/>
      <c r="GLJ3" s="1113"/>
      <c r="GLK3" s="1113"/>
      <c r="GLL3" s="1113"/>
      <c r="GLM3" s="1113"/>
      <c r="GLN3" s="1113"/>
      <c r="GLO3" s="1113"/>
      <c r="GLP3" s="1113"/>
      <c r="GLQ3" s="1113"/>
      <c r="GLR3" s="1113"/>
      <c r="GLS3" s="1113"/>
      <c r="GLT3" s="1113"/>
      <c r="GLU3" s="1113"/>
      <c r="GLV3" s="1113"/>
      <c r="GLW3" s="1113"/>
      <c r="GLX3" s="1113"/>
      <c r="GLY3" s="1113"/>
      <c r="GLZ3" s="1113"/>
      <c r="GMA3" s="1113"/>
      <c r="GMB3" s="1113"/>
      <c r="GMC3" s="1113"/>
      <c r="GMD3" s="1113"/>
      <c r="GME3" s="1113"/>
      <c r="GMF3" s="1113"/>
      <c r="GMG3" s="1113"/>
      <c r="GMH3" s="1113"/>
      <c r="GMI3" s="1113"/>
      <c r="GMJ3" s="1113"/>
      <c r="GMK3" s="1113"/>
      <c r="GML3" s="1113"/>
      <c r="GMM3" s="1113"/>
      <c r="GMN3" s="1113"/>
      <c r="GMO3" s="1113"/>
      <c r="GMP3" s="1113"/>
      <c r="GMQ3" s="1113"/>
      <c r="GMR3" s="1113"/>
      <c r="GMS3" s="1113"/>
      <c r="GMT3" s="1113"/>
      <c r="GMU3" s="1113"/>
      <c r="GMV3" s="1113"/>
      <c r="GMW3" s="1113"/>
      <c r="GMX3" s="1113"/>
      <c r="GMY3" s="1113"/>
      <c r="GMZ3" s="1113"/>
      <c r="GNA3" s="1113"/>
      <c r="GNB3" s="1113"/>
      <c r="GNC3" s="1113"/>
      <c r="GND3" s="1113"/>
      <c r="GNE3" s="1113"/>
      <c r="GNF3" s="1113"/>
      <c r="GNG3" s="1113"/>
      <c r="GNH3" s="1113"/>
      <c r="GNI3" s="1113"/>
      <c r="GNJ3" s="1113"/>
      <c r="GNK3" s="1113"/>
      <c r="GNL3" s="1113"/>
      <c r="GNM3" s="1113"/>
      <c r="GNN3" s="1113"/>
      <c r="GNO3" s="1113"/>
      <c r="GNP3" s="1113"/>
      <c r="GNQ3" s="1113"/>
      <c r="GNR3" s="1113"/>
      <c r="GNS3" s="1113"/>
      <c r="GNT3" s="1113"/>
      <c r="GNU3" s="1113"/>
      <c r="GNV3" s="1113"/>
      <c r="GNW3" s="1113"/>
      <c r="GNX3" s="1113"/>
      <c r="GNY3" s="1113"/>
      <c r="GNZ3" s="1113"/>
      <c r="GOA3" s="1113"/>
      <c r="GOB3" s="1113"/>
      <c r="GOC3" s="1113"/>
      <c r="GOD3" s="1113"/>
      <c r="GOE3" s="1113"/>
      <c r="GOF3" s="1113"/>
      <c r="GOG3" s="1113"/>
      <c r="GOH3" s="1113"/>
      <c r="GOI3" s="1113"/>
      <c r="GOJ3" s="1113"/>
      <c r="GOK3" s="1113"/>
      <c r="GOL3" s="1113"/>
      <c r="GOM3" s="1113"/>
      <c r="GON3" s="1113"/>
      <c r="GOO3" s="1113"/>
      <c r="GOP3" s="1113"/>
      <c r="GOQ3" s="1113"/>
      <c r="GOR3" s="1113"/>
      <c r="GOS3" s="1113"/>
      <c r="GOT3" s="1113"/>
      <c r="GOU3" s="1113"/>
      <c r="GOV3" s="1113"/>
      <c r="GOW3" s="1113"/>
      <c r="GOX3" s="1113"/>
      <c r="GOY3" s="1113"/>
      <c r="GOZ3" s="1113"/>
      <c r="GPA3" s="1113"/>
      <c r="GPB3" s="1113"/>
      <c r="GPC3" s="1113"/>
      <c r="GPD3" s="1113"/>
      <c r="GPE3" s="1113"/>
      <c r="GPF3" s="1113"/>
      <c r="GPG3" s="1113"/>
      <c r="GPH3" s="1113"/>
      <c r="GPI3" s="1113"/>
      <c r="GPJ3" s="1113"/>
      <c r="GPK3" s="1113"/>
      <c r="GPL3" s="1113"/>
      <c r="GPM3" s="1113"/>
      <c r="GPN3" s="1113"/>
      <c r="GPO3" s="1113"/>
      <c r="GPP3" s="1113"/>
      <c r="GPQ3" s="1113"/>
      <c r="GPR3" s="1113"/>
      <c r="GPS3" s="1113"/>
      <c r="GPT3" s="1113"/>
      <c r="GPU3" s="1113"/>
      <c r="GPV3" s="1113"/>
      <c r="GPW3" s="1113"/>
      <c r="GPX3" s="1113"/>
      <c r="GPY3" s="1113"/>
      <c r="GPZ3" s="1113"/>
      <c r="GQA3" s="1113"/>
      <c r="GQB3" s="1113"/>
      <c r="GQC3" s="1113"/>
      <c r="GQD3" s="1113"/>
      <c r="GQE3" s="1113"/>
      <c r="GQF3" s="1113"/>
      <c r="GQG3" s="1113"/>
      <c r="GQH3" s="1113"/>
      <c r="GQI3" s="1113"/>
      <c r="GQJ3" s="1113"/>
      <c r="GQK3" s="1113"/>
      <c r="GQL3" s="1113"/>
      <c r="GQM3" s="1113"/>
      <c r="GQN3" s="1113"/>
      <c r="GQO3" s="1113"/>
      <c r="GQP3" s="1113"/>
      <c r="GQQ3" s="1113"/>
      <c r="GQR3" s="1113"/>
      <c r="GQS3" s="1113"/>
      <c r="GQT3" s="1113"/>
      <c r="GQU3" s="1113"/>
      <c r="GQV3" s="1113"/>
      <c r="GQW3" s="1113"/>
      <c r="GQX3" s="1113"/>
      <c r="GQY3" s="1113"/>
      <c r="GQZ3" s="1113"/>
      <c r="GRA3" s="1113"/>
      <c r="GRB3" s="1113"/>
      <c r="GRC3" s="1113"/>
      <c r="GRD3" s="1113"/>
      <c r="GRE3" s="1113"/>
      <c r="GRF3" s="1113"/>
      <c r="GRG3" s="1113"/>
      <c r="GRH3" s="1113"/>
      <c r="GRI3" s="1113"/>
      <c r="GRJ3" s="1113"/>
      <c r="GRK3" s="1113"/>
      <c r="GRL3" s="1113"/>
      <c r="GRM3" s="1113"/>
      <c r="GRN3" s="1113"/>
      <c r="GRO3" s="1113"/>
      <c r="GRP3" s="1113"/>
      <c r="GRQ3" s="1113"/>
      <c r="GRR3" s="1113"/>
      <c r="GRS3" s="1113"/>
      <c r="GRT3" s="1113"/>
      <c r="GRU3" s="1113"/>
      <c r="GRV3" s="1113"/>
      <c r="GRW3" s="1113"/>
      <c r="GRX3" s="1113"/>
      <c r="GRY3" s="1113"/>
      <c r="GRZ3" s="1113"/>
      <c r="GSA3" s="1113"/>
      <c r="GSB3" s="1113"/>
      <c r="GSC3" s="1113"/>
      <c r="GSD3" s="1113"/>
      <c r="GSE3" s="1113"/>
      <c r="GSF3" s="1113"/>
      <c r="GSG3" s="1113"/>
      <c r="GSH3" s="1113"/>
      <c r="GSI3" s="1113"/>
      <c r="GSJ3" s="1113"/>
      <c r="GSK3" s="1113"/>
      <c r="GSL3" s="1113"/>
      <c r="GSM3" s="1113"/>
      <c r="GSN3" s="1113"/>
      <c r="GSO3" s="1113"/>
      <c r="GSP3" s="1113"/>
      <c r="GSQ3" s="1113"/>
      <c r="GSR3" s="1113"/>
      <c r="GSS3" s="1113"/>
      <c r="GST3" s="1113"/>
      <c r="GSU3" s="1113"/>
      <c r="GSV3" s="1113"/>
      <c r="GSW3" s="1113"/>
      <c r="GSX3" s="1113"/>
      <c r="GSY3" s="1113"/>
      <c r="GSZ3" s="1113"/>
      <c r="GTA3" s="1113"/>
      <c r="GTB3" s="1113"/>
      <c r="GTC3" s="1113"/>
      <c r="GTD3" s="1113"/>
      <c r="GTE3" s="1113"/>
      <c r="GTF3" s="1113"/>
      <c r="GTG3" s="1113"/>
      <c r="GTH3" s="1113"/>
      <c r="GTI3" s="1113"/>
      <c r="GTJ3" s="1113"/>
      <c r="GTK3" s="1113"/>
      <c r="GTL3" s="1113"/>
      <c r="GTM3" s="1113"/>
      <c r="GTN3" s="1113"/>
      <c r="GTO3" s="1113"/>
      <c r="GTP3" s="1113"/>
      <c r="GTQ3" s="1113"/>
      <c r="GTR3" s="1113"/>
      <c r="GTS3" s="1113"/>
      <c r="GTT3" s="1113"/>
      <c r="GTU3" s="1113"/>
      <c r="GTV3" s="1113"/>
      <c r="GTW3" s="1113"/>
      <c r="GTX3" s="1113"/>
      <c r="GTY3" s="1113"/>
      <c r="GTZ3" s="1113"/>
      <c r="GUA3" s="1113"/>
      <c r="GUB3" s="1113"/>
      <c r="GUC3" s="1113"/>
      <c r="GUD3" s="1113"/>
      <c r="GUE3" s="1113"/>
      <c r="GUF3" s="1113"/>
      <c r="GUG3" s="1113"/>
      <c r="GUH3" s="1113"/>
      <c r="GUI3" s="1113"/>
      <c r="GUJ3" s="1113"/>
      <c r="GUK3" s="1113"/>
      <c r="GUL3" s="1113"/>
      <c r="GUM3" s="1113"/>
      <c r="GUN3" s="1113"/>
      <c r="GUO3" s="1113"/>
      <c r="GUP3" s="1113"/>
      <c r="GUQ3" s="1113"/>
      <c r="GUR3" s="1113"/>
      <c r="GUS3" s="1113"/>
      <c r="GUT3" s="1113"/>
      <c r="GUU3" s="1113"/>
      <c r="GUV3" s="1113"/>
      <c r="GUW3" s="1113"/>
      <c r="GUX3" s="1113"/>
      <c r="GUY3" s="1113"/>
      <c r="GUZ3" s="1113"/>
      <c r="GVA3" s="1113"/>
      <c r="GVB3" s="1113"/>
      <c r="GVC3" s="1113"/>
      <c r="GVD3" s="1113"/>
      <c r="GVE3" s="1113"/>
      <c r="GVF3" s="1113"/>
      <c r="GVG3" s="1113"/>
      <c r="GVH3" s="1113"/>
      <c r="GVI3" s="1113"/>
      <c r="GVJ3" s="1113"/>
      <c r="GVK3" s="1113"/>
      <c r="GVL3" s="1113"/>
      <c r="GVM3" s="1113"/>
      <c r="GVN3" s="1113"/>
      <c r="GVO3" s="1113"/>
      <c r="GVP3" s="1113"/>
      <c r="GVQ3" s="1113"/>
      <c r="GVR3" s="1113"/>
      <c r="GVS3" s="1113"/>
      <c r="GVT3" s="1113"/>
      <c r="GVU3" s="1113"/>
      <c r="GVV3" s="1113"/>
      <c r="GVW3" s="1113"/>
      <c r="GVX3" s="1113"/>
      <c r="GVY3" s="1113"/>
      <c r="GVZ3" s="1113"/>
      <c r="GWA3" s="1113"/>
      <c r="GWB3" s="1113"/>
      <c r="GWC3" s="1113"/>
      <c r="GWD3" s="1113"/>
      <c r="GWE3" s="1113"/>
      <c r="GWF3" s="1113"/>
      <c r="GWG3" s="1113"/>
      <c r="GWH3" s="1113"/>
      <c r="GWI3" s="1113"/>
      <c r="GWJ3" s="1113"/>
      <c r="GWK3" s="1113"/>
      <c r="GWL3" s="1113"/>
      <c r="GWM3" s="1113"/>
      <c r="GWN3" s="1113"/>
      <c r="GWO3" s="1113"/>
      <c r="GWP3" s="1113"/>
      <c r="GWQ3" s="1113"/>
      <c r="GWR3" s="1113"/>
      <c r="GWS3" s="1113"/>
      <c r="GWT3" s="1113"/>
      <c r="GWU3" s="1113"/>
      <c r="GWV3" s="1113"/>
      <c r="GWW3" s="1113"/>
      <c r="GWX3" s="1113"/>
      <c r="GWY3" s="1113"/>
      <c r="GWZ3" s="1113"/>
      <c r="GXA3" s="1113"/>
      <c r="GXB3" s="1113"/>
      <c r="GXC3" s="1113"/>
      <c r="GXD3" s="1113"/>
      <c r="GXE3" s="1113"/>
      <c r="GXF3" s="1113"/>
      <c r="GXG3" s="1113"/>
      <c r="GXH3" s="1113"/>
      <c r="GXI3" s="1113"/>
      <c r="GXJ3" s="1113"/>
      <c r="GXK3" s="1113"/>
      <c r="GXL3" s="1113"/>
      <c r="GXM3" s="1113"/>
      <c r="GXN3" s="1113"/>
      <c r="GXO3" s="1113"/>
      <c r="GXP3" s="1113"/>
      <c r="GXQ3" s="1113"/>
      <c r="GXR3" s="1113"/>
      <c r="GXS3" s="1113"/>
      <c r="GXT3" s="1113"/>
      <c r="GXU3" s="1113"/>
      <c r="GXV3" s="1113"/>
      <c r="GXW3" s="1113"/>
      <c r="GXX3" s="1113"/>
      <c r="GXY3" s="1113"/>
      <c r="GXZ3" s="1113"/>
      <c r="GYA3" s="1113"/>
      <c r="GYB3" s="1113"/>
      <c r="GYC3" s="1113"/>
      <c r="GYD3" s="1113"/>
      <c r="GYE3" s="1113"/>
      <c r="GYF3" s="1113"/>
      <c r="GYG3" s="1113"/>
      <c r="GYH3" s="1113"/>
      <c r="GYI3" s="1113"/>
      <c r="GYJ3" s="1113"/>
      <c r="GYK3" s="1113"/>
      <c r="GYL3" s="1113"/>
      <c r="GYM3" s="1113"/>
      <c r="GYN3" s="1113"/>
      <c r="GYO3" s="1113"/>
      <c r="GYP3" s="1113"/>
      <c r="GYQ3" s="1113"/>
      <c r="GYR3" s="1113"/>
      <c r="GYS3" s="1113"/>
      <c r="GYT3" s="1113"/>
      <c r="GYU3" s="1113"/>
      <c r="GYV3" s="1113"/>
      <c r="GYW3" s="1113"/>
      <c r="GYX3" s="1113"/>
      <c r="GYY3" s="1113"/>
      <c r="GYZ3" s="1113"/>
      <c r="GZA3" s="1113"/>
      <c r="GZB3" s="1113"/>
      <c r="GZC3" s="1113"/>
      <c r="GZD3" s="1113"/>
      <c r="GZE3" s="1113"/>
      <c r="GZF3" s="1113"/>
      <c r="GZG3" s="1113"/>
      <c r="GZH3" s="1113"/>
      <c r="GZI3" s="1113"/>
      <c r="GZJ3" s="1113"/>
      <c r="GZK3" s="1113"/>
      <c r="GZL3" s="1113"/>
      <c r="GZM3" s="1113"/>
      <c r="GZN3" s="1113"/>
      <c r="GZO3" s="1113"/>
      <c r="GZP3" s="1113"/>
      <c r="GZQ3" s="1113"/>
      <c r="GZR3" s="1113"/>
      <c r="GZS3" s="1113"/>
      <c r="GZT3" s="1113"/>
      <c r="GZU3" s="1113"/>
      <c r="GZV3" s="1113"/>
      <c r="GZW3" s="1113"/>
      <c r="GZX3" s="1113"/>
      <c r="GZY3" s="1113"/>
      <c r="GZZ3" s="1113"/>
      <c r="HAA3" s="1113"/>
      <c r="HAB3" s="1113"/>
      <c r="HAC3" s="1113"/>
      <c r="HAD3" s="1113"/>
      <c r="HAE3" s="1113"/>
      <c r="HAF3" s="1113"/>
      <c r="HAG3" s="1113"/>
      <c r="HAH3" s="1113"/>
      <c r="HAI3" s="1113"/>
      <c r="HAJ3" s="1113"/>
      <c r="HAK3" s="1113"/>
      <c r="HAL3" s="1113"/>
      <c r="HAM3" s="1113"/>
      <c r="HAN3" s="1113"/>
      <c r="HAO3" s="1113"/>
      <c r="HAP3" s="1113"/>
      <c r="HAQ3" s="1113"/>
      <c r="HAR3" s="1113"/>
      <c r="HAS3" s="1113"/>
      <c r="HAT3" s="1113"/>
      <c r="HAU3" s="1113"/>
      <c r="HAV3" s="1113"/>
      <c r="HAW3" s="1113"/>
      <c r="HAX3" s="1113"/>
      <c r="HAY3" s="1113"/>
      <c r="HAZ3" s="1113"/>
      <c r="HBA3" s="1113"/>
      <c r="HBB3" s="1113"/>
      <c r="HBC3" s="1113"/>
      <c r="HBD3" s="1113"/>
      <c r="HBE3" s="1113"/>
      <c r="HBF3" s="1113"/>
      <c r="HBG3" s="1113"/>
      <c r="HBH3" s="1113"/>
      <c r="HBI3" s="1113"/>
      <c r="HBJ3" s="1113"/>
      <c r="HBK3" s="1113"/>
      <c r="HBL3" s="1113"/>
      <c r="HBM3" s="1113"/>
      <c r="HBN3" s="1113"/>
      <c r="HBO3" s="1113"/>
      <c r="HBP3" s="1113"/>
      <c r="HBQ3" s="1113"/>
      <c r="HBR3" s="1113"/>
      <c r="HBS3" s="1113"/>
      <c r="HBT3" s="1113"/>
      <c r="HBU3" s="1113"/>
      <c r="HBV3" s="1113"/>
      <c r="HBW3" s="1113"/>
      <c r="HBX3" s="1113"/>
      <c r="HBY3" s="1113"/>
      <c r="HBZ3" s="1113"/>
      <c r="HCA3" s="1113"/>
      <c r="HCB3" s="1113"/>
      <c r="HCC3" s="1113"/>
      <c r="HCD3" s="1113"/>
      <c r="HCE3" s="1113"/>
      <c r="HCF3" s="1113"/>
      <c r="HCG3" s="1113"/>
      <c r="HCH3" s="1113"/>
      <c r="HCI3" s="1113"/>
      <c r="HCJ3" s="1113"/>
      <c r="HCK3" s="1113"/>
      <c r="HCL3" s="1113"/>
      <c r="HCM3" s="1113"/>
      <c r="HCN3" s="1113"/>
      <c r="HCO3" s="1113"/>
      <c r="HCP3" s="1113"/>
      <c r="HCQ3" s="1113"/>
      <c r="HCR3" s="1113"/>
      <c r="HCS3" s="1113"/>
      <c r="HCT3" s="1113"/>
      <c r="HCU3" s="1113"/>
      <c r="HCV3" s="1113"/>
      <c r="HCW3" s="1113"/>
      <c r="HCX3" s="1113"/>
      <c r="HCY3" s="1113"/>
      <c r="HCZ3" s="1113"/>
      <c r="HDA3" s="1113"/>
      <c r="HDB3" s="1113"/>
      <c r="HDC3" s="1113"/>
      <c r="HDD3" s="1113"/>
      <c r="HDE3" s="1113"/>
      <c r="HDF3" s="1113"/>
      <c r="HDG3" s="1113"/>
      <c r="HDH3" s="1113"/>
      <c r="HDI3" s="1113"/>
      <c r="HDJ3" s="1113"/>
      <c r="HDK3" s="1113"/>
      <c r="HDL3" s="1113"/>
      <c r="HDM3" s="1113"/>
      <c r="HDN3" s="1113"/>
      <c r="HDO3" s="1113"/>
      <c r="HDP3" s="1113"/>
      <c r="HDQ3" s="1113"/>
      <c r="HDR3" s="1113"/>
      <c r="HDS3" s="1113"/>
      <c r="HDT3" s="1113"/>
      <c r="HDU3" s="1113"/>
      <c r="HDV3" s="1113"/>
      <c r="HDW3" s="1113"/>
      <c r="HDX3" s="1113"/>
      <c r="HDY3" s="1113"/>
      <c r="HDZ3" s="1113"/>
      <c r="HEA3" s="1113"/>
      <c r="HEB3" s="1113"/>
      <c r="HEC3" s="1113"/>
      <c r="HED3" s="1113"/>
      <c r="HEE3" s="1113"/>
      <c r="HEF3" s="1113"/>
      <c r="HEG3" s="1113"/>
      <c r="HEH3" s="1113"/>
      <c r="HEI3" s="1113"/>
      <c r="HEJ3" s="1113"/>
      <c r="HEK3" s="1113"/>
      <c r="HEL3" s="1113"/>
      <c r="HEM3" s="1113"/>
      <c r="HEN3" s="1113"/>
      <c r="HEO3" s="1113"/>
      <c r="HEP3" s="1113"/>
      <c r="HEQ3" s="1113"/>
      <c r="HER3" s="1113"/>
      <c r="HES3" s="1113"/>
      <c r="HET3" s="1113"/>
      <c r="HEU3" s="1113"/>
      <c r="HEV3" s="1113"/>
      <c r="HEW3" s="1113"/>
      <c r="HEX3" s="1113"/>
      <c r="HEY3" s="1113"/>
      <c r="HEZ3" s="1113"/>
      <c r="HFA3" s="1113"/>
      <c r="HFB3" s="1113"/>
      <c r="HFC3" s="1113"/>
      <c r="HFD3" s="1113"/>
      <c r="HFE3" s="1113"/>
      <c r="HFF3" s="1113"/>
      <c r="HFG3" s="1113"/>
      <c r="HFH3" s="1113"/>
      <c r="HFI3" s="1113"/>
      <c r="HFJ3" s="1113"/>
      <c r="HFK3" s="1113"/>
      <c r="HFL3" s="1113"/>
      <c r="HFM3" s="1113"/>
      <c r="HFN3" s="1113"/>
      <c r="HFO3" s="1113"/>
      <c r="HFP3" s="1113"/>
      <c r="HFQ3" s="1113"/>
      <c r="HFR3" s="1113"/>
      <c r="HFS3" s="1113"/>
      <c r="HFT3" s="1113"/>
      <c r="HFU3" s="1113"/>
      <c r="HFV3" s="1113"/>
      <c r="HFW3" s="1113"/>
      <c r="HFX3" s="1113"/>
      <c r="HFY3" s="1113"/>
      <c r="HFZ3" s="1113"/>
      <c r="HGA3" s="1113"/>
      <c r="HGB3" s="1113"/>
      <c r="HGC3" s="1113"/>
      <c r="HGD3" s="1113"/>
      <c r="HGE3" s="1113"/>
      <c r="HGF3" s="1113"/>
      <c r="HGG3" s="1113"/>
      <c r="HGH3" s="1113"/>
      <c r="HGI3" s="1113"/>
      <c r="HGJ3" s="1113"/>
      <c r="HGK3" s="1113"/>
      <c r="HGL3" s="1113"/>
      <c r="HGM3" s="1113"/>
      <c r="HGN3" s="1113"/>
      <c r="HGO3" s="1113"/>
      <c r="HGP3" s="1113"/>
      <c r="HGQ3" s="1113"/>
      <c r="HGR3" s="1113"/>
      <c r="HGS3" s="1113"/>
      <c r="HGT3" s="1113"/>
      <c r="HGU3" s="1113"/>
      <c r="HGV3" s="1113"/>
      <c r="HGW3" s="1113"/>
      <c r="HGX3" s="1113"/>
      <c r="HGY3" s="1113"/>
      <c r="HGZ3" s="1113"/>
      <c r="HHA3" s="1113"/>
      <c r="HHB3" s="1113"/>
      <c r="HHC3" s="1113"/>
      <c r="HHD3" s="1113"/>
      <c r="HHE3" s="1113"/>
      <c r="HHF3" s="1113"/>
      <c r="HHG3" s="1113"/>
      <c r="HHH3" s="1113"/>
      <c r="HHI3" s="1113"/>
      <c r="HHJ3" s="1113"/>
      <c r="HHK3" s="1113"/>
      <c r="HHL3" s="1113"/>
      <c r="HHM3" s="1113"/>
      <c r="HHN3" s="1113"/>
      <c r="HHO3" s="1113"/>
      <c r="HHP3" s="1113"/>
      <c r="HHQ3" s="1113"/>
      <c r="HHR3" s="1113"/>
      <c r="HHS3" s="1113"/>
      <c r="HHT3" s="1113"/>
      <c r="HHU3" s="1113"/>
      <c r="HHV3" s="1113"/>
      <c r="HHW3" s="1113"/>
      <c r="HHX3" s="1113"/>
      <c r="HHY3" s="1113"/>
      <c r="HHZ3" s="1113"/>
      <c r="HIA3" s="1113"/>
      <c r="HIB3" s="1113"/>
      <c r="HIC3" s="1113"/>
      <c r="HID3" s="1113"/>
      <c r="HIE3" s="1113"/>
      <c r="HIF3" s="1113"/>
      <c r="HIG3" s="1113"/>
      <c r="HIH3" s="1113"/>
      <c r="HII3" s="1113"/>
      <c r="HIJ3" s="1113"/>
      <c r="HIK3" s="1113"/>
      <c r="HIL3" s="1113"/>
      <c r="HIM3" s="1113"/>
      <c r="HIN3" s="1113"/>
      <c r="HIO3" s="1113"/>
      <c r="HIP3" s="1113"/>
      <c r="HIQ3" s="1113"/>
      <c r="HIR3" s="1113"/>
      <c r="HIS3" s="1113"/>
      <c r="HIT3" s="1113"/>
      <c r="HIU3" s="1113"/>
      <c r="HIV3" s="1113"/>
      <c r="HIW3" s="1113"/>
      <c r="HIX3" s="1113"/>
      <c r="HIY3" s="1113"/>
      <c r="HIZ3" s="1113"/>
      <c r="HJA3" s="1113"/>
      <c r="HJB3" s="1113"/>
      <c r="HJC3" s="1113"/>
      <c r="HJD3" s="1113"/>
      <c r="HJE3" s="1113"/>
      <c r="HJF3" s="1113"/>
      <c r="HJG3" s="1113"/>
      <c r="HJH3" s="1113"/>
      <c r="HJI3" s="1113"/>
      <c r="HJJ3" s="1113"/>
      <c r="HJK3" s="1113"/>
      <c r="HJL3" s="1113"/>
      <c r="HJM3" s="1113"/>
      <c r="HJN3" s="1113"/>
      <c r="HJO3" s="1113"/>
      <c r="HJP3" s="1113"/>
      <c r="HJQ3" s="1113"/>
      <c r="HJR3" s="1113"/>
      <c r="HJS3" s="1113"/>
      <c r="HJT3" s="1113"/>
      <c r="HJU3" s="1113"/>
      <c r="HJV3" s="1113"/>
      <c r="HJW3" s="1113"/>
      <c r="HJX3" s="1113"/>
      <c r="HJY3" s="1113"/>
      <c r="HJZ3" s="1113"/>
      <c r="HKA3" s="1113"/>
      <c r="HKB3" s="1113"/>
      <c r="HKC3" s="1113"/>
      <c r="HKD3" s="1113"/>
      <c r="HKE3" s="1113"/>
      <c r="HKF3" s="1113"/>
      <c r="HKG3" s="1113"/>
      <c r="HKH3" s="1113"/>
      <c r="HKI3" s="1113"/>
      <c r="HKJ3" s="1113"/>
      <c r="HKK3" s="1113"/>
      <c r="HKL3" s="1113"/>
      <c r="HKM3" s="1113"/>
      <c r="HKN3" s="1113"/>
      <c r="HKO3" s="1113"/>
      <c r="HKP3" s="1113"/>
      <c r="HKQ3" s="1113"/>
      <c r="HKR3" s="1113"/>
      <c r="HKS3" s="1113"/>
      <c r="HKT3" s="1113"/>
      <c r="HKU3" s="1113"/>
      <c r="HKV3" s="1113"/>
      <c r="HKW3" s="1113"/>
      <c r="HKX3" s="1113"/>
      <c r="HKY3" s="1113"/>
      <c r="HKZ3" s="1113"/>
      <c r="HLA3" s="1113"/>
      <c r="HLB3" s="1113"/>
      <c r="HLC3" s="1113"/>
      <c r="HLD3" s="1113"/>
      <c r="HLE3" s="1113"/>
      <c r="HLF3" s="1113"/>
      <c r="HLG3" s="1113"/>
      <c r="HLH3" s="1113"/>
      <c r="HLI3" s="1113"/>
      <c r="HLJ3" s="1113"/>
      <c r="HLK3" s="1113"/>
      <c r="HLL3" s="1113"/>
      <c r="HLM3" s="1113"/>
      <c r="HLN3" s="1113"/>
      <c r="HLO3" s="1113"/>
      <c r="HLP3" s="1113"/>
      <c r="HLQ3" s="1113"/>
      <c r="HLR3" s="1113"/>
      <c r="HLS3" s="1113"/>
      <c r="HLT3" s="1113"/>
      <c r="HLU3" s="1113"/>
      <c r="HLV3" s="1113"/>
      <c r="HLW3" s="1113"/>
      <c r="HLX3" s="1113"/>
      <c r="HLY3" s="1113"/>
      <c r="HLZ3" s="1113"/>
      <c r="HMA3" s="1113"/>
      <c r="HMB3" s="1113"/>
      <c r="HMC3" s="1113"/>
      <c r="HMD3" s="1113"/>
      <c r="HME3" s="1113"/>
      <c r="HMF3" s="1113"/>
      <c r="HMG3" s="1113"/>
      <c r="HMH3" s="1113"/>
      <c r="HMI3" s="1113"/>
      <c r="HMJ3" s="1113"/>
      <c r="HMK3" s="1113"/>
      <c r="HML3" s="1113"/>
      <c r="HMM3" s="1113"/>
      <c r="HMN3" s="1113"/>
      <c r="HMO3" s="1113"/>
      <c r="HMP3" s="1113"/>
      <c r="HMQ3" s="1113"/>
      <c r="HMR3" s="1113"/>
      <c r="HMS3" s="1113"/>
      <c r="HMT3" s="1113"/>
      <c r="HMU3" s="1113"/>
      <c r="HMV3" s="1113"/>
      <c r="HMW3" s="1113"/>
      <c r="HMX3" s="1113"/>
      <c r="HMY3" s="1113"/>
      <c r="HMZ3" s="1113"/>
      <c r="HNA3" s="1113"/>
      <c r="HNB3" s="1113"/>
      <c r="HNC3" s="1113"/>
      <c r="HND3" s="1113"/>
      <c r="HNE3" s="1113"/>
      <c r="HNF3" s="1113"/>
      <c r="HNG3" s="1113"/>
      <c r="HNH3" s="1113"/>
      <c r="HNI3" s="1113"/>
      <c r="HNJ3" s="1113"/>
      <c r="HNK3" s="1113"/>
      <c r="HNL3" s="1113"/>
      <c r="HNM3" s="1113"/>
      <c r="HNN3" s="1113"/>
      <c r="HNO3" s="1113"/>
      <c r="HNP3" s="1113"/>
      <c r="HNQ3" s="1113"/>
      <c r="HNR3" s="1113"/>
      <c r="HNS3" s="1113"/>
      <c r="HNT3" s="1113"/>
      <c r="HNU3" s="1113"/>
      <c r="HNV3" s="1113"/>
      <c r="HNW3" s="1113"/>
      <c r="HNX3" s="1113"/>
      <c r="HNY3" s="1113"/>
      <c r="HNZ3" s="1113"/>
      <c r="HOA3" s="1113"/>
      <c r="HOB3" s="1113"/>
      <c r="HOC3" s="1113"/>
      <c r="HOD3" s="1113"/>
      <c r="HOE3" s="1113"/>
      <c r="HOF3" s="1113"/>
      <c r="HOG3" s="1113"/>
      <c r="HOH3" s="1113"/>
      <c r="HOI3" s="1113"/>
      <c r="HOJ3" s="1113"/>
      <c r="HOK3" s="1113"/>
      <c r="HOL3" s="1113"/>
      <c r="HOM3" s="1113"/>
      <c r="HON3" s="1113"/>
      <c r="HOO3" s="1113"/>
      <c r="HOP3" s="1113"/>
      <c r="HOQ3" s="1113"/>
      <c r="HOR3" s="1113"/>
      <c r="HOS3" s="1113"/>
      <c r="HOT3" s="1113"/>
      <c r="HOU3" s="1113"/>
      <c r="HOV3" s="1113"/>
      <c r="HOW3" s="1113"/>
      <c r="HOX3" s="1113"/>
      <c r="HOY3" s="1113"/>
      <c r="HOZ3" s="1113"/>
      <c r="HPA3" s="1113"/>
      <c r="HPB3" s="1113"/>
      <c r="HPC3" s="1113"/>
      <c r="HPD3" s="1113"/>
      <c r="HPE3" s="1113"/>
      <c r="HPF3" s="1113"/>
      <c r="HPG3" s="1113"/>
      <c r="HPH3" s="1113"/>
      <c r="HPI3" s="1113"/>
      <c r="HPJ3" s="1113"/>
      <c r="HPK3" s="1113"/>
      <c r="HPL3" s="1113"/>
      <c r="HPM3" s="1113"/>
      <c r="HPN3" s="1113"/>
      <c r="HPO3" s="1113"/>
      <c r="HPP3" s="1113"/>
      <c r="HPQ3" s="1113"/>
      <c r="HPR3" s="1113"/>
      <c r="HPS3" s="1113"/>
      <c r="HPT3" s="1113"/>
      <c r="HPU3" s="1113"/>
      <c r="HPV3" s="1113"/>
      <c r="HPW3" s="1113"/>
      <c r="HPX3" s="1113"/>
      <c r="HPY3" s="1113"/>
      <c r="HPZ3" s="1113"/>
      <c r="HQA3" s="1113"/>
      <c r="HQB3" s="1113"/>
      <c r="HQC3" s="1113"/>
      <c r="HQD3" s="1113"/>
      <c r="HQE3" s="1113"/>
      <c r="HQF3" s="1113"/>
      <c r="HQG3" s="1113"/>
      <c r="HQH3" s="1113"/>
      <c r="HQI3" s="1113"/>
      <c r="HQJ3" s="1113"/>
      <c r="HQK3" s="1113"/>
      <c r="HQL3" s="1113"/>
      <c r="HQM3" s="1113"/>
      <c r="HQN3" s="1113"/>
      <c r="HQO3" s="1113"/>
      <c r="HQP3" s="1113"/>
      <c r="HQQ3" s="1113"/>
      <c r="HQR3" s="1113"/>
      <c r="HQS3" s="1113"/>
      <c r="HQT3" s="1113"/>
      <c r="HQU3" s="1113"/>
      <c r="HQV3" s="1113"/>
      <c r="HQW3" s="1113"/>
      <c r="HQX3" s="1113"/>
      <c r="HQY3" s="1113"/>
      <c r="HQZ3" s="1113"/>
      <c r="HRA3" s="1113"/>
      <c r="HRB3" s="1113"/>
      <c r="HRC3" s="1113"/>
      <c r="HRD3" s="1113"/>
      <c r="HRE3" s="1113"/>
      <c r="HRF3" s="1113"/>
      <c r="HRG3" s="1113"/>
      <c r="HRH3" s="1113"/>
      <c r="HRI3" s="1113"/>
      <c r="HRJ3" s="1113"/>
      <c r="HRK3" s="1113"/>
      <c r="HRL3" s="1113"/>
      <c r="HRM3" s="1113"/>
      <c r="HRN3" s="1113"/>
      <c r="HRO3" s="1113"/>
      <c r="HRP3" s="1113"/>
      <c r="HRQ3" s="1113"/>
      <c r="HRR3" s="1113"/>
      <c r="HRS3" s="1113"/>
      <c r="HRT3" s="1113"/>
      <c r="HRU3" s="1113"/>
      <c r="HRV3" s="1113"/>
      <c r="HRW3" s="1113"/>
      <c r="HRX3" s="1113"/>
      <c r="HRY3" s="1113"/>
      <c r="HRZ3" s="1113"/>
      <c r="HSA3" s="1113"/>
      <c r="HSB3" s="1113"/>
      <c r="HSC3" s="1113"/>
      <c r="HSD3" s="1113"/>
      <c r="HSE3" s="1113"/>
      <c r="HSF3" s="1113"/>
      <c r="HSG3" s="1113"/>
      <c r="HSH3" s="1113"/>
      <c r="HSI3" s="1113"/>
      <c r="HSJ3" s="1113"/>
      <c r="HSK3" s="1113"/>
      <c r="HSL3" s="1113"/>
      <c r="HSM3" s="1113"/>
      <c r="HSN3" s="1113"/>
      <c r="HSO3" s="1113"/>
      <c r="HSP3" s="1113"/>
      <c r="HSQ3" s="1113"/>
      <c r="HSR3" s="1113"/>
      <c r="HSS3" s="1113"/>
      <c r="HST3" s="1113"/>
      <c r="HSU3" s="1113"/>
      <c r="HSV3" s="1113"/>
      <c r="HSW3" s="1113"/>
      <c r="HSX3" s="1113"/>
      <c r="HSY3" s="1113"/>
      <c r="HSZ3" s="1113"/>
      <c r="HTA3" s="1113"/>
      <c r="HTB3" s="1113"/>
      <c r="HTC3" s="1113"/>
      <c r="HTD3" s="1113"/>
      <c r="HTE3" s="1113"/>
      <c r="HTF3" s="1113"/>
      <c r="HTG3" s="1113"/>
      <c r="HTH3" s="1113"/>
      <c r="HTI3" s="1113"/>
      <c r="HTJ3" s="1113"/>
      <c r="HTK3" s="1113"/>
      <c r="HTL3" s="1113"/>
      <c r="HTM3" s="1113"/>
      <c r="HTN3" s="1113"/>
      <c r="HTO3" s="1113"/>
      <c r="HTP3" s="1113"/>
      <c r="HTQ3" s="1113"/>
      <c r="HTR3" s="1113"/>
      <c r="HTS3" s="1113"/>
      <c r="HTT3" s="1113"/>
      <c r="HTU3" s="1113"/>
      <c r="HTV3" s="1113"/>
      <c r="HTW3" s="1113"/>
      <c r="HTX3" s="1113"/>
      <c r="HTY3" s="1113"/>
      <c r="HTZ3" s="1113"/>
      <c r="HUA3" s="1113"/>
      <c r="HUB3" s="1113"/>
      <c r="HUC3" s="1113"/>
      <c r="HUD3" s="1113"/>
      <c r="HUE3" s="1113"/>
      <c r="HUF3" s="1113"/>
      <c r="HUG3" s="1113"/>
      <c r="HUH3" s="1113"/>
      <c r="HUI3" s="1113"/>
      <c r="HUJ3" s="1113"/>
      <c r="HUK3" s="1113"/>
      <c r="HUL3" s="1113"/>
      <c r="HUM3" s="1113"/>
      <c r="HUN3" s="1113"/>
      <c r="HUO3" s="1113"/>
      <c r="HUP3" s="1113"/>
      <c r="HUQ3" s="1113"/>
      <c r="HUR3" s="1113"/>
      <c r="HUS3" s="1113"/>
      <c r="HUT3" s="1113"/>
      <c r="HUU3" s="1113"/>
      <c r="HUV3" s="1113"/>
      <c r="HUW3" s="1113"/>
      <c r="HUX3" s="1113"/>
      <c r="HUY3" s="1113"/>
      <c r="HUZ3" s="1113"/>
      <c r="HVA3" s="1113"/>
      <c r="HVB3" s="1113"/>
      <c r="HVC3" s="1113"/>
      <c r="HVD3" s="1113"/>
      <c r="HVE3" s="1113"/>
      <c r="HVF3" s="1113"/>
      <c r="HVG3" s="1113"/>
      <c r="HVH3" s="1113"/>
      <c r="HVI3" s="1113"/>
      <c r="HVJ3" s="1113"/>
      <c r="HVK3" s="1113"/>
      <c r="HVL3" s="1113"/>
      <c r="HVM3" s="1113"/>
      <c r="HVN3" s="1113"/>
      <c r="HVO3" s="1113"/>
      <c r="HVP3" s="1113"/>
      <c r="HVQ3" s="1113"/>
      <c r="HVR3" s="1113"/>
      <c r="HVS3" s="1113"/>
      <c r="HVT3" s="1113"/>
      <c r="HVU3" s="1113"/>
      <c r="HVV3" s="1113"/>
      <c r="HVW3" s="1113"/>
      <c r="HVX3" s="1113"/>
      <c r="HVY3" s="1113"/>
      <c r="HVZ3" s="1113"/>
      <c r="HWA3" s="1113"/>
      <c r="HWB3" s="1113"/>
      <c r="HWC3" s="1113"/>
      <c r="HWD3" s="1113"/>
      <c r="HWE3" s="1113"/>
      <c r="HWF3" s="1113"/>
      <c r="HWG3" s="1113"/>
      <c r="HWH3" s="1113"/>
      <c r="HWI3" s="1113"/>
      <c r="HWJ3" s="1113"/>
      <c r="HWK3" s="1113"/>
      <c r="HWL3" s="1113"/>
      <c r="HWM3" s="1113"/>
      <c r="HWN3" s="1113"/>
      <c r="HWO3" s="1113"/>
      <c r="HWP3" s="1113"/>
      <c r="HWQ3" s="1113"/>
      <c r="HWR3" s="1113"/>
      <c r="HWS3" s="1113"/>
      <c r="HWT3" s="1113"/>
      <c r="HWU3" s="1113"/>
      <c r="HWV3" s="1113"/>
      <c r="HWW3" s="1113"/>
      <c r="HWX3" s="1113"/>
      <c r="HWY3" s="1113"/>
      <c r="HWZ3" s="1113"/>
      <c r="HXA3" s="1113"/>
      <c r="HXB3" s="1113"/>
      <c r="HXC3" s="1113"/>
      <c r="HXD3" s="1113"/>
      <c r="HXE3" s="1113"/>
      <c r="HXF3" s="1113"/>
      <c r="HXG3" s="1113"/>
      <c r="HXH3" s="1113"/>
      <c r="HXI3" s="1113"/>
      <c r="HXJ3" s="1113"/>
      <c r="HXK3" s="1113"/>
      <c r="HXL3" s="1113"/>
      <c r="HXM3" s="1113"/>
      <c r="HXN3" s="1113"/>
      <c r="HXO3" s="1113"/>
      <c r="HXP3" s="1113"/>
      <c r="HXQ3" s="1113"/>
      <c r="HXR3" s="1113"/>
      <c r="HXS3" s="1113"/>
      <c r="HXT3" s="1113"/>
      <c r="HXU3" s="1113"/>
      <c r="HXV3" s="1113"/>
      <c r="HXW3" s="1113"/>
      <c r="HXX3" s="1113"/>
      <c r="HXY3" s="1113"/>
      <c r="HXZ3" s="1113"/>
      <c r="HYA3" s="1113"/>
      <c r="HYB3" s="1113"/>
      <c r="HYC3" s="1113"/>
      <c r="HYD3" s="1113"/>
      <c r="HYE3" s="1113"/>
      <c r="HYF3" s="1113"/>
      <c r="HYG3" s="1113"/>
      <c r="HYH3" s="1113"/>
      <c r="HYI3" s="1113"/>
      <c r="HYJ3" s="1113"/>
      <c r="HYK3" s="1113"/>
      <c r="HYL3" s="1113"/>
      <c r="HYM3" s="1113"/>
      <c r="HYN3" s="1113"/>
      <c r="HYO3" s="1113"/>
      <c r="HYP3" s="1113"/>
      <c r="HYQ3" s="1113"/>
      <c r="HYR3" s="1113"/>
      <c r="HYS3" s="1113"/>
      <c r="HYT3" s="1113"/>
      <c r="HYU3" s="1113"/>
      <c r="HYV3" s="1113"/>
      <c r="HYW3" s="1113"/>
      <c r="HYX3" s="1113"/>
      <c r="HYY3" s="1113"/>
      <c r="HYZ3" s="1113"/>
      <c r="HZA3" s="1113"/>
      <c r="HZB3" s="1113"/>
      <c r="HZC3" s="1113"/>
      <c r="HZD3" s="1113"/>
      <c r="HZE3" s="1113"/>
      <c r="HZF3" s="1113"/>
      <c r="HZG3" s="1113"/>
      <c r="HZH3" s="1113"/>
      <c r="HZI3" s="1113"/>
      <c r="HZJ3" s="1113"/>
      <c r="HZK3" s="1113"/>
      <c r="HZL3" s="1113"/>
      <c r="HZM3" s="1113"/>
      <c r="HZN3" s="1113"/>
      <c r="HZO3" s="1113"/>
      <c r="HZP3" s="1113"/>
      <c r="HZQ3" s="1113"/>
      <c r="HZR3" s="1113"/>
      <c r="HZS3" s="1113"/>
      <c r="HZT3" s="1113"/>
      <c r="HZU3" s="1113"/>
      <c r="HZV3" s="1113"/>
      <c r="HZW3" s="1113"/>
      <c r="HZX3" s="1113"/>
      <c r="HZY3" s="1113"/>
      <c r="HZZ3" s="1113"/>
      <c r="IAA3" s="1113"/>
      <c r="IAB3" s="1113"/>
      <c r="IAC3" s="1113"/>
      <c r="IAD3" s="1113"/>
      <c r="IAE3" s="1113"/>
      <c r="IAF3" s="1113"/>
      <c r="IAG3" s="1113"/>
      <c r="IAH3" s="1113"/>
      <c r="IAI3" s="1113"/>
      <c r="IAJ3" s="1113"/>
      <c r="IAK3" s="1113"/>
      <c r="IAL3" s="1113"/>
      <c r="IAM3" s="1113"/>
      <c r="IAN3" s="1113"/>
      <c r="IAO3" s="1113"/>
      <c r="IAP3" s="1113"/>
      <c r="IAQ3" s="1113"/>
      <c r="IAR3" s="1113"/>
      <c r="IAS3" s="1113"/>
      <c r="IAT3" s="1113"/>
      <c r="IAU3" s="1113"/>
      <c r="IAV3" s="1113"/>
      <c r="IAW3" s="1113"/>
      <c r="IAX3" s="1113"/>
      <c r="IAY3" s="1113"/>
      <c r="IAZ3" s="1113"/>
      <c r="IBA3" s="1113"/>
      <c r="IBB3" s="1113"/>
      <c r="IBC3" s="1113"/>
      <c r="IBD3" s="1113"/>
      <c r="IBE3" s="1113"/>
      <c r="IBF3" s="1113"/>
      <c r="IBG3" s="1113"/>
      <c r="IBH3" s="1113"/>
      <c r="IBI3" s="1113"/>
      <c r="IBJ3" s="1113"/>
      <c r="IBK3" s="1113"/>
      <c r="IBL3" s="1113"/>
      <c r="IBM3" s="1113"/>
      <c r="IBN3" s="1113"/>
      <c r="IBO3" s="1113"/>
      <c r="IBP3" s="1113"/>
      <c r="IBQ3" s="1113"/>
      <c r="IBR3" s="1113"/>
      <c r="IBS3" s="1113"/>
      <c r="IBT3" s="1113"/>
      <c r="IBU3" s="1113"/>
      <c r="IBV3" s="1113"/>
      <c r="IBW3" s="1113"/>
      <c r="IBX3" s="1113"/>
      <c r="IBY3" s="1113"/>
      <c r="IBZ3" s="1113"/>
      <c r="ICA3" s="1113"/>
      <c r="ICB3" s="1113"/>
      <c r="ICC3" s="1113"/>
      <c r="ICD3" s="1113"/>
      <c r="ICE3" s="1113"/>
      <c r="ICF3" s="1113"/>
      <c r="ICG3" s="1113"/>
      <c r="ICH3" s="1113"/>
      <c r="ICI3" s="1113"/>
      <c r="ICJ3" s="1113"/>
      <c r="ICK3" s="1113"/>
      <c r="ICL3" s="1113"/>
      <c r="ICM3" s="1113"/>
      <c r="ICN3" s="1113"/>
      <c r="ICO3" s="1113"/>
      <c r="ICP3" s="1113"/>
      <c r="ICQ3" s="1113"/>
      <c r="ICR3" s="1113"/>
      <c r="ICS3" s="1113"/>
      <c r="ICT3" s="1113"/>
      <c r="ICU3" s="1113"/>
      <c r="ICV3" s="1113"/>
      <c r="ICW3" s="1113"/>
      <c r="ICX3" s="1113"/>
      <c r="ICY3" s="1113"/>
      <c r="ICZ3" s="1113"/>
      <c r="IDA3" s="1113"/>
      <c r="IDB3" s="1113"/>
      <c r="IDC3" s="1113"/>
      <c r="IDD3" s="1113"/>
      <c r="IDE3" s="1113"/>
      <c r="IDF3" s="1113"/>
      <c r="IDG3" s="1113"/>
      <c r="IDH3" s="1113"/>
      <c r="IDI3" s="1113"/>
      <c r="IDJ3" s="1113"/>
      <c r="IDK3" s="1113"/>
      <c r="IDL3" s="1113"/>
      <c r="IDM3" s="1113"/>
      <c r="IDN3" s="1113"/>
      <c r="IDO3" s="1113"/>
      <c r="IDP3" s="1113"/>
      <c r="IDQ3" s="1113"/>
      <c r="IDR3" s="1113"/>
      <c r="IDS3" s="1113"/>
      <c r="IDT3" s="1113"/>
      <c r="IDU3" s="1113"/>
      <c r="IDV3" s="1113"/>
      <c r="IDW3" s="1113"/>
      <c r="IDX3" s="1113"/>
      <c r="IDY3" s="1113"/>
      <c r="IDZ3" s="1113"/>
      <c r="IEA3" s="1113"/>
      <c r="IEB3" s="1113"/>
      <c r="IEC3" s="1113"/>
      <c r="IED3" s="1113"/>
      <c r="IEE3" s="1113"/>
      <c r="IEF3" s="1113"/>
      <c r="IEG3" s="1113"/>
      <c r="IEH3" s="1113"/>
      <c r="IEI3" s="1113"/>
      <c r="IEJ3" s="1113"/>
      <c r="IEK3" s="1113"/>
      <c r="IEL3" s="1113"/>
      <c r="IEM3" s="1113"/>
      <c r="IEN3" s="1113"/>
      <c r="IEO3" s="1113"/>
      <c r="IEP3" s="1113"/>
      <c r="IEQ3" s="1113"/>
      <c r="IER3" s="1113"/>
      <c r="IES3" s="1113"/>
      <c r="IET3" s="1113"/>
      <c r="IEU3" s="1113"/>
      <c r="IEV3" s="1113"/>
      <c r="IEW3" s="1113"/>
      <c r="IEX3" s="1113"/>
      <c r="IEY3" s="1113"/>
      <c r="IEZ3" s="1113"/>
      <c r="IFA3" s="1113"/>
      <c r="IFB3" s="1113"/>
      <c r="IFC3" s="1113"/>
      <c r="IFD3" s="1113"/>
      <c r="IFE3" s="1113"/>
      <c r="IFF3" s="1113"/>
      <c r="IFG3" s="1113"/>
      <c r="IFH3" s="1113"/>
      <c r="IFI3" s="1113"/>
      <c r="IFJ3" s="1113"/>
      <c r="IFK3" s="1113"/>
      <c r="IFL3" s="1113"/>
      <c r="IFM3" s="1113"/>
      <c r="IFN3" s="1113"/>
      <c r="IFO3" s="1113"/>
      <c r="IFP3" s="1113"/>
      <c r="IFQ3" s="1113"/>
      <c r="IFR3" s="1113"/>
      <c r="IFS3" s="1113"/>
      <c r="IFT3" s="1113"/>
      <c r="IFU3" s="1113"/>
      <c r="IFV3" s="1113"/>
      <c r="IFW3" s="1113"/>
      <c r="IFX3" s="1113"/>
      <c r="IFY3" s="1113"/>
      <c r="IFZ3" s="1113"/>
      <c r="IGA3" s="1113"/>
      <c r="IGB3" s="1113"/>
      <c r="IGC3" s="1113"/>
      <c r="IGD3" s="1113"/>
      <c r="IGE3" s="1113"/>
      <c r="IGF3" s="1113"/>
      <c r="IGG3" s="1113"/>
      <c r="IGH3" s="1113"/>
      <c r="IGI3" s="1113"/>
      <c r="IGJ3" s="1113"/>
      <c r="IGK3" s="1113"/>
      <c r="IGL3" s="1113"/>
      <c r="IGM3" s="1113"/>
      <c r="IGN3" s="1113"/>
      <c r="IGO3" s="1113"/>
      <c r="IGP3" s="1113"/>
      <c r="IGQ3" s="1113"/>
      <c r="IGR3" s="1113"/>
      <c r="IGS3" s="1113"/>
      <c r="IGT3" s="1113"/>
      <c r="IGU3" s="1113"/>
      <c r="IGV3" s="1113"/>
      <c r="IGW3" s="1113"/>
      <c r="IGX3" s="1113"/>
      <c r="IGY3" s="1113"/>
      <c r="IGZ3" s="1113"/>
      <c r="IHA3" s="1113"/>
      <c r="IHB3" s="1113"/>
      <c r="IHC3" s="1113"/>
      <c r="IHD3" s="1113"/>
      <c r="IHE3" s="1113"/>
      <c r="IHF3" s="1113"/>
      <c r="IHG3" s="1113"/>
      <c r="IHH3" s="1113"/>
      <c r="IHI3" s="1113"/>
      <c r="IHJ3" s="1113"/>
      <c r="IHK3" s="1113"/>
      <c r="IHL3" s="1113"/>
      <c r="IHM3" s="1113"/>
      <c r="IHN3" s="1113"/>
      <c r="IHO3" s="1113"/>
      <c r="IHP3" s="1113"/>
      <c r="IHQ3" s="1113"/>
      <c r="IHR3" s="1113"/>
      <c r="IHS3" s="1113"/>
      <c r="IHT3" s="1113"/>
      <c r="IHU3" s="1113"/>
      <c r="IHV3" s="1113"/>
      <c r="IHW3" s="1113"/>
      <c r="IHX3" s="1113"/>
      <c r="IHY3" s="1113"/>
      <c r="IHZ3" s="1113"/>
      <c r="IIA3" s="1113"/>
      <c r="IIB3" s="1113"/>
      <c r="IIC3" s="1113"/>
      <c r="IID3" s="1113"/>
      <c r="IIE3" s="1113"/>
      <c r="IIF3" s="1113"/>
      <c r="IIG3" s="1113"/>
      <c r="IIH3" s="1113"/>
      <c r="III3" s="1113"/>
      <c r="IIJ3" s="1113"/>
      <c r="IIK3" s="1113"/>
      <c r="IIL3" s="1113"/>
      <c r="IIM3" s="1113"/>
      <c r="IIN3" s="1113"/>
      <c r="IIO3" s="1113"/>
      <c r="IIP3" s="1113"/>
      <c r="IIQ3" s="1113"/>
      <c r="IIR3" s="1113"/>
      <c r="IIS3" s="1113"/>
      <c r="IIT3" s="1113"/>
      <c r="IIU3" s="1113"/>
      <c r="IIV3" s="1113"/>
      <c r="IIW3" s="1113"/>
      <c r="IIX3" s="1113"/>
      <c r="IIY3" s="1113"/>
      <c r="IIZ3" s="1113"/>
      <c r="IJA3" s="1113"/>
      <c r="IJB3" s="1113"/>
      <c r="IJC3" s="1113"/>
      <c r="IJD3" s="1113"/>
      <c r="IJE3" s="1113"/>
      <c r="IJF3" s="1113"/>
      <c r="IJG3" s="1113"/>
      <c r="IJH3" s="1113"/>
      <c r="IJI3" s="1113"/>
      <c r="IJJ3" s="1113"/>
      <c r="IJK3" s="1113"/>
      <c r="IJL3" s="1113"/>
      <c r="IJM3" s="1113"/>
      <c r="IJN3" s="1113"/>
      <c r="IJO3" s="1113"/>
      <c r="IJP3" s="1113"/>
      <c r="IJQ3" s="1113"/>
      <c r="IJR3" s="1113"/>
      <c r="IJS3" s="1113"/>
      <c r="IJT3" s="1113"/>
      <c r="IJU3" s="1113"/>
      <c r="IJV3" s="1113"/>
      <c r="IJW3" s="1113"/>
      <c r="IJX3" s="1113"/>
      <c r="IJY3" s="1113"/>
      <c r="IJZ3" s="1113"/>
      <c r="IKA3" s="1113"/>
      <c r="IKB3" s="1113"/>
      <c r="IKC3" s="1113"/>
      <c r="IKD3" s="1113"/>
      <c r="IKE3" s="1113"/>
      <c r="IKF3" s="1113"/>
      <c r="IKG3" s="1113"/>
      <c r="IKH3" s="1113"/>
      <c r="IKI3" s="1113"/>
      <c r="IKJ3" s="1113"/>
      <c r="IKK3" s="1113"/>
      <c r="IKL3" s="1113"/>
      <c r="IKM3" s="1113"/>
      <c r="IKN3" s="1113"/>
      <c r="IKO3" s="1113"/>
      <c r="IKP3" s="1113"/>
      <c r="IKQ3" s="1113"/>
      <c r="IKR3" s="1113"/>
      <c r="IKS3" s="1113"/>
      <c r="IKT3" s="1113"/>
      <c r="IKU3" s="1113"/>
      <c r="IKV3" s="1113"/>
      <c r="IKW3" s="1113"/>
      <c r="IKX3" s="1113"/>
      <c r="IKY3" s="1113"/>
      <c r="IKZ3" s="1113"/>
      <c r="ILA3" s="1113"/>
      <c r="ILB3" s="1113"/>
      <c r="ILC3" s="1113"/>
      <c r="ILD3" s="1113"/>
      <c r="ILE3" s="1113"/>
      <c r="ILF3" s="1113"/>
      <c r="ILG3" s="1113"/>
      <c r="ILH3" s="1113"/>
      <c r="ILI3" s="1113"/>
      <c r="ILJ3" s="1113"/>
      <c r="ILK3" s="1113"/>
      <c r="ILL3" s="1113"/>
      <c r="ILM3" s="1113"/>
      <c r="ILN3" s="1113"/>
      <c r="ILO3" s="1113"/>
      <c r="ILP3" s="1113"/>
      <c r="ILQ3" s="1113"/>
      <c r="ILR3" s="1113"/>
      <c r="ILS3" s="1113"/>
      <c r="ILT3" s="1113"/>
      <c r="ILU3" s="1113"/>
      <c r="ILV3" s="1113"/>
      <c r="ILW3" s="1113"/>
      <c r="ILX3" s="1113"/>
      <c r="ILY3" s="1113"/>
      <c r="ILZ3" s="1113"/>
      <c r="IMA3" s="1113"/>
      <c r="IMB3" s="1113"/>
      <c r="IMC3" s="1113"/>
      <c r="IMD3" s="1113"/>
      <c r="IME3" s="1113"/>
      <c r="IMF3" s="1113"/>
      <c r="IMG3" s="1113"/>
      <c r="IMH3" s="1113"/>
      <c r="IMI3" s="1113"/>
      <c r="IMJ3" s="1113"/>
      <c r="IMK3" s="1113"/>
      <c r="IML3" s="1113"/>
      <c r="IMM3" s="1113"/>
      <c r="IMN3" s="1113"/>
      <c r="IMO3" s="1113"/>
      <c r="IMP3" s="1113"/>
      <c r="IMQ3" s="1113"/>
      <c r="IMR3" s="1113"/>
      <c r="IMS3" s="1113"/>
      <c r="IMT3" s="1113"/>
      <c r="IMU3" s="1113"/>
      <c r="IMV3" s="1113"/>
      <c r="IMW3" s="1113"/>
      <c r="IMX3" s="1113"/>
      <c r="IMY3" s="1113"/>
      <c r="IMZ3" s="1113"/>
      <c r="INA3" s="1113"/>
      <c r="INB3" s="1113"/>
      <c r="INC3" s="1113"/>
      <c r="IND3" s="1113"/>
      <c r="INE3" s="1113"/>
      <c r="INF3" s="1113"/>
      <c r="ING3" s="1113"/>
      <c r="INH3" s="1113"/>
      <c r="INI3" s="1113"/>
      <c r="INJ3" s="1113"/>
      <c r="INK3" s="1113"/>
      <c r="INL3" s="1113"/>
      <c r="INM3" s="1113"/>
      <c r="INN3" s="1113"/>
      <c r="INO3" s="1113"/>
      <c r="INP3" s="1113"/>
      <c r="INQ3" s="1113"/>
      <c r="INR3" s="1113"/>
      <c r="INS3" s="1113"/>
      <c r="INT3" s="1113"/>
      <c r="INU3" s="1113"/>
      <c r="INV3" s="1113"/>
      <c r="INW3" s="1113"/>
      <c r="INX3" s="1113"/>
      <c r="INY3" s="1113"/>
      <c r="INZ3" s="1113"/>
      <c r="IOA3" s="1113"/>
      <c r="IOB3" s="1113"/>
      <c r="IOC3" s="1113"/>
      <c r="IOD3" s="1113"/>
      <c r="IOE3" s="1113"/>
      <c r="IOF3" s="1113"/>
      <c r="IOG3" s="1113"/>
      <c r="IOH3" s="1113"/>
      <c r="IOI3" s="1113"/>
      <c r="IOJ3" s="1113"/>
      <c r="IOK3" s="1113"/>
      <c r="IOL3" s="1113"/>
      <c r="IOM3" s="1113"/>
      <c r="ION3" s="1113"/>
      <c r="IOO3" s="1113"/>
      <c r="IOP3" s="1113"/>
      <c r="IOQ3" s="1113"/>
      <c r="IOR3" s="1113"/>
      <c r="IOS3" s="1113"/>
      <c r="IOT3" s="1113"/>
      <c r="IOU3" s="1113"/>
      <c r="IOV3" s="1113"/>
      <c r="IOW3" s="1113"/>
      <c r="IOX3" s="1113"/>
      <c r="IOY3" s="1113"/>
      <c r="IOZ3" s="1113"/>
      <c r="IPA3" s="1113"/>
      <c r="IPB3" s="1113"/>
      <c r="IPC3" s="1113"/>
      <c r="IPD3" s="1113"/>
      <c r="IPE3" s="1113"/>
      <c r="IPF3" s="1113"/>
      <c r="IPG3" s="1113"/>
      <c r="IPH3" s="1113"/>
      <c r="IPI3" s="1113"/>
      <c r="IPJ3" s="1113"/>
      <c r="IPK3" s="1113"/>
      <c r="IPL3" s="1113"/>
      <c r="IPM3" s="1113"/>
      <c r="IPN3" s="1113"/>
      <c r="IPO3" s="1113"/>
      <c r="IPP3" s="1113"/>
      <c r="IPQ3" s="1113"/>
      <c r="IPR3" s="1113"/>
      <c r="IPS3" s="1113"/>
      <c r="IPT3" s="1113"/>
      <c r="IPU3" s="1113"/>
      <c r="IPV3" s="1113"/>
      <c r="IPW3" s="1113"/>
      <c r="IPX3" s="1113"/>
      <c r="IPY3" s="1113"/>
      <c r="IPZ3" s="1113"/>
      <c r="IQA3" s="1113"/>
      <c r="IQB3" s="1113"/>
      <c r="IQC3" s="1113"/>
      <c r="IQD3" s="1113"/>
      <c r="IQE3" s="1113"/>
      <c r="IQF3" s="1113"/>
      <c r="IQG3" s="1113"/>
      <c r="IQH3" s="1113"/>
      <c r="IQI3" s="1113"/>
      <c r="IQJ3" s="1113"/>
      <c r="IQK3" s="1113"/>
      <c r="IQL3" s="1113"/>
      <c r="IQM3" s="1113"/>
      <c r="IQN3" s="1113"/>
      <c r="IQO3" s="1113"/>
      <c r="IQP3" s="1113"/>
      <c r="IQQ3" s="1113"/>
      <c r="IQR3" s="1113"/>
      <c r="IQS3" s="1113"/>
      <c r="IQT3" s="1113"/>
      <c r="IQU3" s="1113"/>
      <c r="IQV3" s="1113"/>
      <c r="IQW3" s="1113"/>
      <c r="IQX3" s="1113"/>
      <c r="IQY3" s="1113"/>
      <c r="IQZ3" s="1113"/>
      <c r="IRA3" s="1113"/>
      <c r="IRB3" s="1113"/>
      <c r="IRC3" s="1113"/>
      <c r="IRD3" s="1113"/>
      <c r="IRE3" s="1113"/>
      <c r="IRF3" s="1113"/>
      <c r="IRG3" s="1113"/>
      <c r="IRH3" s="1113"/>
      <c r="IRI3" s="1113"/>
      <c r="IRJ3" s="1113"/>
      <c r="IRK3" s="1113"/>
      <c r="IRL3" s="1113"/>
      <c r="IRM3" s="1113"/>
      <c r="IRN3" s="1113"/>
      <c r="IRO3" s="1113"/>
      <c r="IRP3" s="1113"/>
      <c r="IRQ3" s="1113"/>
      <c r="IRR3" s="1113"/>
      <c r="IRS3" s="1113"/>
      <c r="IRT3" s="1113"/>
      <c r="IRU3" s="1113"/>
      <c r="IRV3" s="1113"/>
      <c r="IRW3" s="1113"/>
      <c r="IRX3" s="1113"/>
      <c r="IRY3" s="1113"/>
      <c r="IRZ3" s="1113"/>
      <c r="ISA3" s="1113"/>
      <c r="ISB3" s="1113"/>
      <c r="ISC3" s="1113"/>
      <c r="ISD3" s="1113"/>
      <c r="ISE3" s="1113"/>
      <c r="ISF3" s="1113"/>
      <c r="ISG3" s="1113"/>
      <c r="ISH3" s="1113"/>
      <c r="ISI3" s="1113"/>
      <c r="ISJ3" s="1113"/>
      <c r="ISK3" s="1113"/>
      <c r="ISL3" s="1113"/>
      <c r="ISM3" s="1113"/>
      <c r="ISN3" s="1113"/>
      <c r="ISO3" s="1113"/>
      <c r="ISP3" s="1113"/>
      <c r="ISQ3" s="1113"/>
      <c r="ISR3" s="1113"/>
      <c r="ISS3" s="1113"/>
      <c r="IST3" s="1113"/>
      <c r="ISU3" s="1113"/>
      <c r="ISV3" s="1113"/>
      <c r="ISW3" s="1113"/>
      <c r="ISX3" s="1113"/>
      <c r="ISY3" s="1113"/>
      <c r="ISZ3" s="1113"/>
      <c r="ITA3" s="1113"/>
      <c r="ITB3" s="1113"/>
      <c r="ITC3" s="1113"/>
      <c r="ITD3" s="1113"/>
      <c r="ITE3" s="1113"/>
      <c r="ITF3" s="1113"/>
      <c r="ITG3" s="1113"/>
      <c r="ITH3" s="1113"/>
      <c r="ITI3" s="1113"/>
      <c r="ITJ3" s="1113"/>
      <c r="ITK3" s="1113"/>
      <c r="ITL3" s="1113"/>
      <c r="ITM3" s="1113"/>
      <c r="ITN3" s="1113"/>
      <c r="ITO3" s="1113"/>
      <c r="ITP3" s="1113"/>
      <c r="ITQ3" s="1113"/>
      <c r="ITR3" s="1113"/>
      <c r="ITS3" s="1113"/>
      <c r="ITT3" s="1113"/>
      <c r="ITU3" s="1113"/>
      <c r="ITV3" s="1113"/>
      <c r="ITW3" s="1113"/>
      <c r="ITX3" s="1113"/>
      <c r="ITY3" s="1113"/>
      <c r="ITZ3" s="1113"/>
      <c r="IUA3" s="1113"/>
      <c r="IUB3" s="1113"/>
      <c r="IUC3" s="1113"/>
      <c r="IUD3" s="1113"/>
      <c r="IUE3" s="1113"/>
      <c r="IUF3" s="1113"/>
      <c r="IUG3" s="1113"/>
      <c r="IUH3" s="1113"/>
      <c r="IUI3" s="1113"/>
      <c r="IUJ3" s="1113"/>
      <c r="IUK3" s="1113"/>
      <c r="IUL3" s="1113"/>
      <c r="IUM3" s="1113"/>
      <c r="IUN3" s="1113"/>
      <c r="IUO3" s="1113"/>
      <c r="IUP3" s="1113"/>
      <c r="IUQ3" s="1113"/>
      <c r="IUR3" s="1113"/>
      <c r="IUS3" s="1113"/>
      <c r="IUT3" s="1113"/>
      <c r="IUU3" s="1113"/>
      <c r="IUV3" s="1113"/>
      <c r="IUW3" s="1113"/>
      <c r="IUX3" s="1113"/>
      <c r="IUY3" s="1113"/>
      <c r="IUZ3" s="1113"/>
      <c r="IVA3" s="1113"/>
      <c r="IVB3" s="1113"/>
      <c r="IVC3" s="1113"/>
      <c r="IVD3" s="1113"/>
      <c r="IVE3" s="1113"/>
      <c r="IVF3" s="1113"/>
      <c r="IVG3" s="1113"/>
      <c r="IVH3" s="1113"/>
      <c r="IVI3" s="1113"/>
      <c r="IVJ3" s="1113"/>
      <c r="IVK3" s="1113"/>
      <c r="IVL3" s="1113"/>
      <c r="IVM3" s="1113"/>
      <c r="IVN3" s="1113"/>
      <c r="IVO3" s="1113"/>
      <c r="IVP3" s="1113"/>
      <c r="IVQ3" s="1113"/>
      <c r="IVR3" s="1113"/>
      <c r="IVS3" s="1113"/>
      <c r="IVT3" s="1113"/>
      <c r="IVU3" s="1113"/>
      <c r="IVV3" s="1113"/>
      <c r="IVW3" s="1113"/>
      <c r="IVX3" s="1113"/>
      <c r="IVY3" s="1113"/>
      <c r="IVZ3" s="1113"/>
      <c r="IWA3" s="1113"/>
      <c r="IWB3" s="1113"/>
      <c r="IWC3" s="1113"/>
      <c r="IWD3" s="1113"/>
      <c r="IWE3" s="1113"/>
      <c r="IWF3" s="1113"/>
      <c r="IWG3" s="1113"/>
      <c r="IWH3" s="1113"/>
      <c r="IWI3" s="1113"/>
      <c r="IWJ3" s="1113"/>
      <c r="IWK3" s="1113"/>
      <c r="IWL3" s="1113"/>
      <c r="IWM3" s="1113"/>
      <c r="IWN3" s="1113"/>
      <c r="IWO3" s="1113"/>
      <c r="IWP3" s="1113"/>
      <c r="IWQ3" s="1113"/>
      <c r="IWR3" s="1113"/>
      <c r="IWS3" s="1113"/>
      <c r="IWT3" s="1113"/>
      <c r="IWU3" s="1113"/>
      <c r="IWV3" s="1113"/>
      <c r="IWW3" s="1113"/>
      <c r="IWX3" s="1113"/>
      <c r="IWY3" s="1113"/>
      <c r="IWZ3" s="1113"/>
      <c r="IXA3" s="1113"/>
      <c r="IXB3" s="1113"/>
      <c r="IXC3" s="1113"/>
      <c r="IXD3" s="1113"/>
      <c r="IXE3" s="1113"/>
      <c r="IXF3" s="1113"/>
      <c r="IXG3" s="1113"/>
      <c r="IXH3" s="1113"/>
      <c r="IXI3" s="1113"/>
      <c r="IXJ3" s="1113"/>
      <c r="IXK3" s="1113"/>
      <c r="IXL3" s="1113"/>
      <c r="IXM3" s="1113"/>
      <c r="IXN3" s="1113"/>
      <c r="IXO3" s="1113"/>
      <c r="IXP3" s="1113"/>
      <c r="IXQ3" s="1113"/>
      <c r="IXR3" s="1113"/>
      <c r="IXS3" s="1113"/>
      <c r="IXT3" s="1113"/>
      <c r="IXU3" s="1113"/>
      <c r="IXV3" s="1113"/>
      <c r="IXW3" s="1113"/>
      <c r="IXX3" s="1113"/>
      <c r="IXY3" s="1113"/>
      <c r="IXZ3" s="1113"/>
      <c r="IYA3" s="1113"/>
      <c r="IYB3" s="1113"/>
      <c r="IYC3" s="1113"/>
      <c r="IYD3" s="1113"/>
      <c r="IYE3" s="1113"/>
      <c r="IYF3" s="1113"/>
      <c r="IYG3" s="1113"/>
      <c r="IYH3" s="1113"/>
      <c r="IYI3" s="1113"/>
      <c r="IYJ3" s="1113"/>
      <c r="IYK3" s="1113"/>
      <c r="IYL3" s="1113"/>
      <c r="IYM3" s="1113"/>
      <c r="IYN3" s="1113"/>
      <c r="IYO3" s="1113"/>
      <c r="IYP3" s="1113"/>
      <c r="IYQ3" s="1113"/>
      <c r="IYR3" s="1113"/>
      <c r="IYS3" s="1113"/>
      <c r="IYT3" s="1113"/>
      <c r="IYU3" s="1113"/>
      <c r="IYV3" s="1113"/>
      <c r="IYW3" s="1113"/>
      <c r="IYX3" s="1113"/>
      <c r="IYY3" s="1113"/>
      <c r="IYZ3" s="1113"/>
      <c r="IZA3" s="1113"/>
      <c r="IZB3" s="1113"/>
      <c r="IZC3" s="1113"/>
      <c r="IZD3" s="1113"/>
      <c r="IZE3" s="1113"/>
      <c r="IZF3" s="1113"/>
      <c r="IZG3" s="1113"/>
      <c r="IZH3" s="1113"/>
      <c r="IZI3" s="1113"/>
      <c r="IZJ3" s="1113"/>
      <c r="IZK3" s="1113"/>
      <c r="IZL3" s="1113"/>
      <c r="IZM3" s="1113"/>
      <c r="IZN3" s="1113"/>
      <c r="IZO3" s="1113"/>
      <c r="IZP3" s="1113"/>
      <c r="IZQ3" s="1113"/>
      <c r="IZR3" s="1113"/>
      <c r="IZS3" s="1113"/>
      <c r="IZT3" s="1113"/>
      <c r="IZU3" s="1113"/>
      <c r="IZV3" s="1113"/>
      <c r="IZW3" s="1113"/>
      <c r="IZX3" s="1113"/>
      <c r="IZY3" s="1113"/>
      <c r="IZZ3" s="1113"/>
      <c r="JAA3" s="1113"/>
      <c r="JAB3" s="1113"/>
      <c r="JAC3" s="1113"/>
      <c r="JAD3" s="1113"/>
      <c r="JAE3" s="1113"/>
      <c r="JAF3" s="1113"/>
      <c r="JAG3" s="1113"/>
      <c r="JAH3" s="1113"/>
      <c r="JAI3" s="1113"/>
      <c r="JAJ3" s="1113"/>
      <c r="JAK3" s="1113"/>
      <c r="JAL3" s="1113"/>
      <c r="JAM3" s="1113"/>
      <c r="JAN3" s="1113"/>
      <c r="JAO3" s="1113"/>
      <c r="JAP3" s="1113"/>
      <c r="JAQ3" s="1113"/>
      <c r="JAR3" s="1113"/>
      <c r="JAS3" s="1113"/>
      <c r="JAT3" s="1113"/>
      <c r="JAU3" s="1113"/>
      <c r="JAV3" s="1113"/>
      <c r="JAW3" s="1113"/>
      <c r="JAX3" s="1113"/>
      <c r="JAY3" s="1113"/>
      <c r="JAZ3" s="1113"/>
      <c r="JBA3" s="1113"/>
      <c r="JBB3" s="1113"/>
      <c r="JBC3" s="1113"/>
      <c r="JBD3" s="1113"/>
      <c r="JBE3" s="1113"/>
      <c r="JBF3" s="1113"/>
      <c r="JBG3" s="1113"/>
      <c r="JBH3" s="1113"/>
      <c r="JBI3" s="1113"/>
      <c r="JBJ3" s="1113"/>
      <c r="JBK3" s="1113"/>
      <c r="JBL3" s="1113"/>
      <c r="JBM3" s="1113"/>
      <c r="JBN3" s="1113"/>
      <c r="JBO3" s="1113"/>
      <c r="JBP3" s="1113"/>
      <c r="JBQ3" s="1113"/>
      <c r="JBR3" s="1113"/>
      <c r="JBS3" s="1113"/>
      <c r="JBT3" s="1113"/>
      <c r="JBU3" s="1113"/>
      <c r="JBV3" s="1113"/>
      <c r="JBW3" s="1113"/>
      <c r="JBX3" s="1113"/>
      <c r="JBY3" s="1113"/>
      <c r="JBZ3" s="1113"/>
      <c r="JCA3" s="1113"/>
      <c r="JCB3" s="1113"/>
      <c r="JCC3" s="1113"/>
      <c r="JCD3" s="1113"/>
      <c r="JCE3" s="1113"/>
      <c r="JCF3" s="1113"/>
      <c r="JCG3" s="1113"/>
      <c r="JCH3" s="1113"/>
      <c r="JCI3" s="1113"/>
      <c r="JCJ3" s="1113"/>
      <c r="JCK3" s="1113"/>
      <c r="JCL3" s="1113"/>
      <c r="JCM3" s="1113"/>
      <c r="JCN3" s="1113"/>
      <c r="JCO3" s="1113"/>
      <c r="JCP3" s="1113"/>
      <c r="JCQ3" s="1113"/>
      <c r="JCR3" s="1113"/>
      <c r="JCS3" s="1113"/>
      <c r="JCT3" s="1113"/>
      <c r="JCU3" s="1113"/>
      <c r="JCV3" s="1113"/>
      <c r="JCW3" s="1113"/>
      <c r="JCX3" s="1113"/>
      <c r="JCY3" s="1113"/>
      <c r="JCZ3" s="1113"/>
      <c r="JDA3" s="1113"/>
      <c r="JDB3" s="1113"/>
      <c r="JDC3" s="1113"/>
      <c r="JDD3" s="1113"/>
      <c r="JDE3" s="1113"/>
      <c r="JDF3" s="1113"/>
      <c r="JDG3" s="1113"/>
      <c r="JDH3" s="1113"/>
      <c r="JDI3" s="1113"/>
      <c r="JDJ3" s="1113"/>
      <c r="JDK3" s="1113"/>
      <c r="JDL3" s="1113"/>
      <c r="JDM3" s="1113"/>
      <c r="JDN3" s="1113"/>
      <c r="JDO3" s="1113"/>
      <c r="JDP3" s="1113"/>
      <c r="JDQ3" s="1113"/>
      <c r="JDR3" s="1113"/>
      <c r="JDS3" s="1113"/>
      <c r="JDT3" s="1113"/>
      <c r="JDU3" s="1113"/>
      <c r="JDV3" s="1113"/>
      <c r="JDW3" s="1113"/>
      <c r="JDX3" s="1113"/>
      <c r="JDY3" s="1113"/>
      <c r="JDZ3" s="1113"/>
      <c r="JEA3" s="1113"/>
      <c r="JEB3" s="1113"/>
      <c r="JEC3" s="1113"/>
      <c r="JED3" s="1113"/>
      <c r="JEE3" s="1113"/>
      <c r="JEF3" s="1113"/>
      <c r="JEG3" s="1113"/>
      <c r="JEH3" s="1113"/>
      <c r="JEI3" s="1113"/>
      <c r="JEJ3" s="1113"/>
      <c r="JEK3" s="1113"/>
      <c r="JEL3" s="1113"/>
      <c r="JEM3" s="1113"/>
      <c r="JEN3" s="1113"/>
      <c r="JEO3" s="1113"/>
      <c r="JEP3" s="1113"/>
      <c r="JEQ3" s="1113"/>
      <c r="JER3" s="1113"/>
      <c r="JES3" s="1113"/>
      <c r="JET3" s="1113"/>
      <c r="JEU3" s="1113"/>
      <c r="JEV3" s="1113"/>
      <c r="JEW3" s="1113"/>
      <c r="JEX3" s="1113"/>
      <c r="JEY3" s="1113"/>
      <c r="JEZ3" s="1113"/>
      <c r="JFA3" s="1113"/>
      <c r="JFB3" s="1113"/>
      <c r="JFC3" s="1113"/>
      <c r="JFD3" s="1113"/>
      <c r="JFE3" s="1113"/>
      <c r="JFF3" s="1113"/>
      <c r="JFG3" s="1113"/>
      <c r="JFH3" s="1113"/>
      <c r="JFI3" s="1113"/>
      <c r="JFJ3" s="1113"/>
      <c r="JFK3" s="1113"/>
      <c r="JFL3" s="1113"/>
      <c r="JFM3" s="1113"/>
      <c r="JFN3" s="1113"/>
      <c r="JFO3" s="1113"/>
      <c r="JFP3" s="1113"/>
      <c r="JFQ3" s="1113"/>
      <c r="JFR3" s="1113"/>
      <c r="JFS3" s="1113"/>
      <c r="JFT3" s="1113"/>
      <c r="JFU3" s="1113"/>
      <c r="JFV3" s="1113"/>
      <c r="JFW3" s="1113"/>
      <c r="JFX3" s="1113"/>
      <c r="JFY3" s="1113"/>
      <c r="JFZ3" s="1113"/>
      <c r="JGA3" s="1113"/>
      <c r="JGB3" s="1113"/>
      <c r="JGC3" s="1113"/>
      <c r="JGD3" s="1113"/>
      <c r="JGE3" s="1113"/>
      <c r="JGF3" s="1113"/>
      <c r="JGG3" s="1113"/>
      <c r="JGH3" s="1113"/>
      <c r="JGI3" s="1113"/>
      <c r="JGJ3" s="1113"/>
      <c r="JGK3" s="1113"/>
      <c r="JGL3" s="1113"/>
      <c r="JGM3" s="1113"/>
      <c r="JGN3" s="1113"/>
      <c r="JGO3" s="1113"/>
      <c r="JGP3" s="1113"/>
      <c r="JGQ3" s="1113"/>
      <c r="JGR3" s="1113"/>
      <c r="JGS3" s="1113"/>
      <c r="JGT3" s="1113"/>
      <c r="JGU3" s="1113"/>
      <c r="JGV3" s="1113"/>
      <c r="JGW3" s="1113"/>
      <c r="JGX3" s="1113"/>
      <c r="JGY3" s="1113"/>
      <c r="JGZ3" s="1113"/>
      <c r="JHA3" s="1113"/>
      <c r="JHB3" s="1113"/>
      <c r="JHC3" s="1113"/>
      <c r="JHD3" s="1113"/>
      <c r="JHE3" s="1113"/>
      <c r="JHF3" s="1113"/>
      <c r="JHG3" s="1113"/>
      <c r="JHH3" s="1113"/>
      <c r="JHI3" s="1113"/>
      <c r="JHJ3" s="1113"/>
      <c r="JHK3" s="1113"/>
      <c r="JHL3" s="1113"/>
      <c r="JHM3" s="1113"/>
      <c r="JHN3" s="1113"/>
      <c r="JHO3" s="1113"/>
      <c r="JHP3" s="1113"/>
      <c r="JHQ3" s="1113"/>
      <c r="JHR3" s="1113"/>
      <c r="JHS3" s="1113"/>
      <c r="JHT3" s="1113"/>
      <c r="JHU3" s="1113"/>
      <c r="JHV3" s="1113"/>
      <c r="JHW3" s="1113"/>
      <c r="JHX3" s="1113"/>
      <c r="JHY3" s="1113"/>
      <c r="JHZ3" s="1113"/>
      <c r="JIA3" s="1113"/>
      <c r="JIB3" s="1113"/>
      <c r="JIC3" s="1113"/>
      <c r="JID3" s="1113"/>
      <c r="JIE3" s="1113"/>
      <c r="JIF3" s="1113"/>
      <c r="JIG3" s="1113"/>
      <c r="JIH3" s="1113"/>
      <c r="JII3" s="1113"/>
      <c r="JIJ3" s="1113"/>
      <c r="JIK3" s="1113"/>
      <c r="JIL3" s="1113"/>
      <c r="JIM3" s="1113"/>
      <c r="JIN3" s="1113"/>
      <c r="JIO3" s="1113"/>
      <c r="JIP3" s="1113"/>
      <c r="JIQ3" s="1113"/>
      <c r="JIR3" s="1113"/>
      <c r="JIS3" s="1113"/>
      <c r="JIT3" s="1113"/>
      <c r="JIU3" s="1113"/>
      <c r="JIV3" s="1113"/>
      <c r="JIW3" s="1113"/>
      <c r="JIX3" s="1113"/>
      <c r="JIY3" s="1113"/>
      <c r="JIZ3" s="1113"/>
      <c r="JJA3" s="1113"/>
      <c r="JJB3" s="1113"/>
      <c r="JJC3" s="1113"/>
      <c r="JJD3" s="1113"/>
      <c r="JJE3" s="1113"/>
      <c r="JJF3" s="1113"/>
      <c r="JJG3" s="1113"/>
      <c r="JJH3" s="1113"/>
      <c r="JJI3" s="1113"/>
      <c r="JJJ3" s="1113"/>
      <c r="JJK3" s="1113"/>
      <c r="JJL3" s="1113"/>
      <c r="JJM3" s="1113"/>
      <c r="JJN3" s="1113"/>
      <c r="JJO3" s="1113"/>
      <c r="JJP3" s="1113"/>
      <c r="JJQ3" s="1113"/>
      <c r="JJR3" s="1113"/>
      <c r="JJS3" s="1113"/>
      <c r="JJT3" s="1113"/>
      <c r="JJU3" s="1113"/>
      <c r="JJV3" s="1113"/>
      <c r="JJW3" s="1113"/>
      <c r="JJX3" s="1113"/>
      <c r="JJY3" s="1113"/>
      <c r="JJZ3" s="1113"/>
      <c r="JKA3" s="1113"/>
      <c r="JKB3" s="1113"/>
      <c r="JKC3" s="1113"/>
      <c r="JKD3" s="1113"/>
      <c r="JKE3" s="1113"/>
      <c r="JKF3" s="1113"/>
      <c r="JKG3" s="1113"/>
      <c r="JKH3" s="1113"/>
      <c r="JKI3" s="1113"/>
      <c r="JKJ3" s="1113"/>
      <c r="JKK3" s="1113"/>
      <c r="JKL3" s="1113"/>
      <c r="JKM3" s="1113"/>
      <c r="JKN3" s="1113"/>
      <c r="JKO3" s="1113"/>
      <c r="JKP3" s="1113"/>
      <c r="JKQ3" s="1113"/>
      <c r="JKR3" s="1113"/>
      <c r="JKS3" s="1113"/>
      <c r="JKT3" s="1113"/>
      <c r="JKU3" s="1113"/>
      <c r="JKV3" s="1113"/>
      <c r="JKW3" s="1113"/>
      <c r="JKX3" s="1113"/>
      <c r="JKY3" s="1113"/>
      <c r="JKZ3" s="1113"/>
      <c r="JLA3" s="1113"/>
      <c r="JLB3" s="1113"/>
      <c r="JLC3" s="1113"/>
      <c r="JLD3" s="1113"/>
      <c r="JLE3" s="1113"/>
      <c r="JLF3" s="1113"/>
      <c r="JLG3" s="1113"/>
      <c r="JLH3" s="1113"/>
      <c r="JLI3" s="1113"/>
      <c r="JLJ3" s="1113"/>
      <c r="JLK3" s="1113"/>
      <c r="JLL3" s="1113"/>
      <c r="JLM3" s="1113"/>
      <c r="JLN3" s="1113"/>
      <c r="JLO3" s="1113"/>
      <c r="JLP3" s="1113"/>
      <c r="JLQ3" s="1113"/>
      <c r="JLR3" s="1113"/>
      <c r="JLS3" s="1113"/>
      <c r="JLT3" s="1113"/>
      <c r="JLU3" s="1113"/>
      <c r="JLV3" s="1113"/>
      <c r="JLW3" s="1113"/>
      <c r="JLX3" s="1113"/>
      <c r="JLY3" s="1113"/>
      <c r="JLZ3" s="1113"/>
      <c r="JMA3" s="1113"/>
      <c r="JMB3" s="1113"/>
      <c r="JMC3" s="1113"/>
      <c r="JMD3" s="1113"/>
      <c r="JME3" s="1113"/>
      <c r="JMF3" s="1113"/>
      <c r="JMG3" s="1113"/>
      <c r="JMH3" s="1113"/>
      <c r="JMI3" s="1113"/>
      <c r="JMJ3" s="1113"/>
      <c r="JMK3" s="1113"/>
      <c r="JML3" s="1113"/>
      <c r="JMM3" s="1113"/>
      <c r="JMN3" s="1113"/>
      <c r="JMO3" s="1113"/>
      <c r="JMP3" s="1113"/>
      <c r="JMQ3" s="1113"/>
      <c r="JMR3" s="1113"/>
      <c r="JMS3" s="1113"/>
      <c r="JMT3" s="1113"/>
      <c r="JMU3" s="1113"/>
      <c r="JMV3" s="1113"/>
      <c r="JMW3" s="1113"/>
      <c r="JMX3" s="1113"/>
      <c r="JMY3" s="1113"/>
      <c r="JMZ3" s="1113"/>
      <c r="JNA3" s="1113"/>
      <c r="JNB3" s="1113"/>
      <c r="JNC3" s="1113"/>
      <c r="JND3" s="1113"/>
      <c r="JNE3" s="1113"/>
      <c r="JNF3" s="1113"/>
      <c r="JNG3" s="1113"/>
      <c r="JNH3" s="1113"/>
      <c r="JNI3" s="1113"/>
      <c r="JNJ3" s="1113"/>
      <c r="JNK3" s="1113"/>
      <c r="JNL3" s="1113"/>
      <c r="JNM3" s="1113"/>
      <c r="JNN3" s="1113"/>
      <c r="JNO3" s="1113"/>
      <c r="JNP3" s="1113"/>
      <c r="JNQ3" s="1113"/>
      <c r="JNR3" s="1113"/>
      <c r="JNS3" s="1113"/>
      <c r="JNT3" s="1113"/>
      <c r="JNU3" s="1113"/>
      <c r="JNV3" s="1113"/>
      <c r="JNW3" s="1113"/>
      <c r="JNX3" s="1113"/>
      <c r="JNY3" s="1113"/>
      <c r="JNZ3" s="1113"/>
      <c r="JOA3" s="1113"/>
      <c r="JOB3" s="1113"/>
      <c r="JOC3" s="1113"/>
      <c r="JOD3" s="1113"/>
      <c r="JOE3" s="1113"/>
      <c r="JOF3" s="1113"/>
      <c r="JOG3" s="1113"/>
      <c r="JOH3" s="1113"/>
      <c r="JOI3" s="1113"/>
      <c r="JOJ3" s="1113"/>
      <c r="JOK3" s="1113"/>
      <c r="JOL3" s="1113"/>
      <c r="JOM3" s="1113"/>
      <c r="JON3" s="1113"/>
      <c r="JOO3" s="1113"/>
      <c r="JOP3" s="1113"/>
      <c r="JOQ3" s="1113"/>
      <c r="JOR3" s="1113"/>
      <c r="JOS3" s="1113"/>
      <c r="JOT3" s="1113"/>
      <c r="JOU3" s="1113"/>
      <c r="JOV3" s="1113"/>
      <c r="JOW3" s="1113"/>
      <c r="JOX3" s="1113"/>
      <c r="JOY3" s="1113"/>
      <c r="JOZ3" s="1113"/>
      <c r="JPA3" s="1113"/>
      <c r="JPB3" s="1113"/>
      <c r="JPC3" s="1113"/>
      <c r="JPD3" s="1113"/>
      <c r="JPE3" s="1113"/>
      <c r="JPF3" s="1113"/>
      <c r="JPG3" s="1113"/>
      <c r="JPH3" s="1113"/>
      <c r="JPI3" s="1113"/>
      <c r="JPJ3" s="1113"/>
      <c r="JPK3" s="1113"/>
      <c r="JPL3" s="1113"/>
      <c r="JPM3" s="1113"/>
      <c r="JPN3" s="1113"/>
      <c r="JPO3" s="1113"/>
      <c r="JPP3" s="1113"/>
      <c r="JPQ3" s="1113"/>
      <c r="JPR3" s="1113"/>
      <c r="JPS3" s="1113"/>
      <c r="JPT3" s="1113"/>
      <c r="JPU3" s="1113"/>
      <c r="JPV3" s="1113"/>
      <c r="JPW3" s="1113"/>
      <c r="JPX3" s="1113"/>
      <c r="JPY3" s="1113"/>
      <c r="JPZ3" s="1113"/>
      <c r="JQA3" s="1113"/>
      <c r="JQB3" s="1113"/>
      <c r="JQC3" s="1113"/>
      <c r="JQD3" s="1113"/>
      <c r="JQE3" s="1113"/>
      <c r="JQF3" s="1113"/>
      <c r="JQG3" s="1113"/>
      <c r="JQH3" s="1113"/>
      <c r="JQI3" s="1113"/>
      <c r="JQJ3" s="1113"/>
      <c r="JQK3" s="1113"/>
      <c r="JQL3" s="1113"/>
      <c r="JQM3" s="1113"/>
      <c r="JQN3" s="1113"/>
      <c r="JQO3" s="1113"/>
      <c r="JQP3" s="1113"/>
      <c r="JQQ3" s="1113"/>
      <c r="JQR3" s="1113"/>
      <c r="JQS3" s="1113"/>
      <c r="JQT3" s="1113"/>
      <c r="JQU3" s="1113"/>
      <c r="JQV3" s="1113"/>
      <c r="JQW3" s="1113"/>
      <c r="JQX3" s="1113"/>
      <c r="JQY3" s="1113"/>
      <c r="JQZ3" s="1113"/>
      <c r="JRA3" s="1113"/>
      <c r="JRB3" s="1113"/>
      <c r="JRC3" s="1113"/>
      <c r="JRD3" s="1113"/>
      <c r="JRE3" s="1113"/>
      <c r="JRF3" s="1113"/>
      <c r="JRG3" s="1113"/>
      <c r="JRH3" s="1113"/>
      <c r="JRI3" s="1113"/>
      <c r="JRJ3" s="1113"/>
      <c r="JRK3" s="1113"/>
      <c r="JRL3" s="1113"/>
      <c r="JRM3" s="1113"/>
      <c r="JRN3" s="1113"/>
      <c r="JRO3" s="1113"/>
      <c r="JRP3" s="1113"/>
      <c r="JRQ3" s="1113"/>
      <c r="JRR3" s="1113"/>
      <c r="JRS3" s="1113"/>
      <c r="JRT3" s="1113"/>
      <c r="JRU3" s="1113"/>
      <c r="JRV3" s="1113"/>
      <c r="JRW3" s="1113"/>
      <c r="JRX3" s="1113"/>
      <c r="JRY3" s="1113"/>
      <c r="JRZ3" s="1113"/>
      <c r="JSA3" s="1113"/>
      <c r="JSB3" s="1113"/>
      <c r="JSC3" s="1113"/>
      <c r="JSD3" s="1113"/>
      <c r="JSE3" s="1113"/>
      <c r="JSF3" s="1113"/>
      <c r="JSG3" s="1113"/>
      <c r="JSH3" s="1113"/>
      <c r="JSI3" s="1113"/>
      <c r="JSJ3" s="1113"/>
      <c r="JSK3" s="1113"/>
      <c r="JSL3" s="1113"/>
      <c r="JSM3" s="1113"/>
      <c r="JSN3" s="1113"/>
      <c r="JSO3" s="1113"/>
      <c r="JSP3" s="1113"/>
      <c r="JSQ3" s="1113"/>
      <c r="JSR3" s="1113"/>
      <c r="JSS3" s="1113"/>
      <c r="JST3" s="1113"/>
      <c r="JSU3" s="1113"/>
      <c r="JSV3" s="1113"/>
      <c r="JSW3" s="1113"/>
      <c r="JSX3" s="1113"/>
      <c r="JSY3" s="1113"/>
      <c r="JSZ3" s="1113"/>
      <c r="JTA3" s="1113"/>
      <c r="JTB3" s="1113"/>
      <c r="JTC3" s="1113"/>
      <c r="JTD3" s="1113"/>
      <c r="JTE3" s="1113"/>
      <c r="JTF3" s="1113"/>
      <c r="JTG3" s="1113"/>
      <c r="JTH3" s="1113"/>
      <c r="JTI3" s="1113"/>
      <c r="JTJ3" s="1113"/>
      <c r="JTK3" s="1113"/>
      <c r="JTL3" s="1113"/>
      <c r="JTM3" s="1113"/>
      <c r="JTN3" s="1113"/>
      <c r="JTO3" s="1113"/>
      <c r="JTP3" s="1113"/>
      <c r="JTQ3" s="1113"/>
      <c r="JTR3" s="1113"/>
      <c r="JTS3" s="1113"/>
      <c r="JTT3" s="1113"/>
      <c r="JTU3" s="1113"/>
      <c r="JTV3" s="1113"/>
      <c r="JTW3" s="1113"/>
      <c r="JTX3" s="1113"/>
      <c r="JTY3" s="1113"/>
      <c r="JTZ3" s="1113"/>
      <c r="JUA3" s="1113"/>
      <c r="JUB3" s="1113"/>
      <c r="JUC3" s="1113"/>
      <c r="JUD3" s="1113"/>
      <c r="JUE3" s="1113"/>
      <c r="JUF3" s="1113"/>
      <c r="JUG3" s="1113"/>
      <c r="JUH3" s="1113"/>
      <c r="JUI3" s="1113"/>
      <c r="JUJ3" s="1113"/>
      <c r="JUK3" s="1113"/>
      <c r="JUL3" s="1113"/>
      <c r="JUM3" s="1113"/>
      <c r="JUN3" s="1113"/>
      <c r="JUO3" s="1113"/>
      <c r="JUP3" s="1113"/>
      <c r="JUQ3" s="1113"/>
      <c r="JUR3" s="1113"/>
      <c r="JUS3" s="1113"/>
      <c r="JUT3" s="1113"/>
      <c r="JUU3" s="1113"/>
      <c r="JUV3" s="1113"/>
      <c r="JUW3" s="1113"/>
      <c r="JUX3" s="1113"/>
      <c r="JUY3" s="1113"/>
      <c r="JUZ3" s="1113"/>
      <c r="JVA3" s="1113"/>
      <c r="JVB3" s="1113"/>
      <c r="JVC3" s="1113"/>
      <c r="JVD3" s="1113"/>
      <c r="JVE3" s="1113"/>
      <c r="JVF3" s="1113"/>
      <c r="JVG3" s="1113"/>
      <c r="JVH3" s="1113"/>
      <c r="JVI3" s="1113"/>
      <c r="JVJ3" s="1113"/>
      <c r="JVK3" s="1113"/>
      <c r="JVL3" s="1113"/>
      <c r="JVM3" s="1113"/>
      <c r="JVN3" s="1113"/>
      <c r="JVO3" s="1113"/>
      <c r="JVP3" s="1113"/>
      <c r="JVQ3" s="1113"/>
      <c r="JVR3" s="1113"/>
      <c r="JVS3" s="1113"/>
      <c r="JVT3" s="1113"/>
      <c r="JVU3" s="1113"/>
      <c r="JVV3" s="1113"/>
      <c r="JVW3" s="1113"/>
      <c r="JVX3" s="1113"/>
      <c r="JVY3" s="1113"/>
      <c r="JVZ3" s="1113"/>
      <c r="JWA3" s="1113"/>
      <c r="JWB3" s="1113"/>
      <c r="JWC3" s="1113"/>
      <c r="JWD3" s="1113"/>
      <c r="JWE3" s="1113"/>
      <c r="JWF3" s="1113"/>
      <c r="JWG3" s="1113"/>
      <c r="JWH3" s="1113"/>
      <c r="JWI3" s="1113"/>
      <c r="JWJ3" s="1113"/>
      <c r="JWK3" s="1113"/>
      <c r="JWL3" s="1113"/>
      <c r="JWM3" s="1113"/>
      <c r="JWN3" s="1113"/>
      <c r="JWO3" s="1113"/>
      <c r="JWP3" s="1113"/>
      <c r="JWQ3" s="1113"/>
      <c r="JWR3" s="1113"/>
      <c r="JWS3" s="1113"/>
      <c r="JWT3" s="1113"/>
      <c r="JWU3" s="1113"/>
      <c r="JWV3" s="1113"/>
      <c r="JWW3" s="1113"/>
      <c r="JWX3" s="1113"/>
      <c r="JWY3" s="1113"/>
      <c r="JWZ3" s="1113"/>
      <c r="JXA3" s="1113"/>
      <c r="JXB3" s="1113"/>
      <c r="JXC3" s="1113"/>
      <c r="JXD3" s="1113"/>
      <c r="JXE3" s="1113"/>
      <c r="JXF3" s="1113"/>
      <c r="JXG3" s="1113"/>
      <c r="JXH3" s="1113"/>
      <c r="JXI3" s="1113"/>
      <c r="JXJ3" s="1113"/>
      <c r="JXK3" s="1113"/>
      <c r="JXL3" s="1113"/>
      <c r="JXM3" s="1113"/>
      <c r="JXN3" s="1113"/>
      <c r="JXO3" s="1113"/>
      <c r="JXP3" s="1113"/>
      <c r="JXQ3" s="1113"/>
      <c r="JXR3" s="1113"/>
      <c r="JXS3" s="1113"/>
      <c r="JXT3" s="1113"/>
      <c r="JXU3" s="1113"/>
      <c r="JXV3" s="1113"/>
      <c r="JXW3" s="1113"/>
      <c r="JXX3" s="1113"/>
      <c r="JXY3" s="1113"/>
      <c r="JXZ3" s="1113"/>
      <c r="JYA3" s="1113"/>
      <c r="JYB3" s="1113"/>
      <c r="JYC3" s="1113"/>
      <c r="JYD3" s="1113"/>
      <c r="JYE3" s="1113"/>
      <c r="JYF3" s="1113"/>
      <c r="JYG3" s="1113"/>
      <c r="JYH3" s="1113"/>
      <c r="JYI3" s="1113"/>
      <c r="JYJ3" s="1113"/>
      <c r="JYK3" s="1113"/>
      <c r="JYL3" s="1113"/>
      <c r="JYM3" s="1113"/>
      <c r="JYN3" s="1113"/>
      <c r="JYO3" s="1113"/>
      <c r="JYP3" s="1113"/>
      <c r="JYQ3" s="1113"/>
      <c r="JYR3" s="1113"/>
      <c r="JYS3" s="1113"/>
      <c r="JYT3" s="1113"/>
      <c r="JYU3" s="1113"/>
      <c r="JYV3" s="1113"/>
      <c r="JYW3" s="1113"/>
      <c r="JYX3" s="1113"/>
      <c r="JYY3" s="1113"/>
      <c r="JYZ3" s="1113"/>
      <c r="JZA3" s="1113"/>
      <c r="JZB3" s="1113"/>
      <c r="JZC3" s="1113"/>
      <c r="JZD3" s="1113"/>
      <c r="JZE3" s="1113"/>
      <c r="JZF3" s="1113"/>
      <c r="JZG3" s="1113"/>
      <c r="JZH3" s="1113"/>
      <c r="JZI3" s="1113"/>
      <c r="JZJ3" s="1113"/>
      <c r="JZK3" s="1113"/>
      <c r="JZL3" s="1113"/>
      <c r="JZM3" s="1113"/>
      <c r="JZN3" s="1113"/>
      <c r="JZO3" s="1113"/>
      <c r="JZP3" s="1113"/>
      <c r="JZQ3" s="1113"/>
      <c r="JZR3" s="1113"/>
      <c r="JZS3" s="1113"/>
      <c r="JZT3" s="1113"/>
      <c r="JZU3" s="1113"/>
      <c r="JZV3" s="1113"/>
      <c r="JZW3" s="1113"/>
      <c r="JZX3" s="1113"/>
      <c r="JZY3" s="1113"/>
      <c r="JZZ3" s="1113"/>
      <c r="KAA3" s="1113"/>
      <c r="KAB3" s="1113"/>
      <c r="KAC3" s="1113"/>
      <c r="KAD3" s="1113"/>
      <c r="KAE3" s="1113"/>
      <c r="KAF3" s="1113"/>
      <c r="KAG3" s="1113"/>
      <c r="KAH3" s="1113"/>
      <c r="KAI3" s="1113"/>
      <c r="KAJ3" s="1113"/>
      <c r="KAK3" s="1113"/>
      <c r="KAL3" s="1113"/>
      <c r="KAM3" s="1113"/>
      <c r="KAN3" s="1113"/>
      <c r="KAO3" s="1113"/>
      <c r="KAP3" s="1113"/>
      <c r="KAQ3" s="1113"/>
      <c r="KAR3" s="1113"/>
      <c r="KAS3" s="1113"/>
      <c r="KAT3" s="1113"/>
      <c r="KAU3" s="1113"/>
      <c r="KAV3" s="1113"/>
      <c r="KAW3" s="1113"/>
      <c r="KAX3" s="1113"/>
      <c r="KAY3" s="1113"/>
      <c r="KAZ3" s="1113"/>
      <c r="KBA3" s="1113"/>
      <c r="KBB3" s="1113"/>
      <c r="KBC3" s="1113"/>
      <c r="KBD3" s="1113"/>
      <c r="KBE3" s="1113"/>
      <c r="KBF3" s="1113"/>
      <c r="KBG3" s="1113"/>
      <c r="KBH3" s="1113"/>
      <c r="KBI3" s="1113"/>
      <c r="KBJ3" s="1113"/>
      <c r="KBK3" s="1113"/>
      <c r="KBL3" s="1113"/>
      <c r="KBM3" s="1113"/>
      <c r="KBN3" s="1113"/>
      <c r="KBO3" s="1113"/>
      <c r="KBP3" s="1113"/>
      <c r="KBQ3" s="1113"/>
      <c r="KBR3" s="1113"/>
      <c r="KBS3" s="1113"/>
      <c r="KBT3" s="1113"/>
      <c r="KBU3" s="1113"/>
      <c r="KBV3" s="1113"/>
      <c r="KBW3" s="1113"/>
      <c r="KBX3" s="1113"/>
      <c r="KBY3" s="1113"/>
      <c r="KBZ3" s="1113"/>
      <c r="KCA3" s="1113"/>
      <c r="KCB3" s="1113"/>
      <c r="KCC3" s="1113"/>
      <c r="KCD3" s="1113"/>
      <c r="KCE3" s="1113"/>
      <c r="KCF3" s="1113"/>
      <c r="KCG3" s="1113"/>
      <c r="KCH3" s="1113"/>
      <c r="KCI3" s="1113"/>
      <c r="KCJ3" s="1113"/>
      <c r="KCK3" s="1113"/>
      <c r="KCL3" s="1113"/>
      <c r="KCM3" s="1113"/>
      <c r="KCN3" s="1113"/>
      <c r="KCO3" s="1113"/>
      <c r="KCP3" s="1113"/>
      <c r="KCQ3" s="1113"/>
      <c r="KCR3" s="1113"/>
      <c r="KCS3" s="1113"/>
      <c r="KCT3" s="1113"/>
      <c r="KCU3" s="1113"/>
      <c r="KCV3" s="1113"/>
      <c r="KCW3" s="1113"/>
      <c r="KCX3" s="1113"/>
      <c r="KCY3" s="1113"/>
      <c r="KCZ3" s="1113"/>
      <c r="KDA3" s="1113"/>
      <c r="KDB3" s="1113"/>
      <c r="KDC3" s="1113"/>
      <c r="KDD3" s="1113"/>
      <c r="KDE3" s="1113"/>
      <c r="KDF3" s="1113"/>
      <c r="KDG3" s="1113"/>
      <c r="KDH3" s="1113"/>
      <c r="KDI3" s="1113"/>
      <c r="KDJ3" s="1113"/>
      <c r="KDK3" s="1113"/>
      <c r="KDL3" s="1113"/>
      <c r="KDM3" s="1113"/>
      <c r="KDN3" s="1113"/>
      <c r="KDO3" s="1113"/>
      <c r="KDP3" s="1113"/>
      <c r="KDQ3" s="1113"/>
      <c r="KDR3" s="1113"/>
      <c r="KDS3" s="1113"/>
      <c r="KDT3" s="1113"/>
      <c r="KDU3" s="1113"/>
      <c r="KDV3" s="1113"/>
      <c r="KDW3" s="1113"/>
      <c r="KDX3" s="1113"/>
      <c r="KDY3" s="1113"/>
      <c r="KDZ3" s="1113"/>
      <c r="KEA3" s="1113"/>
      <c r="KEB3" s="1113"/>
      <c r="KEC3" s="1113"/>
      <c r="KED3" s="1113"/>
      <c r="KEE3" s="1113"/>
      <c r="KEF3" s="1113"/>
      <c r="KEG3" s="1113"/>
      <c r="KEH3" s="1113"/>
      <c r="KEI3" s="1113"/>
      <c r="KEJ3" s="1113"/>
      <c r="KEK3" s="1113"/>
      <c r="KEL3" s="1113"/>
      <c r="KEM3" s="1113"/>
      <c r="KEN3" s="1113"/>
      <c r="KEO3" s="1113"/>
      <c r="KEP3" s="1113"/>
      <c r="KEQ3" s="1113"/>
      <c r="KER3" s="1113"/>
      <c r="KES3" s="1113"/>
      <c r="KET3" s="1113"/>
      <c r="KEU3" s="1113"/>
      <c r="KEV3" s="1113"/>
      <c r="KEW3" s="1113"/>
      <c r="KEX3" s="1113"/>
      <c r="KEY3" s="1113"/>
      <c r="KEZ3" s="1113"/>
      <c r="KFA3" s="1113"/>
      <c r="KFB3" s="1113"/>
      <c r="KFC3" s="1113"/>
      <c r="KFD3" s="1113"/>
      <c r="KFE3" s="1113"/>
      <c r="KFF3" s="1113"/>
      <c r="KFG3" s="1113"/>
      <c r="KFH3" s="1113"/>
      <c r="KFI3" s="1113"/>
      <c r="KFJ3" s="1113"/>
      <c r="KFK3" s="1113"/>
      <c r="KFL3" s="1113"/>
      <c r="KFM3" s="1113"/>
      <c r="KFN3" s="1113"/>
      <c r="KFO3" s="1113"/>
      <c r="KFP3" s="1113"/>
      <c r="KFQ3" s="1113"/>
      <c r="KFR3" s="1113"/>
      <c r="KFS3" s="1113"/>
      <c r="KFT3" s="1113"/>
      <c r="KFU3" s="1113"/>
      <c r="KFV3" s="1113"/>
      <c r="KFW3" s="1113"/>
      <c r="KFX3" s="1113"/>
      <c r="KFY3" s="1113"/>
      <c r="KFZ3" s="1113"/>
      <c r="KGA3" s="1113"/>
      <c r="KGB3" s="1113"/>
      <c r="KGC3" s="1113"/>
      <c r="KGD3" s="1113"/>
      <c r="KGE3" s="1113"/>
      <c r="KGF3" s="1113"/>
      <c r="KGG3" s="1113"/>
      <c r="KGH3" s="1113"/>
      <c r="KGI3" s="1113"/>
      <c r="KGJ3" s="1113"/>
      <c r="KGK3" s="1113"/>
      <c r="KGL3" s="1113"/>
      <c r="KGM3" s="1113"/>
      <c r="KGN3" s="1113"/>
      <c r="KGO3" s="1113"/>
      <c r="KGP3" s="1113"/>
      <c r="KGQ3" s="1113"/>
      <c r="KGR3" s="1113"/>
      <c r="KGS3" s="1113"/>
      <c r="KGT3" s="1113"/>
      <c r="KGU3" s="1113"/>
      <c r="KGV3" s="1113"/>
      <c r="KGW3" s="1113"/>
      <c r="KGX3" s="1113"/>
      <c r="KGY3" s="1113"/>
      <c r="KGZ3" s="1113"/>
      <c r="KHA3" s="1113"/>
      <c r="KHB3" s="1113"/>
      <c r="KHC3" s="1113"/>
      <c r="KHD3" s="1113"/>
      <c r="KHE3" s="1113"/>
      <c r="KHF3" s="1113"/>
      <c r="KHG3" s="1113"/>
      <c r="KHH3" s="1113"/>
      <c r="KHI3" s="1113"/>
      <c r="KHJ3" s="1113"/>
      <c r="KHK3" s="1113"/>
      <c r="KHL3" s="1113"/>
      <c r="KHM3" s="1113"/>
      <c r="KHN3" s="1113"/>
      <c r="KHO3" s="1113"/>
      <c r="KHP3" s="1113"/>
      <c r="KHQ3" s="1113"/>
      <c r="KHR3" s="1113"/>
      <c r="KHS3" s="1113"/>
      <c r="KHT3" s="1113"/>
      <c r="KHU3" s="1113"/>
      <c r="KHV3" s="1113"/>
      <c r="KHW3" s="1113"/>
      <c r="KHX3" s="1113"/>
      <c r="KHY3" s="1113"/>
      <c r="KHZ3" s="1113"/>
      <c r="KIA3" s="1113"/>
      <c r="KIB3" s="1113"/>
      <c r="KIC3" s="1113"/>
      <c r="KID3" s="1113"/>
      <c r="KIE3" s="1113"/>
      <c r="KIF3" s="1113"/>
      <c r="KIG3" s="1113"/>
      <c r="KIH3" s="1113"/>
      <c r="KII3" s="1113"/>
      <c r="KIJ3" s="1113"/>
      <c r="KIK3" s="1113"/>
      <c r="KIL3" s="1113"/>
      <c r="KIM3" s="1113"/>
      <c r="KIN3" s="1113"/>
      <c r="KIO3" s="1113"/>
      <c r="KIP3" s="1113"/>
      <c r="KIQ3" s="1113"/>
      <c r="KIR3" s="1113"/>
      <c r="KIS3" s="1113"/>
      <c r="KIT3" s="1113"/>
      <c r="KIU3" s="1113"/>
      <c r="KIV3" s="1113"/>
      <c r="KIW3" s="1113"/>
      <c r="KIX3" s="1113"/>
      <c r="KIY3" s="1113"/>
      <c r="KIZ3" s="1113"/>
      <c r="KJA3" s="1113"/>
      <c r="KJB3" s="1113"/>
      <c r="KJC3" s="1113"/>
      <c r="KJD3" s="1113"/>
      <c r="KJE3" s="1113"/>
      <c r="KJF3" s="1113"/>
      <c r="KJG3" s="1113"/>
      <c r="KJH3" s="1113"/>
      <c r="KJI3" s="1113"/>
      <c r="KJJ3" s="1113"/>
      <c r="KJK3" s="1113"/>
      <c r="KJL3" s="1113"/>
      <c r="KJM3" s="1113"/>
      <c r="KJN3" s="1113"/>
      <c r="KJO3" s="1113"/>
      <c r="KJP3" s="1113"/>
      <c r="KJQ3" s="1113"/>
      <c r="KJR3" s="1113"/>
      <c r="KJS3" s="1113"/>
      <c r="KJT3" s="1113"/>
      <c r="KJU3" s="1113"/>
      <c r="KJV3" s="1113"/>
      <c r="KJW3" s="1113"/>
      <c r="KJX3" s="1113"/>
      <c r="KJY3" s="1113"/>
      <c r="KJZ3" s="1113"/>
      <c r="KKA3" s="1113"/>
      <c r="KKB3" s="1113"/>
      <c r="KKC3" s="1113"/>
      <c r="KKD3" s="1113"/>
      <c r="KKE3" s="1113"/>
      <c r="KKF3" s="1113"/>
      <c r="KKG3" s="1113"/>
      <c r="KKH3" s="1113"/>
      <c r="KKI3" s="1113"/>
      <c r="KKJ3" s="1113"/>
      <c r="KKK3" s="1113"/>
      <c r="KKL3" s="1113"/>
      <c r="KKM3" s="1113"/>
      <c r="KKN3" s="1113"/>
      <c r="KKO3" s="1113"/>
      <c r="KKP3" s="1113"/>
      <c r="KKQ3" s="1113"/>
      <c r="KKR3" s="1113"/>
      <c r="KKS3" s="1113"/>
      <c r="KKT3" s="1113"/>
      <c r="KKU3" s="1113"/>
      <c r="KKV3" s="1113"/>
      <c r="KKW3" s="1113"/>
      <c r="KKX3" s="1113"/>
      <c r="KKY3" s="1113"/>
      <c r="KKZ3" s="1113"/>
      <c r="KLA3" s="1113"/>
      <c r="KLB3" s="1113"/>
      <c r="KLC3" s="1113"/>
      <c r="KLD3" s="1113"/>
      <c r="KLE3" s="1113"/>
      <c r="KLF3" s="1113"/>
      <c r="KLG3" s="1113"/>
      <c r="KLH3" s="1113"/>
      <c r="KLI3" s="1113"/>
      <c r="KLJ3" s="1113"/>
      <c r="KLK3" s="1113"/>
      <c r="KLL3" s="1113"/>
      <c r="KLM3" s="1113"/>
      <c r="KLN3" s="1113"/>
      <c r="KLO3" s="1113"/>
      <c r="KLP3" s="1113"/>
      <c r="KLQ3" s="1113"/>
      <c r="KLR3" s="1113"/>
      <c r="KLS3" s="1113"/>
      <c r="KLT3" s="1113"/>
      <c r="KLU3" s="1113"/>
      <c r="KLV3" s="1113"/>
      <c r="KLW3" s="1113"/>
      <c r="KLX3" s="1113"/>
      <c r="KLY3" s="1113"/>
      <c r="KLZ3" s="1113"/>
      <c r="KMA3" s="1113"/>
      <c r="KMB3" s="1113"/>
      <c r="KMC3" s="1113"/>
      <c r="KMD3" s="1113"/>
      <c r="KME3" s="1113"/>
      <c r="KMF3" s="1113"/>
      <c r="KMG3" s="1113"/>
      <c r="KMH3" s="1113"/>
      <c r="KMI3" s="1113"/>
      <c r="KMJ3" s="1113"/>
      <c r="KMK3" s="1113"/>
      <c r="KML3" s="1113"/>
      <c r="KMM3" s="1113"/>
      <c r="KMN3" s="1113"/>
      <c r="KMO3" s="1113"/>
      <c r="KMP3" s="1113"/>
      <c r="KMQ3" s="1113"/>
      <c r="KMR3" s="1113"/>
      <c r="KMS3" s="1113"/>
      <c r="KMT3" s="1113"/>
      <c r="KMU3" s="1113"/>
      <c r="KMV3" s="1113"/>
      <c r="KMW3" s="1113"/>
      <c r="KMX3" s="1113"/>
      <c r="KMY3" s="1113"/>
      <c r="KMZ3" s="1113"/>
      <c r="KNA3" s="1113"/>
      <c r="KNB3" s="1113"/>
      <c r="KNC3" s="1113"/>
      <c r="KND3" s="1113"/>
      <c r="KNE3" s="1113"/>
      <c r="KNF3" s="1113"/>
      <c r="KNG3" s="1113"/>
      <c r="KNH3" s="1113"/>
      <c r="KNI3" s="1113"/>
      <c r="KNJ3" s="1113"/>
      <c r="KNK3" s="1113"/>
      <c r="KNL3" s="1113"/>
      <c r="KNM3" s="1113"/>
      <c r="KNN3" s="1113"/>
      <c r="KNO3" s="1113"/>
      <c r="KNP3" s="1113"/>
      <c r="KNQ3" s="1113"/>
      <c r="KNR3" s="1113"/>
      <c r="KNS3" s="1113"/>
      <c r="KNT3" s="1113"/>
      <c r="KNU3" s="1113"/>
      <c r="KNV3" s="1113"/>
      <c r="KNW3" s="1113"/>
      <c r="KNX3" s="1113"/>
      <c r="KNY3" s="1113"/>
      <c r="KNZ3" s="1113"/>
      <c r="KOA3" s="1113"/>
      <c r="KOB3" s="1113"/>
      <c r="KOC3" s="1113"/>
      <c r="KOD3" s="1113"/>
      <c r="KOE3" s="1113"/>
      <c r="KOF3" s="1113"/>
      <c r="KOG3" s="1113"/>
      <c r="KOH3" s="1113"/>
      <c r="KOI3" s="1113"/>
      <c r="KOJ3" s="1113"/>
      <c r="KOK3" s="1113"/>
      <c r="KOL3" s="1113"/>
      <c r="KOM3" s="1113"/>
      <c r="KON3" s="1113"/>
      <c r="KOO3" s="1113"/>
      <c r="KOP3" s="1113"/>
      <c r="KOQ3" s="1113"/>
      <c r="KOR3" s="1113"/>
      <c r="KOS3" s="1113"/>
      <c r="KOT3" s="1113"/>
      <c r="KOU3" s="1113"/>
      <c r="KOV3" s="1113"/>
      <c r="KOW3" s="1113"/>
      <c r="KOX3" s="1113"/>
      <c r="KOY3" s="1113"/>
      <c r="KOZ3" s="1113"/>
      <c r="KPA3" s="1113"/>
      <c r="KPB3" s="1113"/>
      <c r="KPC3" s="1113"/>
      <c r="KPD3" s="1113"/>
      <c r="KPE3" s="1113"/>
      <c r="KPF3" s="1113"/>
      <c r="KPG3" s="1113"/>
      <c r="KPH3" s="1113"/>
      <c r="KPI3" s="1113"/>
      <c r="KPJ3" s="1113"/>
      <c r="KPK3" s="1113"/>
      <c r="KPL3" s="1113"/>
      <c r="KPM3" s="1113"/>
      <c r="KPN3" s="1113"/>
      <c r="KPO3" s="1113"/>
      <c r="KPP3" s="1113"/>
      <c r="KPQ3" s="1113"/>
      <c r="KPR3" s="1113"/>
      <c r="KPS3" s="1113"/>
      <c r="KPT3" s="1113"/>
      <c r="KPU3" s="1113"/>
      <c r="KPV3" s="1113"/>
      <c r="KPW3" s="1113"/>
      <c r="KPX3" s="1113"/>
      <c r="KPY3" s="1113"/>
      <c r="KPZ3" s="1113"/>
      <c r="KQA3" s="1113"/>
      <c r="KQB3" s="1113"/>
      <c r="KQC3" s="1113"/>
      <c r="KQD3" s="1113"/>
      <c r="KQE3" s="1113"/>
      <c r="KQF3" s="1113"/>
      <c r="KQG3" s="1113"/>
      <c r="KQH3" s="1113"/>
      <c r="KQI3" s="1113"/>
      <c r="KQJ3" s="1113"/>
      <c r="KQK3" s="1113"/>
      <c r="KQL3" s="1113"/>
      <c r="KQM3" s="1113"/>
      <c r="KQN3" s="1113"/>
      <c r="KQO3" s="1113"/>
      <c r="KQP3" s="1113"/>
      <c r="KQQ3" s="1113"/>
      <c r="KQR3" s="1113"/>
      <c r="KQS3" s="1113"/>
      <c r="KQT3" s="1113"/>
      <c r="KQU3" s="1113"/>
      <c r="KQV3" s="1113"/>
      <c r="KQW3" s="1113"/>
      <c r="KQX3" s="1113"/>
      <c r="KQY3" s="1113"/>
      <c r="KQZ3" s="1113"/>
      <c r="KRA3" s="1113"/>
      <c r="KRB3" s="1113"/>
      <c r="KRC3" s="1113"/>
      <c r="KRD3" s="1113"/>
      <c r="KRE3" s="1113"/>
      <c r="KRF3" s="1113"/>
      <c r="KRG3" s="1113"/>
      <c r="KRH3" s="1113"/>
      <c r="KRI3" s="1113"/>
      <c r="KRJ3" s="1113"/>
      <c r="KRK3" s="1113"/>
      <c r="KRL3" s="1113"/>
      <c r="KRM3" s="1113"/>
      <c r="KRN3" s="1113"/>
      <c r="KRO3" s="1113"/>
      <c r="KRP3" s="1113"/>
      <c r="KRQ3" s="1113"/>
      <c r="KRR3" s="1113"/>
      <c r="KRS3" s="1113"/>
      <c r="KRT3" s="1113"/>
      <c r="KRU3" s="1113"/>
      <c r="KRV3" s="1113"/>
      <c r="KRW3" s="1113"/>
      <c r="KRX3" s="1113"/>
      <c r="KRY3" s="1113"/>
      <c r="KRZ3" s="1113"/>
      <c r="KSA3" s="1113"/>
      <c r="KSB3" s="1113"/>
      <c r="KSC3" s="1113"/>
      <c r="KSD3" s="1113"/>
      <c r="KSE3" s="1113"/>
      <c r="KSF3" s="1113"/>
      <c r="KSG3" s="1113"/>
      <c r="KSH3" s="1113"/>
      <c r="KSI3" s="1113"/>
      <c r="KSJ3" s="1113"/>
      <c r="KSK3" s="1113"/>
      <c r="KSL3" s="1113"/>
      <c r="KSM3" s="1113"/>
      <c r="KSN3" s="1113"/>
      <c r="KSO3" s="1113"/>
      <c r="KSP3" s="1113"/>
      <c r="KSQ3" s="1113"/>
      <c r="KSR3" s="1113"/>
      <c r="KSS3" s="1113"/>
      <c r="KST3" s="1113"/>
      <c r="KSU3" s="1113"/>
      <c r="KSV3" s="1113"/>
      <c r="KSW3" s="1113"/>
      <c r="KSX3" s="1113"/>
      <c r="KSY3" s="1113"/>
      <c r="KSZ3" s="1113"/>
      <c r="KTA3" s="1113"/>
      <c r="KTB3" s="1113"/>
      <c r="KTC3" s="1113"/>
      <c r="KTD3" s="1113"/>
      <c r="KTE3" s="1113"/>
      <c r="KTF3" s="1113"/>
      <c r="KTG3" s="1113"/>
      <c r="KTH3" s="1113"/>
      <c r="KTI3" s="1113"/>
      <c r="KTJ3" s="1113"/>
      <c r="KTK3" s="1113"/>
      <c r="KTL3" s="1113"/>
      <c r="KTM3" s="1113"/>
      <c r="KTN3" s="1113"/>
      <c r="KTO3" s="1113"/>
      <c r="KTP3" s="1113"/>
      <c r="KTQ3" s="1113"/>
      <c r="KTR3" s="1113"/>
      <c r="KTS3" s="1113"/>
      <c r="KTT3" s="1113"/>
      <c r="KTU3" s="1113"/>
      <c r="KTV3" s="1113"/>
      <c r="KTW3" s="1113"/>
      <c r="KTX3" s="1113"/>
      <c r="KTY3" s="1113"/>
      <c r="KTZ3" s="1113"/>
      <c r="KUA3" s="1113"/>
      <c r="KUB3" s="1113"/>
      <c r="KUC3" s="1113"/>
      <c r="KUD3" s="1113"/>
      <c r="KUE3" s="1113"/>
      <c r="KUF3" s="1113"/>
      <c r="KUG3" s="1113"/>
      <c r="KUH3" s="1113"/>
      <c r="KUI3" s="1113"/>
      <c r="KUJ3" s="1113"/>
      <c r="KUK3" s="1113"/>
      <c r="KUL3" s="1113"/>
      <c r="KUM3" s="1113"/>
      <c r="KUN3" s="1113"/>
      <c r="KUO3" s="1113"/>
      <c r="KUP3" s="1113"/>
      <c r="KUQ3" s="1113"/>
      <c r="KUR3" s="1113"/>
      <c r="KUS3" s="1113"/>
      <c r="KUT3" s="1113"/>
      <c r="KUU3" s="1113"/>
      <c r="KUV3" s="1113"/>
      <c r="KUW3" s="1113"/>
      <c r="KUX3" s="1113"/>
      <c r="KUY3" s="1113"/>
      <c r="KUZ3" s="1113"/>
      <c r="KVA3" s="1113"/>
      <c r="KVB3" s="1113"/>
      <c r="KVC3" s="1113"/>
      <c r="KVD3" s="1113"/>
      <c r="KVE3" s="1113"/>
      <c r="KVF3" s="1113"/>
      <c r="KVG3" s="1113"/>
      <c r="KVH3" s="1113"/>
      <c r="KVI3" s="1113"/>
      <c r="KVJ3" s="1113"/>
      <c r="KVK3" s="1113"/>
      <c r="KVL3" s="1113"/>
      <c r="KVM3" s="1113"/>
      <c r="KVN3" s="1113"/>
      <c r="KVO3" s="1113"/>
      <c r="KVP3" s="1113"/>
      <c r="KVQ3" s="1113"/>
      <c r="KVR3" s="1113"/>
      <c r="KVS3" s="1113"/>
      <c r="KVT3" s="1113"/>
      <c r="KVU3" s="1113"/>
      <c r="KVV3" s="1113"/>
      <c r="KVW3" s="1113"/>
      <c r="KVX3" s="1113"/>
      <c r="KVY3" s="1113"/>
      <c r="KVZ3" s="1113"/>
      <c r="KWA3" s="1113"/>
      <c r="KWB3" s="1113"/>
      <c r="KWC3" s="1113"/>
      <c r="KWD3" s="1113"/>
      <c r="KWE3" s="1113"/>
      <c r="KWF3" s="1113"/>
      <c r="KWG3" s="1113"/>
      <c r="KWH3" s="1113"/>
      <c r="KWI3" s="1113"/>
      <c r="KWJ3" s="1113"/>
      <c r="KWK3" s="1113"/>
      <c r="KWL3" s="1113"/>
      <c r="KWM3" s="1113"/>
      <c r="KWN3" s="1113"/>
      <c r="KWO3" s="1113"/>
      <c r="KWP3" s="1113"/>
      <c r="KWQ3" s="1113"/>
      <c r="KWR3" s="1113"/>
      <c r="KWS3" s="1113"/>
      <c r="KWT3" s="1113"/>
      <c r="KWU3" s="1113"/>
      <c r="KWV3" s="1113"/>
      <c r="KWW3" s="1113"/>
      <c r="KWX3" s="1113"/>
      <c r="KWY3" s="1113"/>
      <c r="KWZ3" s="1113"/>
      <c r="KXA3" s="1113"/>
      <c r="KXB3" s="1113"/>
      <c r="KXC3" s="1113"/>
      <c r="KXD3" s="1113"/>
      <c r="KXE3" s="1113"/>
      <c r="KXF3" s="1113"/>
      <c r="KXG3" s="1113"/>
      <c r="KXH3" s="1113"/>
      <c r="KXI3" s="1113"/>
      <c r="KXJ3" s="1113"/>
      <c r="KXK3" s="1113"/>
      <c r="KXL3" s="1113"/>
      <c r="KXM3" s="1113"/>
      <c r="KXN3" s="1113"/>
      <c r="KXO3" s="1113"/>
      <c r="KXP3" s="1113"/>
      <c r="KXQ3" s="1113"/>
      <c r="KXR3" s="1113"/>
      <c r="KXS3" s="1113"/>
      <c r="KXT3" s="1113"/>
      <c r="KXU3" s="1113"/>
      <c r="KXV3" s="1113"/>
      <c r="KXW3" s="1113"/>
      <c r="KXX3" s="1113"/>
      <c r="KXY3" s="1113"/>
      <c r="KXZ3" s="1113"/>
      <c r="KYA3" s="1113"/>
      <c r="KYB3" s="1113"/>
      <c r="KYC3" s="1113"/>
      <c r="KYD3" s="1113"/>
      <c r="KYE3" s="1113"/>
      <c r="KYF3" s="1113"/>
      <c r="KYG3" s="1113"/>
      <c r="KYH3" s="1113"/>
      <c r="KYI3" s="1113"/>
      <c r="KYJ3" s="1113"/>
      <c r="KYK3" s="1113"/>
      <c r="KYL3" s="1113"/>
      <c r="KYM3" s="1113"/>
      <c r="KYN3" s="1113"/>
      <c r="KYO3" s="1113"/>
      <c r="KYP3" s="1113"/>
      <c r="KYQ3" s="1113"/>
      <c r="KYR3" s="1113"/>
      <c r="KYS3" s="1113"/>
      <c r="KYT3" s="1113"/>
      <c r="KYU3" s="1113"/>
      <c r="KYV3" s="1113"/>
      <c r="KYW3" s="1113"/>
      <c r="KYX3" s="1113"/>
      <c r="KYY3" s="1113"/>
      <c r="KYZ3" s="1113"/>
      <c r="KZA3" s="1113"/>
      <c r="KZB3" s="1113"/>
      <c r="KZC3" s="1113"/>
      <c r="KZD3" s="1113"/>
      <c r="KZE3" s="1113"/>
      <c r="KZF3" s="1113"/>
      <c r="KZG3" s="1113"/>
      <c r="KZH3" s="1113"/>
      <c r="KZI3" s="1113"/>
      <c r="KZJ3" s="1113"/>
      <c r="KZK3" s="1113"/>
      <c r="KZL3" s="1113"/>
      <c r="KZM3" s="1113"/>
      <c r="KZN3" s="1113"/>
      <c r="KZO3" s="1113"/>
      <c r="KZP3" s="1113"/>
      <c r="KZQ3" s="1113"/>
      <c r="KZR3" s="1113"/>
      <c r="KZS3" s="1113"/>
      <c r="KZT3" s="1113"/>
      <c r="KZU3" s="1113"/>
      <c r="KZV3" s="1113"/>
      <c r="KZW3" s="1113"/>
      <c r="KZX3" s="1113"/>
      <c r="KZY3" s="1113"/>
      <c r="KZZ3" s="1113"/>
      <c r="LAA3" s="1113"/>
      <c r="LAB3" s="1113"/>
      <c r="LAC3" s="1113"/>
      <c r="LAD3" s="1113"/>
      <c r="LAE3" s="1113"/>
      <c r="LAF3" s="1113"/>
      <c r="LAG3" s="1113"/>
      <c r="LAH3" s="1113"/>
      <c r="LAI3" s="1113"/>
      <c r="LAJ3" s="1113"/>
      <c r="LAK3" s="1113"/>
      <c r="LAL3" s="1113"/>
      <c r="LAM3" s="1113"/>
      <c r="LAN3" s="1113"/>
      <c r="LAO3" s="1113"/>
      <c r="LAP3" s="1113"/>
      <c r="LAQ3" s="1113"/>
      <c r="LAR3" s="1113"/>
      <c r="LAS3" s="1113"/>
      <c r="LAT3" s="1113"/>
      <c r="LAU3" s="1113"/>
      <c r="LAV3" s="1113"/>
      <c r="LAW3" s="1113"/>
      <c r="LAX3" s="1113"/>
      <c r="LAY3" s="1113"/>
      <c r="LAZ3" s="1113"/>
      <c r="LBA3" s="1113"/>
      <c r="LBB3" s="1113"/>
      <c r="LBC3" s="1113"/>
      <c r="LBD3" s="1113"/>
      <c r="LBE3" s="1113"/>
      <c r="LBF3" s="1113"/>
      <c r="LBG3" s="1113"/>
      <c r="LBH3" s="1113"/>
      <c r="LBI3" s="1113"/>
      <c r="LBJ3" s="1113"/>
      <c r="LBK3" s="1113"/>
      <c r="LBL3" s="1113"/>
      <c r="LBM3" s="1113"/>
      <c r="LBN3" s="1113"/>
      <c r="LBO3" s="1113"/>
      <c r="LBP3" s="1113"/>
      <c r="LBQ3" s="1113"/>
      <c r="LBR3" s="1113"/>
      <c r="LBS3" s="1113"/>
      <c r="LBT3" s="1113"/>
      <c r="LBU3" s="1113"/>
      <c r="LBV3" s="1113"/>
      <c r="LBW3" s="1113"/>
      <c r="LBX3" s="1113"/>
      <c r="LBY3" s="1113"/>
      <c r="LBZ3" s="1113"/>
      <c r="LCA3" s="1113"/>
      <c r="LCB3" s="1113"/>
      <c r="LCC3" s="1113"/>
      <c r="LCD3" s="1113"/>
      <c r="LCE3" s="1113"/>
      <c r="LCF3" s="1113"/>
      <c r="LCG3" s="1113"/>
      <c r="LCH3" s="1113"/>
      <c r="LCI3" s="1113"/>
      <c r="LCJ3" s="1113"/>
      <c r="LCK3" s="1113"/>
      <c r="LCL3" s="1113"/>
      <c r="LCM3" s="1113"/>
      <c r="LCN3" s="1113"/>
      <c r="LCO3" s="1113"/>
      <c r="LCP3" s="1113"/>
      <c r="LCQ3" s="1113"/>
      <c r="LCR3" s="1113"/>
      <c r="LCS3" s="1113"/>
      <c r="LCT3" s="1113"/>
      <c r="LCU3" s="1113"/>
      <c r="LCV3" s="1113"/>
      <c r="LCW3" s="1113"/>
      <c r="LCX3" s="1113"/>
      <c r="LCY3" s="1113"/>
      <c r="LCZ3" s="1113"/>
      <c r="LDA3" s="1113"/>
      <c r="LDB3" s="1113"/>
      <c r="LDC3" s="1113"/>
      <c r="LDD3" s="1113"/>
      <c r="LDE3" s="1113"/>
      <c r="LDF3" s="1113"/>
      <c r="LDG3" s="1113"/>
      <c r="LDH3" s="1113"/>
      <c r="LDI3" s="1113"/>
      <c r="LDJ3" s="1113"/>
      <c r="LDK3" s="1113"/>
      <c r="LDL3" s="1113"/>
      <c r="LDM3" s="1113"/>
      <c r="LDN3" s="1113"/>
      <c r="LDO3" s="1113"/>
      <c r="LDP3" s="1113"/>
      <c r="LDQ3" s="1113"/>
      <c r="LDR3" s="1113"/>
      <c r="LDS3" s="1113"/>
      <c r="LDT3" s="1113"/>
      <c r="LDU3" s="1113"/>
      <c r="LDV3" s="1113"/>
      <c r="LDW3" s="1113"/>
      <c r="LDX3" s="1113"/>
      <c r="LDY3" s="1113"/>
      <c r="LDZ3" s="1113"/>
      <c r="LEA3" s="1113"/>
      <c r="LEB3" s="1113"/>
      <c r="LEC3" s="1113"/>
      <c r="LED3" s="1113"/>
      <c r="LEE3" s="1113"/>
      <c r="LEF3" s="1113"/>
      <c r="LEG3" s="1113"/>
      <c r="LEH3" s="1113"/>
      <c r="LEI3" s="1113"/>
      <c r="LEJ3" s="1113"/>
      <c r="LEK3" s="1113"/>
      <c r="LEL3" s="1113"/>
      <c r="LEM3" s="1113"/>
      <c r="LEN3" s="1113"/>
      <c r="LEO3" s="1113"/>
      <c r="LEP3" s="1113"/>
      <c r="LEQ3" s="1113"/>
      <c r="LER3" s="1113"/>
      <c r="LES3" s="1113"/>
      <c r="LET3" s="1113"/>
      <c r="LEU3" s="1113"/>
      <c r="LEV3" s="1113"/>
      <c r="LEW3" s="1113"/>
      <c r="LEX3" s="1113"/>
      <c r="LEY3" s="1113"/>
      <c r="LEZ3" s="1113"/>
      <c r="LFA3" s="1113"/>
      <c r="LFB3" s="1113"/>
      <c r="LFC3" s="1113"/>
      <c r="LFD3" s="1113"/>
      <c r="LFE3" s="1113"/>
      <c r="LFF3" s="1113"/>
      <c r="LFG3" s="1113"/>
      <c r="LFH3" s="1113"/>
      <c r="LFI3" s="1113"/>
      <c r="LFJ3" s="1113"/>
      <c r="LFK3" s="1113"/>
      <c r="LFL3" s="1113"/>
      <c r="LFM3" s="1113"/>
      <c r="LFN3" s="1113"/>
      <c r="LFO3" s="1113"/>
      <c r="LFP3" s="1113"/>
      <c r="LFQ3" s="1113"/>
      <c r="LFR3" s="1113"/>
      <c r="LFS3" s="1113"/>
      <c r="LFT3" s="1113"/>
      <c r="LFU3" s="1113"/>
      <c r="LFV3" s="1113"/>
      <c r="LFW3" s="1113"/>
      <c r="LFX3" s="1113"/>
      <c r="LFY3" s="1113"/>
      <c r="LFZ3" s="1113"/>
      <c r="LGA3" s="1113"/>
      <c r="LGB3" s="1113"/>
      <c r="LGC3" s="1113"/>
      <c r="LGD3" s="1113"/>
      <c r="LGE3" s="1113"/>
      <c r="LGF3" s="1113"/>
      <c r="LGG3" s="1113"/>
      <c r="LGH3" s="1113"/>
      <c r="LGI3" s="1113"/>
      <c r="LGJ3" s="1113"/>
      <c r="LGK3" s="1113"/>
      <c r="LGL3" s="1113"/>
      <c r="LGM3" s="1113"/>
      <c r="LGN3" s="1113"/>
      <c r="LGO3" s="1113"/>
      <c r="LGP3" s="1113"/>
      <c r="LGQ3" s="1113"/>
      <c r="LGR3" s="1113"/>
      <c r="LGS3" s="1113"/>
      <c r="LGT3" s="1113"/>
      <c r="LGU3" s="1113"/>
      <c r="LGV3" s="1113"/>
      <c r="LGW3" s="1113"/>
      <c r="LGX3" s="1113"/>
      <c r="LGY3" s="1113"/>
      <c r="LGZ3" s="1113"/>
      <c r="LHA3" s="1113"/>
      <c r="LHB3" s="1113"/>
      <c r="LHC3" s="1113"/>
      <c r="LHD3" s="1113"/>
      <c r="LHE3" s="1113"/>
      <c r="LHF3" s="1113"/>
      <c r="LHG3" s="1113"/>
      <c r="LHH3" s="1113"/>
      <c r="LHI3" s="1113"/>
      <c r="LHJ3" s="1113"/>
      <c r="LHK3" s="1113"/>
      <c r="LHL3" s="1113"/>
      <c r="LHM3" s="1113"/>
      <c r="LHN3" s="1113"/>
      <c r="LHO3" s="1113"/>
      <c r="LHP3" s="1113"/>
      <c r="LHQ3" s="1113"/>
      <c r="LHR3" s="1113"/>
      <c r="LHS3" s="1113"/>
      <c r="LHT3" s="1113"/>
      <c r="LHU3" s="1113"/>
      <c r="LHV3" s="1113"/>
      <c r="LHW3" s="1113"/>
      <c r="LHX3" s="1113"/>
      <c r="LHY3" s="1113"/>
      <c r="LHZ3" s="1113"/>
      <c r="LIA3" s="1113"/>
      <c r="LIB3" s="1113"/>
      <c r="LIC3" s="1113"/>
      <c r="LID3" s="1113"/>
      <c r="LIE3" s="1113"/>
      <c r="LIF3" s="1113"/>
      <c r="LIG3" s="1113"/>
      <c r="LIH3" s="1113"/>
      <c r="LII3" s="1113"/>
      <c r="LIJ3" s="1113"/>
      <c r="LIK3" s="1113"/>
      <c r="LIL3" s="1113"/>
      <c r="LIM3" s="1113"/>
      <c r="LIN3" s="1113"/>
      <c r="LIO3" s="1113"/>
      <c r="LIP3" s="1113"/>
      <c r="LIQ3" s="1113"/>
      <c r="LIR3" s="1113"/>
      <c r="LIS3" s="1113"/>
      <c r="LIT3" s="1113"/>
      <c r="LIU3" s="1113"/>
      <c r="LIV3" s="1113"/>
      <c r="LIW3" s="1113"/>
      <c r="LIX3" s="1113"/>
      <c r="LIY3" s="1113"/>
      <c r="LIZ3" s="1113"/>
      <c r="LJA3" s="1113"/>
      <c r="LJB3" s="1113"/>
      <c r="LJC3" s="1113"/>
      <c r="LJD3" s="1113"/>
      <c r="LJE3" s="1113"/>
      <c r="LJF3" s="1113"/>
      <c r="LJG3" s="1113"/>
      <c r="LJH3" s="1113"/>
      <c r="LJI3" s="1113"/>
      <c r="LJJ3" s="1113"/>
      <c r="LJK3" s="1113"/>
      <c r="LJL3" s="1113"/>
      <c r="LJM3" s="1113"/>
      <c r="LJN3" s="1113"/>
      <c r="LJO3" s="1113"/>
      <c r="LJP3" s="1113"/>
      <c r="LJQ3" s="1113"/>
      <c r="LJR3" s="1113"/>
      <c r="LJS3" s="1113"/>
      <c r="LJT3" s="1113"/>
      <c r="LJU3" s="1113"/>
      <c r="LJV3" s="1113"/>
      <c r="LJW3" s="1113"/>
      <c r="LJX3" s="1113"/>
      <c r="LJY3" s="1113"/>
      <c r="LJZ3" s="1113"/>
      <c r="LKA3" s="1113"/>
      <c r="LKB3" s="1113"/>
      <c r="LKC3" s="1113"/>
      <c r="LKD3" s="1113"/>
      <c r="LKE3" s="1113"/>
      <c r="LKF3" s="1113"/>
      <c r="LKG3" s="1113"/>
      <c r="LKH3" s="1113"/>
      <c r="LKI3" s="1113"/>
      <c r="LKJ3" s="1113"/>
      <c r="LKK3" s="1113"/>
      <c r="LKL3" s="1113"/>
      <c r="LKM3" s="1113"/>
      <c r="LKN3" s="1113"/>
      <c r="LKO3" s="1113"/>
      <c r="LKP3" s="1113"/>
      <c r="LKQ3" s="1113"/>
      <c r="LKR3" s="1113"/>
      <c r="LKS3" s="1113"/>
      <c r="LKT3" s="1113"/>
      <c r="LKU3" s="1113"/>
      <c r="LKV3" s="1113"/>
      <c r="LKW3" s="1113"/>
      <c r="LKX3" s="1113"/>
      <c r="LKY3" s="1113"/>
      <c r="LKZ3" s="1113"/>
      <c r="LLA3" s="1113"/>
      <c r="LLB3" s="1113"/>
      <c r="LLC3" s="1113"/>
      <c r="LLD3" s="1113"/>
      <c r="LLE3" s="1113"/>
      <c r="LLF3" s="1113"/>
      <c r="LLG3" s="1113"/>
      <c r="LLH3" s="1113"/>
      <c r="LLI3" s="1113"/>
      <c r="LLJ3" s="1113"/>
      <c r="LLK3" s="1113"/>
      <c r="LLL3" s="1113"/>
      <c r="LLM3" s="1113"/>
      <c r="LLN3" s="1113"/>
      <c r="LLO3" s="1113"/>
      <c r="LLP3" s="1113"/>
      <c r="LLQ3" s="1113"/>
      <c r="LLR3" s="1113"/>
      <c r="LLS3" s="1113"/>
      <c r="LLT3" s="1113"/>
      <c r="LLU3" s="1113"/>
      <c r="LLV3" s="1113"/>
      <c r="LLW3" s="1113"/>
      <c r="LLX3" s="1113"/>
      <c r="LLY3" s="1113"/>
      <c r="LLZ3" s="1113"/>
      <c r="LMA3" s="1113"/>
      <c r="LMB3" s="1113"/>
      <c r="LMC3" s="1113"/>
      <c r="LMD3" s="1113"/>
      <c r="LME3" s="1113"/>
      <c r="LMF3" s="1113"/>
      <c r="LMG3" s="1113"/>
      <c r="LMH3" s="1113"/>
      <c r="LMI3" s="1113"/>
      <c r="LMJ3" s="1113"/>
      <c r="LMK3" s="1113"/>
      <c r="LML3" s="1113"/>
      <c r="LMM3" s="1113"/>
      <c r="LMN3" s="1113"/>
      <c r="LMO3" s="1113"/>
      <c r="LMP3" s="1113"/>
      <c r="LMQ3" s="1113"/>
      <c r="LMR3" s="1113"/>
      <c r="LMS3" s="1113"/>
      <c r="LMT3" s="1113"/>
      <c r="LMU3" s="1113"/>
      <c r="LMV3" s="1113"/>
      <c r="LMW3" s="1113"/>
      <c r="LMX3" s="1113"/>
      <c r="LMY3" s="1113"/>
      <c r="LMZ3" s="1113"/>
      <c r="LNA3" s="1113"/>
      <c r="LNB3" s="1113"/>
      <c r="LNC3" s="1113"/>
      <c r="LND3" s="1113"/>
      <c r="LNE3" s="1113"/>
      <c r="LNF3" s="1113"/>
      <c r="LNG3" s="1113"/>
      <c r="LNH3" s="1113"/>
      <c r="LNI3" s="1113"/>
      <c r="LNJ3" s="1113"/>
      <c r="LNK3" s="1113"/>
      <c r="LNL3" s="1113"/>
      <c r="LNM3" s="1113"/>
      <c r="LNN3" s="1113"/>
      <c r="LNO3" s="1113"/>
      <c r="LNP3" s="1113"/>
      <c r="LNQ3" s="1113"/>
      <c r="LNR3" s="1113"/>
      <c r="LNS3" s="1113"/>
      <c r="LNT3" s="1113"/>
      <c r="LNU3" s="1113"/>
      <c r="LNV3" s="1113"/>
      <c r="LNW3" s="1113"/>
      <c r="LNX3" s="1113"/>
      <c r="LNY3" s="1113"/>
      <c r="LNZ3" s="1113"/>
      <c r="LOA3" s="1113"/>
      <c r="LOB3" s="1113"/>
      <c r="LOC3" s="1113"/>
      <c r="LOD3" s="1113"/>
      <c r="LOE3" s="1113"/>
      <c r="LOF3" s="1113"/>
      <c r="LOG3" s="1113"/>
      <c r="LOH3" s="1113"/>
      <c r="LOI3" s="1113"/>
      <c r="LOJ3" s="1113"/>
      <c r="LOK3" s="1113"/>
      <c r="LOL3" s="1113"/>
      <c r="LOM3" s="1113"/>
      <c r="LON3" s="1113"/>
      <c r="LOO3" s="1113"/>
      <c r="LOP3" s="1113"/>
      <c r="LOQ3" s="1113"/>
      <c r="LOR3" s="1113"/>
      <c r="LOS3" s="1113"/>
      <c r="LOT3" s="1113"/>
      <c r="LOU3" s="1113"/>
      <c r="LOV3" s="1113"/>
      <c r="LOW3" s="1113"/>
      <c r="LOX3" s="1113"/>
      <c r="LOY3" s="1113"/>
      <c r="LOZ3" s="1113"/>
      <c r="LPA3" s="1113"/>
      <c r="LPB3" s="1113"/>
      <c r="LPC3" s="1113"/>
      <c r="LPD3" s="1113"/>
      <c r="LPE3" s="1113"/>
      <c r="LPF3" s="1113"/>
      <c r="LPG3" s="1113"/>
      <c r="LPH3" s="1113"/>
      <c r="LPI3" s="1113"/>
      <c r="LPJ3" s="1113"/>
      <c r="LPK3" s="1113"/>
      <c r="LPL3" s="1113"/>
      <c r="LPM3" s="1113"/>
      <c r="LPN3" s="1113"/>
      <c r="LPO3" s="1113"/>
      <c r="LPP3" s="1113"/>
      <c r="LPQ3" s="1113"/>
      <c r="LPR3" s="1113"/>
      <c r="LPS3" s="1113"/>
      <c r="LPT3" s="1113"/>
      <c r="LPU3" s="1113"/>
      <c r="LPV3" s="1113"/>
      <c r="LPW3" s="1113"/>
      <c r="LPX3" s="1113"/>
      <c r="LPY3" s="1113"/>
      <c r="LPZ3" s="1113"/>
      <c r="LQA3" s="1113"/>
      <c r="LQB3" s="1113"/>
      <c r="LQC3" s="1113"/>
      <c r="LQD3" s="1113"/>
      <c r="LQE3" s="1113"/>
      <c r="LQF3" s="1113"/>
      <c r="LQG3" s="1113"/>
      <c r="LQH3" s="1113"/>
      <c r="LQI3" s="1113"/>
      <c r="LQJ3" s="1113"/>
      <c r="LQK3" s="1113"/>
      <c r="LQL3" s="1113"/>
      <c r="LQM3" s="1113"/>
      <c r="LQN3" s="1113"/>
      <c r="LQO3" s="1113"/>
      <c r="LQP3" s="1113"/>
      <c r="LQQ3" s="1113"/>
      <c r="LQR3" s="1113"/>
      <c r="LQS3" s="1113"/>
      <c r="LQT3" s="1113"/>
      <c r="LQU3" s="1113"/>
      <c r="LQV3" s="1113"/>
      <c r="LQW3" s="1113"/>
      <c r="LQX3" s="1113"/>
      <c r="LQY3" s="1113"/>
      <c r="LQZ3" s="1113"/>
      <c r="LRA3" s="1113"/>
      <c r="LRB3" s="1113"/>
      <c r="LRC3" s="1113"/>
      <c r="LRD3" s="1113"/>
      <c r="LRE3" s="1113"/>
      <c r="LRF3" s="1113"/>
      <c r="LRG3" s="1113"/>
      <c r="LRH3" s="1113"/>
      <c r="LRI3" s="1113"/>
      <c r="LRJ3" s="1113"/>
      <c r="LRK3" s="1113"/>
      <c r="LRL3" s="1113"/>
      <c r="LRM3" s="1113"/>
      <c r="LRN3" s="1113"/>
      <c r="LRO3" s="1113"/>
      <c r="LRP3" s="1113"/>
      <c r="LRQ3" s="1113"/>
      <c r="LRR3" s="1113"/>
      <c r="LRS3" s="1113"/>
      <c r="LRT3" s="1113"/>
      <c r="LRU3" s="1113"/>
      <c r="LRV3" s="1113"/>
      <c r="LRW3" s="1113"/>
      <c r="LRX3" s="1113"/>
      <c r="LRY3" s="1113"/>
      <c r="LRZ3" s="1113"/>
      <c r="LSA3" s="1113"/>
      <c r="LSB3" s="1113"/>
      <c r="LSC3" s="1113"/>
      <c r="LSD3" s="1113"/>
      <c r="LSE3" s="1113"/>
      <c r="LSF3" s="1113"/>
      <c r="LSG3" s="1113"/>
      <c r="LSH3" s="1113"/>
      <c r="LSI3" s="1113"/>
      <c r="LSJ3" s="1113"/>
      <c r="LSK3" s="1113"/>
      <c r="LSL3" s="1113"/>
      <c r="LSM3" s="1113"/>
      <c r="LSN3" s="1113"/>
      <c r="LSO3" s="1113"/>
      <c r="LSP3" s="1113"/>
      <c r="LSQ3" s="1113"/>
      <c r="LSR3" s="1113"/>
      <c r="LSS3" s="1113"/>
      <c r="LST3" s="1113"/>
      <c r="LSU3" s="1113"/>
      <c r="LSV3" s="1113"/>
      <c r="LSW3" s="1113"/>
      <c r="LSX3" s="1113"/>
      <c r="LSY3" s="1113"/>
      <c r="LSZ3" s="1113"/>
      <c r="LTA3" s="1113"/>
      <c r="LTB3" s="1113"/>
      <c r="LTC3" s="1113"/>
      <c r="LTD3" s="1113"/>
      <c r="LTE3" s="1113"/>
      <c r="LTF3" s="1113"/>
      <c r="LTG3" s="1113"/>
      <c r="LTH3" s="1113"/>
      <c r="LTI3" s="1113"/>
      <c r="LTJ3" s="1113"/>
      <c r="LTK3" s="1113"/>
      <c r="LTL3" s="1113"/>
      <c r="LTM3" s="1113"/>
      <c r="LTN3" s="1113"/>
      <c r="LTO3" s="1113"/>
      <c r="LTP3" s="1113"/>
      <c r="LTQ3" s="1113"/>
      <c r="LTR3" s="1113"/>
      <c r="LTS3" s="1113"/>
      <c r="LTT3" s="1113"/>
      <c r="LTU3" s="1113"/>
      <c r="LTV3" s="1113"/>
      <c r="LTW3" s="1113"/>
      <c r="LTX3" s="1113"/>
      <c r="LTY3" s="1113"/>
      <c r="LTZ3" s="1113"/>
      <c r="LUA3" s="1113"/>
      <c r="LUB3" s="1113"/>
      <c r="LUC3" s="1113"/>
      <c r="LUD3" s="1113"/>
      <c r="LUE3" s="1113"/>
      <c r="LUF3" s="1113"/>
      <c r="LUG3" s="1113"/>
      <c r="LUH3" s="1113"/>
      <c r="LUI3" s="1113"/>
      <c r="LUJ3" s="1113"/>
      <c r="LUK3" s="1113"/>
      <c r="LUL3" s="1113"/>
      <c r="LUM3" s="1113"/>
      <c r="LUN3" s="1113"/>
      <c r="LUO3" s="1113"/>
      <c r="LUP3" s="1113"/>
      <c r="LUQ3" s="1113"/>
      <c r="LUR3" s="1113"/>
      <c r="LUS3" s="1113"/>
      <c r="LUT3" s="1113"/>
      <c r="LUU3" s="1113"/>
      <c r="LUV3" s="1113"/>
      <c r="LUW3" s="1113"/>
      <c r="LUX3" s="1113"/>
      <c r="LUY3" s="1113"/>
      <c r="LUZ3" s="1113"/>
      <c r="LVA3" s="1113"/>
      <c r="LVB3" s="1113"/>
      <c r="LVC3" s="1113"/>
      <c r="LVD3" s="1113"/>
      <c r="LVE3" s="1113"/>
      <c r="LVF3" s="1113"/>
      <c r="LVG3" s="1113"/>
      <c r="LVH3" s="1113"/>
      <c r="LVI3" s="1113"/>
      <c r="LVJ3" s="1113"/>
      <c r="LVK3" s="1113"/>
      <c r="LVL3" s="1113"/>
      <c r="LVM3" s="1113"/>
      <c r="LVN3" s="1113"/>
      <c r="LVO3" s="1113"/>
      <c r="LVP3" s="1113"/>
      <c r="LVQ3" s="1113"/>
      <c r="LVR3" s="1113"/>
      <c r="LVS3" s="1113"/>
      <c r="LVT3" s="1113"/>
      <c r="LVU3" s="1113"/>
      <c r="LVV3" s="1113"/>
      <c r="LVW3" s="1113"/>
      <c r="LVX3" s="1113"/>
      <c r="LVY3" s="1113"/>
      <c r="LVZ3" s="1113"/>
      <c r="LWA3" s="1113"/>
      <c r="LWB3" s="1113"/>
      <c r="LWC3" s="1113"/>
      <c r="LWD3" s="1113"/>
      <c r="LWE3" s="1113"/>
      <c r="LWF3" s="1113"/>
      <c r="LWG3" s="1113"/>
      <c r="LWH3" s="1113"/>
      <c r="LWI3" s="1113"/>
      <c r="LWJ3" s="1113"/>
      <c r="LWK3" s="1113"/>
      <c r="LWL3" s="1113"/>
      <c r="LWM3" s="1113"/>
      <c r="LWN3" s="1113"/>
      <c r="LWO3" s="1113"/>
      <c r="LWP3" s="1113"/>
      <c r="LWQ3" s="1113"/>
      <c r="LWR3" s="1113"/>
      <c r="LWS3" s="1113"/>
      <c r="LWT3" s="1113"/>
      <c r="LWU3" s="1113"/>
      <c r="LWV3" s="1113"/>
      <c r="LWW3" s="1113"/>
      <c r="LWX3" s="1113"/>
      <c r="LWY3" s="1113"/>
      <c r="LWZ3" s="1113"/>
      <c r="LXA3" s="1113"/>
      <c r="LXB3" s="1113"/>
      <c r="LXC3" s="1113"/>
      <c r="LXD3" s="1113"/>
      <c r="LXE3" s="1113"/>
      <c r="LXF3" s="1113"/>
      <c r="LXG3" s="1113"/>
      <c r="LXH3" s="1113"/>
      <c r="LXI3" s="1113"/>
      <c r="LXJ3" s="1113"/>
      <c r="LXK3" s="1113"/>
      <c r="LXL3" s="1113"/>
      <c r="LXM3" s="1113"/>
      <c r="LXN3" s="1113"/>
      <c r="LXO3" s="1113"/>
      <c r="LXP3" s="1113"/>
      <c r="LXQ3" s="1113"/>
      <c r="LXR3" s="1113"/>
      <c r="LXS3" s="1113"/>
      <c r="LXT3" s="1113"/>
      <c r="LXU3" s="1113"/>
      <c r="LXV3" s="1113"/>
      <c r="LXW3" s="1113"/>
      <c r="LXX3" s="1113"/>
      <c r="LXY3" s="1113"/>
      <c r="LXZ3" s="1113"/>
      <c r="LYA3" s="1113"/>
      <c r="LYB3" s="1113"/>
      <c r="LYC3" s="1113"/>
      <c r="LYD3" s="1113"/>
      <c r="LYE3" s="1113"/>
      <c r="LYF3" s="1113"/>
      <c r="LYG3" s="1113"/>
      <c r="LYH3" s="1113"/>
      <c r="LYI3" s="1113"/>
      <c r="LYJ3" s="1113"/>
      <c r="LYK3" s="1113"/>
      <c r="LYL3" s="1113"/>
      <c r="LYM3" s="1113"/>
      <c r="LYN3" s="1113"/>
      <c r="LYO3" s="1113"/>
      <c r="LYP3" s="1113"/>
      <c r="LYQ3" s="1113"/>
      <c r="LYR3" s="1113"/>
      <c r="LYS3" s="1113"/>
      <c r="LYT3" s="1113"/>
      <c r="LYU3" s="1113"/>
      <c r="LYV3" s="1113"/>
      <c r="LYW3" s="1113"/>
      <c r="LYX3" s="1113"/>
      <c r="LYY3" s="1113"/>
      <c r="LYZ3" s="1113"/>
      <c r="LZA3" s="1113"/>
      <c r="LZB3" s="1113"/>
      <c r="LZC3" s="1113"/>
      <c r="LZD3" s="1113"/>
      <c r="LZE3" s="1113"/>
      <c r="LZF3" s="1113"/>
      <c r="LZG3" s="1113"/>
      <c r="LZH3" s="1113"/>
      <c r="LZI3" s="1113"/>
      <c r="LZJ3" s="1113"/>
      <c r="LZK3" s="1113"/>
      <c r="LZL3" s="1113"/>
      <c r="LZM3" s="1113"/>
      <c r="LZN3" s="1113"/>
      <c r="LZO3" s="1113"/>
      <c r="LZP3" s="1113"/>
      <c r="LZQ3" s="1113"/>
      <c r="LZR3" s="1113"/>
      <c r="LZS3" s="1113"/>
      <c r="LZT3" s="1113"/>
      <c r="LZU3" s="1113"/>
      <c r="LZV3" s="1113"/>
      <c r="LZW3" s="1113"/>
      <c r="LZX3" s="1113"/>
      <c r="LZY3" s="1113"/>
      <c r="LZZ3" s="1113"/>
      <c r="MAA3" s="1113"/>
      <c r="MAB3" s="1113"/>
      <c r="MAC3" s="1113"/>
      <c r="MAD3" s="1113"/>
      <c r="MAE3" s="1113"/>
      <c r="MAF3" s="1113"/>
      <c r="MAG3" s="1113"/>
      <c r="MAH3" s="1113"/>
      <c r="MAI3" s="1113"/>
      <c r="MAJ3" s="1113"/>
      <c r="MAK3" s="1113"/>
      <c r="MAL3" s="1113"/>
      <c r="MAM3" s="1113"/>
      <c r="MAN3" s="1113"/>
      <c r="MAO3" s="1113"/>
      <c r="MAP3" s="1113"/>
      <c r="MAQ3" s="1113"/>
      <c r="MAR3" s="1113"/>
      <c r="MAS3" s="1113"/>
      <c r="MAT3" s="1113"/>
      <c r="MAU3" s="1113"/>
      <c r="MAV3" s="1113"/>
      <c r="MAW3" s="1113"/>
      <c r="MAX3" s="1113"/>
      <c r="MAY3" s="1113"/>
      <c r="MAZ3" s="1113"/>
      <c r="MBA3" s="1113"/>
      <c r="MBB3" s="1113"/>
      <c r="MBC3" s="1113"/>
      <c r="MBD3" s="1113"/>
      <c r="MBE3" s="1113"/>
      <c r="MBF3" s="1113"/>
      <c r="MBG3" s="1113"/>
      <c r="MBH3" s="1113"/>
      <c r="MBI3" s="1113"/>
      <c r="MBJ3" s="1113"/>
      <c r="MBK3" s="1113"/>
      <c r="MBL3" s="1113"/>
      <c r="MBM3" s="1113"/>
      <c r="MBN3" s="1113"/>
      <c r="MBO3" s="1113"/>
      <c r="MBP3" s="1113"/>
      <c r="MBQ3" s="1113"/>
      <c r="MBR3" s="1113"/>
      <c r="MBS3" s="1113"/>
      <c r="MBT3" s="1113"/>
      <c r="MBU3" s="1113"/>
      <c r="MBV3" s="1113"/>
      <c r="MBW3" s="1113"/>
      <c r="MBX3" s="1113"/>
      <c r="MBY3" s="1113"/>
      <c r="MBZ3" s="1113"/>
      <c r="MCA3" s="1113"/>
      <c r="MCB3" s="1113"/>
      <c r="MCC3" s="1113"/>
      <c r="MCD3" s="1113"/>
      <c r="MCE3" s="1113"/>
      <c r="MCF3" s="1113"/>
      <c r="MCG3" s="1113"/>
      <c r="MCH3" s="1113"/>
      <c r="MCI3" s="1113"/>
      <c r="MCJ3" s="1113"/>
      <c r="MCK3" s="1113"/>
      <c r="MCL3" s="1113"/>
      <c r="MCM3" s="1113"/>
      <c r="MCN3" s="1113"/>
      <c r="MCO3" s="1113"/>
      <c r="MCP3" s="1113"/>
      <c r="MCQ3" s="1113"/>
      <c r="MCR3" s="1113"/>
      <c r="MCS3" s="1113"/>
      <c r="MCT3" s="1113"/>
      <c r="MCU3" s="1113"/>
      <c r="MCV3" s="1113"/>
      <c r="MCW3" s="1113"/>
      <c r="MCX3" s="1113"/>
      <c r="MCY3" s="1113"/>
      <c r="MCZ3" s="1113"/>
      <c r="MDA3" s="1113"/>
      <c r="MDB3" s="1113"/>
      <c r="MDC3" s="1113"/>
      <c r="MDD3" s="1113"/>
      <c r="MDE3" s="1113"/>
      <c r="MDF3" s="1113"/>
      <c r="MDG3" s="1113"/>
      <c r="MDH3" s="1113"/>
      <c r="MDI3" s="1113"/>
      <c r="MDJ3" s="1113"/>
      <c r="MDK3" s="1113"/>
      <c r="MDL3" s="1113"/>
      <c r="MDM3" s="1113"/>
      <c r="MDN3" s="1113"/>
      <c r="MDO3" s="1113"/>
      <c r="MDP3" s="1113"/>
      <c r="MDQ3" s="1113"/>
      <c r="MDR3" s="1113"/>
      <c r="MDS3" s="1113"/>
      <c r="MDT3" s="1113"/>
      <c r="MDU3" s="1113"/>
      <c r="MDV3" s="1113"/>
      <c r="MDW3" s="1113"/>
      <c r="MDX3" s="1113"/>
      <c r="MDY3" s="1113"/>
      <c r="MDZ3" s="1113"/>
      <c r="MEA3" s="1113"/>
      <c r="MEB3" s="1113"/>
      <c r="MEC3" s="1113"/>
      <c r="MED3" s="1113"/>
      <c r="MEE3" s="1113"/>
      <c r="MEF3" s="1113"/>
      <c r="MEG3" s="1113"/>
      <c r="MEH3" s="1113"/>
      <c r="MEI3" s="1113"/>
      <c r="MEJ3" s="1113"/>
      <c r="MEK3" s="1113"/>
      <c r="MEL3" s="1113"/>
      <c r="MEM3" s="1113"/>
      <c r="MEN3" s="1113"/>
      <c r="MEO3" s="1113"/>
      <c r="MEP3" s="1113"/>
      <c r="MEQ3" s="1113"/>
      <c r="MER3" s="1113"/>
      <c r="MES3" s="1113"/>
      <c r="MET3" s="1113"/>
      <c r="MEU3" s="1113"/>
      <c r="MEV3" s="1113"/>
      <c r="MEW3" s="1113"/>
      <c r="MEX3" s="1113"/>
      <c r="MEY3" s="1113"/>
      <c r="MEZ3" s="1113"/>
      <c r="MFA3" s="1113"/>
      <c r="MFB3" s="1113"/>
      <c r="MFC3" s="1113"/>
      <c r="MFD3" s="1113"/>
      <c r="MFE3" s="1113"/>
      <c r="MFF3" s="1113"/>
      <c r="MFG3" s="1113"/>
      <c r="MFH3" s="1113"/>
      <c r="MFI3" s="1113"/>
      <c r="MFJ3" s="1113"/>
      <c r="MFK3" s="1113"/>
      <c r="MFL3" s="1113"/>
      <c r="MFM3" s="1113"/>
      <c r="MFN3" s="1113"/>
      <c r="MFO3" s="1113"/>
      <c r="MFP3" s="1113"/>
      <c r="MFQ3" s="1113"/>
      <c r="MFR3" s="1113"/>
      <c r="MFS3" s="1113"/>
      <c r="MFT3" s="1113"/>
      <c r="MFU3" s="1113"/>
      <c r="MFV3" s="1113"/>
      <c r="MFW3" s="1113"/>
      <c r="MFX3" s="1113"/>
      <c r="MFY3" s="1113"/>
      <c r="MFZ3" s="1113"/>
      <c r="MGA3" s="1113"/>
      <c r="MGB3" s="1113"/>
      <c r="MGC3" s="1113"/>
      <c r="MGD3" s="1113"/>
      <c r="MGE3" s="1113"/>
      <c r="MGF3" s="1113"/>
      <c r="MGG3" s="1113"/>
      <c r="MGH3" s="1113"/>
      <c r="MGI3" s="1113"/>
      <c r="MGJ3" s="1113"/>
      <c r="MGK3" s="1113"/>
      <c r="MGL3" s="1113"/>
      <c r="MGM3" s="1113"/>
      <c r="MGN3" s="1113"/>
      <c r="MGO3" s="1113"/>
      <c r="MGP3" s="1113"/>
      <c r="MGQ3" s="1113"/>
      <c r="MGR3" s="1113"/>
      <c r="MGS3" s="1113"/>
      <c r="MGT3" s="1113"/>
      <c r="MGU3" s="1113"/>
      <c r="MGV3" s="1113"/>
      <c r="MGW3" s="1113"/>
      <c r="MGX3" s="1113"/>
      <c r="MGY3" s="1113"/>
      <c r="MGZ3" s="1113"/>
      <c r="MHA3" s="1113"/>
      <c r="MHB3" s="1113"/>
      <c r="MHC3" s="1113"/>
      <c r="MHD3" s="1113"/>
      <c r="MHE3" s="1113"/>
      <c r="MHF3" s="1113"/>
      <c r="MHG3" s="1113"/>
      <c r="MHH3" s="1113"/>
      <c r="MHI3" s="1113"/>
      <c r="MHJ3" s="1113"/>
      <c r="MHK3" s="1113"/>
      <c r="MHL3" s="1113"/>
      <c r="MHM3" s="1113"/>
      <c r="MHN3" s="1113"/>
      <c r="MHO3" s="1113"/>
      <c r="MHP3" s="1113"/>
      <c r="MHQ3" s="1113"/>
      <c r="MHR3" s="1113"/>
      <c r="MHS3" s="1113"/>
      <c r="MHT3" s="1113"/>
      <c r="MHU3" s="1113"/>
      <c r="MHV3" s="1113"/>
      <c r="MHW3" s="1113"/>
      <c r="MHX3" s="1113"/>
      <c r="MHY3" s="1113"/>
      <c r="MHZ3" s="1113"/>
      <c r="MIA3" s="1113"/>
      <c r="MIB3" s="1113"/>
      <c r="MIC3" s="1113"/>
      <c r="MID3" s="1113"/>
      <c r="MIE3" s="1113"/>
      <c r="MIF3" s="1113"/>
      <c r="MIG3" s="1113"/>
      <c r="MIH3" s="1113"/>
      <c r="MII3" s="1113"/>
      <c r="MIJ3" s="1113"/>
      <c r="MIK3" s="1113"/>
      <c r="MIL3" s="1113"/>
      <c r="MIM3" s="1113"/>
      <c r="MIN3" s="1113"/>
      <c r="MIO3" s="1113"/>
      <c r="MIP3" s="1113"/>
      <c r="MIQ3" s="1113"/>
      <c r="MIR3" s="1113"/>
      <c r="MIS3" s="1113"/>
      <c r="MIT3" s="1113"/>
      <c r="MIU3" s="1113"/>
      <c r="MIV3" s="1113"/>
      <c r="MIW3" s="1113"/>
      <c r="MIX3" s="1113"/>
      <c r="MIY3" s="1113"/>
      <c r="MIZ3" s="1113"/>
      <c r="MJA3" s="1113"/>
      <c r="MJB3" s="1113"/>
      <c r="MJC3" s="1113"/>
      <c r="MJD3" s="1113"/>
      <c r="MJE3" s="1113"/>
      <c r="MJF3" s="1113"/>
      <c r="MJG3" s="1113"/>
      <c r="MJH3" s="1113"/>
      <c r="MJI3" s="1113"/>
      <c r="MJJ3" s="1113"/>
      <c r="MJK3" s="1113"/>
      <c r="MJL3" s="1113"/>
      <c r="MJM3" s="1113"/>
      <c r="MJN3" s="1113"/>
      <c r="MJO3" s="1113"/>
      <c r="MJP3" s="1113"/>
      <c r="MJQ3" s="1113"/>
      <c r="MJR3" s="1113"/>
      <c r="MJS3" s="1113"/>
      <c r="MJT3" s="1113"/>
      <c r="MJU3" s="1113"/>
      <c r="MJV3" s="1113"/>
      <c r="MJW3" s="1113"/>
      <c r="MJX3" s="1113"/>
      <c r="MJY3" s="1113"/>
      <c r="MJZ3" s="1113"/>
      <c r="MKA3" s="1113"/>
      <c r="MKB3" s="1113"/>
      <c r="MKC3" s="1113"/>
      <c r="MKD3" s="1113"/>
      <c r="MKE3" s="1113"/>
      <c r="MKF3" s="1113"/>
      <c r="MKG3" s="1113"/>
      <c r="MKH3" s="1113"/>
      <c r="MKI3" s="1113"/>
      <c r="MKJ3" s="1113"/>
      <c r="MKK3" s="1113"/>
      <c r="MKL3" s="1113"/>
      <c r="MKM3" s="1113"/>
      <c r="MKN3" s="1113"/>
      <c r="MKO3" s="1113"/>
      <c r="MKP3" s="1113"/>
      <c r="MKQ3" s="1113"/>
      <c r="MKR3" s="1113"/>
      <c r="MKS3" s="1113"/>
      <c r="MKT3" s="1113"/>
      <c r="MKU3" s="1113"/>
      <c r="MKV3" s="1113"/>
      <c r="MKW3" s="1113"/>
      <c r="MKX3" s="1113"/>
      <c r="MKY3" s="1113"/>
      <c r="MKZ3" s="1113"/>
      <c r="MLA3" s="1113"/>
      <c r="MLB3" s="1113"/>
      <c r="MLC3" s="1113"/>
      <c r="MLD3" s="1113"/>
      <c r="MLE3" s="1113"/>
      <c r="MLF3" s="1113"/>
      <c r="MLG3" s="1113"/>
      <c r="MLH3" s="1113"/>
      <c r="MLI3" s="1113"/>
      <c r="MLJ3" s="1113"/>
      <c r="MLK3" s="1113"/>
      <c r="MLL3" s="1113"/>
      <c r="MLM3" s="1113"/>
      <c r="MLN3" s="1113"/>
      <c r="MLO3" s="1113"/>
      <c r="MLP3" s="1113"/>
      <c r="MLQ3" s="1113"/>
      <c r="MLR3" s="1113"/>
      <c r="MLS3" s="1113"/>
      <c r="MLT3" s="1113"/>
      <c r="MLU3" s="1113"/>
      <c r="MLV3" s="1113"/>
      <c r="MLW3" s="1113"/>
      <c r="MLX3" s="1113"/>
      <c r="MLY3" s="1113"/>
      <c r="MLZ3" s="1113"/>
      <c r="MMA3" s="1113"/>
      <c r="MMB3" s="1113"/>
      <c r="MMC3" s="1113"/>
      <c r="MMD3" s="1113"/>
      <c r="MME3" s="1113"/>
      <c r="MMF3" s="1113"/>
      <c r="MMG3" s="1113"/>
      <c r="MMH3" s="1113"/>
      <c r="MMI3" s="1113"/>
      <c r="MMJ3" s="1113"/>
      <c r="MMK3" s="1113"/>
      <c r="MML3" s="1113"/>
      <c r="MMM3" s="1113"/>
      <c r="MMN3" s="1113"/>
      <c r="MMO3" s="1113"/>
      <c r="MMP3" s="1113"/>
      <c r="MMQ3" s="1113"/>
      <c r="MMR3" s="1113"/>
      <c r="MMS3" s="1113"/>
      <c r="MMT3" s="1113"/>
      <c r="MMU3" s="1113"/>
      <c r="MMV3" s="1113"/>
      <c r="MMW3" s="1113"/>
      <c r="MMX3" s="1113"/>
      <c r="MMY3" s="1113"/>
      <c r="MMZ3" s="1113"/>
      <c r="MNA3" s="1113"/>
      <c r="MNB3" s="1113"/>
      <c r="MNC3" s="1113"/>
      <c r="MND3" s="1113"/>
      <c r="MNE3" s="1113"/>
      <c r="MNF3" s="1113"/>
      <c r="MNG3" s="1113"/>
      <c r="MNH3" s="1113"/>
      <c r="MNI3" s="1113"/>
      <c r="MNJ3" s="1113"/>
      <c r="MNK3" s="1113"/>
      <c r="MNL3" s="1113"/>
      <c r="MNM3" s="1113"/>
      <c r="MNN3" s="1113"/>
      <c r="MNO3" s="1113"/>
      <c r="MNP3" s="1113"/>
      <c r="MNQ3" s="1113"/>
      <c r="MNR3" s="1113"/>
      <c r="MNS3" s="1113"/>
      <c r="MNT3" s="1113"/>
      <c r="MNU3" s="1113"/>
      <c r="MNV3" s="1113"/>
      <c r="MNW3" s="1113"/>
      <c r="MNX3" s="1113"/>
      <c r="MNY3" s="1113"/>
      <c r="MNZ3" s="1113"/>
      <c r="MOA3" s="1113"/>
      <c r="MOB3" s="1113"/>
      <c r="MOC3" s="1113"/>
      <c r="MOD3" s="1113"/>
      <c r="MOE3" s="1113"/>
      <c r="MOF3" s="1113"/>
      <c r="MOG3" s="1113"/>
      <c r="MOH3" s="1113"/>
      <c r="MOI3" s="1113"/>
      <c r="MOJ3" s="1113"/>
      <c r="MOK3" s="1113"/>
      <c r="MOL3" s="1113"/>
      <c r="MOM3" s="1113"/>
      <c r="MON3" s="1113"/>
      <c r="MOO3" s="1113"/>
      <c r="MOP3" s="1113"/>
      <c r="MOQ3" s="1113"/>
      <c r="MOR3" s="1113"/>
      <c r="MOS3" s="1113"/>
      <c r="MOT3" s="1113"/>
      <c r="MOU3" s="1113"/>
      <c r="MOV3" s="1113"/>
      <c r="MOW3" s="1113"/>
      <c r="MOX3" s="1113"/>
      <c r="MOY3" s="1113"/>
      <c r="MOZ3" s="1113"/>
      <c r="MPA3" s="1113"/>
      <c r="MPB3" s="1113"/>
      <c r="MPC3" s="1113"/>
      <c r="MPD3" s="1113"/>
      <c r="MPE3" s="1113"/>
      <c r="MPF3" s="1113"/>
      <c r="MPG3" s="1113"/>
      <c r="MPH3" s="1113"/>
      <c r="MPI3" s="1113"/>
      <c r="MPJ3" s="1113"/>
      <c r="MPK3" s="1113"/>
      <c r="MPL3" s="1113"/>
      <c r="MPM3" s="1113"/>
      <c r="MPN3" s="1113"/>
      <c r="MPO3" s="1113"/>
      <c r="MPP3" s="1113"/>
      <c r="MPQ3" s="1113"/>
      <c r="MPR3" s="1113"/>
      <c r="MPS3" s="1113"/>
      <c r="MPT3" s="1113"/>
      <c r="MPU3" s="1113"/>
      <c r="MPV3" s="1113"/>
      <c r="MPW3" s="1113"/>
      <c r="MPX3" s="1113"/>
      <c r="MPY3" s="1113"/>
      <c r="MPZ3" s="1113"/>
      <c r="MQA3" s="1113"/>
      <c r="MQB3" s="1113"/>
      <c r="MQC3" s="1113"/>
      <c r="MQD3" s="1113"/>
      <c r="MQE3" s="1113"/>
      <c r="MQF3" s="1113"/>
      <c r="MQG3" s="1113"/>
      <c r="MQH3" s="1113"/>
      <c r="MQI3" s="1113"/>
      <c r="MQJ3" s="1113"/>
      <c r="MQK3" s="1113"/>
      <c r="MQL3" s="1113"/>
      <c r="MQM3" s="1113"/>
      <c r="MQN3" s="1113"/>
      <c r="MQO3" s="1113"/>
      <c r="MQP3" s="1113"/>
      <c r="MQQ3" s="1113"/>
      <c r="MQR3" s="1113"/>
      <c r="MQS3" s="1113"/>
      <c r="MQT3" s="1113"/>
      <c r="MQU3" s="1113"/>
      <c r="MQV3" s="1113"/>
      <c r="MQW3" s="1113"/>
      <c r="MQX3" s="1113"/>
      <c r="MQY3" s="1113"/>
      <c r="MQZ3" s="1113"/>
      <c r="MRA3" s="1113"/>
      <c r="MRB3" s="1113"/>
      <c r="MRC3" s="1113"/>
      <c r="MRD3" s="1113"/>
      <c r="MRE3" s="1113"/>
      <c r="MRF3" s="1113"/>
      <c r="MRG3" s="1113"/>
      <c r="MRH3" s="1113"/>
      <c r="MRI3" s="1113"/>
      <c r="MRJ3" s="1113"/>
      <c r="MRK3" s="1113"/>
      <c r="MRL3" s="1113"/>
      <c r="MRM3" s="1113"/>
      <c r="MRN3" s="1113"/>
      <c r="MRO3" s="1113"/>
      <c r="MRP3" s="1113"/>
      <c r="MRQ3" s="1113"/>
      <c r="MRR3" s="1113"/>
      <c r="MRS3" s="1113"/>
      <c r="MRT3" s="1113"/>
      <c r="MRU3" s="1113"/>
      <c r="MRV3" s="1113"/>
      <c r="MRW3" s="1113"/>
      <c r="MRX3" s="1113"/>
      <c r="MRY3" s="1113"/>
      <c r="MRZ3" s="1113"/>
      <c r="MSA3" s="1113"/>
      <c r="MSB3" s="1113"/>
      <c r="MSC3" s="1113"/>
      <c r="MSD3" s="1113"/>
      <c r="MSE3" s="1113"/>
      <c r="MSF3" s="1113"/>
      <c r="MSG3" s="1113"/>
      <c r="MSH3" s="1113"/>
      <c r="MSI3" s="1113"/>
      <c r="MSJ3" s="1113"/>
      <c r="MSK3" s="1113"/>
      <c r="MSL3" s="1113"/>
      <c r="MSM3" s="1113"/>
      <c r="MSN3" s="1113"/>
      <c r="MSO3" s="1113"/>
      <c r="MSP3" s="1113"/>
      <c r="MSQ3" s="1113"/>
      <c r="MSR3" s="1113"/>
      <c r="MSS3" s="1113"/>
      <c r="MST3" s="1113"/>
      <c r="MSU3" s="1113"/>
      <c r="MSV3" s="1113"/>
      <c r="MSW3" s="1113"/>
      <c r="MSX3" s="1113"/>
      <c r="MSY3" s="1113"/>
      <c r="MSZ3" s="1113"/>
      <c r="MTA3" s="1113"/>
      <c r="MTB3" s="1113"/>
      <c r="MTC3" s="1113"/>
      <c r="MTD3" s="1113"/>
      <c r="MTE3" s="1113"/>
      <c r="MTF3" s="1113"/>
      <c r="MTG3" s="1113"/>
      <c r="MTH3" s="1113"/>
      <c r="MTI3" s="1113"/>
      <c r="MTJ3" s="1113"/>
      <c r="MTK3" s="1113"/>
      <c r="MTL3" s="1113"/>
      <c r="MTM3" s="1113"/>
      <c r="MTN3" s="1113"/>
      <c r="MTO3" s="1113"/>
      <c r="MTP3" s="1113"/>
      <c r="MTQ3" s="1113"/>
      <c r="MTR3" s="1113"/>
      <c r="MTS3" s="1113"/>
      <c r="MTT3" s="1113"/>
      <c r="MTU3" s="1113"/>
      <c r="MTV3" s="1113"/>
      <c r="MTW3" s="1113"/>
      <c r="MTX3" s="1113"/>
      <c r="MTY3" s="1113"/>
      <c r="MTZ3" s="1113"/>
      <c r="MUA3" s="1113"/>
      <c r="MUB3" s="1113"/>
      <c r="MUC3" s="1113"/>
      <c r="MUD3" s="1113"/>
      <c r="MUE3" s="1113"/>
      <c r="MUF3" s="1113"/>
      <c r="MUG3" s="1113"/>
      <c r="MUH3" s="1113"/>
      <c r="MUI3" s="1113"/>
      <c r="MUJ3" s="1113"/>
      <c r="MUK3" s="1113"/>
      <c r="MUL3" s="1113"/>
      <c r="MUM3" s="1113"/>
      <c r="MUN3" s="1113"/>
      <c r="MUO3" s="1113"/>
      <c r="MUP3" s="1113"/>
      <c r="MUQ3" s="1113"/>
      <c r="MUR3" s="1113"/>
      <c r="MUS3" s="1113"/>
      <c r="MUT3" s="1113"/>
      <c r="MUU3" s="1113"/>
      <c r="MUV3" s="1113"/>
      <c r="MUW3" s="1113"/>
      <c r="MUX3" s="1113"/>
      <c r="MUY3" s="1113"/>
      <c r="MUZ3" s="1113"/>
      <c r="MVA3" s="1113"/>
      <c r="MVB3" s="1113"/>
      <c r="MVC3" s="1113"/>
      <c r="MVD3" s="1113"/>
      <c r="MVE3" s="1113"/>
      <c r="MVF3" s="1113"/>
      <c r="MVG3" s="1113"/>
      <c r="MVH3" s="1113"/>
      <c r="MVI3" s="1113"/>
      <c r="MVJ3" s="1113"/>
      <c r="MVK3" s="1113"/>
      <c r="MVL3" s="1113"/>
      <c r="MVM3" s="1113"/>
      <c r="MVN3" s="1113"/>
      <c r="MVO3" s="1113"/>
      <c r="MVP3" s="1113"/>
      <c r="MVQ3" s="1113"/>
      <c r="MVR3" s="1113"/>
      <c r="MVS3" s="1113"/>
      <c r="MVT3" s="1113"/>
      <c r="MVU3" s="1113"/>
      <c r="MVV3" s="1113"/>
      <c r="MVW3" s="1113"/>
      <c r="MVX3" s="1113"/>
      <c r="MVY3" s="1113"/>
      <c r="MVZ3" s="1113"/>
      <c r="MWA3" s="1113"/>
      <c r="MWB3" s="1113"/>
      <c r="MWC3" s="1113"/>
      <c r="MWD3" s="1113"/>
      <c r="MWE3" s="1113"/>
      <c r="MWF3" s="1113"/>
      <c r="MWG3" s="1113"/>
      <c r="MWH3" s="1113"/>
      <c r="MWI3" s="1113"/>
      <c r="MWJ3" s="1113"/>
      <c r="MWK3" s="1113"/>
      <c r="MWL3" s="1113"/>
      <c r="MWM3" s="1113"/>
      <c r="MWN3" s="1113"/>
      <c r="MWO3" s="1113"/>
      <c r="MWP3" s="1113"/>
      <c r="MWQ3" s="1113"/>
      <c r="MWR3" s="1113"/>
      <c r="MWS3" s="1113"/>
      <c r="MWT3" s="1113"/>
      <c r="MWU3" s="1113"/>
      <c r="MWV3" s="1113"/>
      <c r="MWW3" s="1113"/>
      <c r="MWX3" s="1113"/>
      <c r="MWY3" s="1113"/>
      <c r="MWZ3" s="1113"/>
      <c r="MXA3" s="1113"/>
      <c r="MXB3" s="1113"/>
      <c r="MXC3" s="1113"/>
      <c r="MXD3" s="1113"/>
      <c r="MXE3" s="1113"/>
      <c r="MXF3" s="1113"/>
      <c r="MXG3" s="1113"/>
      <c r="MXH3" s="1113"/>
      <c r="MXI3" s="1113"/>
      <c r="MXJ3" s="1113"/>
      <c r="MXK3" s="1113"/>
      <c r="MXL3" s="1113"/>
      <c r="MXM3" s="1113"/>
      <c r="MXN3" s="1113"/>
      <c r="MXO3" s="1113"/>
      <c r="MXP3" s="1113"/>
      <c r="MXQ3" s="1113"/>
      <c r="MXR3" s="1113"/>
      <c r="MXS3" s="1113"/>
      <c r="MXT3" s="1113"/>
      <c r="MXU3" s="1113"/>
      <c r="MXV3" s="1113"/>
      <c r="MXW3" s="1113"/>
      <c r="MXX3" s="1113"/>
      <c r="MXY3" s="1113"/>
      <c r="MXZ3" s="1113"/>
      <c r="MYA3" s="1113"/>
      <c r="MYB3" s="1113"/>
      <c r="MYC3" s="1113"/>
      <c r="MYD3" s="1113"/>
      <c r="MYE3" s="1113"/>
      <c r="MYF3" s="1113"/>
      <c r="MYG3" s="1113"/>
      <c r="MYH3" s="1113"/>
      <c r="MYI3" s="1113"/>
      <c r="MYJ3" s="1113"/>
      <c r="MYK3" s="1113"/>
      <c r="MYL3" s="1113"/>
      <c r="MYM3" s="1113"/>
      <c r="MYN3" s="1113"/>
      <c r="MYO3" s="1113"/>
      <c r="MYP3" s="1113"/>
      <c r="MYQ3" s="1113"/>
      <c r="MYR3" s="1113"/>
      <c r="MYS3" s="1113"/>
      <c r="MYT3" s="1113"/>
      <c r="MYU3" s="1113"/>
      <c r="MYV3" s="1113"/>
      <c r="MYW3" s="1113"/>
      <c r="MYX3" s="1113"/>
      <c r="MYY3" s="1113"/>
      <c r="MYZ3" s="1113"/>
      <c r="MZA3" s="1113"/>
      <c r="MZB3" s="1113"/>
      <c r="MZC3" s="1113"/>
      <c r="MZD3" s="1113"/>
      <c r="MZE3" s="1113"/>
      <c r="MZF3" s="1113"/>
      <c r="MZG3" s="1113"/>
      <c r="MZH3" s="1113"/>
      <c r="MZI3" s="1113"/>
      <c r="MZJ3" s="1113"/>
      <c r="MZK3" s="1113"/>
      <c r="MZL3" s="1113"/>
      <c r="MZM3" s="1113"/>
      <c r="MZN3" s="1113"/>
      <c r="MZO3" s="1113"/>
      <c r="MZP3" s="1113"/>
      <c r="MZQ3" s="1113"/>
      <c r="MZR3" s="1113"/>
      <c r="MZS3" s="1113"/>
      <c r="MZT3" s="1113"/>
      <c r="MZU3" s="1113"/>
      <c r="MZV3" s="1113"/>
      <c r="MZW3" s="1113"/>
      <c r="MZX3" s="1113"/>
      <c r="MZY3" s="1113"/>
      <c r="MZZ3" s="1113"/>
      <c r="NAA3" s="1113"/>
      <c r="NAB3" s="1113"/>
      <c r="NAC3" s="1113"/>
      <c r="NAD3" s="1113"/>
      <c r="NAE3" s="1113"/>
      <c r="NAF3" s="1113"/>
      <c r="NAG3" s="1113"/>
      <c r="NAH3" s="1113"/>
      <c r="NAI3" s="1113"/>
      <c r="NAJ3" s="1113"/>
      <c r="NAK3" s="1113"/>
      <c r="NAL3" s="1113"/>
      <c r="NAM3" s="1113"/>
      <c r="NAN3" s="1113"/>
      <c r="NAO3" s="1113"/>
      <c r="NAP3" s="1113"/>
      <c r="NAQ3" s="1113"/>
      <c r="NAR3" s="1113"/>
      <c r="NAS3" s="1113"/>
      <c r="NAT3" s="1113"/>
      <c r="NAU3" s="1113"/>
      <c r="NAV3" s="1113"/>
      <c r="NAW3" s="1113"/>
      <c r="NAX3" s="1113"/>
      <c r="NAY3" s="1113"/>
      <c r="NAZ3" s="1113"/>
      <c r="NBA3" s="1113"/>
      <c r="NBB3" s="1113"/>
      <c r="NBC3" s="1113"/>
      <c r="NBD3" s="1113"/>
      <c r="NBE3" s="1113"/>
      <c r="NBF3" s="1113"/>
      <c r="NBG3" s="1113"/>
      <c r="NBH3" s="1113"/>
      <c r="NBI3" s="1113"/>
      <c r="NBJ3" s="1113"/>
      <c r="NBK3" s="1113"/>
      <c r="NBL3" s="1113"/>
      <c r="NBM3" s="1113"/>
      <c r="NBN3" s="1113"/>
      <c r="NBO3" s="1113"/>
      <c r="NBP3" s="1113"/>
      <c r="NBQ3" s="1113"/>
      <c r="NBR3" s="1113"/>
      <c r="NBS3" s="1113"/>
      <c r="NBT3" s="1113"/>
      <c r="NBU3" s="1113"/>
      <c r="NBV3" s="1113"/>
      <c r="NBW3" s="1113"/>
      <c r="NBX3" s="1113"/>
      <c r="NBY3" s="1113"/>
      <c r="NBZ3" s="1113"/>
      <c r="NCA3" s="1113"/>
      <c r="NCB3" s="1113"/>
      <c r="NCC3" s="1113"/>
      <c r="NCD3" s="1113"/>
      <c r="NCE3" s="1113"/>
      <c r="NCF3" s="1113"/>
      <c r="NCG3" s="1113"/>
      <c r="NCH3" s="1113"/>
      <c r="NCI3" s="1113"/>
      <c r="NCJ3" s="1113"/>
      <c r="NCK3" s="1113"/>
      <c r="NCL3" s="1113"/>
      <c r="NCM3" s="1113"/>
      <c r="NCN3" s="1113"/>
      <c r="NCO3" s="1113"/>
      <c r="NCP3" s="1113"/>
      <c r="NCQ3" s="1113"/>
      <c r="NCR3" s="1113"/>
      <c r="NCS3" s="1113"/>
      <c r="NCT3" s="1113"/>
      <c r="NCU3" s="1113"/>
      <c r="NCV3" s="1113"/>
      <c r="NCW3" s="1113"/>
      <c r="NCX3" s="1113"/>
      <c r="NCY3" s="1113"/>
      <c r="NCZ3" s="1113"/>
      <c r="NDA3" s="1113"/>
      <c r="NDB3" s="1113"/>
      <c r="NDC3" s="1113"/>
      <c r="NDD3" s="1113"/>
      <c r="NDE3" s="1113"/>
      <c r="NDF3" s="1113"/>
      <c r="NDG3" s="1113"/>
      <c r="NDH3" s="1113"/>
      <c r="NDI3" s="1113"/>
      <c r="NDJ3" s="1113"/>
      <c r="NDK3" s="1113"/>
      <c r="NDL3" s="1113"/>
      <c r="NDM3" s="1113"/>
      <c r="NDN3" s="1113"/>
      <c r="NDO3" s="1113"/>
      <c r="NDP3" s="1113"/>
      <c r="NDQ3" s="1113"/>
      <c r="NDR3" s="1113"/>
      <c r="NDS3" s="1113"/>
      <c r="NDT3" s="1113"/>
      <c r="NDU3" s="1113"/>
      <c r="NDV3" s="1113"/>
      <c r="NDW3" s="1113"/>
      <c r="NDX3" s="1113"/>
      <c r="NDY3" s="1113"/>
      <c r="NDZ3" s="1113"/>
      <c r="NEA3" s="1113"/>
      <c r="NEB3" s="1113"/>
      <c r="NEC3" s="1113"/>
      <c r="NED3" s="1113"/>
      <c r="NEE3" s="1113"/>
      <c r="NEF3" s="1113"/>
      <c r="NEG3" s="1113"/>
      <c r="NEH3" s="1113"/>
      <c r="NEI3" s="1113"/>
      <c r="NEJ3" s="1113"/>
      <c r="NEK3" s="1113"/>
      <c r="NEL3" s="1113"/>
      <c r="NEM3" s="1113"/>
      <c r="NEN3" s="1113"/>
      <c r="NEO3" s="1113"/>
      <c r="NEP3" s="1113"/>
      <c r="NEQ3" s="1113"/>
      <c r="NER3" s="1113"/>
      <c r="NES3" s="1113"/>
      <c r="NET3" s="1113"/>
      <c r="NEU3" s="1113"/>
      <c r="NEV3" s="1113"/>
      <c r="NEW3" s="1113"/>
      <c r="NEX3" s="1113"/>
      <c r="NEY3" s="1113"/>
      <c r="NEZ3" s="1113"/>
      <c r="NFA3" s="1113"/>
      <c r="NFB3" s="1113"/>
      <c r="NFC3" s="1113"/>
      <c r="NFD3" s="1113"/>
      <c r="NFE3" s="1113"/>
      <c r="NFF3" s="1113"/>
      <c r="NFG3" s="1113"/>
      <c r="NFH3" s="1113"/>
      <c r="NFI3" s="1113"/>
      <c r="NFJ3" s="1113"/>
      <c r="NFK3" s="1113"/>
      <c r="NFL3" s="1113"/>
      <c r="NFM3" s="1113"/>
      <c r="NFN3" s="1113"/>
      <c r="NFO3" s="1113"/>
      <c r="NFP3" s="1113"/>
      <c r="NFQ3" s="1113"/>
      <c r="NFR3" s="1113"/>
      <c r="NFS3" s="1113"/>
      <c r="NFT3" s="1113"/>
      <c r="NFU3" s="1113"/>
      <c r="NFV3" s="1113"/>
      <c r="NFW3" s="1113"/>
      <c r="NFX3" s="1113"/>
      <c r="NFY3" s="1113"/>
      <c r="NFZ3" s="1113"/>
      <c r="NGA3" s="1113"/>
      <c r="NGB3" s="1113"/>
      <c r="NGC3" s="1113"/>
      <c r="NGD3" s="1113"/>
      <c r="NGE3" s="1113"/>
      <c r="NGF3" s="1113"/>
      <c r="NGG3" s="1113"/>
      <c r="NGH3" s="1113"/>
      <c r="NGI3" s="1113"/>
      <c r="NGJ3" s="1113"/>
      <c r="NGK3" s="1113"/>
      <c r="NGL3" s="1113"/>
      <c r="NGM3" s="1113"/>
      <c r="NGN3" s="1113"/>
      <c r="NGO3" s="1113"/>
      <c r="NGP3" s="1113"/>
      <c r="NGQ3" s="1113"/>
      <c r="NGR3" s="1113"/>
      <c r="NGS3" s="1113"/>
      <c r="NGT3" s="1113"/>
      <c r="NGU3" s="1113"/>
      <c r="NGV3" s="1113"/>
      <c r="NGW3" s="1113"/>
      <c r="NGX3" s="1113"/>
      <c r="NGY3" s="1113"/>
      <c r="NGZ3" s="1113"/>
      <c r="NHA3" s="1113"/>
      <c r="NHB3" s="1113"/>
      <c r="NHC3" s="1113"/>
      <c r="NHD3" s="1113"/>
      <c r="NHE3" s="1113"/>
      <c r="NHF3" s="1113"/>
      <c r="NHG3" s="1113"/>
      <c r="NHH3" s="1113"/>
      <c r="NHI3" s="1113"/>
      <c r="NHJ3" s="1113"/>
      <c r="NHK3" s="1113"/>
      <c r="NHL3" s="1113"/>
      <c r="NHM3" s="1113"/>
      <c r="NHN3" s="1113"/>
      <c r="NHO3" s="1113"/>
      <c r="NHP3" s="1113"/>
      <c r="NHQ3" s="1113"/>
      <c r="NHR3" s="1113"/>
      <c r="NHS3" s="1113"/>
      <c r="NHT3" s="1113"/>
      <c r="NHU3" s="1113"/>
      <c r="NHV3" s="1113"/>
      <c r="NHW3" s="1113"/>
      <c r="NHX3" s="1113"/>
      <c r="NHY3" s="1113"/>
      <c r="NHZ3" s="1113"/>
      <c r="NIA3" s="1113"/>
      <c r="NIB3" s="1113"/>
      <c r="NIC3" s="1113"/>
      <c r="NID3" s="1113"/>
      <c r="NIE3" s="1113"/>
      <c r="NIF3" s="1113"/>
      <c r="NIG3" s="1113"/>
      <c r="NIH3" s="1113"/>
      <c r="NII3" s="1113"/>
      <c r="NIJ3" s="1113"/>
      <c r="NIK3" s="1113"/>
      <c r="NIL3" s="1113"/>
      <c r="NIM3" s="1113"/>
      <c r="NIN3" s="1113"/>
      <c r="NIO3" s="1113"/>
      <c r="NIP3" s="1113"/>
      <c r="NIQ3" s="1113"/>
      <c r="NIR3" s="1113"/>
      <c r="NIS3" s="1113"/>
      <c r="NIT3" s="1113"/>
      <c r="NIU3" s="1113"/>
      <c r="NIV3" s="1113"/>
      <c r="NIW3" s="1113"/>
      <c r="NIX3" s="1113"/>
      <c r="NIY3" s="1113"/>
      <c r="NIZ3" s="1113"/>
      <c r="NJA3" s="1113"/>
      <c r="NJB3" s="1113"/>
      <c r="NJC3" s="1113"/>
      <c r="NJD3" s="1113"/>
      <c r="NJE3" s="1113"/>
      <c r="NJF3" s="1113"/>
      <c r="NJG3" s="1113"/>
      <c r="NJH3" s="1113"/>
      <c r="NJI3" s="1113"/>
      <c r="NJJ3" s="1113"/>
      <c r="NJK3" s="1113"/>
      <c r="NJL3" s="1113"/>
      <c r="NJM3" s="1113"/>
      <c r="NJN3" s="1113"/>
      <c r="NJO3" s="1113"/>
      <c r="NJP3" s="1113"/>
      <c r="NJQ3" s="1113"/>
      <c r="NJR3" s="1113"/>
      <c r="NJS3" s="1113"/>
      <c r="NJT3" s="1113"/>
      <c r="NJU3" s="1113"/>
      <c r="NJV3" s="1113"/>
      <c r="NJW3" s="1113"/>
      <c r="NJX3" s="1113"/>
      <c r="NJY3" s="1113"/>
      <c r="NJZ3" s="1113"/>
      <c r="NKA3" s="1113"/>
      <c r="NKB3" s="1113"/>
      <c r="NKC3" s="1113"/>
      <c r="NKD3" s="1113"/>
      <c r="NKE3" s="1113"/>
      <c r="NKF3" s="1113"/>
      <c r="NKG3" s="1113"/>
      <c r="NKH3" s="1113"/>
      <c r="NKI3" s="1113"/>
      <c r="NKJ3" s="1113"/>
      <c r="NKK3" s="1113"/>
      <c r="NKL3" s="1113"/>
      <c r="NKM3" s="1113"/>
      <c r="NKN3" s="1113"/>
      <c r="NKO3" s="1113"/>
      <c r="NKP3" s="1113"/>
      <c r="NKQ3" s="1113"/>
      <c r="NKR3" s="1113"/>
      <c r="NKS3" s="1113"/>
      <c r="NKT3" s="1113"/>
      <c r="NKU3" s="1113"/>
      <c r="NKV3" s="1113"/>
      <c r="NKW3" s="1113"/>
      <c r="NKX3" s="1113"/>
      <c r="NKY3" s="1113"/>
      <c r="NKZ3" s="1113"/>
      <c r="NLA3" s="1113"/>
      <c r="NLB3" s="1113"/>
      <c r="NLC3" s="1113"/>
      <c r="NLD3" s="1113"/>
      <c r="NLE3" s="1113"/>
      <c r="NLF3" s="1113"/>
      <c r="NLG3" s="1113"/>
      <c r="NLH3" s="1113"/>
      <c r="NLI3" s="1113"/>
      <c r="NLJ3" s="1113"/>
      <c r="NLK3" s="1113"/>
      <c r="NLL3" s="1113"/>
      <c r="NLM3" s="1113"/>
      <c r="NLN3" s="1113"/>
      <c r="NLO3" s="1113"/>
      <c r="NLP3" s="1113"/>
      <c r="NLQ3" s="1113"/>
      <c r="NLR3" s="1113"/>
      <c r="NLS3" s="1113"/>
      <c r="NLT3" s="1113"/>
      <c r="NLU3" s="1113"/>
      <c r="NLV3" s="1113"/>
      <c r="NLW3" s="1113"/>
      <c r="NLX3" s="1113"/>
      <c r="NLY3" s="1113"/>
      <c r="NLZ3" s="1113"/>
      <c r="NMA3" s="1113"/>
      <c r="NMB3" s="1113"/>
      <c r="NMC3" s="1113"/>
      <c r="NMD3" s="1113"/>
      <c r="NME3" s="1113"/>
      <c r="NMF3" s="1113"/>
      <c r="NMG3" s="1113"/>
      <c r="NMH3" s="1113"/>
      <c r="NMI3" s="1113"/>
      <c r="NMJ3" s="1113"/>
      <c r="NMK3" s="1113"/>
      <c r="NML3" s="1113"/>
      <c r="NMM3" s="1113"/>
      <c r="NMN3" s="1113"/>
      <c r="NMO3" s="1113"/>
      <c r="NMP3" s="1113"/>
      <c r="NMQ3" s="1113"/>
      <c r="NMR3" s="1113"/>
      <c r="NMS3" s="1113"/>
      <c r="NMT3" s="1113"/>
      <c r="NMU3" s="1113"/>
      <c r="NMV3" s="1113"/>
      <c r="NMW3" s="1113"/>
      <c r="NMX3" s="1113"/>
      <c r="NMY3" s="1113"/>
      <c r="NMZ3" s="1113"/>
      <c r="NNA3" s="1113"/>
      <c r="NNB3" s="1113"/>
      <c r="NNC3" s="1113"/>
      <c r="NND3" s="1113"/>
      <c r="NNE3" s="1113"/>
      <c r="NNF3" s="1113"/>
      <c r="NNG3" s="1113"/>
      <c r="NNH3" s="1113"/>
      <c r="NNI3" s="1113"/>
      <c r="NNJ3" s="1113"/>
      <c r="NNK3" s="1113"/>
      <c r="NNL3" s="1113"/>
      <c r="NNM3" s="1113"/>
      <c r="NNN3" s="1113"/>
      <c r="NNO3" s="1113"/>
      <c r="NNP3" s="1113"/>
      <c r="NNQ3" s="1113"/>
      <c r="NNR3" s="1113"/>
      <c r="NNS3" s="1113"/>
      <c r="NNT3" s="1113"/>
      <c r="NNU3" s="1113"/>
      <c r="NNV3" s="1113"/>
      <c r="NNW3" s="1113"/>
      <c r="NNX3" s="1113"/>
      <c r="NNY3" s="1113"/>
      <c r="NNZ3" s="1113"/>
      <c r="NOA3" s="1113"/>
      <c r="NOB3" s="1113"/>
      <c r="NOC3" s="1113"/>
      <c r="NOD3" s="1113"/>
      <c r="NOE3" s="1113"/>
      <c r="NOF3" s="1113"/>
      <c r="NOG3" s="1113"/>
      <c r="NOH3" s="1113"/>
      <c r="NOI3" s="1113"/>
      <c r="NOJ3" s="1113"/>
      <c r="NOK3" s="1113"/>
      <c r="NOL3" s="1113"/>
      <c r="NOM3" s="1113"/>
      <c r="NON3" s="1113"/>
      <c r="NOO3" s="1113"/>
      <c r="NOP3" s="1113"/>
      <c r="NOQ3" s="1113"/>
      <c r="NOR3" s="1113"/>
      <c r="NOS3" s="1113"/>
      <c r="NOT3" s="1113"/>
      <c r="NOU3" s="1113"/>
      <c r="NOV3" s="1113"/>
      <c r="NOW3" s="1113"/>
      <c r="NOX3" s="1113"/>
      <c r="NOY3" s="1113"/>
      <c r="NOZ3" s="1113"/>
      <c r="NPA3" s="1113"/>
      <c r="NPB3" s="1113"/>
      <c r="NPC3" s="1113"/>
      <c r="NPD3" s="1113"/>
      <c r="NPE3" s="1113"/>
      <c r="NPF3" s="1113"/>
      <c r="NPG3" s="1113"/>
      <c r="NPH3" s="1113"/>
      <c r="NPI3" s="1113"/>
      <c r="NPJ3" s="1113"/>
      <c r="NPK3" s="1113"/>
      <c r="NPL3" s="1113"/>
      <c r="NPM3" s="1113"/>
      <c r="NPN3" s="1113"/>
      <c r="NPO3" s="1113"/>
      <c r="NPP3" s="1113"/>
      <c r="NPQ3" s="1113"/>
      <c r="NPR3" s="1113"/>
      <c r="NPS3" s="1113"/>
      <c r="NPT3" s="1113"/>
      <c r="NPU3" s="1113"/>
      <c r="NPV3" s="1113"/>
      <c r="NPW3" s="1113"/>
      <c r="NPX3" s="1113"/>
      <c r="NPY3" s="1113"/>
      <c r="NPZ3" s="1113"/>
      <c r="NQA3" s="1113"/>
      <c r="NQB3" s="1113"/>
      <c r="NQC3" s="1113"/>
      <c r="NQD3" s="1113"/>
      <c r="NQE3" s="1113"/>
      <c r="NQF3" s="1113"/>
      <c r="NQG3" s="1113"/>
      <c r="NQH3" s="1113"/>
      <c r="NQI3" s="1113"/>
      <c r="NQJ3" s="1113"/>
      <c r="NQK3" s="1113"/>
      <c r="NQL3" s="1113"/>
      <c r="NQM3" s="1113"/>
      <c r="NQN3" s="1113"/>
      <c r="NQO3" s="1113"/>
      <c r="NQP3" s="1113"/>
      <c r="NQQ3" s="1113"/>
      <c r="NQR3" s="1113"/>
      <c r="NQS3" s="1113"/>
      <c r="NQT3" s="1113"/>
      <c r="NQU3" s="1113"/>
      <c r="NQV3" s="1113"/>
      <c r="NQW3" s="1113"/>
      <c r="NQX3" s="1113"/>
      <c r="NQY3" s="1113"/>
      <c r="NQZ3" s="1113"/>
      <c r="NRA3" s="1113"/>
      <c r="NRB3" s="1113"/>
      <c r="NRC3" s="1113"/>
      <c r="NRD3" s="1113"/>
      <c r="NRE3" s="1113"/>
      <c r="NRF3" s="1113"/>
      <c r="NRG3" s="1113"/>
      <c r="NRH3" s="1113"/>
      <c r="NRI3" s="1113"/>
      <c r="NRJ3" s="1113"/>
      <c r="NRK3" s="1113"/>
      <c r="NRL3" s="1113"/>
      <c r="NRM3" s="1113"/>
      <c r="NRN3" s="1113"/>
      <c r="NRO3" s="1113"/>
      <c r="NRP3" s="1113"/>
      <c r="NRQ3" s="1113"/>
      <c r="NRR3" s="1113"/>
      <c r="NRS3" s="1113"/>
      <c r="NRT3" s="1113"/>
      <c r="NRU3" s="1113"/>
      <c r="NRV3" s="1113"/>
      <c r="NRW3" s="1113"/>
      <c r="NRX3" s="1113"/>
      <c r="NRY3" s="1113"/>
      <c r="NRZ3" s="1113"/>
      <c r="NSA3" s="1113"/>
      <c r="NSB3" s="1113"/>
      <c r="NSC3" s="1113"/>
      <c r="NSD3" s="1113"/>
      <c r="NSE3" s="1113"/>
      <c r="NSF3" s="1113"/>
      <c r="NSG3" s="1113"/>
      <c r="NSH3" s="1113"/>
      <c r="NSI3" s="1113"/>
      <c r="NSJ3" s="1113"/>
      <c r="NSK3" s="1113"/>
      <c r="NSL3" s="1113"/>
      <c r="NSM3" s="1113"/>
      <c r="NSN3" s="1113"/>
      <c r="NSO3" s="1113"/>
      <c r="NSP3" s="1113"/>
      <c r="NSQ3" s="1113"/>
      <c r="NSR3" s="1113"/>
      <c r="NSS3" s="1113"/>
      <c r="NST3" s="1113"/>
      <c r="NSU3" s="1113"/>
      <c r="NSV3" s="1113"/>
      <c r="NSW3" s="1113"/>
      <c r="NSX3" s="1113"/>
      <c r="NSY3" s="1113"/>
      <c r="NSZ3" s="1113"/>
      <c r="NTA3" s="1113"/>
      <c r="NTB3" s="1113"/>
      <c r="NTC3" s="1113"/>
      <c r="NTD3" s="1113"/>
      <c r="NTE3" s="1113"/>
      <c r="NTF3" s="1113"/>
      <c r="NTG3" s="1113"/>
      <c r="NTH3" s="1113"/>
      <c r="NTI3" s="1113"/>
      <c r="NTJ3" s="1113"/>
      <c r="NTK3" s="1113"/>
      <c r="NTL3" s="1113"/>
      <c r="NTM3" s="1113"/>
      <c r="NTN3" s="1113"/>
      <c r="NTO3" s="1113"/>
      <c r="NTP3" s="1113"/>
      <c r="NTQ3" s="1113"/>
      <c r="NTR3" s="1113"/>
      <c r="NTS3" s="1113"/>
      <c r="NTT3" s="1113"/>
      <c r="NTU3" s="1113"/>
      <c r="NTV3" s="1113"/>
      <c r="NTW3" s="1113"/>
      <c r="NTX3" s="1113"/>
      <c r="NTY3" s="1113"/>
      <c r="NTZ3" s="1113"/>
      <c r="NUA3" s="1113"/>
      <c r="NUB3" s="1113"/>
      <c r="NUC3" s="1113"/>
      <c r="NUD3" s="1113"/>
      <c r="NUE3" s="1113"/>
      <c r="NUF3" s="1113"/>
      <c r="NUG3" s="1113"/>
      <c r="NUH3" s="1113"/>
      <c r="NUI3" s="1113"/>
      <c r="NUJ3" s="1113"/>
      <c r="NUK3" s="1113"/>
      <c r="NUL3" s="1113"/>
      <c r="NUM3" s="1113"/>
      <c r="NUN3" s="1113"/>
      <c r="NUO3" s="1113"/>
      <c r="NUP3" s="1113"/>
      <c r="NUQ3" s="1113"/>
      <c r="NUR3" s="1113"/>
      <c r="NUS3" s="1113"/>
      <c r="NUT3" s="1113"/>
      <c r="NUU3" s="1113"/>
      <c r="NUV3" s="1113"/>
      <c r="NUW3" s="1113"/>
      <c r="NUX3" s="1113"/>
      <c r="NUY3" s="1113"/>
      <c r="NUZ3" s="1113"/>
      <c r="NVA3" s="1113"/>
      <c r="NVB3" s="1113"/>
      <c r="NVC3" s="1113"/>
      <c r="NVD3" s="1113"/>
      <c r="NVE3" s="1113"/>
      <c r="NVF3" s="1113"/>
      <c r="NVG3" s="1113"/>
      <c r="NVH3" s="1113"/>
      <c r="NVI3" s="1113"/>
      <c r="NVJ3" s="1113"/>
      <c r="NVK3" s="1113"/>
      <c r="NVL3" s="1113"/>
      <c r="NVM3" s="1113"/>
      <c r="NVN3" s="1113"/>
      <c r="NVO3" s="1113"/>
      <c r="NVP3" s="1113"/>
      <c r="NVQ3" s="1113"/>
      <c r="NVR3" s="1113"/>
      <c r="NVS3" s="1113"/>
      <c r="NVT3" s="1113"/>
      <c r="NVU3" s="1113"/>
      <c r="NVV3" s="1113"/>
      <c r="NVW3" s="1113"/>
      <c r="NVX3" s="1113"/>
      <c r="NVY3" s="1113"/>
      <c r="NVZ3" s="1113"/>
      <c r="NWA3" s="1113"/>
      <c r="NWB3" s="1113"/>
      <c r="NWC3" s="1113"/>
      <c r="NWD3" s="1113"/>
      <c r="NWE3" s="1113"/>
      <c r="NWF3" s="1113"/>
      <c r="NWG3" s="1113"/>
      <c r="NWH3" s="1113"/>
      <c r="NWI3" s="1113"/>
      <c r="NWJ3" s="1113"/>
      <c r="NWK3" s="1113"/>
      <c r="NWL3" s="1113"/>
      <c r="NWM3" s="1113"/>
      <c r="NWN3" s="1113"/>
      <c r="NWO3" s="1113"/>
      <c r="NWP3" s="1113"/>
      <c r="NWQ3" s="1113"/>
      <c r="NWR3" s="1113"/>
      <c r="NWS3" s="1113"/>
      <c r="NWT3" s="1113"/>
      <c r="NWU3" s="1113"/>
      <c r="NWV3" s="1113"/>
      <c r="NWW3" s="1113"/>
      <c r="NWX3" s="1113"/>
      <c r="NWY3" s="1113"/>
      <c r="NWZ3" s="1113"/>
      <c r="NXA3" s="1113"/>
      <c r="NXB3" s="1113"/>
      <c r="NXC3" s="1113"/>
      <c r="NXD3" s="1113"/>
      <c r="NXE3" s="1113"/>
      <c r="NXF3" s="1113"/>
      <c r="NXG3" s="1113"/>
      <c r="NXH3" s="1113"/>
      <c r="NXI3" s="1113"/>
      <c r="NXJ3" s="1113"/>
      <c r="NXK3" s="1113"/>
      <c r="NXL3" s="1113"/>
      <c r="NXM3" s="1113"/>
      <c r="NXN3" s="1113"/>
      <c r="NXO3" s="1113"/>
      <c r="NXP3" s="1113"/>
      <c r="NXQ3" s="1113"/>
      <c r="NXR3" s="1113"/>
      <c r="NXS3" s="1113"/>
      <c r="NXT3" s="1113"/>
      <c r="NXU3" s="1113"/>
      <c r="NXV3" s="1113"/>
      <c r="NXW3" s="1113"/>
      <c r="NXX3" s="1113"/>
      <c r="NXY3" s="1113"/>
      <c r="NXZ3" s="1113"/>
      <c r="NYA3" s="1113"/>
      <c r="NYB3" s="1113"/>
      <c r="NYC3" s="1113"/>
      <c r="NYD3" s="1113"/>
      <c r="NYE3" s="1113"/>
      <c r="NYF3" s="1113"/>
      <c r="NYG3" s="1113"/>
      <c r="NYH3" s="1113"/>
      <c r="NYI3" s="1113"/>
      <c r="NYJ3" s="1113"/>
      <c r="NYK3" s="1113"/>
      <c r="NYL3" s="1113"/>
      <c r="NYM3" s="1113"/>
      <c r="NYN3" s="1113"/>
      <c r="NYO3" s="1113"/>
      <c r="NYP3" s="1113"/>
      <c r="NYQ3" s="1113"/>
      <c r="NYR3" s="1113"/>
      <c r="NYS3" s="1113"/>
      <c r="NYT3" s="1113"/>
      <c r="NYU3" s="1113"/>
      <c r="NYV3" s="1113"/>
      <c r="NYW3" s="1113"/>
      <c r="NYX3" s="1113"/>
      <c r="NYY3" s="1113"/>
      <c r="NYZ3" s="1113"/>
      <c r="NZA3" s="1113"/>
      <c r="NZB3" s="1113"/>
      <c r="NZC3" s="1113"/>
      <c r="NZD3" s="1113"/>
      <c r="NZE3" s="1113"/>
      <c r="NZF3" s="1113"/>
      <c r="NZG3" s="1113"/>
      <c r="NZH3" s="1113"/>
      <c r="NZI3" s="1113"/>
      <c r="NZJ3" s="1113"/>
      <c r="NZK3" s="1113"/>
      <c r="NZL3" s="1113"/>
      <c r="NZM3" s="1113"/>
      <c r="NZN3" s="1113"/>
      <c r="NZO3" s="1113"/>
      <c r="NZP3" s="1113"/>
      <c r="NZQ3" s="1113"/>
      <c r="NZR3" s="1113"/>
      <c r="NZS3" s="1113"/>
      <c r="NZT3" s="1113"/>
      <c r="NZU3" s="1113"/>
      <c r="NZV3" s="1113"/>
      <c r="NZW3" s="1113"/>
      <c r="NZX3" s="1113"/>
      <c r="NZY3" s="1113"/>
      <c r="NZZ3" s="1113"/>
      <c r="OAA3" s="1113"/>
      <c r="OAB3" s="1113"/>
      <c r="OAC3" s="1113"/>
      <c r="OAD3" s="1113"/>
      <c r="OAE3" s="1113"/>
      <c r="OAF3" s="1113"/>
      <c r="OAG3" s="1113"/>
      <c r="OAH3" s="1113"/>
      <c r="OAI3" s="1113"/>
      <c r="OAJ3" s="1113"/>
      <c r="OAK3" s="1113"/>
      <c r="OAL3" s="1113"/>
      <c r="OAM3" s="1113"/>
      <c r="OAN3" s="1113"/>
      <c r="OAO3" s="1113"/>
      <c r="OAP3" s="1113"/>
      <c r="OAQ3" s="1113"/>
      <c r="OAR3" s="1113"/>
      <c r="OAS3" s="1113"/>
      <c r="OAT3" s="1113"/>
      <c r="OAU3" s="1113"/>
      <c r="OAV3" s="1113"/>
      <c r="OAW3" s="1113"/>
      <c r="OAX3" s="1113"/>
      <c r="OAY3" s="1113"/>
      <c r="OAZ3" s="1113"/>
      <c r="OBA3" s="1113"/>
      <c r="OBB3" s="1113"/>
      <c r="OBC3" s="1113"/>
      <c r="OBD3" s="1113"/>
      <c r="OBE3" s="1113"/>
      <c r="OBF3" s="1113"/>
      <c r="OBG3" s="1113"/>
      <c r="OBH3" s="1113"/>
      <c r="OBI3" s="1113"/>
      <c r="OBJ3" s="1113"/>
      <c r="OBK3" s="1113"/>
      <c r="OBL3" s="1113"/>
      <c r="OBM3" s="1113"/>
      <c r="OBN3" s="1113"/>
      <c r="OBO3" s="1113"/>
      <c r="OBP3" s="1113"/>
      <c r="OBQ3" s="1113"/>
      <c r="OBR3" s="1113"/>
      <c r="OBS3" s="1113"/>
      <c r="OBT3" s="1113"/>
      <c r="OBU3" s="1113"/>
      <c r="OBV3" s="1113"/>
      <c r="OBW3" s="1113"/>
      <c r="OBX3" s="1113"/>
      <c r="OBY3" s="1113"/>
      <c r="OBZ3" s="1113"/>
      <c r="OCA3" s="1113"/>
      <c r="OCB3" s="1113"/>
      <c r="OCC3" s="1113"/>
      <c r="OCD3" s="1113"/>
      <c r="OCE3" s="1113"/>
      <c r="OCF3" s="1113"/>
      <c r="OCG3" s="1113"/>
      <c r="OCH3" s="1113"/>
      <c r="OCI3" s="1113"/>
      <c r="OCJ3" s="1113"/>
      <c r="OCK3" s="1113"/>
      <c r="OCL3" s="1113"/>
      <c r="OCM3" s="1113"/>
      <c r="OCN3" s="1113"/>
      <c r="OCO3" s="1113"/>
      <c r="OCP3" s="1113"/>
      <c r="OCQ3" s="1113"/>
      <c r="OCR3" s="1113"/>
      <c r="OCS3" s="1113"/>
      <c r="OCT3" s="1113"/>
      <c r="OCU3" s="1113"/>
      <c r="OCV3" s="1113"/>
      <c r="OCW3" s="1113"/>
      <c r="OCX3" s="1113"/>
      <c r="OCY3" s="1113"/>
      <c r="OCZ3" s="1113"/>
      <c r="ODA3" s="1113"/>
      <c r="ODB3" s="1113"/>
      <c r="ODC3" s="1113"/>
      <c r="ODD3" s="1113"/>
      <c r="ODE3" s="1113"/>
      <c r="ODF3" s="1113"/>
      <c r="ODG3" s="1113"/>
      <c r="ODH3" s="1113"/>
      <c r="ODI3" s="1113"/>
      <c r="ODJ3" s="1113"/>
      <c r="ODK3" s="1113"/>
      <c r="ODL3" s="1113"/>
      <c r="ODM3" s="1113"/>
      <c r="ODN3" s="1113"/>
      <c r="ODO3" s="1113"/>
      <c r="ODP3" s="1113"/>
      <c r="ODQ3" s="1113"/>
      <c r="ODR3" s="1113"/>
      <c r="ODS3" s="1113"/>
      <c r="ODT3" s="1113"/>
      <c r="ODU3" s="1113"/>
      <c r="ODV3" s="1113"/>
      <c r="ODW3" s="1113"/>
      <c r="ODX3" s="1113"/>
      <c r="ODY3" s="1113"/>
      <c r="ODZ3" s="1113"/>
      <c r="OEA3" s="1113"/>
      <c r="OEB3" s="1113"/>
      <c r="OEC3" s="1113"/>
      <c r="OED3" s="1113"/>
      <c r="OEE3" s="1113"/>
      <c r="OEF3" s="1113"/>
      <c r="OEG3" s="1113"/>
      <c r="OEH3" s="1113"/>
      <c r="OEI3" s="1113"/>
      <c r="OEJ3" s="1113"/>
      <c r="OEK3" s="1113"/>
      <c r="OEL3" s="1113"/>
      <c r="OEM3" s="1113"/>
      <c r="OEN3" s="1113"/>
      <c r="OEO3" s="1113"/>
      <c r="OEP3" s="1113"/>
      <c r="OEQ3" s="1113"/>
      <c r="OER3" s="1113"/>
      <c r="OES3" s="1113"/>
      <c r="OET3" s="1113"/>
      <c r="OEU3" s="1113"/>
      <c r="OEV3" s="1113"/>
      <c r="OEW3" s="1113"/>
      <c r="OEX3" s="1113"/>
      <c r="OEY3" s="1113"/>
      <c r="OEZ3" s="1113"/>
      <c r="OFA3" s="1113"/>
      <c r="OFB3" s="1113"/>
      <c r="OFC3" s="1113"/>
      <c r="OFD3" s="1113"/>
      <c r="OFE3" s="1113"/>
      <c r="OFF3" s="1113"/>
      <c r="OFG3" s="1113"/>
      <c r="OFH3" s="1113"/>
      <c r="OFI3" s="1113"/>
      <c r="OFJ3" s="1113"/>
      <c r="OFK3" s="1113"/>
      <c r="OFL3" s="1113"/>
      <c r="OFM3" s="1113"/>
      <c r="OFN3" s="1113"/>
      <c r="OFO3" s="1113"/>
      <c r="OFP3" s="1113"/>
      <c r="OFQ3" s="1113"/>
      <c r="OFR3" s="1113"/>
      <c r="OFS3" s="1113"/>
      <c r="OFT3" s="1113"/>
      <c r="OFU3" s="1113"/>
      <c r="OFV3" s="1113"/>
      <c r="OFW3" s="1113"/>
      <c r="OFX3" s="1113"/>
      <c r="OFY3" s="1113"/>
      <c r="OFZ3" s="1113"/>
      <c r="OGA3" s="1113"/>
      <c r="OGB3" s="1113"/>
      <c r="OGC3" s="1113"/>
      <c r="OGD3" s="1113"/>
      <c r="OGE3" s="1113"/>
      <c r="OGF3" s="1113"/>
      <c r="OGG3" s="1113"/>
      <c r="OGH3" s="1113"/>
      <c r="OGI3" s="1113"/>
      <c r="OGJ3" s="1113"/>
      <c r="OGK3" s="1113"/>
      <c r="OGL3" s="1113"/>
      <c r="OGM3" s="1113"/>
      <c r="OGN3" s="1113"/>
      <c r="OGO3" s="1113"/>
      <c r="OGP3" s="1113"/>
      <c r="OGQ3" s="1113"/>
      <c r="OGR3" s="1113"/>
      <c r="OGS3" s="1113"/>
      <c r="OGT3" s="1113"/>
      <c r="OGU3" s="1113"/>
      <c r="OGV3" s="1113"/>
      <c r="OGW3" s="1113"/>
      <c r="OGX3" s="1113"/>
      <c r="OGY3" s="1113"/>
      <c r="OGZ3" s="1113"/>
      <c r="OHA3" s="1113"/>
      <c r="OHB3" s="1113"/>
      <c r="OHC3" s="1113"/>
      <c r="OHD3" s="1113"/>
      <c r="OHE3" s="1113"/>
      <c r="OHF3" s="1113"/>
      <c r="OHG3" s="1113"/>
      <c r="OHH3" s="1113"/>
      <c r="OHI3" s="1113"/>
      <c r="OHJ3" s="1113"/>
      <c r="OHK3" s="1113"/>
      <c r="OHL3" s="1113"/>
      <c r="OHM3" s="1113"/>
      <c r="OHN3" s="1113"/>
      <c r="OHO3" s="1113"/>
      <c r="OHP3" s="1113"/>
      <c r="OHQ3" s="1113"/>
      <c r="OHR3" s="1113"/>
      <c r="OHS3" s="1113"/>
      <c r="OHT3" s="1113"/>
      <c r="OHU3" s="1113"/>
      <c r="OHV3" s="1113"/>
      <c r="OHW3" s="1113"/>
      <c r="OHX3" s="1113"/>
      <c r="OHY3" s="1113"/>
      <c r="OHZ3" s="1113"/>
      <c r="OIA3" s="1113"/>
      <c r="OIB3" s="1113"/>
      <c r="OIC3" s="1113"/>
      <c r="OID3" s="1113"/>
      <c r="OIE3" s="1113"/>
      <c r="OIF3" s="1113"/>
      <c r="OIG3" s="1113"/>
      <c r="OIH3" s="1113"/>
      <c r="OII3" s="1113"/>
      <c r="OIJ3" s="1113"/>
      <c r="OIK3" s="1113"/>
      <c r="OIL3" s="1113"/>
      <c r="OIM3" s="1113"/>
      <c r="OIN3" s="1113"/>
      <c r="OIO3" s="1113"/>
      <c r="OIP3" s="1113"/>
      <c r="OIQ3" s="1113"/>
      <c r="OIR3" s="1113"/>
      <c r="OIS3" s="1113"/>
      <c r="OIT3" s="1113"/>
      <c r="OIU3" s="1113"/>
      <c r="OIV3" s="1113"/>
      <c r="OIW3" s="1113"/>
      <c r="OIX3" s="1113"/>
      <c r="OIY3" s="1113"/>
      <c r="OIZ3" s="1113"/>
      <c r="OJA3" s="1113"/>
      <c r="OJB3" s="1113"/>
      <c r="OJC3" s="1113"/>
      <c r="OJD3" s="1113"/>
      <c r="OJE3" s="1113"/>
      <c r="OJF3" s="1113"/>
      <c r="OJG3" s="1113"/>
      <c r="OJH3" s="1113"/>
      <c r="OJI3" s="1113"/>
      <c r="OJJ3" s="1113"/>
      <c r="OJK3" s="1113"/>
      <c r="OJL3" s="1113"/>
      <c r="OJM3" s="1113"/>
      <c r="OJN3" s="1113"/>
      <c r="OJO3" s="1113"/>
      <c r="OJP3" s="1113"/>
      <c r="OJQ3" s="1113"/>
      <c r="OJR3" s="1113"/>
      <c r="OJS3" s="1113"/>
      <c r="OJT3" s="1113"/>
      <c r="OJU3" s="1113"/>
      <c r="OJV3" s="1113"/>
      <c r="OJW3" s="1113"/>
      <c r="OJX3" s="1113"/>
      <c r="OJY3" s="1113"/>
      <c r="OJZ3" s="1113"/>
      <c r="OKA3" s="1113"/>
      <c r="OKB3" s="1113"/>
      <c r="OKC3" s="1113"/>
      <c r="OKD3" s="1113"/>
      <c r="OKE3" s="1113"/>
      <c r="OKF3" s="1113"/>
      <c r="OKG3" s="1113"/>
      <c r="OKH3" s="1113"/>
      <c r="OKI3" s="1113"/>
      <c r="OKJ3" s="1113"/>
      <c r="OKK3" s="1113"/>
      <c r="OKL3" s="1113"/>
      <c r="OKM3" s="1113"/>
      <c r="OKN3" s="1113"/>
      <c r="OKO3" s="1113"/>
      <c r="OKP3" s="1113"/>
      <c r="OKQ3" s="1113"/>
      <c r="OKR3" s="1113"/>
      <c r="OKS3" s="1113"/>
      <c r="OKT3" s="1113"/>
      <c r="OKU3" s="1113"/>
      <c r="OKV3" s="1113"/>
      <c r="OKW3" s="1113"/>
      <c r="OKX3" s="1113"/>
      <c r="OKY3" s="1113"/>
      <c r="OKZ3" s="1113"/>
      <c r="OLA3" s="1113"/>
      <c r="OLB3" s="1113"/>
      <c r="OLC3" s="1113"/>
      <c r="OLD3" s="1113"/>
      <c r="OLE3" s="1113"/>
      <c r="OLF3" s="1113"/>
      <c r="OLG3" s="1113"/>
      <c r="OLH3" s="1113"/>
      <c r="OLI3" s="1113"/>
      <c r="OLJ3" s="1113"/>
      <c r="OLK3" s="1113"/>
      <c r="OLL3" s="1113"/>
      <c r="OLM3" s="1113"/>
      <c r="OLN3" s="1113"/>
      <c r="OLO3" s="1113"/>
      <c r="OLP3" s="1113"/>
      <c r="OLQ3" s="1113"/>
      <c r="OLR3" s="1113"/>
      <c r="OLS3" s="1113"/>
      <c r="OLT3" s="1113"/>
      <c r="OLU3" s="1113"/>
      <c r="OLV3" s="1113"/>
      <c r="OLW3" s="1113"/>
      <c r="OLX3" s="1113"/>
      <c r="OLY3" s="1113"/>
      <c r="OLZ3" s="1113"/>
      <c r="OMA3" s="1113"/>
      <c r="OMB3" s="1113"/>
      <c r="OMC3" s="1113"/>
      <c r="OMD3" s="1113"/>
      <c r="OME3" s="1113"/>
      <c r="OMF3" s="1113"/>
      <c r="OMG3" s="1113"/>
      <c r="OMH3" s="1113"/>
      <c r="OMI3" s="1113"/>
      <c r="OMJ3" s="1113"/>
      <c r="OMK3" s="1113"/>
      <c r="OML3" s="1113"/>
      <c r="OMM3" s="1113"/>
      <c r="OMN3" s="1113"/>
      <c r="OMO3" s="1113"/>
      <c r="OMP3" s="1113"/>
      <c r="OMQ3" s="1113"/>
      <c r="OMR3" s="1113"/>
      <c r="OMS3" s="1113"/>
      <c r="OMT3" s="1113"/>
      <c r="OMU3" s="1113"/>
      <c r="OMV3" s="1113"/>
      <c r="OMW3" s="1113"/>
      <c r="OMX3" s="1113"/>
      <c r="OMY3" s="1113"/>
      <c r="OMZ3" s="1113"/>
      <c r="ONA3" s="1113"/>
      <c r="ONB3" s="1113"/>
      <c r="ONC3" s="1113"/>
      <c r="OND3" s="1113"/>
      <c r="ONE3" s="1113"/>
      <c r="ONF3" s="1113"/>
      <c r="ONG3" s="1113"/>
      <c r="ONH3" s="1113"/>
      <c r="ONI3" s="1113"/>
      <c r="ONJ3" s="1113"/>
      <c r="ONK3" s="1113"/>
      <c r="ONL3" s="1113"/>
      <c r="ONM3" s="1113"/>
      <c r="ONN3" s="1113"/>
      <c r="ONO3" s="1113"/>
      <c r="ONP3" s="1113"/>
      <c r="ONQ3" s="1113"/>
      <c r="ONR3" s="1113"/>
      <c r="ONS3" s="1113"/>
      <c r="ONT3" s="1113"/>
      <c r="ONU3" s="1113"/>
      <c r="ONV3" s="1113"/>
      <c r="ONW3" s="1113"/>
      <c r="ONX3" s="1113"/>
      <c r="ONY3" s="1113"/>
      <c r="ONZ3" s="1113"/>
      <c r="OOA3" s="1113"/>
      <c r="OOB3" s="1113"/>
      <c r="OOC3" s="1113"/>
      <c r="OOD3" s="1113"/>
      <c r="OOE3" s="1113"/>
      <c r="OOF3" s="1113"/>
      <c r="OOG3" s="1113"/>
      <c r="OOH3" s="1113"/>
      <c r="OOI3" s="1113"/>
      <c r="OOJ3" s="1113"/>
      <c r="OOK3" s="1113"/>
      <c r="OOL3" s="1113"/>
      <c r="OOM3" s="1113"/>
      <c r="OON3" s="1113"/>
      <c r="OOO3" s="1113"/>
      <c r="OOP3" s="1113"/>
      <c r="OOQ3" s="1113"/>
      <c r="OOR3" s="1113"/>
      <c r="OOS3" s="1113"/>
      <c r="OOT3" s="1113"/>
      <c r="OOU3" s="1113"/>
      <c r="OOV3" s="1113"/>
      <c r="OOW3" s="1113"/>
      <c r="OOX3" s="1113"/>
      <c r="OOY3" s="1113"/>
      <c r="OOZ3" s="1113"/>
      <c r="OPA3" s="1113"/>
      <c r="OPB3" s="1113"/>
      <c r="OPC3" s="1113"/>
      <c r="OPD3" s="1113"/>
      <c r="OPE3" s="1113"/>
      <c r="OPF3" s="1113"/>
      <c r="OPG3" s="1113"/>
      <c r="OPH3" s="1113"/>
      <c r="OPI3" s="1113"/>
      <c r="OPJ3" s="1113"/>
      <c r="OPK3" s="1113"/>
      <c r="OPL3" s="1113"/>
      <c r="OPM3" s="1113"/>
      <c r="OPN3" s="1113"/>
      <c r="OPO3" s="1113"/>
      <c r="OPP3" s="1113"/>
      <c r="OPQ3" s="1113"/>
      <c r="OPR3" s="1113"/>
      <c r="OPS3" s="1113"/>
      <c r="OPT3" s="1113"/>
      <c r="OPU3" s="1113"/>
      <c r="OPV3" s="1113"/>
      <c r="OPW3" s="1113"/>
      <c r="OPX3" s="1113"/>
      <c r="OPY3" s="1113"/>
      <c r="OPZ3" s="1113"/>
      <c r="OQA3" s="1113"/>
      <c r="OQB3" s="1113"/>
      <c r="OQC3" s="1113"/>
      <c r="OQD3" s="1113"/>
      <c r="OQE3" s="1113"/>
      <c r="OQF3" s="1113"/>
      <c r="OQG3" s="1113"/>
      <c r="OQH3" s="1113"/>
      <c r="OQI3" s="1113"/>
      <c r="OQJ3" s="1113"/>
      <c r="OQK3" s="1113"/>
      <c r="OQL3" s="1113"/>
      <c r="OQM3" s="1113"/>
      <c r="OQN3" s="1113"/>
      <c r="OQO3" s="1113"/>
      <c r="OQP3" s="1113"/>
      <c r="OQQ3" s="1113"/>
      <c r="OQR3" s="1113"/>
      <c r="OQS3" s="1113"/>
      <c r="OQT3" s="1113"/>
      <c r="OQU3" s="1113"/>
      <c r="OQV3" s="1113"/>
      <c r="OQW3" s="1113"/>
      <c r="OQX3" s="1113"/>
      <c r="OQY3" s="1113"/>
      <c r="OQZ3" s="1113"/>
      <c r="ORA3" s="1113"/>
      <c r="ORB3" s="1113"/>
      <c r="ORC3" s="1113"/>
      <c r="ORD3" s="1113"/>
      <c r="ORE3" s="1113"/>
      <c r="ORF3" s="1113"/>
      <c r="ORG3" s="1113"/>
      <c r="ORH3" s="1113"/>
      <c r="ORI3" s="1113"/>
      <c r="ORJ3" s="1113"/>
      <c r="ORK3" s="1113"/>
      <c r="ORL3" s="1113"/>
      <c r="ORM3" s="1113"/>
      <c r="ORN3" s="1113"/>
      <c r="ORO3" s="1113"/>
      <c r="ORP3" s="1113"/>
      <c r="ORQ3" s="1113"/>
      <c r="ORR3" s="1113"/>
      <c r="ORS3" s="1113"/>
      <c r="ORT3" s="1113"/>
      <c r="ORU3" s="1113"/>
      <c r="ORV3" s="1113"/>
      <c r="ORW3" s="1113"/>
      <c r="ORX3" s="1113"/>
      <c r="ORY3" s="1113"/>
      <c r="ORZ3" s="1113"/>
      <c r="OSA3" s="1113"/>
      <c r="OSB3" s="1113"/>
      <c r="OSC3" s="1113"/>
      <c r="OSD3" s="1113"/>
      <c r="OSE3" s="1113"/>
      <c r="OSF3" s="1113"/>
      <c r="OSG3" s="1113"/>
      <c r="OSH3" s="1113"/>
      <c r="OSI3" s="1113"/>
      <c r="OSJ3" s="1113"/>
      <c r="OSK3" s="1113"/>
      <c r="OSL3" s="1113"/>
      <c r="OSM3" s="1113"/>
      <c r="OSN3" s="1113"/>
      <c r="OSO3" s="1113"/>
      <c r="OSP3" s="1113"/>
      <c r="OSQ3" s="1113"/>
      <c r="OSR3" s="1113"/>
      <c r="OSS3" s="1113"/>
      <c r="OST3" s="1113"/>
      <c r="OSU3" s="1113"/>
      <c r="OSV3" s="1113"/>
      <c r="OSW3" s="1113"/>
      <c r="OSX3" s="1113"/>
      <c r="OSY3" s="1113"/>
      <c r="OSZ3" s="1113"/>
      <c r="OTA3" s="1113"/>
      <c r="OTB3" s="1113"/>
      <c r="OTC3" s="1113"/>
      <c r="OTD3" s="1113"/>
      <c r="OTE3" s="1113"/>
      <c r="OTF3" s="1113"/>
      <c r="OTG3" s="1113"/>
      <c r="OTH3" s="1113"/>
      <c r="OTI3" s="1113"/>
      <c r="OTJ3" s="1113"/>
      <c r="OTK3" s="1113"/>
      <c r="OTL3" s="1113"/>
      <c r="OTM3" s="1113"/>
      <c r="OTN3" s="1113"/>
      <c r="OTO3" s="1113"/>
      <c r="OTP3" s="1113"/>
      <c r="OTQ3" s="1113"/>
      <c r="OTR3" s="1113"/>
      <c r="OTS3" s="1113"/>
      <c r="OTT3" s="1113"/>
      <c r="OTU3" s="1113"/>
      <c r="OTV3" s="1113"/>
      <c r="OTW3" s="1113"/>
      <c r="OTX3" s="1113"/>
      <c r="OTY3" s="1113"/>
      <c r="OTZ3" s="1113"/>
      <c r="OUA3" s="1113"/>
      <c r="OUB3" s="1113"/>
      <c r="OUC3" s="1113"/>
      <c r="OUD3" s="1113"/>
      <c r="OUE3" s="1113"/>
      <c r="OUF3" s="1113"/>
      <c r="OUG3" s="1113"/>
      <c r="OUH3" s="1113"/>
      <c r="OUI3" s="1113"/>
      <c r="OUJ3" s="1113"/>
      <c r="OUK3" s="1113"/>
      <c r="OUL3" s="1113"/>
      <c r="OUM3" s="1113"/>
      <c r="OUN3" s="1113"/>
      <c r="OUO3" s="1113"/>
      <c r="OUP3" s="1113"/>
      <c r="OUQ3" s="1113"/>
      <c r="OUR3" s="1113"/>
      <c r="OUS3" s="1113"/>
      <c r="OUT3" s="1113"/>
      <c r="OUU3" s="1113"/>
      <c r="OUV3" s="1113"/>
      <c r="OUW3" s="1113"/>
      <c r="OUX3" s="1113"/>
      <c r="OUY3" s="1113"/>
      <c r="OUZ3" s="1113"/>
      <c r="OVA3" s="1113"/>
      <c r="OVB3" s="1113"/>
      <c r="OVC3" s="1113"/>
      <c r="OVD3" s="1113"/>
      <c r="OVE3" s="1113"/>
      <c r="OVF3" s="1113"/>
      <c r="OVG3" s="1113"/>
      <c r="OVH3" s="1113"/>
      <c r="OVI3" s="1113"/>
      <c r="OVJ3" s="1113"/>
      <c r="OVK3" s="1113"/>
      <c r="OVL3" s="1113"/>
      <c r="OVM3" s="1113"/>
      <c r="OVN3" s="1113"/>
      <c r="OVO3" s="1113"/>
      <c r="OVP3" s="1113"/>
      <c r="OVQ3" s="1113"/>
      <c r="OVR3" s="1113"/>
      <c r="OVS3" s="1113"/>
      <c r="OVT3" s="1113"/>
      <c r="OVU3" s="1113"/>
      <c r="OVV3" s="1113"/>
      <c r="OVW3" s="1113"/>
      <c r="OVX3" s="1113"/>
      <c r="OVY3" s="1113"/>
      <c r="OVZ3" s="1113"/>
      <c r="OWA3" s="1113"/>
      <c r="OWB3" s="1113"/>
      <c r="OWC3" s="1113"/>
      <c r="OWD3" s="1113"/>
      <c r="OWE3" s="1113"/>
      <c r="OWF3" s="1113"/>
      <c r="OWG3" s="1113"/>
      <c r="OWH3" s="1113"/>
      <c r="OWI3" s="1113"/>
      <c r="OWJ3" s="1113"/>
      <c r="OWK3" s="1113"/>
      <c r="OWL3" s="1113"/>
      <c r="OWM3" s="1113"/>
      <c r="OWN3" s="1113"/>
      <c r="OWO3" s="1113"/>
      <c r="OWP3" s="1113"/>
      <c r="OWQ3" s="1113"/>
      <c r="OWR3" s="1113"/>
      <c r="OWS3" s="1113"/>
      <c r="OWT3" s="1113"/>
      <c r="OWU3" s="1113"/>
      <c r="OWV3" s="1113"/>
      <c r="OWW3" s="1113"/>
      <c r="OWX3" s="1113"/>
      <c r="OWY3" s="1113"/>
      <c r="OWZ3" s="1113"/>
      <c r="OXA3" s="1113"/>
      <c r="OXB3" s="1113"/>
      <c r="OXC3" s="1113"/>
      <c r="OXD3" s="1113"/>
      <c r="OXE3" s="1113"/>
      <c r="OXF3" s="1113"/>
      <c r="OXG3" s="1113"/>
      <c r="OXH3" s="1113"/>
      <c r="OXI3" s="1113"/>
      <c r="OXJ3" s="1113"/>
      <c r="OXK3" s="1113"/>
      <c r="OXL3" s="1113"/>
      <c r="OXM3" s="1113"/>
      <c r="OXN3" s="1113"/>
      <c r="OXO3" s="1113"/>
      <c r="OXP3" s="1113"/>
      <c r="OXQ3" s="1113"/>
      <c r="OXR3" s="1113"/>
      <c r="OXS3" s="1113"/>
      <c r="OXT3" s="1113"/>
      <c r="OXU3" s="1113"/>
      <c r="OXV3" s="1113"/>
      <c r="OXW3" s="1113"/>
      <c r="OXX3" s="1113"/>
      <c r="OXY3" s="1113"/>
      <c r="OXZ3" s="1113"/>
      <c r="OYA3" s="1113"/>
      <c r="OYB3" s="1113"/>
      <c r="OYC3" s="1113"/>
      <c r="OYD3" s="1113"/>
      <c r="OYE3" s="1113"/>
      <c r="OYF3" s="1113"/>
      <c r="OYG3" s="1113"/>
      <c r="OYH3" s="1113"/>
      <c r="OYI3" s="1113"/>
      <c r="OYJ3" s="1113"/>
      <c r="OYK3" s="1113"/>
      <c r="OYL3" s="1113"/>
      <c r="OYM3" s="1113"/>
      <c r="OYN3" s="1113"/>
      <c r="OYO3" s="1113"/>
      <c r="OYP3" s="1113"/>
      <c r="OYQ3" s="1113"/>
      <c r="OYR3" s="1113"/>
      <c r="OYS3" s="1113"/>
      <c r="OYT3" s="1113"/>
      <c r="OYU3" s="1113"/>
      <c r="OYV3" s="1113"/>
      <c r="OYW3" s="1113"/>
      <c r="OYX3" s="1113"/>
      <c r="OYY3" s="1113"/>
      <c r="OYZ3" s="1113"/>
      <c r="OZA3" s="1113"/>
      <c r="OZB3" s="1113"/>
      <c r="OZC3" s="1113"/>
      <c r="OZD3" s="1113"/>
      <c r="OZE3" s="1113"/>
      <c r="OZF3" s="1113"/>
      <c r="OZG3" s="1113"/>
      <c r="OZH3" s="1113"/>
      <c r="OZI3" s="1113"/>
      <c r="OZJ3" s="1113"/>
      <c r="OZK3" s="1113"/>
      <c r="OZL3" s="1113"/>
      <c r="OZM3" s="1113"/>
      <c r="OZN3" s="1113"/>
      <c r="OZO3" s="1113"/>
      <c r="OZP3" s="1113"/>
      <c r="OZQ3" s="1113"/>
      <c r="OZR3" s="1113"/>
      <c r="OZS3" s="1113"/>
      <c r="OZT3" s="1113"/>
      <c r="OZU3" s="1113"/>
      <c r="OZV3" s="1113"/>
      <c r="OZW3" s="1113"/>
      <c r="OZX3" s="1113"/>
      <c r="OZY3" s="1113"/>
      <c r="OZZ3" s="1113"/>
      <c r="PAA3" s="1113"/>
      <c r="PAB3" s="1113"/>
      <c r="PAC3" s="1113"/>
      <c r="PAD3" s="1113"/>
      <c r="PAE3" s="1113"/>
      <c r="PAF3" s="1113"/>
      <c r="PAG3" s="1113"/>
      <c r="PAH3" s="1113"/>
      <c r="PAI3" s="1113"/>
      <c r="PAJ3" s="1113"/>
      <c r="PAK3" s="1113"/>
      <c r="PAL3" s="1113"/>
      <c r="PAM3" s="1113"/>
      <c r="PAN3" s="1113"/>
      <c r="PAO3" s="1113"/>
      <c r="PAP3" s="1113"/>
      <c r="PAQ3" s="1113"/>
      <c r="PAR3" s="1113"/>
      <c r="PAS3" s="1113"/>
      <c r="PAT3" s="1113"/>
      <c r="PAU3" s="1113"/>
      <c r="PAV3" s="1113"/>
      <c r="PAW3" s="1113"/>
      <c r="PAX3" s="1113"/>
      <c r="PAY3" s="1113"/>
      <c r="PAZ3" s="1113"/>
      <c r="PBA3" s="1113"/>
      <c r="PBB3" s="1113"/>
      <c r="PBC3" s="1113"/>
      <c r="PBD3" s="1113"/>
      <c r="PBE3" s="1113"/>
      <c r="PBF3" s="1113"/>
      <c r="PBG3" s="1113"/>
      <c r="PBH3" s="1113"/>
      <c r="PBI3" s="1113"/>
      <c r="PBJ3" s="1113"/>
      <c r="PBK3" s="1113"/>
      <c r="PBL3" s="1113"/>
      <c r="PBM3" s="1113"/>
      <c r="PBN3" s="1113"/>
      <c r="PBO3" s="1113"/>
      <c r="PBP3" s="1113"/>
      <c r="PBQ3" s="1113"/>
      <c r="PBR3" s="1113"/>
      <c r="PBS3" s="1113"/>
      <c r="PBT3" s="1113"/>
      <c r="PBU3" s="1113"/>
      <c r="PBV3" s="1113"/>
      <c r="PBW3" s="1113"/>
      <c r="PBX3" s="1113"/>
      <c r="PBY3" s="1113"/>
      <c r="PBZ3" s="1113"/>
      <c r="PCA3" s="1113"/>
      <c r="PCB3" s="1113"/>
      <c r="PCC3" s="1113"/>
      <c r="PCD3" s="1113"/>
      <c r="PCE3" s="1113"/>
      <c r="PCF3" s="1113"/>
      <c r="PCG3" s="1113"/>
      <c r="PCH3" s="1113"/>
      <c r="PCI3" s="1113"/>
      <c r="PCJ3" s="1113"/>
      <c r="PCK3" s="1113"/>
      <c r="PCL3" s="1113"/>
      <c r="PCM3" s="1113"/>
      <c r="PCN3" s="1113"/>
      <c r="PCO3" s="1113"/>
      <c r="PCP3" s="1113"/>
      <c r="PCQ3" s="1113"/>
      <c r="PCR3" s="1113"/>
      <c r="PCS3" s="1113"/>
      <c r="PCT3" s="1113"/>
      <c r="PCU3" s="1113"/>
      <c r="PCV3" s="1113"/>
      <c r="PCW3" s="1113"/>
      <c r="PCX3" s="1113"/>
      <c r="PCY3" s="1113"/>
      <c r="PCZ3" s="1113"/>
      <c r="PDA3" s="1113"/>
      <c r="PDB3" s="1113"/>
      <c r="PDC3" s="1113"/>
      <c r="PDD3" s="1113"/>
      <c r="PDE3" s="1113"/>
      <c r="PDF3" s="1113"/>
      <c r="PDG3" s="1113"/>
      <c r="PDH3" s="1113"/>
      <c r="PDI3" s="1113"/>
      <c r="PDJ3" s="1113"/>
      <c r="PDK3" s="1113"/>
      <c r="PDL3" s="1113"/>
      <c r="PDM3" s="1113"/>
      <c r="PDN3" s="1113"/>
      <c r="PDO3" s="1113"/>
      <c r="PDP3" s="1113"/>
      <c r="PDQ3" s="1113"/>
      <c r="PDR3" s="1113"/>
      <c r="PDS3" s="1113"/>
      <c r="PDT3" s="1113"/>
      <c r="PDU3" s="1113"/>
      <c r="PDV3" s="1113"/>
      <c r="PDW3" s="1113"/>
      <c r="PDX3" s="1113"/>
      <c r="PDY3" s="1113"/>
      <c r="PDZ3" s="1113"/>
      <c r="PEA3" s="1113"/>
      <c r="PEB3" s="1113"/>
      <c r="PEC3" s="1113"/>
      <c r="PED3" s="1113"/>
      <c r="PEE3" s="1113"/>
      <c r="PEF3" s="1113"/>
      <c r="PEG3" s="1113"/>
      <c r="PEH3" s="1113"/>
      <c r="PEI3" s="1113"/>
      <c r="PEJ3" s="1113"/>
      <c r="PEK3" s="1113"/>
      <c r="PEL3" s="1113"/>
      <c r="PEM3" s="1113"/>
      <c r="PEN3" s="1113"/>
      <c r="PEO3" s="1113"/>
      <c r="PEP3" s="1113"/>
      <c r="PEQ3" s="1113"/>
      <c r="PER3" s="1113"/>
      <c r="PES3" s="1113"/>
      <c r="PET3" s="1113"/>
      <c r="PEU3" s="1113"/>
      <c r="PEV3" s="1113"/>
      <c r="PEW3" s="1113"/>
      <c r="PEX3" s="1113"/>
      <c r="PEY3" s="1113"/>
      <c r="PEZ3" s="1113"/>
      <c r="PFA3" s="1113"/>
      <c r="PFB3" s="1113"/>
      <c r="PFC3" s="1113"/>
      <c r="PFD3" s="1113"/>
      <c r="PFE3" s="1113"/>
      <c r="PFF3" s="1113"/>
      <c r="PFG3" s="1113"/>
      <c r="PFH3" s="1113"/>
      <c r="PFI3" s="1113"/>
      <c r="PFJ3" s="1113"/>
      <c r="PFK3" s="1113"/>
      <c r="PFL3" s="1113"/>
      <c r="PFM3" s="1113"/>
      <c r="PFN3" s="1113"/>
      <c r="PFO3" s="1113"/>
      <c r="PFP3" s="1113"/>
      <c r="PFQ3" s="1113"/>
      <c r="PFR3" s="1113"/>
      <c r="PFS3" s="1113"/>
      <c r="PFT3" s="1113"/>
      <c r="PFU3" s="1113"/>
      <c r="PFV3" s="1113"/>
      <c r="PFW3" s="1113"/>
      <c r="PFX3" s="1113"/>
      <c r="PFY3" s="1113"/>
      <c r="PFZ3" s="1113"/>
      <c r="PGA3" s="1113"/>
      <c r="PGB3" s="1113"/>
      <c r="PGC3" s="1113"/>
      <c r="PGD3" s="1113"/>
      <c r="PGE3" s="1113"/>
      <c r="PGF3" s="1113"/>
      <c r="PGG3" s="1113"/>
      <c r="PGH3" s="1113"/>
      <c r="PGI3" s="1113"/>
      <c r="PGJ3" s="1113"/>
      <c r="PGK3" s="1113"/>
      <c r="PGL3" s="1113"/>
      <c r="PGM3" s="1113"/>
      <c r="PGN3" s="1113"/>
      <c r="PGO3" s="1113"/>
      <c r="PGP3" s="1113"/>
      <c r="PGQ3" s="1113"/>
      <c r="PGR3" s="1113"/>
      <c r="PGS3" s="1113"/>
      <c r="PGT3" s="1113"/>
      <c r="PGU3" s="1113"/>
      <c r="PGV3" s="1113"/>
      <c r="PGW3" s="1113"/>
      <c r="PGX3" s="1113"/>
      <c r="PGY3" s="1113"/>
      <c r="PGZ3" s="1113"/>
      <c r="PHA3" s="1113"/>
      <c r="PHB3" s="1113"/>
      <c r="PHC3" s="1113"/>
      <c r="PHD3" s="1113"/>
      <c r="PHE3" s="1113"/>
      <c r="PHF3" s="1113"/>
      <c r="PHG3" s="1113"/>
      <c r="PHH3" s="1113"/>
      <c r="PHI3" s="1113"/>
      <c r="PHJ3" s="1113"/>
      <c r="PHK3" s="1113"/>
      <c r="PHL3" s="1113"/>
      <c r="PHM3" s="1113"/>
      <c r="PHN3" s="1113"/>
      <c r="PHO3" s="1113"/>
      <c r="PHP3" s="1113"/>
      <c r="PHQ3" s="1113"/>
      <c r="PHR3" s="1113"/>
      <c r="PHS3" s="1113"/>
      <c r="PHT3" s="1113"/>
      <c r="PHU3" s="1113"/>
      <c r="PHV3" s="1113"/>
      <c r="PHW3" s="1113"/>
      <c r="PHX3" s="1113"/>
      <c r="PHY3" s="1113"/>
      <c r="PHZ3" s="1113"/>
      <c r="PIA3" s="1113"/>
      <c r="PIB3" s="1113"/>
      <c r="PIC3" s="1113"/>
      <c r="PID3" s="1113"/>
      <c r="PIE3" s="1113"/>
      <c r="PIF3" s="1113"/>
      <c r="PIG3" s="1113"/>
      <c r="PIH3" s="1113"/>
      <c r="PII3" s="1113"/>
      <c r="PIJ3" s="1113"/>
      <c r="PIK3" s="1113"/>
      <c r="PIL3" s="1113"/>
      <c r="PIM3" s="1113"/>
      <c r="PIN3" s="1113"/>
      <c r="PIO3" s="1113"/>
      <c r="PIP3" s="1113"/>
      <c r="PIQ3" s="1113"/>
      <c r="PIR3" s="1113"/>
      <c r="PIS3" s="1113"/>
      <c r="PIT3" s="1113"/>
      <c r="PIU3" s="1113"/>
      <c r="PIV3" s="1113"/>
      <c r="PIW3" s="1113"/>
      <c r="PIX3" s="1113"/>
      <c r="PIY3" s="1113"/>
      <c r="PIZ3" s="1113"/>
      <c r="PJA3" s="1113"/>
      <c r="PJB3" s="1113"/>
      <c r="PJC3" s="1113"/>
      <c r="PJD3" s="1113"/>
      <c r="PJE3" s="1113"/>
      <c r="PJF3" s="1113"/>
      <c r="PJG3" s="1113"/>
      <c r="PJH3" s="1113"/>
      <c r="PJI3" s="1113"/>
      <c r="PJJ3" s="1113"/>
      <c r="PJK3" s="1113"/>
      <c r="PJL3" s="1113"/>
      <c r="PJM3" s="1113"/>
      <c r="PJN3" s="1113"/>
      <c r="PJO3" s="1113"/>
      <c r="PJP3" s="1113"/>
      <c r="PJQ3" s="1113"/>
      <c r="PJR3" s="1113"/>
      <c r="PJS3" s="1113"/>
      <c r="PJT3" s="1113"/>
      <c r="PJU3" s="1113"/>
      <c r="PJV3" s="1113"/>
      <c r="PJW3" s="1113"/>
      <c r="PJX3" s="1113"/>
      <c r="PJY3" s="1113"/>
      <c r="PJZ3" s="1113"/>
      <c r="PKA3" s="1113"/>
      <c r="PKB3" s="1113"/>
      <c r="PKC3" s="1113"/>
      <c r="PKD3" s="1113"/>
      <c r="PKE3" s="1113"/>
      <c r="PKF3" s="1113"/>
      <c r="PKG3" s="1113"/>
      <c r="PKH3" s="1113"/>
      <c r="PKI3" s="1113"/>
      <c r="PKJ3" s="1113"/>
      <c r="PKK3" s="1113"/>
      <c r="PKL3" s="1113"/>
      <c r="PKM3" s="1113"/>
      <c r="PKN3" s="1113"/>
      <c r="PKO3" s="1113"/>
      <c r="PKP3" s="1113"/>
      <c r="PKQ3" s="1113"/>
      <c r="PKR3" s="1113"/>
      <c r="PKS3" s="1113"/>
      <c r="PKT3" s="1113"/>
      <c r="PKU3" s="1113"/>
      <c r="PKV3" s="1113"/>
      <c r="PKW3" s="1113"/>
      <c r="PKX3" s="1113"/>
      <c r="PKY3" s="1113"/>
      <c r="PKZ3" s="1113"/>
      <c r="PLA3" s="1113"/>
      <c r="PLB3" s="1113"/>
      <c r="PLC3" s="1113"/>
      <c r="PLD3" s="1113"/>
      <c r="PLE3" s="1113"/>
      <c r="PLF3" s="1113"/>
      <c r="PLG3" s="1113"/>
      <c r="PLH3" s="1113"/>
      <c r="PLI3" s="1113"/>
      <c r="PLJ3" s="1113"/>
      <c r="PLK3" s="1113"/>
      <c r="PLL3" s="1113"/>
      <c r="PLM3" s="1113"/>
      <c r="PLN3" s="1113"/>
      <c r="PLO3" s="1113"/>
      <c r="PLP3" s="1113"/>
      <c r="PLQ3" s="1113"/>
      <c r="PLR3" s="1113"/>
      <c r="PLS3" s="1113"/>
      <c r="PLT3" s="1113"/>
      <c r="PLU3" s="1113"/>
      <c r="PLV3" s="1113"/>
      <c r="PLW3" s="1113"/>
      <c r="PLX3" s="1113"/>
      <c r="PLY3" s="1113"/>
      <c r="PLZ3" s="1113"/>
      <c r="PMA3" s="1113"/>
      <c r="PMB3" s="1113"/>
      <c r="PMC3" s="1113"/>
      <c r="PMD3" s="1113"/>
      <c r="PME3" s="1113"/>
      <c r="PMF3" s="1113"/>
      <c r="PMG3" s="1113"/>
      <c r="PMH3" s="1113"/>
      <c r="PMI3" s="1113"/>
      <c r="PMJ3" s="1113"/>
      <c r="PMK3" s="1113"/>
      <c r="PML3" s="1113"/>
      <c r="PMM3" s="1113"/>
      <c r="PMN3" s="1113"/>
      <c r="PMO3" s="1113"/>
      <c r="PMP3" s="1113"/>
      <c r="PMQ3" s="1113"/>
      <c r="PMR3" s="1113"/>
      <c r="PMS3" s="1113"/>
      <c r="PMT3" s="1113"/>
      <c r="PMU3" s="1113"/>
      <c r="PMV3" s="1113"/>
      <c r="PMW3" s="1113"/>
      <c r="PMX3" s="1113"/>
      <c r="PMY3" s="1113"/>
      <c r="PMZ3" s="1113"/>
      <c r="PNA3" s="1113"/>
      <c r="PNB3" s="1113"/>
      <c r="PNC3" s="1113"/>
      <c r="PND3" s="1113"/>
      <c r="PNE3" s="1113"/>
      <c r="PNF3" s="1113"/>
      <c r="PNG3" s="1113"/>
      <c r="PNH3" s="1113"/>
      <c r="PNI3" s="1113"/>
      <c r="PNJ3" s="1113"/>
      <c r="PNK3" s="1113"/>
      <c r="PNL3" s="1113"/>
      <c r="PNM3" s="1113"/>
      <c r="PNN3" s="1113"/>
      <c r="PNO3" s="1113"/>
      <c r="PNP3" s="1113"/>
      <c r="PNQ3" s="1113"/>
      <c r="PNR3" s="1113"/>
      <c r="PNS3" s="1113"/>
      <c r="PNT3" s="1113"/>
      <c r="PNU3" s="1113"/>
      <c r="PNV3" s="1113"/>
      <c r="PNW3" s="1113"/>
      <c r="PNX3" s="1113"/>
      <c r="PNY3" s="1113"/>
      <c r="PNZ3" s="1113"/>
      <c r="POA3" s="1113"/>
      <c r="POB3" s="1113"/>
      <c r="POC3" s="1113"/>
      <c r="POD3" s="1113"/>
      <c r="POE3" s="1113"/>
      <c r="POF3" s="1113"/>
      <c r="POG3" s="1113"/>
      <c r="POH3" s="1113"/>
      <c r="POI3" s="1113"/>
      <c r="POJ3" s="1113"/>
      <c r="POK3" s="1113"/>
      <c r="POL3" s="1113"/>
      <c r="POM3" s="1113"/>
      <c r="PON3" s="1113"/>
      <c r="POO3" s="1113"/>
      <c r="POP3" s="1113"/>
      <c r="POQ3" s="1113"/>
      <c r="POR3" s="1113"/>
      <c r="POS3" s="1113"/>
      <c r="POT3" s="1113"/>
      <c r="POU3" s="1113"/>
      <c r="POV3" s="1113"/>
      <c r="POW3" s="1113"/>
      <c r="POX3" s="1113"/>
      <c r="POY3" s="1113"/>
      <c r="POZ3" s="1113"/>
      <c r="PPA3" s="1113"/>
      <c r="PPB3" s="1113"/>
      <c r="PPC3" s="1113"/>
      <c r="PPD3" s="1113"/>
      <c r="PPE3" s="1113"/>
      <c r="PPF3" s="1113"/>
      <c r="PPG3" s="1113"/>
      <c r="PPH3" s="1113"/>
      <c r="PPI3" s="1113"/>
      <c r="PPJ3" s="1113"/>
      <c r="PPK3" s="1113"/>
      <c r="PPL3" s="1113"/>
      <c r="PPM3" s="1113"/>
      <c r="PPN3" s="1113"/>
      <c r="PPO3" s="1113"/>
      <c r="PPP3" s="1113"/>
      <c r="PPQ3" s="1113"/>
      <c r="PPR3" s="1113"/>
      <c r="PPS3" s="1113"/>
      <c r="PPT3" s="1113"/>
      <c r="PPU3" s="1113"/>
      <c r="PPV3" s="1113"/>
      <c r="PPW3" s="1113"/>
      <c r="PPX3" s="1113"/>
      <c r="PPY3" s="1113"/>
      <c r="PPZ3" s="1113"/>
      <c r="PQA3" s="1113"/>
      <c r="PQB3" s="1113"/>
      <c r="PQC3" s="1113"/>
      <c r="PQD3" s="1113"/>
      <c r="PQE3" s="1113"/>
      <c r="PQF3" s="1113"/>
      <c r="PQG3" s="1113"/>
      <c r="PQH3" s="1113"/>
      <c r="PQI3" s="1113"/>
      <c r="PQJ3" s="1113"/>
      <c r="PQK3" s="1113"/>
      <c r="PQL3" s="1113"/>
      <c r="PQM3" s="1113"/>
      <c r="PQN3" s="1113"/>
      <c r="PQO3" s="1113"/>
      <c r="PQP3" s="1113"/>
      <c r="PQQ3" s="1113"/>
      <c r="PQR3" s="1113"/>
      <c r="PQS3" s="1113"/>
      <c r="PQT3" s="1113"/>
      <c r="PQU3" s="1113"/>
      <c r="PQV3" s="1113"/>
      <c r="PQW3" s="1113"/>
      <c r="PQX3" s="1113"/>
      <c r="PQY3" s="1113"/>
      <c r="PQZ3" s="1113"/>
      <c r="PRA3" s="1113"/>
      <c r="PRB3" s="1113"/>
      <c r="PRC3" s="1113"/>
      <c r="PRD3" s="1113"/>
      <c r="PRE3" s="1113"/>
      <c r="PRF3" s="1113"/>
      <c r="PRG3" s="1113"/>
      <c r="PRH3" s="1113"/>
      <c r="PRI3" s="1113"/>
      <c r="PRJ3" s="1113"/>
      <c r="PRK3" s="1113"/>
      <c r="PRL3" s="1113"/>
      <c r="PRM3" s="1113"/>
      <c r="PRN3" s="1113"/>
      <c r="PRO3" s="1113"/>
      <c r="PRP3" s="1113"/>
      <c r="PRQ3" s="1113"/>
      <c r="PRR3" s="1113"/>
      <c r="PRS3" s="1113"/>
      <c r="PRT3" s="1113"/>
      <c r="PRU3" s="1113"/>
      <c r="PRV3" s="1113"/>
      <c r="PRW3" s="1113"/>
      <c r="PRX3" s="1113"/>
      <c r="PRY3" s="1113"/>
      <c r="PRZ3" s="1113"/>
      <c r="PSA3" s="1113"/>
      <c r="PSB3" s="1113"/>
      <c r="PSC3" s="1113"/>
      <c r="PSD3" s="1113"/>
      <c r="PSE3" s="1113"/>
      <c r="PSF3" s="1113"/>
      <c r="PSG3" s="1113"/>
      <c r="PSH3" s="1113"/>
      <c r="PSI3" s="1113"/>
      <c r="PSJ3" s="1113"/>
      <c r="PSK3" s="1113"/>
      <c r="PSL3" s="1113"/>
      <c r="PSM3" s="1113"/>
      <c r="PSN3" s="1113"/>
      <c r="PSO3" s="1113"/>
      <c r="PSP3" s="1113"/>
      <c r="PSQ3" s="1113"/>
      <c r="PSR3" s="1113"/>
      <c r="PSS3" s="1113"/>
      <c r="PST3" s="1113"/>
      <c r="PSU3" s="1113"/>
      <c r="PSV3" s="1113"/>
      <c r="PSW3" s="1113"/>
      <c r="PSX3" s="1113"/>
      <c r="PSY3" s="1113"/>
      <c r="PSZ3" s="1113"/>
      <c r="PTA3" s="1113"/>
      <c r="PTB3" s="1113"/>
      <c r="PTC3" s="1113"/>
      <c r="PTD3" s="1113"/>
      <c r="PTE3" s="1113"/>
      <c r="PTF3" s="1113"/>
      <c r="PTG3" s="1113"/>
      <c r="PTH3" s="1113"/>
      <c r="PTI3" s="1113"/>
      <c r="PTJ3" s="1113"/>
      <c r="PTK3" s="1113"/>
      <c r="PTL3" s="1113"/>
      <c r="PTM3" s="1113"/>
      <c r="PTN3" s="1113"/>
      <c r="PTO3" s="1113"/>
      <c r="PTP3" s="1113"/>
      <c r="PTQ3" s="1113"/>
      <c r="PTR3" s="1113"/>
      <c r="PTS3" s="1113"/>
      <c r="PTT3" s="1113"/>
      <c r="PTU3" s="1113"/>
      <c r="PTV3" s="1113"/>
      <c r="PTW3" s="1113"/>
      <c r="PTX3" s="1113"/>
      <c r="PTY3" s="1113"/>
      <c r="PTZ3" s="1113"/>
      <c r="PUA3" s="1113"/>
      <c r="PUB3" s="1113"/>
      <c r="PUC3" s="1113"/>
      <c r="PUD3" s="1113"/>
      <c r="PUE3" s="1113"/>
      <c r="PUF3" s="1113"/>
      <c r="PUG3" s="1113"/>
      <c r="PUH3" s="1113"/>
      <c r="PUI3" s="1113"/>
      <c r="PUJ3" s="1113"/>
      <c r="PUK3" s="1113"/>
      <c r="PUL3" s="1113"/>
      <c r="PUM3" s="1113"/>
      <c r="PUN3" s="1113"/>
      <c r="PUO3" s="1113"/>
      <c r="PUP3" s="1113"/>
      <c r="PUQ3" s="1113"/>
      <c r="PUR3" s="1113"/>
      <c r="PUS3" s="1113"/>
      <c r="PUT3" s="1113"/>
      <c r="PUU3" s="1113"/>
      <c r="PUV3" s="1113"/>
      <c r="PUW3" s="1113"/>
      <c r="PUX3" s="1113"/>
      <c r="PUY3" s="1113"/>
      <c r="PUZ3" s="1113"/>
      <c r="PVA3" s="1113"/>
      <c r="PVB3" s="1113"/>
      <c r="PVC3" s="1113"/>
      <c r="PVD3" s="1113"/>
      <c r="PVE3" s="1113"/>
      <c r="PVF3" s="1113"/>
      <c r="PVG3" s="1113"/>
      <c r="PVH3" s="1113"/>
      <c r="PVI3" s="1113"/>
      <c r="PVJ3" s="1113"/>
      <c r="PVK3" s="1113"/>
      <c r="PVL3" s="1113"/>
      <c r="PVM3" s="1113"/>
      <c r="PVN3" s="1113"/>
      <c r="PVO3" s="1113"/>
      <c r="PVP3" s="1113"/>
      <c r="PVQ3" s="1113"/>
      <c r="PVR3" s="1113"/>
      <c r="PVS3" s="1113"/>
      <c r="PVT3" s="1113"/>
      <c r="PVU3" s="1113"/>
      <c r="PVV3" s="1113"/>
      <c r="PVW3" s="1113"/>
      <c r="PVX3" s="1113"/>
      <c r="PVY3" s="1113"/>
      <c r="PVZ3" s="1113"/>
      <c r="PWA3" s="1113"/>
      <c r="PWB3" s="1113"/>
      <c r="PWC3" s="1113"/>
      <c r="PWD3" s="1113"/>
      <c r="PWE3" s="1113"/>
      <c r="PWF3" s="1113"/>
      <c r="PWG3" s="1113"/>
      <c r="PWH3" s="1113"/>
      <c r="PWI3" s="1113"/>
      <c r="PWJ3" s="1113"/>
      <c r="PWK3" s="1113"/>
      <c r="PWL3" s="1113"/>
      <c r="PWM3" s="1113"/>
      <c r="PWN3" s="1113"/>
      <c r="PWO3" s="1113"/>
      <c r="PWP3" s="1113"/>
      <c r="PWQ3" s="1113"/>
      <c r="PWR3" s="1113"/>
      <c r="PWS3" s="1113"/>
      <c r="PWT3" s="1113"/>
      <c r="PWU3" s="1113"/>
      <c r="PWV3" s="1113"/>
      <c r="PWW3" s="1113"/>
      <c r="PWX3" s="1113"/>
      <c r="PWY3" s="1113"/>
      <c r="PWZ3" s="1113"/>
      <c r="PXA3" s="1113"/>
      <c r="PXB3" s="1113"/>
      <c r="PXC3" s="1113"/>
      <c r="PXD3" s="1113"/>
      <c r="PXE3" s="1113"/>
      <c r="PXF3" s="1113"/>
      <c r="PXG3" s="1113"/>
      <c r="PXH3" s="1113"/>
      <c r="PXI3" s="1113"/>
      <c r="PXJ3" s="1113"/>
      <c r="PXK3" s="1113"/>
      <c r="PXL3" s="1113"/>
      <c r="PXM3" s="1113"/>
      <c r="PXN3" s="1113"/>
      <c r="PXO3" s="1113"/>
      <c r="PXP3" s="1113"/>
      <c r="PXQ3" s="1113"/>
      <c r="PXR3" s="1113"/>
      <c r="PXS3" s="1113"/>
      <c r="PXT3" s="1113"/>
      <c r="PXU3" s="1113"/>
      <c r="PXV3" s="1113"/>
      <c r="PXW3" s="1113"/>
      <c r="PXX3" s="1113"/>
      <c r="PXY3" s="1113"/>
      <c r="PXZ3" s="1113"/>
      <c r="PYA3" s="1113"/>
      <c r="PYB3" s="1113"/>
      <c r="PYC3" s="1113"/>
      <c r="PYD3" s="1113"/>
      <c r="PYE3" s="1113"/>
      <c r="PYF3" s="1113"/>
      <c r="PYG3" s="1113"/>
      <c r="PYH3" s="1113"/>
      <c r="PYI3" s="1113"/>
      <c r="PYJ3" s="1113"/>
      <c r="PYK3" s="1113"/>
      <c r="PYL3" s="1113"/>
      <c r="PYM3" s="1113"/>
      <c r="PYN3" s="1113"/>
      <c r="PYO3" s="1113"/>
      <c r="PYP3" s="1113"/>
      <c r="PYQ3" s="1113"/>
      <c r="PYR3" s="1113"/>
      <c r="PYS3" s="1113"/>
      <c r="PYT3" s="1113"/>
      <c r="PYU3" s="1113"/>
      <c r="PYV3" s="1113"/>
      <c r="PYW3" s="1113"/>
      <c r="PYX3" s="1113"/>
      <c r="PYY3" s="1113"/>
      <c r="PYZ3" s="1113"/>
      <c r="PZA3" s="1113"/>
      <c r="PZB3" s="1113"/>
      <c r="PZC3" s="1113"/>
      <c r="PZD3" s="1113"/>
      <c r="PZE3" s="1113"/>
      <c r="PZF3" s="1113"/>
      <c r="PZG3" s="1113"/>
      <c r="PZH3" s="1113"/>
      <c r="PZI3" s="1113"/>
      <c r="PZJ3" s="1113"/>
      <c r="PZK3" s="1113"/>
      <c r="PZL3" s="1113"/>
      <c r="PZM3" s="1113"/>
      <c r="PZN3" s="1113"/>
      <c r="PZO3" s="1113"/>
      <c r="PZP3" s="1113"/>
      <c r="PZQ3" s="1113"/>
      <c r="PZR3" s="1113"/>
      <c r="PZS3" s="1113"/>
      <c r="PZT3" s="1113"/>
      <c r="PZU3" s="1113"/>
      <c r="PZV3" s="1113"/>
      <c r="PZW3" s="1113"/>
      <c r="PZX3" s="1113"/>
      <c r="PZY3" s="1113"/>
      <c r="PZZ3" s="1113"/>
      <c r="QAA3" s="1113"/>
      <c r="QAB3" s="1113"/>
      <c r="QAC3" s="1113"/>
      <c r="QAD3" s="1113"/>
      <c r="QAE3" s="1113"/>
      <c r="QAF3" s="1113"/>
      <c r="QAG3" s="1113"/>
      <c r="QAH3" s="1113"/>
      <c r="QAI3" s="1113"/>
      <c r="QAJ3" s="1113"/>
      <c r="QAK3" s="1113"/>
      <c r="QAL3" s="1113"/>
      <c r="QAM3" s="1113"/>
      <c r="QAN3" s="1113"/>
      <c r="QAO3" s="1113"/>
      <c r="QAP3" s="1113"/>
      <c r="QAQ3" s="1113"/>
      <c r="QAR3" s="1113"/>
      <c r="QAS3" s="1113"/>
      <c r="QAT3" s="1113"/>
      <c r="QAU3" s="1113"/>
      <c r="QAV3" s="1113"/>
      <c r="QAW3" s="1113"/>
      <c r="QAX3" s="1113"/>
      <c r="QAY3" s="1113"/>
      <c r="QAZ3" s="1113"/>
      <c r="QBA3" s="1113"/>
      <c r="QBB3" s="1113"/>
      <c r="QBC3" s="1113"/>
      <c r="QBD3" s="1113"/>
      <c r="QBE3" s="1113"/>
      <c r="QBF3" s="1113"/>
      <c r="QBG3" s="1113"/>
      <c r="QBH3" s="1113"/>
      <c r="QBI3" s="1113"/>
      <c r="QBJ3" s="1113"/>
      <c r="QBK3" s="1113"/>
      <c r="QBL3" s="1113"/>
      <c r="QBM3" s="1113"/>
      <c r="QBN3" s="1113"/>
      <c r="QBO3" s="1113"/>
      <c r="QBP3" s="1113"/>
      <c r="QBQ3" s="1113"/>
      <c r="QBR3" s="1113"/>
      <c r="QBS3" s="1113"/>
      <c r="QBT3" s="1113"/>
      <c r="QBU3" s="1113"/>
      <c r="QBV3" s="1113"/>
      <c r="QBW3" s="1113"/>
      <c r="QBX3" s="1113"/>
      <c r="QBY3" s="1113"/>
      <c r="QBZ3" s="1113"/>
      <c r="QCA3" s="1113"/>
      <c r="QCB3" s="1113"/>
      <c r="QCC3" s="1113"/>
      <c r="QCD3" s="1113"/>
      <c r="QCE3" s="1113"/>
      <c r="QCF3" s="1113"/>
      <c r="QCG3" s="1113"/>
      <c r="QCH3" s="1113"/>
      <c r="QCI3" s="1113"/>
      <c r="QCJ3" s="1113"/>
      <c r="QCK3" s="1113"/>
      <c r="QCL3" s="1113"/>
      <c r="QCM3" s="1113"/>
      <c r="QCN3" s="1113"/>
      <c r="QCO3" s="1113"/>
      <c r="QCP3" s="1113"/>
      <c r="QCQ3" s="1113"/>
      <c r="QCR3" s="1113"/>
      <c r="QCS3" s="1113"/>
      <c r="QCT3" s="1113"/>
      <c r="QCU3" s="1113"/>
      <c r="QCV3" s="1113"/>
      <c r="QCW3" s="1113"/>
      <c r="QCX3" s="1113"/>
      <c r="QCY3" s="1113"/>
      <c r="QCZ3" s="1113"/>
      <c r="QDA3" s="1113"/>
      <c r="QDB3" s="1113"/>
      <c r="QDC3" s="1113"/>
      <c r="QDD3" s="1113"/>
      <c r="QDE3" s="1113"/>
      <c r="QDF3" s="1113"/>
      <c r="QDG3" s="1113"/>
      <c r="QDH3" s="1113"/>
      <c r="QDI3" s="1113"/>
      <c r="QDJ3" s="1113"/>
      <c r="QDK3" s="1113"/>
      <c r="QDL3" s="1113"/>
      <c r="QDM3" s="1113"/>
      <c r="QDN3" s="1113"/>
      <c r="QDO3" s="1113"/>
      <c r="QDP3" s="1113"/>
      <c r="QDQ3" s="1113"/>
      <c r="QDR3" s="1113"/>
      <c r="QDS3" s="1113"/>
      <c r="QDT3" s="1113"/>
      <c r="QDU3" s="1113"/>
      <c r="QDV3" s="1113"/>
      <c r="QDW3" s="1113"/>
      <c r="QDX3" s="1113"/>
      <c r="QDY3" s="1113"/>
      <c r="QDZ3" s="1113"/>
      <c r="QEA3" s="1113"/>
      <c r="QEB3" s="1113"/>
      <c r="QEC3" s="1113"/>
      <c r="QED3" s="1113"/>
      <c r="QEE3" s="1113"/>
      <c r="QEF3" s="1113"/>
      <c r="QEG3" s="1113"/>
      <c r="QEH3" s="1113"/>
      <c r="QEI3" s="1113"/>
      <c r="QEJ3" s="1113"/>
      <c r="QEK3" s="1113"/>
      <c r="QEL3" s="1113"/>
      <c r="QEM3" s="1113"/>
      <c r="QEN3" s="1113"/>
      <c r="QEO3" s="1113"/>
      <c r="QEP3" s="1113"/>
      <c r="QEQ3" s="1113"/>
      <c r="QER3" s="1113"/>
      <c r="QES3" s="1113"/>
      <c r="QET3" s="1113"/>
      <c r="QEU3" s="1113"/>
      <c r="QEV3" s="1113"/>
      <c r="QEW3" s="1113"/>
      <c r="QEX3" s="1113"/>
      <c r="QEY3" s="1113"/>
      <c r="QEZ3" s="1113"/>
      <c r="QFA3" s="1113"/>
      <c r="QFB3" s="1113"/>
      <c r="QFC3" s="1113"/>
      <c r="QFD3" s="1113"/>
      <c r="QFE3" s="1113"/>
      <c r="QFF3" s="1113"/>
      <c r="QFG3" s="1113"/>
      <c r="QFH3" s="1113"/>
      <c r="QFI3" s="1113"/>
      <c r="QFJ3" s="1113"/>
      <c r="QFK3" s="1113"/>
      <c r="QFL3" s="1113"/>
      <c r="QFM3" s="1113"/>
      <c r="QFN3" s="1113"/>
      <c r="QFO3" s="1113"/>
      <c r="QFP3" s="1113"/>
      <c r="QFQ3" s="1113"/>
      <c r="QFR3" s="1113"/>
      <c r="QFS3" s="1113"/>
      <c r="QFT3" s="1113"/>
      <c r="QFU3" s="1113"/>
      <c r="QFV3" s="1113"/>
      <c r="QFW3" s="1113"/>
      <c r="QFX3" s="1113"/>
      <c r="QFY3" s="1113"/>
      <c r="QFZ3" s="1113"/>
      <c r="QGA3" s="1113"/>
      <c r="QGB3" s="1113"/>
      <c r="QGC3" s="1113"/>
      <c r="QGD3" s="1113"/>
      <c r="QGE3" s="1113"/>
      <c r="QGF3" s="1113"/>
      <c r="QGG3" s="1113"/>
      <c r="QGH3" s="1113"/>
      <c r="QGI3" s="1113"/>
      <c r="QGJ3" s="1113"/>
      <c r="QGK3" s="1113"/>
      <c r="QGL3" s="1113"/>
      <c r="QGM3" s="1113"/>
      <c r="QGN3" s="1113"/>
      <c r="QGO3" s="1113"/>
      <c r="QGP3" s="1113"/>
      <c r="QGQ3" s="1113"/>
      <c r="QGR3" s="1113"/>
      <c r="QGS3" s="1113"/>
      <c r="QGT3" s="1113"/>
      <c r="QGU3" s="1113"/>
      <c r="QGV3" s="1113"/>
      <c r="QGW3" s="1113"/>
      <c r="QGX3" s="1113"/>
      <c r="QGY3" s="1113"/>
      <c r="QGZ3" s="1113"/>
      <c r="QHA3" s="1113"/>
      <c r="QHB3" s="1113"/>
      <c r="QHC3" s="1113"/>
      <c r="QHD3" s="1113"/>
      <c r="QHE3" s="1113"/>
      <c r="QHF3" s="1113"/>
      <c r="QHG3" s="1113"/>
      <c r="QHH3" s="1113"/>
      <c r="QHI3" s="1113"/>
      <c r="QHJ3" s="1113"/>
      <c r="QHK3" s="1113"/>
      <c r="QHL3" s="1113"/>
      <c r="QHM3" s="1113"/>
      <c r="QHN3" s="1113"/>
      <c r="QHO3" s="1113"/>
      <c r="QHP3" s="1113"/>
      <c r="QHQ3" s="1113"/>
      <c r="QHR3" s="1113"/>
      <c r="QHS3" s="1113"/>
      <c r="QHT3" s="1113"/>
      <c r="QHU3" s="1113"/>
      <c r="QHV3" s="1113"/>
      <c r="QHW3" s="1113"/>
      <c r="QHX3" s="1113"/>
      <c r="QHY3" s="1113"/>
      <c r="QHZ3" s="1113"/>
      <c r="QIA3" s="1113"/>
      <c r="QIB3" s="1113"/>
      <c r="QIC3" s="1113"/>
      <c r="QID3" s="1113"/>
      <c r="QIE3" s="1113"/>
      <c r="QIF3" s="1113"/>
      <c r="QIG3" s="1113"/>
      <c r="QIH3" s="1113"/>
      <c r="QII3" s="1113"/>
      <c r="QIJ3" s="1113"/>
      <c r="QIK3" s="1113"/>
      <c r="QIL3" s="1113"/>
      <c r="QIM3" s="1113"/>
      <c r="QIN3" s="1113"/>
      <c r="QIO3" s="1113"/>
      <c r="QIP3" s="1113"/>
      <c r="QIQ3" s="1113"/>
      <c r="QIR3" s="1113"/>
      <c r="QIS3" s="1113"/>
      <c r="QIT3" s="1113"/>
      <c r="QIU3" s="1113"/>
      <c r="QIV3" s="1113"/>
      <c r="QIW3" s="1113"/>
      <c r="QIX3" s="1113"/>
      <c r="QIY3" s="1113"/>
      <c r="QIZ3" s="1113"/>
      <c r="QJA3" s="1113"/>
      <c r="QJB3" s="1113"/>
      <c r="QJC3" s="1113"/>
      <c r="QJD3" s="1113"/>
      <c r="QJE3" s="1113"/>
      <c r="QJF3" s="1113"/>
      <c r="QJG3" s="1113"/>
      <c r="QJH3" s="1113"/>
      <c r="QJI3" s="1113"/>
      <c r="QJJ3" s="1113"/>
      <c r="QJK3" s="1113"/>
      <c r="QJL3" s="1113"/>
      <c r="QJM3" s="1113"/>
      <c r="QJN3" s="1113"/>
      <c r="QJO3" s="1113"/>
      <c r="QJP3" s="1113"/>
      <c r="QJQ3" s="1113"/>
      <c r="QJR3" s="1113"/>
      <c r="QJS3" s="1113"/>
      <c r="QJT3" s="1113"/>
      <c r="QJU3" s="1113"/>
      <c r="QJV3" s="1113"/>
      <c r="QJW3" s="1113"/>
      <c r="QJX3" s="1113"/>
      <c r="QJY3" s="1113"/>
      <c r="QJZ3" s="1113"/>
      <c r="QKA3" s="1113"/>
      <c r="QKB3" s="1113"/>
      <c r="QKC3" s="1113"/>
      <c r="QKD3" s="1113"/>
      <c r="QKE3" s="1113"/>
      <c r="QKF3" s="1113"/>
      <c r="QKG3" s="1113"/>
      <c r="QKH3" s="1113"/>
      <c r="QKI3" s="1113"/>
      <c r="QKJ3" s="1113"/>
      <c r="QKK3" s="1113"/>
      <c r="QKL3" s="1113"/>
      <c r="QKM3" s="1113"/>
      <c r="QKN3" s="1113"/>
      <c r="QKO3" s="1113"/>
      <c r="QKP3" s="1113"/>
      <c r="QKQ3" s="1113"/>
      <c r="QKR3" s="1113"/>
      <c r="QKS3" s="1113"/>
      <c r="QKT3" s="1113"/>
      <c r="QKU3" s="1113"/>
      <c r="QKV3" s="1113"/>
      <c r="QKW3" s="1113"/>
      <c r="QKX3" s="1113"/>
      <c r="QKY3" s="1113"/>
      <c r="QKZ3" s="1113"/>
      <c r="QLA3" s="1113"/>
      <c r="QLB3" s="1113"/>
      <c r="QLC3" s="1113"/>
      <c r="QLD3" s="1113"/>
      <c r="QLE3" s="1113"/>
      <c r="QLF3" s="1113"/>
      <c r="QLG3" s="1113"/>
      <c r="QLH3" s="1113"/>
      <c r="QLI3" s="1113"/>
      <c r="QLJ3" s="1113"/>
      <c r="QLK3" s="1113"/>
      <c r="QLL3" s="1113"/>
      <c r="QLM3" s="1113"/>
      <c r="QLN3" s="1113"/>
      <c r="QLO3" s="1113"/>
      <c r="QLP3" s="1113"/>
      <c r="QLQ3" s="1113"/>
      <c r="QLR3" s="1113"/>
      <c r="QLS3" s="1113"/>
      <c r="QLT3" s="1113"/>
      <c r="QLU3" s="1113"/>
      <c r="QLV3" s="1113"/>
      <c r="QLW3" s="1113"/>
      <c r="QLX3" s="1113"/>
      <c r="QLY3" s="1113"/>
      <c r="QLZ3" s="1113"/>
      <c r="QMA3" s="1113"/>
      <c r="QMB3" s="1113"/>
      <c r="QMC3" s="1113"/>
      <c r="QMD3" s="1113"/>
      <c r="QME3" s="1113"/>
      <c r="QMF3" s="1113"/>
      <c r="QMG3" s="1113"/>
      <c r="QMH3" s="1113"/>
      <c r="QMI3" s="1113"/>
      <c r="QMJ3" s="1113"/>
      <c r="QMK3" s="1113"/>
      <c r="QML3" s="1113"/>
      <c r="QMM3" s="1113"/>
      <c r="QMN3" s="1113"/>
      <c r="QMO3" s="1113"/>
      <c r="QMP3" s="1113"/>
      <c r="QMQ3" s="1113"/>
      <c r="QMR3" s="1113"/>
      <c r="QMS3" s="1113"/>
      <c r="QMT3" s="1113"/>
      <c r="QMU3" s="1113"/>
      <c r="QMV3" s="1113"/>
      <c r="QMW3" s="1113"/>
      <c r="QMX3" s="1113"/>
      <c r="QMY3" s="1113"/>
      <c r="QMZ3" s="1113"/>
      <c r="QNA3" s="1113"/>
      <c r="QNB3" s="1113"/>
      <c r="QNC3" s="1113"/>
      <c r="QND3" s="1113"/>
      <c r="QNE3" s="1113"/>
      <c r="QNF3" s="1113"/>
      <c r="QNG3" s="1113"/>
      <c r="QNH3" s="1113"/>
      <c r="QNI3" s="1113"/>
      <c r="QNJ3" s="1113"/>
      <c r="QNK3" s="1113"/>
      <c r="QNL3" s="1113"/>
      <c r="QNM3" s="1113"/>
      <c r="QNN3" s="1113"/>
      <c r="QNO3" s="1113"/>
      <c r="QNP3" s="1113"/>
      <c r="QNQ3" s="1113"/>
      <c r="QNR3" s="1113"/>
      <c r="QNS3" s="1113"/>
      <c r="QNT3" s="1113"/>
      <c r="QNU3" s="1113"/>
      <c r="QNV3" s="1113"/>
      <c r="QNW3" s="1113"/>
      <c r="QNX3" s="1113"/>
      <c r="QNY3" s="1113"/>
      <c r="QNZ3" s="1113"/>
      <c r="QOA3" s="1113"/>
      <c r="QOB3" s="1113"/>
      <c r="QOC3" s="1113"/>
      <c r="QOD3" s="1113"/>
      <c r="QOE3" s="1113"/>
      <c r="QOF3" s="1113"/>
      <c r="QOG3" s="1113"/>
      <c r="QOH3" s="1113"/>
      <c r="QOI3" s="1113"/>
      <c r="QOJ3" s="1113"/>
      <c r="QOK3" s="1113"/>
      <c r="QOL3" s="1113"/>
      <c r="QOM3" s="1113"/>
      <c r="QON3" s="1113"/>
      <c r="QOO3" s="1113"/>
      <c r="QOP3" s="1113"/>
      <c r="QOQ3" s="1113"/>
      <c r="QOR3" s="1113"/>
      <c r="QOS3" s="1113"/>
      <c r="QOT3" s="1113"/>
      <c r="QOU3" s="1113"/>
      <c r="QOV3" s="1113"/>
      <c r="QOW3" s="1113"/>
      <c r="QOX3" s="1113"/>
      <c r="QOY3" s="1113"/>
      <c r="QOZ3" s="1113"/>
      <c r="QPA3" s="1113"/>
      <c r="QPB3" s="1113"/>
      <c r="QPC3" s="1113"/>
      <c r="QPD3" s="1113"/>
      <c r="QPE3" s="1113"/>
      <c r="QPF3" s="1113"/>
      <c r="QPG3" s="1113"/>
      <c r="QPH3" s="1113"/>
      <c r="QPI3" s="1113"/>
      <c r="QPJ3" s="1113"/>
      <c r="QPK3" s="1113"/>
      <c r="QPL3" s="1113"/>
      <c r="QPM3" s="1113"/>
      <c r="QPN3" s="1113"/>
      <c r="QPO3" s="1113"/>
      <c r="QPP3" s="1113"/>
      <c r="QPQ3" s="1113"/>
      <c r="QPR3" s="1113"/>
      <c r="QPS3" s="1113"/>
      <c r="QPT3" s="1113"/>
      <c r="QPU3" s="1113"/>
      <c r="QPV3" s="1113"/>
      <c r="QPW3" s="1113"/>
      <c r="QPX3" s="1113"/>
      <c r="QPY3" s="1113"/>
      <c r="QPZ3" s="1113"/>
      <c r="QQA3" s="1113"/>
      <c r="QQB3" s="1113"/>
      <c r="QQC3" s="1113"/>
      <c r="QQD3" s="1113"/>
      <c r="QQE3" s="1113"/>
      <c r="QQF3" s="1113"/>
      <c r="QQG3" s="1113"/>
      <c r="QQH3" s="1113"/>
      <c r="QQI3" s="1113"/>
      <c r="QQJ3" s="1113"/>
      <c r="QQK3" s="1113"/>
      <c r="QQL3" s="1113"/>
      <c r="QQM3" s="1113"/>
      <c r="QQN3" s="1113"/>
      <c r="QQO3" s="1113"/>
      <c r="QQP3" s="1113"/>
      <c r="QQQ3" s="1113"/>
      <c r="QQR3" s="1113"/>
      <c r="QQS3" s="1113"/>
      <c r="QQT3" s="1113"/>
      <c r="QQU3" s="1113"/>
      <c r="QQV3" s="1113"/>
      <c r="QQW3" s="1113"/>
      <c r="QQX3" s="1113"/>
      <c r="QQY3" s="1113"/>
      <c r="QQZ3" s="1113"/>
      <c r="QRA3" s="1113"/>
      <c r="QRB3" s="1113"/>
      <c r="QRC3" s="1113"/>
      <c r="QRD3" s="1113"/>
      <c r="QRE3" s="1113"/>
      <c r="QRF3" s="1113"/>
      <c r="QRG3" s="1113"/>
      <c r="QRH3" s="1113"/>
      <c r="QRI3" s="1113"/>
      <c r="QRJ3" s="1113"/>
      <c r="QRK3" s="1113"/>
      <c r="QRL3" s="1113"/>
      <c r="QRM3" s="1113"/>
      <c r="QRN3" s="1113"/>
      <c r="QRO3" s="1113"/>
      <c r="QRP3" s="1113"/>
      <c r="QRQ3" s="1113"/>
      <c r="QRR3" s="1113"/>
      <c r="QRS3" s="1113"/>
      <c r="QRT3" s="1113"/>
      <c r="QRU3" s="1113"/>
      <c r="QRV3" s="1113"/>
      <c r="QRW3" s="1113"/>
      <c r="QRX3" s="1113"/>
      <c r="QRY3" s="1113"/>
      <c r="QRZ3" s="1113"/>
      <c r="QSA3" s="1113"/>
      <c r="QSB3" s="1113"/>
      <c r="QSC3" s="1113"/>
      <c r="QSD3" s="1113"/>
      <c r="QSE3" s="1113"/>
      <c r="QSF3" s="1113"/>
      <c r="QSG3" s="1113"/>
      <c r="QSH3" s="1113"/>
      <c r="QSI3" s="1113"/>
      <c r="QSJ3" s="1113"/>
      <c r="QSK3" s="1113"/>
      <c r="QSL3" s="1113"/>
      <c r="QSM3" s="1113"/>
      <c r="QSN3" s="1113"/>
      <c r="QSO3" s="1113"/>
      <c r="QSP3" s="1113"/>
      <c r="QSQ3" s="1113"/>
      <c r="QSR3" s="1113"/>
      <c r="QSS3" s="1113"/>
      <c r="QST3" s="1113"/>
      <c r="QSU3" s="1113"/>
      <c r="QSV3" s="1113"/>
      <c r="QSW3" s="1113"/>
      <c r="QSX3" s="1113"/>
      <c r="QSY3" s="1113"/>
      <c r="QSZ3" s="1113"/>
      <c r="QTA3" s="1113"/>
      <c r="QTB3" s="1113"/>
      <c r="QTC3" s="1113"/>
      <c r="QTD3" s="1113"/>
      <c r="QTE3" s="1113"/>
      <c r="QTF3" s="1113"/>
      <c r="QTG3" s="1113"/>
      <c r="QTH3" s="1113"/>
      <c r="QTI3" s="1113"/>
      <c r="QTJ3" s="1113"/>
      <c r="QTK3" s="1113"/>
      <c r="QTL3" s="1113"/>
      <c r="QTM3" s="1113"/>
      <c r="QTN3" s="1113"/>
      <c r="QTO3" s="1113"/>
      <c r="QTP3" s="1113"/>
      <c r="QTQ3" s="1113"/>
      <c r="QTR3" s="1113"/>
      <c r="QTS3" s="1113"/>
      <c r="QTT3" s="1113"/>
      <c r="QTU3" s="1113"/>
      <c r="QTV3" s="1113"/>
      <c r="QTW3" s="1113"/>
      <c r="QTX3" s="1113"/>
      <c r="QTY3" s="1113"/>
      <c r="QTZ3" s="1113"/>
      <c r="QUA3" s="1113"/>
      <c r="QUB3" s="1113"/>
      <c r="QUC3" s="1113"/>
      <c r="QUD3" s="1113"/>
      <c r="QUE3" s="1113"/>
      <c r="QUF3" s="1113"/>
      <c r="QUG3" s="1113"/>
      <c r="QUH3" s="1113"/>
      <c r="QUI3" s="1113"/>
      <c r="QUJ3" s="1113"/>
      <c r="QUK3" s="1113"/>
      <c r="QUL3" s="1113"/>
      <c r="QUM3" s="1113"/>
      <c r="QUN3" s="1113"/>
      <c r="QUO3" s="1113"/>
      <c r="QUP3" s="1113"/>
      <c r="QUQ3" s="1113"/>
      <c r="QUR3" s="1113"/>
      <c r="QUS3" s="1113"/>
      <c r="QUT3" s="1113"/>
      <c r="QUU3" s="1113"/>
      <c r="QUV3" s="1113"/>
      <c r="QUW3" s="1113"/>
      <c r="QUX3" s="1113"/>
      <c r="QUY3" s="1113"/>
      <c r="QUZ3" s="1113"/>
      <c r="QVA3" s="1113"/>
      <c r="QVB3" s="1113"/>
      <c r="QVC3" s="1113"/>
      <c r="QVD3" s="1113"/>
      <c r="QVE3" s="1113"/>
      <c r="QVF3" s="1113"/>
      <c r="QVG3" s="1113"/>
      <c r="QVH3" s="1113"/>
      <c r="QVI3" s="1113"/>
      <c r="QVJ3" s="1113"/>
      <c r="QVK3" s="1113"/>
      <c r="QVL3" s="1113"/>
      <c r="QVM3" s="1113"/>
      <c r="QVN3" s="1113"/>
      <c r="QVO3" s="1113"/>
      <c r="QVP3" s="1113"/>
      <c r="QVQ3" s="1113"/>
      <c r="QVR3" s="1113"/>
      <c r="QVS3" s="1113"/>
      <c r="QVT3" s="1113"/>
      <c r="QVU3" s="1113"/>
      <c r="QVV3" s="1113"/>
      <c r="QVW3" s="1113"/>
      <c r="QVX3" s="1113"/>
      <c r="QVY3" s="1113"/>
      <c r="QVZ3" s="1113"/>
      <c r="QWA3" s="1113"/>
      <c r="QWB3" s="1113"/>
      <c r="QWC3" s="1113"/>
      <c r="QWD3" s="1113"/>
      <c r="QWE3" s="1113"/>
      <c r="QWF3" s="1113"/>
      <c r="QWG3" s="1113"/>
      <c r="QWH3" s="1113"/>
      <c r="QWI3" s="1113"/>
      <c r="QWJ3" s="1113"/>
      <c r="QWK3" s="1113"/>
      <c r="QWL3" s="1113"/>
      <c r="QWM3" s="1113"/>
      <c r="QWN3" s="1113"/>
      <c r="QWO3" s="1113"/>
      <c r="QWP3" s="1113"/>
      <c r="QWQ3" s="1113"/>
      <c r="QWR3" s="1113"/>
      <c r="QWS3" s="1113"/>
      <c r="QWT3" s="1113"/>
      <c r="QWU3" s="1113"/>
      <c r="QWV3" s="1113"/>
      <c r="QWW3" s="1113"/>
      <c r="QWX3" s="1113"/>
      <c r="QWY3" s="1113"/>
      <c r="QWZ3" s="1113"/>
      <c r="QXA3" s="1113"/>
      <c r="QXB3" s="1113"/>
      <c r="QXC3" s="1113"/>
      <c r="QXD3" s="1113"/>
      <c r="QXE3" s="1113"/>
      <c r="QXF3" s="1113"/>
      <c r="QXG3" s="1113"/>
      <c r="QXH3" s="1113"/>
      <c r="QXI3" s="1113"/>
      <c r="QXJ3" s="1113"/>
      <c r="QXK3" s="1113"/>
      <c r="QXL3" s="1113"/>
      <c r="QXM3" s="1113"/>
      <c r="QXN3" s="1113"/>
      <c r="QXO3" s="1113"/>
      <c r="QXP3" s="1113"/>
      <c r="QXQ3" s="1113"/>
      <c r="QXR3" s="1113"/>
      <c r="QXS3" s="1113"/>
      <c r="QXT3" s="1113"/>
      <c r="QXU3" s="1113"/>
      <c r="QXV3" s="1113"/>
      <c r="QXW3" s="1113"/>
      <c r="QXX3" s="1113"/>
      <c r="QXY3" s="1113"/>
      <c r="QXZ3" s="1113"/>
      <c r="QYA3" s="1113"/>
      <c r="QYB3" s="1113"/>
      <c r="QYC3" s="1113"/>
      <c r="QYD3" s="1113"/>
      <c r="QYE3" s="1113"/>
      <c r="QYF3" s="1113"/>
      <c r="QYG3" s="1113"/>
      <c r="QYH3" s="1113"/>
      <c r="QYI3" s="1113"/>
      <c r="QYJ3" s="1113"/>
      <c r="QYK3" s="1113"/>
      <c r="QYL3" s="1113"/>
      <c r="QYM3" s="1113"/>
      <c r="QYN3" s="1113"/>
      <c r="QYO3" s="1113"/>
      <c r="QYP3" s="1113"/>
      <c r="QYQ3" s="1113"/>
      <c r="QYR3" s="1113"/>
      <c r="QYS3" s="1113"/>
      <c r="QYT3" s="1113"/>
      <c r="QYU3" s="1113"/>
      <c r="QYV3" s="1113"/>
      <c r="QYW3" s="1113"/>
      <c r="QYX3" s="1113"/>
      <c r="QYY3" s="1113"/>
      <c r="QYZ3" s="1113"/>
      <c r="QZA3" s="1113"/>
      <c r="QZB3" s="1113"/>
      <c r="QZC3" s="1113"/>
      <c r="QZD3" s="1113"/>
      <c r="QZE3" s="1113"/>
      <c r="QZF3" s="1113"/>
      <c r="QZG3" s="1113"/>
      <c r="QZH3" s="1113"/>
      <c r="QZI3" s="1113"/>
      <c r="QZJ3" s="1113"/>
      <c r="QZK3" s="1113"/>
      <c r="QZL3" s="1113"/>
      <c r="QZM3" s="1113"/>
      <c r="QZN3" s="1113"/>
      <c r="QZO3" s="1113"/>
      <c r="QZP3" s="1113"/>
      <c r="QZQ3" s="1113"/>
      <c r="QZR3" s="1113"/>
      <c r="QZS3" s="1113"/>
      <c r="QZT3" s="1113"/>
      <c r="QZU3" s="1113"/>
      <c r="QZV3" s="1113"/>
      <c r="QZW3" s="1113"/>
      <c r="QZX3" s="1113"/>
      <c r="QZY3" s="1113"/>
      <c r="QZZ3" s="1113"/>
      <c r="RAA3" s="1113"/>
      <c r="RAB3" s="1113"/>
      <c r="RAC3" s="1113"/>
      <c r="RAD3" s="1113"/>
      <c r="RAE3" s="1113"/>
      <c r="RAF3" s="1113"/>
      <c r="RAG3" s="1113"/>
      <c r="RAH3" s="1113"/>
      <c r="RAI3" s="1113"/>
      <c r="RAJ3" s="1113"/>
      <c r="RAK3" s="1113"/>
      <c r="RAL3" s="1113"/>
      <c r="RAM3" s="1113"/>
      <c r="RAN3" s="1113"/>
      <c r="RAO3" s="1113"/>
      <c r="RAP3" s="1113"/>
      <c r="RAQ3" s="1113"/>
      <c r="RAR3" s="1113"/>
      <c r="RAS3" s="1113"/>
      <c r="RAT3" s="1113"/>
      <c r="RAU3" s="1113"/>
      <c r="RAV3" s="1113"/>
      <c r="RAW3" s="1113"/>
      <c r="RAX3" s="1113"/>
      <c r="RAY3" s="1113"/>
      <c r="RAZ3" s="1113"/>
      <c r="RBA3" s="1113"/>
      <c r="RBB3" s="1113"/>
      <c r="RBC3" s="1113"/>
      <c r="RBD3" s="1113"/>
      <c r="RBE3" s="1113"/>
      <c r="RBF3" s="1113"/>
      <c r="RBG3" s="1113"/>
      <c r="RBH3" s="1113"/>
      <c r="RBI3" s="1113"/>
      <c r="RBJ3" s="1113"/>
      <c r="RBK3" s="1113"/>
      <c r="RBL3" s="1113"/>
      <c r="RBM3" s="1113"/>
      <c r="RBN3" s="1113"/>
      <c r="RBO3" s="1113"/>
      <c r="RBP3" s="1113"/>
      <c r="RBQ3" s="1113"/>
      <c r="RBR3" s="1113"/>
      <c r="RBS3" s="1113"/>
      <c r="RBT3" s="1113"/>
      <c r="RBU3" s="1113"/>
      <c r="RBV3" s="1113"/>
      <c r="RBW3" s="1113"/>
      <c r="RBX3" s="1113"/>
      <c r="RBY3" s="1113"/>
      <c r="RBZ3" s="1113"/>
      <c r="RCA3" s="1113"/>
      <c r="RCB3" s="1113"/>
      <c r="RCC3" s="1113"/>
      <c r="RCD3" s="1113"/>
      <c r="RCE3" s="1113"/>
      <c r="RCF3" s="1113"/>
      <c r="RCG3" s="1113"/>
      <c r="RCH3" s="1113"/>
      <c r="RCI3" s="1113"/>
      <c r="RCJ3" s="1113"/>
      <c r="RCK3" s="1113"/>
      <c r="RCL3" s="1113"/>
      <c r="RCM3" s="1113"/>
      <c r="RCN3" s="1113"/>
      <c r="RCO3" s="1113"/>
      <c r="RCP3" s="1113"/>
      <c r="RCQ3" s="1113"/>
      <c r="RCR3" s="1113"/>
      <c r="RCS3" s="1113"/>
      <c r="RCT3" s="1113"/>
      <c r="RCU3" s="1113"/>
      <c r="RCV3" s="1113"/>
      <c r="RCW3" s="1113"/>
      <c r="RCX3" s="1113"/>
      <c r="RCY3" s="1113"/>
      <c r="RCZ3" s="1113"/>
      <c r="RDA3" s="1113"/>
      <c r="RDB3" s="1113"/>
      <c r="RDC3" s="1113"/>
      <c r="RDD3" s="1113"/>
      <c r="RDE3" s="1113"/>
      <c r="RDF3" s="1113"/>
      <c r="RDG3" s="1113"/>
      <c r="RDH3" s="1113"/>
      <c r="RDI3" s="1113"/>
      <c r="RDJ3" s="1113"/>
      <c r="RDK3" s="1113"/>
      <c r="RDL3" s="1113"/>
      <c r="RDM3" s="1113"/>
      <c r="RDN3" s="1113"/>
      <c r="RDO3" s="1113"/>
      <c r="RDP3" s="1113"/>
      <c r="RDQ3" s="1113"/>
      <c r="RDR3" s="1113"/>
      <c r="RDS3" s="1113"/>
      <c r="RDT3" s="1113"/>
      <c r="RDU3" s="1113"/>
      <c r="RDV3" s="1113"/>
      <c r="RDW3" s="1113"/>
      <c r="RDX3" s="1113"/>
      <c r="RDY3" s="1113"/>
      <c r="RDZ3" s="1113"/>
      <c r="REA3" s="1113"/>
      <c r="REB3" s="1113"/>
      <c r="REC3" s="1113"/>
      <c r="RED3" s="1113"/>
      <c r="REE3" s="1113"/>
      <c r="REF3" s="1113"/>
      <c r="REG3" s="1113"/>
      <c r="REH3" s="1113"/>
      <c r="REI3" s="1113"/>
      <c r="REJ3" s="1113"/>
      <c r="REK3" s="1113"/>
      <c r="REL3" s="1113"/>
      <c r="REM3" s="1113"/>
      <c r="REN3" s="1113"/>
      <c r="REO3" s="1113"/>
      <c r="REP3" s="1113"/>
      <c r="REQ3" s="1113"/>
      <c r="RER3" s="1113"/>
      <c r="RES3" s="1113"/>
      <c r="RET3" s="1113"/>
      <c r="REU3" s="1113"/>
      <c r="REV3" s="1113"/>
      <c r="REW3" s="1113"/>
      <c r="REX3" s="1113"/>
      <c r="REY3" s="1113"/>
      <c r="REZ3" s="1113"/>
      <c r="RFA3" s="1113"/>
      <c r="RFB3" s="1113"/>
      <c r="RFC3" s="1113"/>
      <c r="RFD3" s="1113"/>
      <c r="RFE3" s="1113"/>
      <c r="RFF3" s="1113"/>
      <c r="RFG3" s="1113"/>
      <c r="RFH3" s="1113"/>
      <c r="RFI3" s="1113"/>
      <c r="RFJ3" s="1113"/>
      <c r="RFK3" s="1113"/>
      <c r="RFL3" s="1113"/>
      <c r="RFM3" s="1113"/>
      <c r="RFN3" s="1113"/>
      <c r="RFO3" s="1113"/>
      <c r="RFP3" s="1113"/>
      <c r="RFQ3" s="1113"/>
      <c r="RFR3" s="1113"/>
      <c r="RFS3" s="1113"/>
      <c r="RFT3" s="1113"/>
      <c r="RFU3" s="1113"/>
      <c r="RFV3" s="1113"/>
      <c r="RFW3" s="1113"/>
      <c r="RFX3" s="1113"/>
      <c r="RFY3" s="1113"/>
      <c r="RFZ3" s="1113"/>
      <c r="RGA3" s="1113"/>
      <c r="RGB3" s="1113"/>
      <c r="RGC3" s="1113"/>
      <c r="RGD3" s="1113"/>
      <c r="RGE3" s="1113"/>
      <c r="RGF3" s="1113"/>
      <c r="RGG3" s="1113"/>
      <c r="RGH3" s="1113"/>
      <c r="RGI3" s="1113"/>
      <c r="RGJ3" s="1113"/>
      <c r="RGK3" s="1113"/>
      <c r="RGL3" s="1113"/>
      <c r="RGM3" s="1113"/>
      <c r="RGN3" s="1113"/>
      <c r="RGO3" s="1113"/>
      <c r="RGP3" s="1113"/>
      <c r="RGQ3" s="1113"/>
      <c r="RGR3" s="1113"/>
      <c r="RGS3" s="1113"/>
      <c r="RGT3" s="1113"/>
      <c r="RGU3" s="1113"/>
      <c r="RGV3" s="1113"/>
      <c r="RGW3" s="1113"/>
      <c r="RGX3" s="1113"/>
      <c r="RGY3" s="1113"/>
      <c r="RGZ3" s="1113"/>
      <c r="RHA3" s="1113"/>
      <c r="RHB3" s="1113"/>
      <c r="RHC3" s="1113"/>
      <c r="RHD3" s="1113"/>
      <c r="RHE3" s="1113"/>
      <c r="RHF3" s="1113"/>
      <c r="RHG3" s="1113"/>
      <c r="RHH3" s="1113"/>
      <c r="RHI3" s="1113"/>
      <c r="RHJ3" s="1113"/>
      <c r="RHK3" s="1113"/>
      <c r="RHL3" s="1113"/>
      <c r="RHM3" s="1113"/>
      <c r="RHN3" s="1113"/>
      <c r="RHO3" s="1113"/>
      <c r="RHP3" s="1113"/>
      <c r="RHQ3" s="1113"/>
      <c r="RHR3" s="1113"/>
      <c r="RHS3" s="1113"/>
      <c r="RHT3" s="1113"/>
      <c r="RHU3" s="1113"/>
      <c r="RHV3" s="1113"/>
      <c r="RHW3" s="1113"/>
      <c r="RHX3" s="1113"/>
      <c r="RHY3" s="1113"/>
      <c r="RHZ3" s="1113"/>
      <c r="RIA3" s="1113"/>
      <c r="RIB3" s="1113"/>
      <c r="RIC3" s="1113"/>
      <c r="RID3" s="1113"/>
      <c r="RIE3" s="1113"/>
      <c r="RIF3" s="1113"/>
      <c r="RIG3" s="1113"/>
      <c r="RIH3" s="1113"/>
      <c r="RII3" s="1113"/>
      <c r="RIJ3" s="1113"/>
      <c r="RIK3" s="1113"/>
      <c r="RIL3" s="1113"/>
      <c r="RIM3" s="1113"/>
      <c r="RIN3" s="1113"/>
      <c r="RIO3" s="1113"/>
      <c r="RIP3" s="1113"/>
      <c r="RIQ3" s="1113"/>
      <c r="RIR3" s="1113"/>
      <c r="RIS3" s="1113"/>
      <c r="RIT3" s="1113"/>
      <c r="RIU3" s="1113"/>
      <c r="RIV3" s="1113"/>
      <c r="RIW3" s="1113"/>
      <c r="RIX3" s="1113"/>
      <c r="RIY3" s="1113"/>
      <c r="RIZ3" s="1113"/>
      <c r="RJA3" s="1113"/>
      <c r="RJB3" s="1113"/>
      <c r="RJC3" s="1113"/>
      <c r="RJD3" s="1113"/>
      <c r="RJE3" s="1113"/>
      <c r="RJF3" s="1113"/>
      <c r="RJG3" s="1113"/>
      <c r="RJH3" s="1113"/>
      <c r="RJI3" s="1113"/>
      <c r="RJJ3" s="1113"/>
      <c r="RJK3" s="1113"/>
      <c r="RJL3" s="1113"/>
      <c r="RJM3" s="1113"/>
      <c r="RJN3" s="1113"/>
      <c r="RJO3" s="1113"/>
      <c r="RJP3" s="1113"/>
      <c r="RJQ3" s="1113"/>
      <c r="RJR3" s="1113"/>
      <c r="RJS3" s="1113"/>
      <c r="RJT3" s="1113"/>
      <c r="RJU3" s="1113"/>
      <c r="RJV3" s="1113"/>
      <c r="RJW3" s="1113"/>
      <c r="RJX3" s="1113"/>
      <c r="RJY3" s="1113"/>
      <c r="RJZ3" s="1113"/>
      <c r="RKA3" s="1113"/>
      <c r="RKB3" s="1113"/>
      <c r="RKC3" s="1113"/>
      <c r="RKD3" s="1113"/>
      <c r="RKE3" s="1113"/>
      <c r="RKF3" s="1113"/>
      <c r="RKG3" s="1113"/>
      <c r="RKH3" s="1113"/>
      <c r="RKI3" s="1113"/>
      <c r="RKJ3" s="1113"/>
      <c r="RKK3" s="1113"/>
      <c r="RKL3" s="1113"/>
      <c r="RKM3" s="1113"/>
      <c r="RKN3" s="1113"/>
      <c r="RKO3" s="1113"/>
      <c r="RKP3" s="1113"/>
      <c r="RKQ3" s="1113"/>
      <c r="RKR3" s="1113"/>
      <c r="RKS3" s="1113"/>
      <c r="RKT3" s="1113"/>
      <c r="RKU3" s="1113"/>
      <c r="RKV3" s="1113"/>
      <c r="RKW3" s="1113"/>
      <c r="RKX3" s="1113"/>
      <c r="RKY3" s="1113"/>
      <c r="RKZ3" s="1113"/>
      <c r="RLA3" s="1113"/>
      <c r="RLB3" s="1113"/>
      <c r="RLC3" s="1113"/>
      <c r="RLD3" s="1113"/>
      <c r="RLE3" s="1113"/>
      <c r="RLF3" s="1113"/>
      <c r="RLG3" s="1113"/>
      <c r="RLH3" s="1113"/>
      <c r="RLI3" s="1113"/>
      <c r="RLJ3" s="1113"/>
      <c r="RLK3" s="1113"/>
      <c r="RLL3" s="1113"/>
      <c r="RLM3" s="1113"/>
      <c r="RLN3" s="1113"/>
      <c r="RLO3" s="1113"/>
      <c r="RLP3" s="1113"/>
      <c r="RLQ3" s="1113"/>
      <c r="RLR3" s="1113"/>
      <c r="RLS3" s="1113"/>
      <c r="RLT3" s="1113"/>
      <c r="RLU3" s="1113"/>
      <c r="RLV3" s="1113"/>
      <c r="RLW3" s="1113"/>
      <c r="RLX3" s="1113"/>
      <c r="RLY3" s="1113"/>
      <c r="RLZ3" s="1113"/>
      <c r="RMA3" s="1113"/>
      <c r="RMB3" s="1113"/>
      <c r="RMC3" s="1113"/>
      <c r="RMD3" s="1113"/>
      <c r="RME3" s="1113"/>
      <c r="RMF3" s="1113"/>
      <c r="RMG3" s="1113"/>
      <c r="RMH3" s="1113"/>
      <c r="RMI3" s="1113"/>
      <c r="RMJ3" s="1113"/>
      <c r="RMK3" s="1113"/>
      <c r="RML3" s="1113"/>
      <c r="RMM3" s="1113"/>
      <c r="RMN3" s="1113"/>
      <c r="RMO3" s="1113"/>
      <c r="RMP3" s="1113"/>
      <c r="RMQ3" s="1113"/>
      <c r="RMR3" s="1113"/>
      <c r="RMS3" s="1113"/>
      <c r="RMT3" s="1113"/>
      <c r="RMU3" s="1113"/>
      <c r="RMV3" s="1113"/>
      <c r="RMW3" s="1113"/>
      <c r="RMX3" s="1113"/>
      <c r="RMY3" s="1113"/>
      <c r="RMZ3" s="1113"/>
      <c r="RNA3" s="1113"/>
      <c r="RNB3" s="1113"/>
      <c r="RNC3" s="1113"/>
      <c r="RND3" s="1113"/>
      <c r="RNE3" s="1113"/>
      <c r="RNF3" s="1113"/>
      <c r="RNG3" s="1113"/>
      <c r="RNH3" s="1113"/>
      <c r="RNI3" s="1113"/>
      <c r="RNJ3" s="1113"/>
      <c r="RNK3" s="1113"/>
      <c r="RNL3" s="1113"/>
      <c r="RNM3" s="1113"/>
      <c r="RNN3" s="1113"/>
      <c r="RNO3" s="1113"/>
      <c r="RNP3" s="1113"/>
      <c r="RNQ3" s="1113"/>
      <c r="RNR3" s="1113"/>
      <c r="RNS3" s="1113"/>
      <c r="RNT3" s="1113"/>
      <c r="RNU3" s="1113"/>
      <c r="RNV3" s="1113"/>
      <c r="RNW3" s="1113"/>
      <c r="RNX3" s="1113"/>
      <c r="RNY3" s="1113"/>
      <c r="RNZ3" s="1113"/>
      <c r="ROA3" s="1113"/>
      <c r="ROB3" s="1113"/>
      <c r="ROC3" s="1113"/>
      <c r="ROD3" s="1113"/>
      <c r="ROE3" s="1113"/>
      <c r="ROF3" s="1113"/>
      <c r="ROG3" s="1113"/>
      <c r="ROH3" s="1113"/>
      <c r="ROI3" s="1113"/>
      <c r="ROJ3" s="1113"/>
      <c r="ROK3" s="1113"/>
      <c r="ROL3" s="1113"/>
      <c r="ROM3" s="1113"/>
      <c r="RON3" s="1113"/>
      <c r="ROO3" s="1113"/>
      <c r="ROP3" s="1113"/>
      <c r="ROQ3" s="1113"/>
      <c r="ROR3" s="1113"/>
      <c r="ROS3" s="1113"/>
      <c r="ROT3" s="1113"/>
      <c r="ROU3" s="1113"/>
      <c r="ROV3" s="1113"/>
      <c r="ROW3" s="1113"/>
      <c r="ROX3" s="1113"/>
      <c r="ROY3" s="1113"/>
      <c r="ROZ3" s="1113"/>
      <c r="RPA3" s="1113"/>
      <c r="RPB3" s="1113"/>
      <c r="RPC3" s="1113"/>
      <c r="RPD3" s="1113"/>
      <c r="RPE3" s="1113"/>
      <c r="RPF3" s="1113"/>
      <c r="RPG3" s="1113"/>
      <c r="RPH3" s="1113"/>
      <c r="RPI3" s="1113"/>
      <c r="RPJ3" s="1113"/>
      <c r="RPK3" s="1113"/>
      <c r="RPL3" s="1113"/>
      <c r="RPM3" s="1113"/>
      <c r="RPN3" s="1113"/>
      <c r="RPO3" s="1113"/>
      <c r="RPP3" s="1113"/>
      <c r="RPQ3" s="1113"/>
      <c r="RPR3" s="1113"/>
      <c r="RPS3" s="1113"/>
      <c r="RPT3" s="1113"/>
      <c r="RPU3" s="1113"/>
      <c r="RPV3" s="1113"/>
      <c r="RPW3" s="1113"/>
      <c r="RPX3" s="1113"/>
      <c r="RPY3" s="1113"/>
      <c r="RPZ3" s="1113"/>
      <c r="RQA3" s="1113"/>
      <c r="RQB3" s="1113"/>
      <c r="RQC3" s="1113"/>
      <c r="RQD3" s="1113"/>
      <c r="RQE3" s="1113"/>
      <c r="RQF3" s="1113"/>
      <c r="RQG3" s="1113"/>
      <c r="RQH3" s="1113"/>
      <c r="RQI3" s="1113"/>
      <c r="RQJ3" s="1113"/>
      <c r="RQK3" s="1113"/>
      <c r="RQL3" s="1113"/>
      <c r="RQM3" s="1113"/>
      <c r="RQN3" s="1113"/>
      <c r="RQO3" s="1113"/>
      <c r="RQP3" s="1113"/>
      <c r="RQQ3" s="1113"/>
      <c r="RQR3" s="1113"/>
      <c r="RQS3" s="1113"/>
      <c r="RQT3" s="1113"/>
      <c r="RQU3" s="1113"/>
      <c r="RQV3" s="1113"/>
      <c r="RQW3" s="1113"/>
      <c r="RQX3" s="1113"/>
      <c r="RQY3" s="1113"/>
      <c r="RQZ3" s="1113"/>
      <c r="RRA3" s="1113"/>
      <c r="RRB3" s="1113"/>
      <c r="RRC3" s="1113"/>
      <c r="RRD3" s="1113"/>
      <c r="RRE3" s="1113"/>
      <c r="RRF3" s="1113"/>
      <c r="RRG3" s="1113"/>
      <c r="RRH3" s="1113"/>
      <c r="RRI3" s="1113"/>
      <c r="RRJ3" s="1113"/>
      <c r="RRK3" s="1113"/>
      <c r="RRL3" s="1113"/>
      <c r="RRM3" s="1113"/>
      <c r="RRN3" s="1113"/>
      <c r="RRO3" s="1113"/>
      <c r="RRP3" s="1113"/>
      <c r="RRQ3" s="1113"/>
      <c r="RRR3" s="1113"/>
      <c r="RRS3" s="1113"/>
      <c r="RRT3" s="1113"/>
      <c r="RRU3" s="1113"/>
      <c r="RRV3" s="1113"/>
      <c r="RRW3" s="1113"/>
      <c r="RRX3" s="1113"/>
      <c r="RRY3" s="1113"/>
      <c r="RRZ3" s="1113"/>
      <c r="RSA3" s="1113"/>
      <c r="RSB3" s="1113"/>
      <c r="RSC3" s="1113"/>
      <c r="RSD3" s="1113"/>
      <c r="RSE3" s="1113"/>
      <c r="RSF3" s="1113"/>
      <c r="RSG3" s="1113"/>
      <c r="RSH3" s="1113"/>
      <c r="RSI3" s="1113"/>
      <c r="RSJ3" s="1113"/>
      <c r="RSK3" s="1113"/>
      <c r="RSL3" s="1113"/>
      <c r="RSM3" s="1113"/>
      <c r="RSN3" s="1113"/>
      <c r="RSO3" s="1113"/>
      <c r="RSP3" s="1113"/>
      <c r="RSQ3" s="1113"/>
      <c r="RSR3" s="1113"/>
      <c r="RSS3" s="1113"/>
      <c r="RST3" s="1113"/>
      <c r="RSU3" s="1113"/>
      <c r="RSV3" s="1113"/>
      <c r="RSW3" s="1113"/>
      <c r="RSX3" s="1113"/>
      <c r="RSY3" s="1113"/>
      <c r="RSZ3" s="1113"/>
      <c r="RTA3" s="1113"/>
      <c r="RTB3" s="1113"/>
      <c r="RTC3" s="1113"/>
      <c r="RTD3" s="1113"/>
      <c r="RTE3" s="1113"/>
      <c r="RTF3" s="1113"/>
      <c r="RTG3" s="1113"/>
      <c r="RTH3" s="1113"/>
      <c r="RTI3" s="1113"/>
      <c r="RTJ3" s="1113"/>
      <c r="RTK3" s="1113"/>
      <c r="RTL3" s="1113"/>
      <c r="RTM3" s="1113"/>
      <c r="RTN3" s="1113"/>
      <c r="RTO3" s="1113"/>
      <c r="RTP3" s="1113"/>
      <c r="RTQ3" s="1113"/>
      <c r="RTR3" s="1113"/>
      <c r="RTS3" s="1113"/>
      <c r="RTT3" s="1113"/>
      <c r="RTU3" s="1113"/>
      <c r="RTV3" s="1113"/>
      <c r="RTW3" s="1113"/>
      <c r="RTX3" s="1113"/>
      <c r="RTY3" s="1113"/>
      <c r="RTZ3" s="1113"/>
      <c r="RUA3" s="1113"/>
      <c r="RUB3" s="1113"/>
      <c r="RUC3" s="1113"/>
      <c r="RUD3" s="1113"/>
      <c r="RUE3" s="1113"/>
      <c r="RUF3" s="1113"/>
      <c r="RUG3" s="1113"/>
      <c r="RUH3" s="1113"/>
      <c r="RUI3" s="1113"/>
      <c r="RUJ3" s="1113"/>
      <c r="RUK3" s="1113"/>
      <c r="RUL3" s="1113"/>
      <c r="RUM3" s="1113"/>
      <c r="RUN3" s="1113"/>
      <c r="RUO3" s="1113"/>
      <c r="RUP3" s="1113"/>
      <c r="RUQ3" s="1113"/>
      <c r="RUR3" s="1113"/>
      <c r="RUS3" s="1113"/>
      <c r="RUT3" s="1113"/>
      <c r="RUU3" s="1113"/>
      <c r="RUV3" s="1113"/>
      <c r="RUW3" s="1113"/>
      <c r="RUX3" s="1113"/>
      <c r="RUY3" s="1113"/>
      <c r="RUZ3" s="1113"/>
      <c r="RVA3" s="1113"/>
      <c r="RVB3" s="1113"/>
      <c r="RVC3" s="1113"/>
      <c r="RVD3" s="1113"/>
      <c r="RVE3" s="1113"/>
      <c r="RVF3" s="1113"/>
      <c r="RVG3" s="1113"/>
      <c r="RVH3" s="1113"/>
      <c r="RVI3" s="1113"/>
      <c r="RVJ3" s="1113"/>
      <c r="RVK3" s="1113"/>
      <c r="RVL3" s="1113"/>
      <c r="RVM3" s="1113"/>
      <c r="RVN3" s="1113"/>
      <c r="RVO3" s="1113"/>
      <c r="RVP3" s="1113"/>
      <c r="RVQ3" s="1113"/>
      <c r="RVR3" s="1113"/>
      <c r="RVS3" s="1113"/>
      <c r="RVT3" s="1113"/>
      <c r="RVU3" s="1113"/>
      <c r="RVV3" s="1113"/>
      <c r="RVW3" s="1113"/>
      <c r="RVX3" s="1113"/>
      <c r="RVY3" s="1113"/>
      <c r="RVZ3" s="1113"/>
      <c r="RWA3" s="1113"/>
      <c r="RWB3" s="1113"/>
      <c r="RWC3" s="1113"/>
      <c r="RWD3" s="1113"/>
      <c r="RWE3" s="1113"/>
      <c r="RWF3" s="1113"/>
      <c r="RWG3" s="1113"/>
      <c r="RWH3" s="1113"/>
      <c r="RWI3" s="1113"/>
      <c r="RWJ3" s="1113"/>
      <c r="RWK3" s="1113"/>
      <c r="RWL3" s="1113"/>
      <c r="RWM3" s="1113"/>
      <c r="RWN3" s="1113"/>
      <c r="RWO3" s="1113"/>
      <c r="RWP3" s="1113"/>
      <c r="RWQ3" s="1113"/>
      <c r="RWR3" s="1113"/>
      <c r="RWS3" s="1113"/>
      <c r="RWT3" s="1113"/>
      <c r="RWU3" s="1113"/>
      <c r="RWV3" s="1113"/>
      <c r="RWW3" s="1113"/>
      <c r="RWX3" s="1113"/>
      <c r="RWY3" s="1113"/>
      <c r="RWZ3" s="1113"/>
      <c r="RXA3" s="1113"/>
      <c r="RXB3" s="1113"/>
      <c r="RXC3" s="1113"/>
      <c r="RXD3" s="1113"/>
      <c r="RXE3" s="1113"/>
      <c r="RXF3" s="1113"/>
      <c r="RXG3" s="1113"/>
      <c r="RXH3" s="1113"/>
      <c r="RXI3" s="1113"/>
      <c r="RXJ3" s="1113"/>
      <c r="RXK3" s="1113"/>
      <c r="RXL3" s="1113"/>
      <c r="RXM3" s="1113"/>
      <c r="RXN3" s="1113"/>
      <c r="RXO3" s="1113"/>
      <c r="RXP3" s="1113"/>
      <c r="RXQ3" s="1113"/>
      <c r="RXR3" s="1113"/>
      <c r="RXS3" s="1113"/>
      <c r="RXT3" s="1113"/>
      <c r="RXU3" s="1113"/>
      <c r="RXV3" s="1113"/>
      <c r="RXW3" s="1113"/>
      <c r="RXX3" s="1113"/>
      <c r="RXY3" s="1113"/>
      <c r="RXZ3" s="1113"/>
      <c r="RYA3" s="1113"/>
      <c r="RYB3" s="1113"/>
      <c r="RYC3" s="1113"/>
      <c r="RYD3" s="1113"/>
      <c r="RYE3" s="1113"/>
      <c r="RYF3" s="1113"/>
      <c r="RYG3" s="1113"/>
      <c r="RYH3" s="1113"/>
      <c r="RYI3" s="1113"/>
      <c r="RYJ3" s="1113"/>
      <c r="RYK3" s="1113"/>
      <c r="RYL3" s="1113"/>
      <c r="RYM3" s="1113"/>
      <c r="RYN3" s="1113"/>
      <c r="RYO3" s="1113"/>
      <c r="RYP3" s="1113"/>
      <c r="RYQ3" s="1113"/>
      <c r="RYR3" s="1113"/>
      <c r="RYS3" s="1113"/>
      <c r="RYT3" s="1113"/>
      <c r="RYU3" s="1113"/>
      <c r="RYV3" s="1113"/>
      <c r="RYW3" s="1113"/>
      <c r="RYX3" s="1113"/>
      <c r="RYY3" s="1113"/>
      <c r="RYZ3" s="1113"/>
      <c r="RZA3" s="1113"/>
      <c r="RZB3" s="1113"/>
      <c r="RZC3" s="1113"/>
      <c r="RZD3" s="1113"/>
      <c r="RZE3" s="1113"/>
      <c r="RZF3" s="1113"/>
      <c r="RZG3" s="1113"/>
      <c r="RZH3" s="1113"/>
      <c r="RZI3" s="1113"/>
      <c r="RZJ3" s="1113"/>
      <c r="RZK3" s="1113"/>
      <c r="RZL3" s="1113"/>
      <c r="RZM3" s="1113"/>
      <c r="RZN3" s="1113"/>
      <c r="RZO3" s="1113"/>
      <c r="RZP3" s="1113"/>
      <c r="RZQ3" s="1113"/>
      <c r="RZR3" s="1113"/>
      <c r="RZS3" s="1113"/>
      <c r="RZT3" s="1113"/>
      <c r="RZU3" s="1113"/>
      <c r="RZV3" s="1113"/>
      <c r="RZW3" s="1113"/>
      <c r="RZX3" s="1113"/>
      <c r="RZY3" s="1113"/>
      <c r="RZZ3" s="1113"/>
      <c r="SAA3" s="1113"/>
      <c r="SAB3" s="1113"/>
      <c r="SAC3" s="1113"/>
      <c r="SAD3" s="1113"/>
      <c r="SAE3" s="1113"/>
      <c r="SAF3" s="1113"/>
      <c r="SAG3" s="1113"/>
      <c r="SAH3" s="1113"/>
      <c r="SAI3" s="1113"/>
      <c r="SAJ3" s="1113"/>
      <c r="SAK3" s="1113"/>
      <c r="SAL3" s="1113"/>
      <c r="SAM3" s="1113"/>
      <c r="SAN3" s="1113"/>
      <c r="SAO3" s="1113"/>
      <c r="SAP3" s="1113"/>
      <c r="SAQ3" s="1113"/>
      <c r="SAR3" s="1113"/>
      <c r="SAS3" s="1113"/>
      <c r="SAT3" s="1113"/>
      <c r="SAU3" s="1113"/>
      <c r="SAV3" s="1113"/>
      <c r="SAW3" s="1113"/>
      <c r="SAX3" s="1113"/>
      <c r="SAY3" s="1113"/>
      <c r="SAZ3" s="1113"/>
      <c r="SBA3" s="1113"/>
      <c r="SBB3" s="1113"/>
      <c r="SBC3" s="1113"/>
      <c r="SBD3" s="1113"/>
      <c r="SBE3" s="1113"/>
      <c r="SBF3" s="1113"/>
      <c r="SBG3" s="1113"/>
      <c r="SBH3" s="1113"/>
      <c r="SBI3" s="1113"/>
      <c r="SBJ3" s="1113"/>
      <c r="SBK3" s="1113"/>
      <c r="SBL3" s="1113"/>
      <c r="SBM3" s="1113"/>
      <c r="SBN3" s="1113"/>
      <c r="SBO3" s="1113"/>
      <c r="SBP3" s="1113"/>
      <c r="SBQ3" s="1113"/>
      <c r="SBR3" s="1113"/>
      <c r="SBS3" s="1113"/>
      <c r="SBT3" s="1113"/>
      <c r="SBU3" s="1113"/>
      <c r="SBV3" s="1113"/>
      <c r="SBW3" s="1113"/>
      <c r="SBX3" s="1113"/>
      <c r="SBY3" s="1113"/>
      <c r="SBZ3" s="1113"/>
      <c r="SCA3" s="1113"/>
      <c r="SCB3" s="1113"/>
      <c r="SCC3" s="1113"/>
      <c r="SCD3" s="1113"/>
      <c r="SCE3" s="1113"/>
      <c r="SCF3" s="1113"/>
      <c r="SCG3" s="1113"/>
      <c r="SCH3" s="1113"/>
      <c r="SCI3" s="1113"/>
      <c r="SCJ3" s="1113"/>
      <c r="SCK3" s="1113"/>
      <c r="SCL3" s="1113"/>
      <c r="SCM3" s="1113"/>
      <c r="SCN3" s="1113"/>
      <c r="SCO3" s="1113"/>
      <c r="SCP3" s="1113"/>
      <c r="SCQ3" s="1113"/>
      <c r="SCR3" s="1113"/>
      <c r="SCS3" s="1113"/>
      <c r="SCT3" s="1113"/>
      <c r="SCU3" s="1113"/>
      <c r="SCV3" s="1113"/>
      <c r="SCW3" s="1113"/>
      <c r="SCX3" s="1113"/>
      <c r="SCY3" s="1113"/>
      <c r="SCZ3" s="1113"/>
      <c r="SDA3" s="1113"/>
      <c r="SDB3" s="1113"/>
      <c r="SDC3" s="1113"/>
      <c r="SDD3" s="1113"/>
      <c r="SDE3" s="1113"/>
      <c r="SDF3" s="1113"/>
      <c r="SDG3" s="1113"/>
      <c r="SDH3" s="1113"/>
      <c r="SDI3" s="1113"/>
      <c r="SDJ3" s="1113"/>
      <c r="SDK3" s="1113"/>
      <c r="SDL3" s="1113"/>
      <c r="SDM3" s="1113"/>
      <c r="SDN3" s="1113"/>
      <c r="SDO3" s="1113"/>
      <c r="SDP3" s="1113"/>
      <c r="SDQ3" s="1113"/>
      <c r="SDR3" s="1113"/>
      <c r="SDS3" s="1113"/>
      <c r="SDT3" s="1113"/>
      <c r="SDU3" s="1113"/>
      <c r="SDV3" s="1113"/>
      <c r="SDW3" s="1113"/>
      <c r="SDX3" s="1113"/>
      <c r="SDY3" s="1113"/>
      <c r="SDZ3" s="1113"/>
      <c r="SEA3" s="1113"/>
      <c r="SEB3" s="1113"/>
      <c r="SEC3" s="1113"/>
      <c r="SED3" s="1113"/>
      <c r="SEE3" s="1113"/>
      <c r="SEF3" s="1113"/>
      <c r="SEG3" s="1113"/>
      <c r="SEH3" s="1113"/>
      <c r="SEI3" s="1113"/>
      <c r="SEJ3" s="1113"/>
      <c r="SEK3" s="1113"/>
      <c r="SEL3" s="1113"/>
      <c r="SEM3" s="1113"/>
      <c r="SEN3" s="1113"/>
      <c r="SEO3" s="1113"/>
      <c r="SEP3" s="1113"/>
      <c r="SEQ3" s="1113"/>
      <c r="SER3" s="1113"/>
      <c r="SES3" s="1113"/>
      <c r="SET3" s="1113"/>
      <c r="SEU3" s="1113"/>
      <c r="SEV3" s="1113"/>
      <c r="SEW3" s="1113"/>
      <c r="SEX3" s="1113"/>
      <c r="SEY3" s="1113"/>
      <c r="SEZ3" s="1113"/>
      <c r="SFA3" s="1113"/>
      <c r="SFB3" s="1113"/>
      <c r="SFC3" s="1113"/>
      <c r="SFD3" s="1113"/>
      <c r="SFE3" s="1113"/>
      <c r="SFF3" s="1113"/>
      <c r="SFG3" s="1113"/>
      <c r="SFH3" s="1113"/>
      <c r="SFI3" s="1113"/>
      <c r="SFJ3" s="1113"/>
      <c r="SFK3" s="1113"/>
      <c r="SFL3" s="1113"/>
      <c r="SFM3" s="1113"/>
      <c r="SFN3" s="1113"/>
      <c r="SFO3" s="1113"/>
      <c r="SFP3" s="1113"/>
      <c r="SFQ3" s="1113"/>
      <c r="SFR3" s="1113"/>
      <c r="SFS3" s="1113"/>
      <c r="SFT3" s="1113"/>
      <c r="SFU3" s="1113"/>
      <c r="SFV3" s="1113"/>
      <c r="SFW3" s="1113"/>
      <c r="SFX3" s="1113"/>
      <c r="SFY3" s="1113"/>
      <c r="SFZ3" s="1113"/>
      <c r="SGA3" s="1113"/>
      <c r="SGB3" s="1113"/>
      <c r="SGC3" s="1113"/>
      <c r="SGD3" s="1113"/>
      <c r="SGE3" s="1113"/>
      <c r="SGF3" s="1113"/>
      <c r="SGG3" s="1113"/>
      <c r="SGH3" s="1113"/>
      <c r="SGI3" s="1113"/>
      <c r="SGJ3" s="1113"/>
      <c r="SGK3" s="1113"/>
      <c r="SGL3" s="1113"/>
      <c r="SGM3" s="1113"/>
      <c r="SGN3" s="1113"/>
      <c r="SGO3" s="1113"/>
      <c r="SGP3" s="1113"/>
      <c r="SGQ3" s="1113"/>
      <c r="SGR3" s="1113"/>
      <c r="SGS3" s="1113"/>
      <c r="SGT3" s="1113"/>
      <c r="SGU3" s="1113"/>
      <c r="SGV3" s="1113"/>
      <c r="SGW3" s="1113"/>
      <c r="SGX3" s="1113"/>
      <c r="SGY3" s="1113"/>
      <c r="SGZ3" s="1113"/>
      <c r="SHA3" s="1113"/>
      <c r="SHB3" s="1113"/>
      <c r="SHC3" s="1113"/>
      <c r="SHD3" s="1113"/>
      <c r="SHE3" s="1113"/>
      <c r="SHF3" s="1113"/>
      <c r="SHG3" s="1113"/>
      <c r="SHH3" s="1113"/>
      <c r="SHI3" s="1113"/>
      <c r="SHJ3" s="1113"/>
      <c r="SHK3" s="1113"/>
      <c r="SHL3" s="1113"/>
      <c r="SHM3" s="1113"/>
      <c r="SHN3" s="1113"/>
      <c r="SHO3" s="1113"/>
      <c r="SHP3" s="1113"/>
      <c r="SHQ3" s="1113"/>
      <c r="SHR3" s="1113"/>
      <c r="SHS3" s="1113"/>
      <c r="SHT3" s="1113"/>
      <c r="SHU3" s="1113"/>
      <c r="SHV3" s="1113"/>
      <c r="SHW3" s="1113"/>
      <c r="SHX3" s="1113"/>
      <c r="SHY3" s="1113"/>
      <c r="SHZ3" s="1113"/>
      <c r="SIA3" s="1113"/>
      <c r="SIB3" s="1113"/>
      <c r="SIC3" s="1113"/>
      <c r="SID3" s="1113"/>
      <c r="SIE3" s="1113"/>
      <c r="SIF3" s="1113"/>
      <c r="SIG3" s="1113"/>
      <c r="SIH3" s="1113"/>
      <c r="SII3" s="1113"/>
      <c r="SIJ3" s="1113"/>
      <c r="SIK3" s="1113"/>
      <c r="SIL3" s="1113"/>
      <c r="SIM3" s="1113"/>
      <c r="SIN3" s="1113"/>
      <c r="SIO3" s="1113"/>
      <c r="SIP3" s="1113"/>
      <c r="SIQ3" s="1113"/>
      <c r="SIR3" s="1113"/>
      <c r="SIS3" s="1113"/>
      <c r="SIT3" s="1113"/>
      <c r="SIU3" s="1113"/>
      <c r="SIV3" s="1113"/>
      <c r="SIW3" s="1113"/>
      <c r="SIX3" s="1113"/>
      <c r="SIY3" s="1113"/>
      <c r="SIZ3" s="1113"/>
      <c r="SJA3" s="1113"/>
      <c r="SJB3" s="1113"/>
      <c r="SJC3" s="1113"/>
      <c r="SJD3" s="1113"/>
      <c r="SJE3" s="1113"/>
      <c r="SJF3" s="1113"/>
      <c r="SJG3" s="1113"/>
      <c r="SJH3" s="1113"/>
      <c r="SJI3" s="1113"/>
      <c r="SJJ3" s="1113"/>
      <c r="SJK3" s="1113"/>
      <c r="SJL3" s="1113"/>
      <c r="SJM3" s="1113"/>
      <c r="SJN3" s="1113"/>
      <c r="SJO3" s="1113"/>
      <c r="SJP3" s="1113"/>
      <c r="SJQ3" s="1113"/>
      <c r="SJR3" s="1113"/>
      <c r="SJS3" s="1113"/>
      <c r="SJT3" s="1113"/>
      <c r="SJU3" s="1113"/>
      <c r="SJV3" s="1113"/>
      <c r="SJW3" s="1113"/>
      <c r="SJX3" s="1113"/>
      <c r="SJY3" s="1113"/>
      <c r="SJZ3" s="1113"/>
      <c r="SKA3" s="1113"/>
      <c r="SKB3" s="1113"/>
      <c r="SKC3" s="1113"/>
      <c r="SKD3" s="1113"/>
      <c r="SKE3" s="1113"/>
      <c r="SKF3" s="1113"/>
      <c r="SKG3" s="1113"/>
      <c r="SKH3" s="1113"/>
      <c r="SKI3" s="1113"/>
      <c r="SKJ3" s="1113"/>
      <c r="SKK3" s="1113"/>
      <c r="SKL3" s="1113"/>
      <c r="SKM3" s="1113"/>
      <c r="SKN3" s="1113"/>
      <c r="SKO3" s="1113"/>
      <c r="SKP3" s="1113"/>
      <c r="SKQ3" s="1113"/>
      <c r="SKR3" s="1113"/>
      <c r="SKS3" s="1113"/>
      <c r="SKT3" s="1113"/>
      <c r="SKU3" s="1113"/>
      <c r="SKV3" s="1113"/>
      <c r="SKW3" s="1113"/>
      <c r="SKX3" s="1113"/>
      <c r="SKY3" s="1113"/>
      <c r="SKZ3" s="1113"/>
      <c r="SLA3" s="1113"/>
      <c r="SLB3" s="1113"/>
      <c r="SLC3" s="1113"/>
      <c r="SLD3" s="1113"/>
      <c r="SLE3" s="1113"/>
      <c r="SLF3" s="1113"/>
      <c r="SLG3" s="1113"/>
      <c r="SLH3" s="1113"/>
      <c r="SLI3" s="1113"/>
      <c r="SLJ3" s="1113"/>
      <c r="SLK3" s="1113"/>
      <c r="SLL3" s="1113"/>
      <c r="SLM3" s="1113"/>
      <c r="SLN3" s="1113"/>
      <c r="SLO3" s="1113"/>
      <c r="SLP3" s="1113"/>
      <c r="SLQ3" s="1113"/>
      <c r="SLR3" s="1113"/>
      <c r="SLS3" s="1113"/>
      <c r="SLT3" s="1113"/>
      <c r="SLU3" s="1113"/>
      <c r="SLV3" s="1113"/>
      <c r="SLW3" s="1113"/>
      <c r="SLX3" s="1113"/>
      <c r="SLY3" s="1113"/>
      <c r="SLZ3" s="1113"/>
      <c r="SMA3" s="1113"/>
      <c r="SMB3" s="1113"/>
      <c r="SMC3" s="1113"/>
      <c r="SMD3" s="1113"/>
      <c r="SME3" s="1113"/>
      <c r="SMF3" s="1113"/>
      <c r="SMG3" s="1113"/>
      <c r="SMH3" s="1113"/>
      <c r="SMI3" s="1113"/>
      <c r="SMJ3" s="1113"/>
      <c r="SMK3" s="1113"/>
      <c r="SML3" s="1113"/>
      <c r="SMM3" s="1113"/>
      <c r="SMN3" s="1113"/>
      <c r="SMO3" s="1113"/>
      <c r="SMP3" s="1113"/>
      <c r="SMQ3" s="1113"/>
      <c r="SMR3" s="1113"/>
      <c r="SMS3" s="1113"/>
      <c r="SMT3" s="1113"/>
      <c r="SMU3" s="1113"/>
      <c r="SMV3" s="1113"/>
      <c r="SMW3" s="1113"/>
      <c r="SMX3" s="1113"/>
      <c r="SMY3" s="1113"/>
      <c r="SMZ3" s="1113"/>
      <c r="SNA3" s="1113"/>
      <c r="SNB3" s="1113"/>
      <c r="SNC3" s="1113"/>
      <c r="SND3" s="1113"/>
      <c r="SNE3" s="1113"/>
      <c r="SNF3" s="1113"/>
      <c r="SNG3" s="1113"/>
      <c r="SNH3" s="1113"/>
      <c r="SNI3" s="1113"/>
      <c r="SNJ3" s="1113"/>
      <c r="SNK3" s="1113"/>
      <c r="SNL3" s="1113"/>
      <c r="SNM3" s="1113"/>
      <c r="SNN3" s="1113"/>
      <c r="SNO3" s="1113"/>
      <c r="SNP3" s="1113"/>
      <c r="SNQ3" s="1113"/>
      <c r="SNR3" s="1113"/>
      <c r="SNS3" s="1113"/>
      <c r="SNT3" s="1113"/>
      <c r="SNU3" s="1113"/>
      <c r="SNV3" s="1113"/>
      <c r="SNW3" s="1113"/>
      <c r="SNX3" s="1113"/>
      <c r="SNY3" s="1113"/>
      <c r="SNZ3" s="1113"/>
      <c r="SOA3" s="1113"/>
      <c r="SOB3" s="1113"/>
      <c r="SOC3" s="1113"/>
      <c r="SOD3" s="1113"/>
      <c r="SOE3" s="1113"/>
      <c r="SOF3" s="1113"/>
      <c r="SOG3" s="1113"/>
      <c r="SOH3" s="1113"/>
      <c r="SOI3" s="1113"/>
      <c r="SOJ3" s="1113"/>
      <c r="SOK3" s="1113"/>
      <c r="SOL3" s="1113"/>
      <c r="SOM3" s="1113"/>
      <c r="SON3" s="1113"/>
      <c r="SOO3" s="1113"/>
      <c r="SOP3" s="1113"/>
      <c r="SOQ3" s="1113"/>
      <c r="SOR3" s="1113"/>
      <c r="SOS3" s="1113"/>
      <c r="SOT3" s="1113"/>
      <c r="SOU3" s="1113"/>
      <c r="SOV3" s="1113"/>
      <c r="SOW3" s="1113"/>
      <c r="SOX3" s="1113"/>
      <c r="SOY3" s="1113"/>
      <c r="SOZ3" s="1113"/>
      <c r="SPA3" s="1113"/>
      <c r="SPB3" s="1113"/>
      <c r="SPC3" s="1113"/>
      <c r="SPD3" s="1113"/>
      <c r="SPE3" s="1113"/>
      <c r="SPF3" s="1113"/>
      <c r="SPG3" s="1113"/>
      <c r="SPH3" s="1113"/>
      <c r="SPI3" s="1113"/>
      <c r="SPJ3" s="1113"/>
      <c r="SPK3" s="1113"/>
      <c r="SPL3" s="1113"/>
      <c r="SPM3" s="1113"/>
      <c r="SPN3" s="1113"/>
      <c r="SPO3" s="1113"/>
      <c r="SPP3" s="1113"/>
      <c r="SPQ3" s="1113"/>
      <c r="SPR3" s="1113"/>
      <c r="SPS3" s="1113"/>
      <c r="SPT3" s="1113"/>
      <c r="SPU3" s="1113"/>
      <c r="SPV3" s="1113"/>
      <c r="SPW3" s="1113"/>
      <c r="SPX3" s="1113"/>
      <c r="SPY3" s="1113"/>
      <c r="SPZ3" s="1113"/>
      <c r="SQA3" s="1113"/>
      <c r="SQB3" s="1113"/>
      <c r="SQC3" s="1113"/>
      <c r="SQD3" s="1113"/>
      <c r="SQE3" s="1113"/>
      <c r="SQF3" s="1113"/>
      <c r="SQG3" s="1113"/>
      <c r="SQH3" s="1113"/>
      <c r="SQI3" s="1113"/>
      <c r="SQJ3" s="1113"/>
      <c r="SQK3" s="1113"/>
      <c r="SQL3" s="1113"/>
      <c r="SQM3" s="1113"/>
      <c r="SQN3" s="1113"/>
      <c r="SQO3" s="1113"/>
      <c r="SQP3" s="1113"/>
      <c r="SQQ3" s="1113"/>
      <c r="SQR3" s="1113"/>
      <c r="SQS3" s="1113"/>
      <c r="SQT3" s="1113"/>
      <c r="SQU3" s="1113"/>
      <c r="SQV3" s="1113"/>
      <c r="SQW3" s="1113"/>
      <c r="SQX3" s="1113"/>
      <c r="SQY3" s="1113"/>
      <c r="SQZ3" s="1113"/>
      <c r="SRA3" s="1113"/>
      <c r="SRB3" s="1113"/>
      <c r="SRC3" s="1113"/>
      <c r="SRD3" s="1113"/>
      <c r="SRE3" s="1113"/>
      <c r="SRF3" s="1113"/>
      <c r="SRG3" s="1113"/>
      <c r="SRH3" s="1113"/>
      <c r="SRI3" s="1113"/>
      <c r="SRJ3" s="1113"/>
      <c r="SRK3" s="1113"/>
      <c r="SRL3" s="1113"/>
      <c r="SRM3" s="1113"/>
      <c r="SRN3" s="1113"/>
      <c r="SRO3" s="1113"/>
      <c r="SRP3" s="1113"/>
      <c r="SRQ3" s="1113"/>
      <c r="SRR3" s="1113"/>
      <c r="SRS3" s="1113"/>
      <c r="SRT3" s="1113"/>
      <c r="SRU3" s="1113"/>
      <c r="SRV3" s="1113"/>
      <c r="SRW3" s="1113"/>
      <c r="SRX3" s="1113"/>
      <c r="SRY3" s="1113"/>
      <c r="SRZ3" s="1113"/>
      <c r="SSA3" s="1113"/>
      <c r="SSB3" s="1113"/>
      <c r="SSC3" s="1113"/>
      <c r="SSD3" s="1113"/>
      <c r="SSE3" s="1113"/>
      <c r="SSF3" s="1113"/>
      <c r="SSG3" s="1113"/>
      <c r="SSH3" s="1113"/>
      <c r="SSI3" s="1113"/>
      <c r="SSJ3" s="1113"/>
      <c r="SSK3" s="1113"/>
      <c r="SSL3" s="1113"/>
      <c r="SSM3" s="1113"/>
      <c r="SSN3" s="1113"/>
      <c r="SSO3" s="1113"/>
      <c r="SSP3" s="1113"/>
      <c r="SSQ3" s="1113"/>
      <c r="SSR3" s="1113"/>
      <c r="SSS3" s="1113"/>
      <c r="SST3" s="1113"/>
      <c r="SSU3" s="1113"/>
      <c r="SSV3" s="1113"/>
      <c r="SSW3" s="1113"/>
      <c r="SSX3" s="1113"/>
      <c r="SSY3" s="1113"/>
      <c r="SSZ3" s="1113"/>
      <c r="STA3" s="1113"/>
      <c r="STB3" s="1113"/>
      <c r="STC3" s="1113"/>
      <c r="STD3" s="1113"/>
      <c r="STE3" s="1113"/>
      <c r="STF3" s="1113"/>
      <c r="STG3" s="1113"/>
      <c r="STH3" s="1113"/>
      <c r="STI3" s="1113"/>
      <c r="STJ3" s="1113"/>
      <c r="STK3" s="1113"/>
      <c r="STL3" s="1113"/>
      <c r="STM3" s="1113"/>
      <c r="STN3" s="1113"/>
      <c r="STO3" s="1113"/>
      <c r="STP3" s="1113"/>
      <c r="STQ3" s="1113"/>
      <c r="STR3" s="1113"/>
      <c r="STS3" s="1113"/>
      <c r="STT3" s="1113"/>
      <c r="STU3" s="1113"/>
      <c r="STV3" s="1113"/>
      <c r="STW3" s="1113"/>
      <c r="STX3" s="1113"/>
      <c r="STY3" s="1113"/>
      <c r="STZ3" s="1113"/>
      <c r="SUA3" s="1113"/>
      <c r="SUB3" s="1113"/>
      <c r="SUC3" s="1113"/>
      <c r="SUD3" s="1113"/>
      <c r="SUE3" s="1113"/>
      <c r="SUF3" s="1113"/>
      <c r="SUG3" s="1113"/>
      <c r="SUH3" s="1113"/>
      <c r="SUI3" s="1113"/>
      <c r="SUJ3" s="1113"/>
      <c r="SUK3" s="1113"/>
      <c r="SUL3" s="1113"/>
      <c r="SUM3" s="1113"/>
      <c r="SUN3" s="1113"/>
      <c r="SUO3" s="1113"/>
      <c r="SUP3" s="1113"/>
      <c r="SUQ3" s="1113"/>
      <c r="SUR3" s="1113"/>
      <c r="SUS3" s="1113"/>
      <c r="SUT3" s="1113"/>
      <c r="SUU3" s="1113"/>
      <c r="SUV3" s="1113"/>
      <c r="SUW3" s="1113"/>
      <c r="SUX3" s="1113"/>
      <c r="SUY3" s="1113"/>
      <c r="SUZ3" s="1113"/>
      <c r="SVA3" s="1113"/>
      <c r="SVB3" s="1113"/>
      <c r="SVC3" s="1113"/>
      <c r="SVD3" s="1113"/>
      <c r="SVE3" s="1113"/>
      <c r="SVF3" s="1113"/>
      <c r="SVG3" s="1113"/>
      <c r="SVH3" s="1113"/>
      <c r="SVI3" s="1113"/>
      <c r="SVJ3" s="1113"/>
      <c r="SVK3" s="1113"/>
      <c r="SVL3" s="1113"/>
      <c r="SVM3" s="1113"/>
      <c r="SVN3" s="1113"/>
      <c r="SVO3" s="1113"/>
      <c r="SVP3" s="1113"/>
      <c r="SVQ3" s="1113"/>
      <c r="SVR3" s="1113"/>
      <c r="SVS3" s="1113"/>
      <c r="SVT3" s="1113"/>
      <c r="SVU3" s="1113"/>
      <c r="SVV3" s="1113"/>
      <c r="SVW3" s="1113"/>
      <c r="SVX3" s="1113"/>
      <c r="SVY3" s="1113"/>
      <c r="SVZ3" s="1113"/>
      <c r="SWA3" s="1113"/>
      <c r="SWB3" s="1113"/>
      <c r="SWC3" s="1113"/>
      <c r="SWD3" s="1113"/>
      <c r="SWE3" s="1113"/>
      <c r="SWF3" s="1113"/>
      <c r="SWG3" s="1113"/>
      <c r="SWH3" s="1113"/>
      <c r="SWI3" s="1113"/>
      <c r="SWJ3" s="1113"/>
      <c r="SWK3" s="1113"/>
      <c r="SWL3" s="1113"/>
      <c r="SWM3" s="1113"/>
      <c r="SWN3" s="1113"/>
      <c r="SWO3" s="1113"/>
      <c r="SWP3" s="1113"/>
      <c r="SWQ3" s="1113"/>
      <c r="SWR3" s="1113"/>
      <c r="SWS3" s="1113"/>
      <c r="SWT3" s="1113"/>
      <c r="SWU3" s="1113"/>
      <c r="SWV3" s="1113"/>
      <c r="SWW3" s="1113"/>
      <c r="SWX3" s="1113"/>
      <c r="SWY3" s="1113"/>
      <c r="SWZ3" s="1113"/>
      <c r="SXA3" s="1113"/>
      <c r="SXB3" s="1113"/>
      <c r="SXC3" s="1113"/>
      <c r="SXD3" s="1113"/>
      <c r="SXE3" s="1113"/>
      <c r="SXF3" s="1113"/>
      <c r="SXG3" s="1113"/>
      <c r="SXH3" s="1113"/>
      <c r="SXI3" s="1113"/>
      <c r="SXJ3" s="1113"/>
      <c r="SXK3" s="1113"/>
      <c r="SXL3" s="1113"/>
      <c r="SXM3" s="1113"/>
      <c r="SXN3" s="1113"/>
      <c r="SXO3" s="1113"/>
      <c r="SXP3" s="1113"/>
      <c r="SXQ3" s="1113"/>
      <c r="SXR3" s="1113"/>
      <c r="SXS3" s="1113"/>
      <c r="SXT3" s="1113"/>
      <c r="SXU3" s="1113"/>
      <c r="SXV3" s="1113"/>
      <c r="SXW3" s="1113"/>
      <c r="SXX3" s="1113"/>
      <c r="SXY3" s="1113"/>
      <c r="SXZ3" s="1113"/>
      <c r="SYA3" s="1113"/>
      <c r="SYB3" s="1113"/>
      <c r="SYC3" s="1113"/>
      <c r="SYD3" s="1113"/>
      <c r="SYE3" s="1113"/>
      <c r="SYF3" s="1113"/>
      <c r="SYG3" s="1113"/>
      <c r="SYH3" s="1113"/>
      <c r="SYI3" s="1113"/>
      <c r="SYJ3" s="1113"/>
      <c r="SYK3" s="1113"/>
      <c r="SYL3" s="1113"/>
      <c r="SYM3" s="1113"/>
      <c r="SYN3" s="1113"/>
      <c r="SYO3" s="1113"/>
      <c r="SYP3" s="1113"/>
      <c r="SYQ3" s="1113"/>
      <c r="SYR3" s="1113"/>
      <c r="SYS3" s="1113"/>
      <c r="SYT3" s="1113"/>
      <c r="SYU3" s="1113"/>
      <c r="SYV3" s="1113"/>
      <c r="SYW3" s="1113"/>
      <c r="SYX3" s="1113"/>
      <c r="SYY3" s="1113"/>
      <c r="SYZ3" s="1113"/>
      <c r="SZA3" s="1113"/>
      <c r="SZB3" s="1113"/>
      <c r="SZC3" s="1113"/>
      <c r="SZD3" s="1113"/>
      <c r="SZE3" s="1113"/>
      <c r="SZF3" s="1113"/>
      <c r="SZG3" s="1113"/>
      <c r="SZH3" s="1113"/>
      <c r="SZI3" s="1113"/>
      <c r="SZJ3" s="1113"/>
      <c r="SZK3" s="1113"/>
      <c r="SZL3" s="1113"/>
      <c r="SZM3" s="1113"/>
      <c r="SZN3" s="1113"/>
      <c r="SZO3" s="1113"/>
      <c r="SZP3" s="1113"/>
      <c r="SZQ3" s="1113"/>
      <c r="SZR3" s="1113"/>
      <c r="SZS3" s="1113"/>
      <c r="SZT3" s="1113"/>
      <c r="SZU3" s="1113"/>
      <c r="SZV3" s="1113"/>
      <c r="SZW3" s="1113"/>
      <c r="SZX3" s="1113"/>
      <c r="SZY3" s="1113"/>
      <c r="SZZ3" s="1113"/>
      <c r="TAA3" s="1113"/>
      <c r="TAB3" s="1113"/>
      <c r="TAC3" s="1113"/>
      <c r="TAD3" s="1113"/>
      <c r="TAE3" s="1113"/>
      <c r="TAF3" s="1113"/>
      <c r="TAG3" s="1113"/>
      <c r="TAH3" s="1113"/>
      <c r="TAI3" s="1113"/>
      <c r="TAJ3" s="1113"/>
      <c r="TAK3" s="1113"/>
      <c r="TAL3" s="1113"/>
      <c r="TAM3" s="1113"/>
      <c r="TAN3" s="1113"/>
      <c r="TAO3" s="1113"/>
      <c r="TAP3" s="1113"/>
      <c r="TAQ3" s="1113"/>
      <c r="TAR3" s="1113"/>
      <c r="TAS3" s="1113"/>
      <c r="TAT3" s="1113"/>
      <c r="TAU3" s="1113"/>
      <c r="TAV3" s="1113"/>
      <c r="TAW3" s="1113"/>
      <c r="TAX3" s="1113"/>
      <c r="TAY3" s="1113"/>
      <c r="TAZ3" s="1113"/>
      <c r="TBA3" s="1113"/>
      <c r="TBB3" s="1113"/>
      <c r="TBC3" s="1113"/>
      <c r="TBD3" s="1113"/>
      <c r="TBE3" s="1113"/>
      <c r="TBF3" s="1113"/>
      <c r="TBG3" s="1113"/>
      <c r="TBH3" s="1113"/>
      <c r="TBI3" s="1113"/>
      <c r="TBJ3" s="1113"/>
      <c r="TBK3" s="1113"/>
      <c r="TBL3" s="1113"/>
      <c r="TBM3" s="1113"/>
      <c r="TBN3" s="1113"/>
      <c r="TBO3" s="1113"/>
      <c r="TBP3" s="1113"/>
      <c r="TBQ3" s="1113"/>
      <c r="TBR3" s="1113"/>
      <c r="TBS3" s="1113"/>
      <c r="TBT3" s="1113"/>
      <c r="TBU3" s="1113"/>
      <c r="TBV3" s="1113"/>
      <c r="TBW3" s="1113"/>
      <c r="TBX3" s="1113"/>
      <c r="TBY3" s="1113"/>
      <c r="TBZ3" s="1113"/>
      <c r="TCA3" s="1113"/>
      <c r="TCB3" s="1113"/>
      <c r="TCC3" s="1113"/>
      <c r="TCD3" s="1113"/>
      <c r="TCE3" s="1113"/>
      <c r="TCF3" s="1113"/>
      <c r="TCG3" s="1113"/>
      <c r="TCH3" s="1113"/>
      <c r="TCI3" s="1113"/>
      <c r="TCJ3" s="1113"/>
      <c r="TCK3" s="1113"/>
      <c r="TCL3" s="1113"/>
      <c r="TCM3" s="1113"/>
      <c r="TCN3" s="1113"/>
      <c r="TCO3" s="1113"/>
      <c r="TCP3" s="1113"/>
      <c r="TCQ3" s="1113"/>
      <c r="TCR3" s="1113"/>
      <c r="TCS3" s="1113"/>
      <c r="TCT3" s="1113"/>
      <c r="TCU3" s="1113"/>
      <c r="TCV3" s="1113"/>
      <c r="TCW3" s="1113"/>
      <c r="TCX3" s="1113"/>
      <c r="TCY3" s="1113"/>
      <c r="TCZ3" s="1113"/>
      <c r="TDA3" s="1113"/>
      <c r="TDB3" s="1113"/>
      <c r="TDC3" s="1113"/>
      <c r="TDD3" s="1113"/>
      <c r="TDE3" s="1113"/>
      <c r="TDF3" s="1113"/>
      <c r="TDG3" s="1113"/>
      <c r="TDH3" s="1113"/>
      <c r="TDI3" s="1113"/>
      <c r="TDJ3" s="1113"/>
      <c r="TDK3" s="1113"/>
      <c r="TDL3" s="1113"/>
      <c r="TDM3" s="1113"/>
      <c r="TDN3" s="1113"/>
      <c r="TDO3" s="1113"/>
      <c r="TDP3" s="1113"/>
      <c r="TDQ3" s="1113"/>
      <c r="TDR3" s="1113"/>
      <c r="TDS3" s="1113"/>
      <c r="TDT3" s="1113"/>
      <c r="TDU3" s="1113"/>
      <c r="TDV3" s="1113"/>
      <c r="TDW3" s="1113"/>
      <c r="TDX3" s="1113"/>
      <c r="TDY3" s="1113"/>
      <c r="TDZ3" s="1113"/>
      <c r="TEA3" s="1113"/>
      <c r="TEB3" s="1113"/>
      <c r="TEC3" s="1113"/>
      <c r="TED3" s="1113"/>
      <c r="TEE3" s="1113"/>
      <c r="TEF3" s="1113"/>
      <c r="TEG3" s="1113"/>
      <c r="TEH3" s="1113"/>
      <c r="TEI3" s="1113"/>
      <c r="TEJ3" s="1113"/>
      <c r="TEK3" s="1113"/>
      <c r="TEL3" s="1113"/>
      <c r="TEM3" s="1113"/>
      <c r="TEN3" s="1113"/>
      <c r="TEO3" s="1113"/>
      <c r="TEP3" s="1113"/>
      <c r="TEQ3" s="1113"/>
      <c r="TER3" s="1113"/>
      <c r="TES3" s="1113"/>
      <c r="TET3" s="1113"/>
      <c r="TEU3" s="1113"/>
      <c r="TEV3" s="1113"/>
      <c r="TEW3" s="1113"/>
      <c r="TEX3" s="1113"/>
      <c r="TEY3" s="1113"/>
      <c r="TEZ3" s="1113"/>
      <c r="TFA3" s="1113"/>
      <c r="TFB3" s="1113"/>
      <c r="TFC3" s="1113"/>
      <c r="TFD3" s="1113"/>
      <c r="TFE3" s="1113"/>
      <c r="TFF3" s="1113"/>
      <c r="TFG3" s="1113"/>
      <c r="TFH3" s="1113"/>
      <c r="TFI3" s="1113"/>
      <c r="TFJ3" s="1113"/>
      <c r="TFK3" s="1113"/>
      <c r="TFL3" s="1113"/>
      <c r="TFM3" s="1113"/>
      <c r="TFN3" s="1113"/>
      <c r="TFO3" s="1113"/>
      <c r="TFP3" s="1113"/>
      <c r="TFQ3" s="1113"/>
      <c r="TFR3" s="1113"/>
      <c r="TFS3" s="1113"/>
      <c r="TFT3" s="1113"/>
      <c r="TFU3" s="1113"/>
      <c r="TFV3" s="1113"/>
      <c r="TFW3" s="1113"/>
      <c r="TFX3" s="1113"/>
      <c r="TFY3" s="1113"/>
      <c r="TFZ3" s="1113"/>
      <c r="TGA3" s="1113"/>
      <c r="TGB3" s="1113"/>
      <c r="TGC3" s="1113"/>
      <c r="TGD3" s="1113"/>
      <c r="TGE3" s="1113"/>
      <c r="TGF3" s="1113"/>
      <c r="TGG3" s="1113"/>
      <c r="TGH3" s="1113"/>
      <c r="TGI3" s="1113"/>
      <c r="TGJ3" s="1113"/>
      <c r="TGK3" s="1113"/>
      <c r="TGL3" s="1113"/>
      <c r="TGM3" s="1113"/>
      <c r="TGN3" s="1113"/>
      <c r="TGO3" s="1113"/>
      <c r="TGP3" s="1113"/>
      <c r="TGQ3" s="1113"/>
      <c r="TGR3" s="1113"/>
      <c r="TGS3" s="1113"/>
      <c r="TGT3" s="1113"/>
      <c r="TGU3" s="1113"/>
      <c r="TGV3" s="1113"/>
      <c r="TGW3" s="1113"/>
      <c r="TGX3" s="1113"/>
      <c r="TGY3" s="1113"/>
      <c r="TGZ3" s="1113"/>
      <c r="THA3" s="1113"/>
      <c r="THB3" s="1113"/>
      <c r="THC3" s="1113"/>
      <c r="THD3" s="1113"/>
      <c r="THE3" s="1113"/>
      <c r="THF3" s="1113"/>
      <c r="THG3" s="1113"/>
      <c r="THH3" s="1113"/>
      <c r="THI3" s="1113"/>
      <c r="THJ3" s="1113"/>
      <c r="THK3" s="1113"/>
      <c r="THL3" s="1113"/>
      <c r="THM3" s="1113"/>
      <c r="THN3" s="1113"/>
      <c r="THO3" s="1113"/>
      <c r="THP3" s="1113"/>
      <c r="THQ3" s="1113"/>
      <c r="THR3" s="1113"/>
      <c r="THS3" s="1113"/>
      <c r="THT3" s="1113"/>
      <c r="THU3" s="1113"/>
      <c r="THV3" s="1113"/>
      <c r="THW3" s="1113"/>
      <c r="THX3" s="1113"/>
      <c r="THY3" s="1113"/>
      <c r="THZ3" s="1113"/>
      <c r="TIA3" s="1113"/>
      <c r="TIB3" s="1113"/>
      <c r="TIC3" s="1113"/>
      <c r="TID3" s="1113"/>
      <c r="TIE3" s="1113"/>
      <c r="TIF3" s="1113"/>
      <c r="TIG3" s="1113"/>
      <c r="TIH3" s="1113"/>
      <c r="TII3" s="1113"/>
      <c r="TIJ3" s="1113"/>
      <c r="TIK3" s="1113"/>
      <c r="TIL3" s="1113"/>
      <c r="TIM3" s="1113"/>
      <c r="TIN3" s="1113"/>
      <c r="TIO3" s="1113"/>
      <c r="TIP3" s="1113"/>
      <c r="TIQ3" s="1113"/>
      <c r="TIR3" s="1113"/>
      <c r="TIS3" s="1113"/>
      <c r="TIT3" s="1113"/>
      <c r="TIU3" s="1113"/>
      <c r="TIV3" s="1113"/>
      <c r="TIW3" s="1113"/>
      <c r="TIX3" s="1113"/>
      <c r="TIY3" s="1113"/>
      <c r="TIZ3" s="1113"/>
      <c r="TJA3" s="1113"/>
      <c r="TJB3" s="1113"/>
      <c r="TJC3" s="1113"/>
      <c r="TJD3" s="1113"/>
      <c r="TJE3" s="1113"/>
      <c r="TJF3" s="1113"/>
      <c r="TJG3" s="1113"/>
      <c r="TJH3" s="1113"/>
      <c r="TJI3" s="1113"/>
      <c r="TJJ3" s="1113"/>
      <c r="TJK3" s="1113"/>
      <c r="TJL3" s="1113"/>
      <c r="TJM3" s="1113"/>
      <c r="TJN3" s="1113"/>
      <c r="TJO3" s="1113"/>
      <c r="TJP3" s="1113"/>
      <c r="TJQ3" s="1113"/>
      <c r="TJR3" s="1113"/>
      <c r="TJS3" s="1113"/>
      <c r="TJT3" s="1113"/>
      <c r="TJU3" s="1113"/>
      <c r="TJV3" s="1113"/>
      <c r="TJW3" s="1113"/>
      <c r="TJX3" s="1113"/>
      <c r="TJY3" s="1113"/>
      <c r="TJZ3" s="1113"/>
      <c r="TKA3" s="1113"/>
      <c r="TKB3" s="1113"/>
      <c r="TKC3" s="1113"/>
      <c r="TKD3" s="1113"/>
      <c r="TKE3" s="1113"/>
      <c r="TKF3" s="1113"/>
      <c r="TKG3" s="1113"/>
      <c r="TKH3" s="1113"/>
      <c r="TKI3" s="1113"/>
      <c r="TKJ3" s="1113"/>
      <c r="TKK3" s="1113"/>
      <c r="TKL3" s="1113"/>
      <c r="TKM3" s="1113"/>
      <c r="TKN3" s="1113"/>
      <c r="TKO3" s="1113"/>
      <c r="TKP3" s="1113"/>
      <c r="TKQ3" s="1113"/>
      <c r="TKR3" s="1113"/>
      <c r="TKS3" s="1113"/>
      <c r="TKT3" s="1113"/>
      <c r="TKU3" s="1113"/>
      <c r="TKV3" s="1113"/>
      <c r="TKW3" s="1113"/>
      <c r="TKX3" s="1113"/>
      <c r="TKY3" s="1113"/>
      <c r="TKZ3" s="1113"/>
      <c r="TLA3" s="1113"/>
      <c r="TLB3" s="1113"/>
      <c r="TLC3" s="1113"/>
      <c r="TLD3" s="1113"/>
      <c r="TLE3" s="1113"/>
      <c r="TLF3" s="1113"/>
      <c r="TLG3" s="1113"/>
      <c r="TLH3" s="1113"/>
      <c r="TLI3" s="1113"/>
      <c r="TLJ3" s="1113"/>
      <c r="TLK3" s="1113"/>
      <c r="TLL3" s="1113"/>
      <c r="TLM3" s="1113"/>
      <c r="TLN3" s="1113"/>
      <c r="TLO3" s="1113"/>
      <c r="TLP3" s="1113"/>
      <c r="TLQ3" s="1113"/>
      <c r="TLR3" s="1113"/>
      <c r="TLS3" s="1113"/>
      <c r="TLT3" s="1113"/>
      <c r="TLU3" s="1113"/>
      <c r="TLV3" s="1113"/>
      <c r="TLW3" s="1113"/>
      <c r="TLX3" s="1113"/>
      <c r="TLY3" s="1113"/>
      <c r="TLZ3" s="1113"/>
      <c r="TMA3" s="1113"/>
      <c r="TMB3" s="1113"/>
      <c r="TMC3" s="1113"/>
      <c r="TMD3" s="1113"/>
      <c r="TME3" s="1113"/>
      <c r="TMF3" s="1113"/>
      <c r="TMG3" s="1113"/>
      <c r="TMH3" s="1113"/>
      <c r="TMI3" s="1113"/>
      <c r="TMJ3" s="1113"/>
      <c r="TMK3" s="1113"/>
      <c r="TML3" s="1113"/>
      <c r="TMM3" s="1113"/>
      <c r="TMN3" s="1113"/>
      <c r="TMO3" s="1113"/>
      <c r="TMP3" s="1113"/>
      <c r="TMQ3" s="1113"/>
      <c r="TMR3" s="1113"/>
      <c r="TMS3" s="1113"/>
      <c r="TMT3" s="1113"/>
      <c r="TMU3" s="1113"/>
      <c r="TMV3" s="1113"/>
      <c r="TMW3" s="1113"/>
      <c r="TMX3" s="1113"/>
      <c r="TMY3" s="1113"/>
      <c r="TMZ3" s="1113"/>
      <c r="TNA3" s="1113"/>
      <c r="TNB3" s="1113"/>
      <c r="TNC3" s="1113"/>
      <c r="TND3" s="1113"/>
      <c r="TNE3" s="1113"/>
      <c r="TNF3" s="1113"/>
      <c r="TNG3" s="1113"/>
      <c r="TNH3" s="1113"/>
      <c r="TNI3" s="1113"/>
      <c r="TNJ3" s="1113"/>
      <c r="TNK3" s="1113"/>
      <c r="TNL3" s="1113"/>
      <c r="TNM3" s="1113"/>
      <c r="TNN3" s="1113"/>
      <c r="TNO3" s="1113"/>
      <c r="TNP3" s="1113"/>
      <c r="TNQ3" s="1113"/>
      <c r="TNR3" s="1113"/>
      <c r="TNS3" s="1113"/>
      <c r="TNT3" s="1113"/>
      <c r="TNU3" s="1113"/>
      <c r="TNV3" s="1113"/>
      <c r="TNW3" s="1113"/>
      <c r="TNX3" s="1113"/>
      <c r="TNY3" s="1113"/>
      <c r="TNZ3" s="1113"/>
      <c r="TOA3" s="1113"/>
      <c r="TOB3" s="1113"/>
      <c r="TOC3" s="1113"/>
      <c r="TOD3" s="1113"/>
      <c r="TOE3" s="1113"/>
      <c r="TOF3" s="1113"/>
      <c r="TOG3" s="1113"/>
      <c r="TOH3" s="1113"/>
      <c r="TOI3" s="1113"/>
      <c r="TOJ3" s="1113"/>
      <c r="TOK3" s="1113"/>
      <c r="TOL3" s="1113"/>
      <c r="TOM3" s="1113"/>
      <c r="TON3" s="1113"/>
      <c r="TOO3" s="1113"/>
      <c r="TOP3" s="1113"/>
      <c r="TOQ3" s="1113"/>
      <c r="TOR3" s="1113"/>
      <c r="TOS3" s="1113"/>
      <c r="TOT3" s="1113"/>
      <c r="TOU3" s="1113"/>
      <c r="TOV3" s="1113"/>
      <c r="TOW3" s="1113"/>
      <c r="TOX3" s="1113"/>
      <c r="TOY3" s="1113"/>
      <c r="TOZ3" s="1113"/>
      <c r="TPA3" s="1113"/>
      <c r="TPB3" s="1113"/>
      <c r="TPC3" s="1113"/>
      <c r="TPD3" s="1113"/>
      <c r="TPE3" s="1113"/>
      <c r="TPF3" s="1113"/>
      <c r="TPG3" s="1113"/>
      <c r="TPH3" s="1113"/>
      <c r="TPI3" s="1113"/>
      <c r="TPJ3" s="1113"/>
      <c r="TPK3" s="1113"/>
      <c r="TPL3" s="1113"/>
      <c r="TPM3" s="1113"/>
      <c r="TPN3" s="1113"/>
      <c r="TPO3" s="1113"/>
      <c r="TPP3" s="1113"/>
      <c r="TPQ3" s="1113"/>
      <c r="TPR3" s="1113"/>
      <c r="TPS3" s="1113"/>
      <c r="TPT3" s="1113"/>
      <c r="TPU3" s="1113"/>
      <c r="TPV3" s="1113"/>
      <c r="TPW3" s="1113"/>
      <c r="TPX3" s="1113"/>
      <c r="TPY3" s="1113"/>
      <c r="TPZ3" s="1113"/>
      <c r="TQA3" s="1113"/>
      <c r="TQB3" s="1113"/>
      <c r="TQC3" s="1113"/>
      <c r="TQD3" s="1113"/>
      <c r="TQE3" s="1113"/>
      <c r="TQF3" s="1113"/>
      <c r="TQG3" s="1113"/>
      <c r="TQH3" s="1113"/>
      <c r="TQI3" s="1113"/>
      <c r="TQJ3" s="1113"/>
      <c r="TQK3" s="1113"/>
      <c r="TQL3" s="1113"/>
      <c r="TQM3" s="1113"/>
      <c r="TQN3" s="1113"/>
      <c r="TQO3" s="1113"/>
      <c r="TQP3" s="1113"/>
      <c r="TQQ3" s="1113"/>
      <c r="TQR3" s="1113"/>
      <c r="TQS3" s="1113"/>
      <c r="TQT3" s="1113"/>
      <c r="TQU3" s="1113"/>
      <c r="TQV3" s="1113"/>
      <c r="TQW3" s="1113"/>
      <c r="TQX3" s="1113"/>
      <c r="TQY3" s="1113"/>
      <c r="TQZ3" s="1113"/>
      <c r="TRA3" s="1113"/>
      <c r="TRB3" s="1113"/>
      <c r="TRC3" s="1113"/>
      <c r="TRD3" s="1113"/>
      <c r="TRE3" s="1113"/>
      <c r="TRF3" s="1113"/>
      <c r="TRG3" s="1113"/>
      <c r="TRH3" s="1113"/>
      <c r="TRI3" s="1113"/>
      <c r="TRJ3" s="1113"/>
      <c r="TRK3" s="1113"/>
      <c r="TRL3" s="1113"/>
      <c r="TRM3" s="1113"/>
      <c r="TRN3" s="1113"/>
      <c r="TRO3" s="1113"/>
      <c r="TRP3" s="1113"/>
      <c r="TRQ3" s="1113"/>
      <c r="TRR3" s="1113"/>
      <c r="TRS3" s="1113"/>
      <c r="TRT3" s="1113"/>
      <c r="TRU3" s="1113"/>
      <c r="TRV3" s="1113"/>
      <c r="TRW3" s="1113"/>
      <c r="TRX3" s="1113"/>
      <c r="TRY3" s="1113"/>
      <c r="TRZ3" s="1113"/>
      <c r="TSA3" s="1113"/>
      <c r="TSB3" s="1113"/>
      <c r="TSC3" s="1113"/>
      <c r="TSD3" s="1113"/>
      <c r="TSE3" s="1113"/>
      <c r="TSF3" s="1113"/>
      <c r="TSG3" s="1113"/>
      <c r="TSH3" s="1113"/>
      <c r="TSI3" s="1113"/>
      <c r="TSJ3" s="1113"/>
      <c r="TSK3" s="1113"/>
      <c r="TSL3" s="1113"/>
      <c r="TSM3" s="1113"/>
      <c r="TSN3" s="1113"/>
      <c r="TSO3" s="1113"/>
      <c r="TSP3" s="1113"/>
      <c r="TSQ3" s="1113"/>
      <c r="TSR3" s="1113"/>
      <c r="TSS3" s="1113"/>
      <c r="TST3" s="1113"/>
      <c r="TSU3" s="1113"/>
      <c r="TSV3" s="1113"/>
      <c r="TSW3" s="1113"/>
      <c r="TSX3" s="1113"/>
      <c r="TSY3" s="1113"/>
      <c r="TSZ3" s="1113"/>
      <c r="TTA3" s="1113"/>
      <c r="TTB3" s="1113"/>
      <c r="TTC3" s="1113"/>
      <c r="TTD3" s="1113"/>
      <c r="TTE3" s="1113"/>
      <c r="TTF3" s="1113"/>
      <c r="TTG3" s="1113"/>
      <c r="TTH3" s="1113"/>
      <c r="TTI3" s="1113"/>
      <c r="TTJ3" s="1113"/>
      <c r="TTK3" s="1113"/>
      <c r="TTL3" s="1113"/>
      <c r="TTM3" s="1113"/>
      <c r="TTN3" s="1113"/>
      <c r="TTO3" s="1113"/>
      <c r="TTP3" s="1113"/>
      <c r="TTQ3" s="1113"/>
      <c r="TTR3" s="1113"/>
      <c r="TTS3" s="1113"/>
      <c r="TTT3" s="1113"/>
      <c r="TTU3" s="1113"/>
      <c r="TTV3" s="1113"/>
      <c r="TTW3" s="1113"/>
      <c r="TTX3" s="1113"/>
      <c r="TTY3" s="1113"/>
      <c r="TTZ3" s="1113"/>
      <c r="TUA3" s="1113"/>
      <c r="TUB3" s="1113"/>
      <c r="TUC3" s="1113"/>
      <c r="TUD3" s="1113"/>
      <c r="TUE3" s="1113"/>
      <c r="TUF3" s="1113"/>
      <c r="TUG3" s="1113"/>
      <c r="TUH3" s="1113"/>
      <c r="TUI3" s="1113"/>
      <c r="TUJ3" s="1113"/>
      <c r="TUK3" s="1113"/>
      <c r="TUL3" s="1113"/>
      <c r="TUM3" s="1113"/>
      <c r="TUN3" s="1113"/>
      <c r="TUO3" s="1113"/>
      <c r="TUP3" s="1113"/>
      <c r="TUQ3" s="1113"/>
      <c r="TUR3" s="1113"/>
      <c r="TUS3" s="1113"/>
      <c r="TUT3" s="1113"/>
      <c r="TUU3" s="1113"/>
      <c r="TUV3" s="1113"/>
      <c r="TUW3" s="1113"/>
      <c r="TUX3" s="1113"/>
      <c r="TUY3" s="1113"/>
      <c r="TUZ3" s="1113"/>
      <c r="TVA3" s="1113"/>
      <c r="TVB3" s="1113"/>
      <c r="TVC3" s="1113"/>
      <c r="TVD3" s="1113"/>
      <c r="TVE3" s="1113"/>
      <c r="TVF3" s="1113"/>
      <c r="TVG3" s="1113"/>
      <c r="TVH3" s="1113"/>
      <c r="TVI3" s="1113"/>
      <c r="TVJ3" s="1113"/>
      <c r="TVK3" s="1113"/>
      <c r="TVL3" s="1113"/>
      <c r="TVM3" s="1113"/>
      <c r="TVN3" s="1113"/>
      <c r="TVO3" s="1113"/>
      <c r="TVP3" s="1113"/>
      <c r="TVQ3" s="1113"/>
      <c r="TVR3" s="1113"/>
      <c r="TVS3" s="1113"/>
      <c r="TVT3" s="1113"/>
      <c r="TVU3" s="1113"/>
      <c r="TVV3" s="1113"/>
      <c r="TVW3" s="1113"/>
      <c r="TVX3" s="1113"/>
      <c r="TVY3" s="1113"/>
      <c r="TVZ3" s="1113"/>
      <c r="TWA3" s="1113"/>
      <c r="TWB3" s="1113"/>
      <c r="TWC3" s="1113"/>
      <c r="TWD3" s="1113"/>
      <c r="TWE3" s="1113"/>
      <c r="TWF3" s="1113"/>
      <c r="TWG3" s="1113"/>
      <c r="TWH3" s="1113"/>
      <c r="TWI3" s="1113"/>
      <c r="TWJ3" s="1113"/>
      <c r="TWK3" s="1113"/>
      <c r="TWL3" s="1113"/>
      <c r="TWM3" s="1113"/>
      <c r="TWN3" s="1113"/>
      <c r="TWO3" s="1113"/>
      <c r="TWP3" s="1113"/>
      <c r="TWQ3" s="1113"/>
      <c r="TWR3" s="1113"/>
      <c r="TWS3" s="1113"/>
      <c r="TWT3" s="1113"/>
      <c r="TWU3" s="1113"/>
      <c r="TWV3" s="1113"/>
      <c r="TWW3" s="1113"/>
      <c r="TWX3" s="1113"/>
      <c r="TWY3" s="1113"/>
      <c r="TWZ3" s="1113"/>
      <c r="TXA3" s="1113"/>
      <c r="TXB3" s="1113"/>
      <c r="TXC3" s="1113"/>
      <c r="TXD3" s="1113"/>
      <c r="TXE3" s="1113"/>
      <c r="TXF3" s="1113"/>
      <c r="TXG3" s="1113"/>
      <c r="TXH3" s="1113"/>
      <c r="TXI3" s="1113"/>
      <c r="TXJ3" s="1113"/>
      <c r="TXK3" s="1113"/>
      <c r="TXL3" s="1113"/>
      <c r="TXM3" s="1113"/>
      <c r="TXN3" s="1113"/>
      <c r="TXO3" s="1113"/>
      <c r="TXP3" s="1113"/>
      <c r="TXQ3" s="1113"/>
      <c r="TXR3" s="1113"/>
      <c r="TXS3" s="1113"/>
      <c r="TXT3" s="1113"/>
      <c r="TXU3" s="1113"/>
      <c r="TXV3" s="1113"/>
      <c r="TXW3" s="1113"/>
      <c r="TXX3" s="1113"/>
      <c r="TXY3" s="1113"/>
      <c r="TXZ3" s="1113"/>
      <c r="TYA3" s="1113"/>
      <c r="TYB3" s="1113"/>
      <c r="TYC3" s="1113"/>
      <c r="TYD3" s="1113"/>
      <c r="TYE3" s="1113"/>
      <c r="TYF3" s="1113"/>
      <c r="TYG3" s="1113"/>
      <c r="TYH3" s="1113"/>
      <c r="TYI3" s="1113"/>
      <c r="TYJ3" s="1113"/>
      <c r="TYK3" s="1113"/>
      <c r="TYL3" s="1113"/>
      <c r="TYM3" s="1113"/>
      <c r="TYN3" s="1113"/>
      <c r="TYO3" s="1113"/>
      <c r="TYP3" s="1113"/>
      <c r="TYQ3" s="1113"/>
      <c r="TYR3" s="1113"/>
      <c r="TYS3" s="1113"/>
      <c r="TYT3" s="1113"/>
      <c r="TYU3" s="1113"/>
      <c r="TYV3" s="1113"/>
      <c r="TYW3" s="1113"/>
      <c r="TYX3" s="1113"/>
      <c r="TYY3" s="1113"/>
      <c r="TYZ3" s="1113"/>
      <c r="TZA3" s="1113"/>
      <c r="TZB3" s="1113"/>
      <c r="TZC3" s="1113"/>
      <c r="TZD3" s="1113"/>
      <c r="TZE3" s="1113"/>
      <c r="TZF3" s="1113"/>
      <c r="TZG3" s="1113"/>
      <c r="TZH3" s="1113"/>
      <c r="TZI3" s="1113"/>
      <c r="TZJ3" s="1113"/>
      <c r="TZK3" s="1113"/>
      <c r="TZL3" s="1113"/>
      <c r="TZM3" s="1113"/>
      <c r="TZN3" s="1113"/>
      <c r="TZO3" s="1113"/>
      <c r="TZP3" s="1113"/>
      <c r="TZQ3" s="1113"/>
      <c r="TZR3" s="1113"/>
      <c r="TZS3" s="1113"/>
      <c r="TZT3" s="1113"/>
      <c r="TZU3" s="1113"/>
      <c r="TZV3" s="1113"/>
      <c r="TZW3" s="1113"/>
      <c r="TZX3" s="1113"/>
      <c r="TZY3" s="1113"/>
      <c r="TZZ3" s="1113"/>
      <c r="UAA3" s="1113"/>
      <c r="UAB3" s="1113"/>
      <c r="UAC3" s="1113"/>
      <c r="UAD3" s="1113"/>
      <c r="UAE3" s="1113"/>
      <c r="UAF3" s="1113"/>
      <c r="UAG3" s="1113"/>
      <c r="UAH3" s="1113"/>
      <c r="UAI3" s="1113"/>
      <c r="UAJ3" s="1113"/>
      <c r="UAK3" s="1113"/>
      <c r="UAL3" s="1113"/>
      <c r="UAM3" s="1113"/>
      <c r="UAN3" s="1113"/>
      <c r="UAO3" s="1113"/>
      <c r="UAP3" s="1113"/>
      <c r="UAQ3" s="1113"/>
      <c r="UAR3" s="1113"/>
      <c r="UAS3" s="1113"/>
      <c r="UAT3" s="1113"/>
      <c r="UAU3" s="1113"/>
      <c r="UAV3" s="1113"/>
      <c r="UAW3" s="1113"/>
      <c r="UAX3" s="1113"/>
      <c r="UAY3" s="1113"/>
      <c r="UAZ3" s="1113"/>
      <c r="UBA3" s="1113"/>
      <c r="UBB3" s="1113"/>
      <c r="UBC3" s="1113"/>
      <c r="UBD3" s="1113"/>
      <c r="UBE3" s="1113"/>
      <c r="UBF3" s="1113"/>
      <c r="UBG3" s="1113"/>
      <c r="UBH3" s="1113"/>
      <c r="UBI3" s="1113"/>
      <c r="UBJ3" s="1113"/>
      <c r="UBK3" s="1113"/>
      <c r="UBL3" s="1113"/>
      <c r="UBM3" s="1113"/>
      <c r="UBN3" s="1113"/>
      <c r="UBO3" s="1113"/>
      <c r="UBP3" s="1113"/>
      <c r="UBQ3" s="1113"/>
      <c r="UBR3" s="1113"/>
      <c r="UBS3" s="1113"/>
      <c r="UBT3" s="1113"/>
      <c r="UBU3" s="1113"/>
      <c r="UBV3" s="1113"/>
      <c r="UBW3" s="1113"/>
      <c r="UBX3" s="1113"/>
      <c r="UBY3" s="1113"/>
      <c r="UBZ3" s="1113"/>
      <c r="UCA3" s="1113"/>
      <c r="UCB3" s="1113"/>
      <c r="UCC3" s="1113"/>
      <c r="UCD3" s="1113"/>
      <c r="UCE3" s="1113"/>
      <c r="UCF3" s="1113"/>
      <c r="UCG3" s="1113"/>
      <c r="UCH3" s="1113"/>
      <c r="UCI3" s="1113"/>
      <c r="UCJ3" s="1113"/>
      <c r="UCK3" s="1113"/>
      <c r="UCL3" s="1113"/>
      <c r="UCM3" s="1113"/>
      <c r="UCN3" s="1113"/>
      <c r="UCO3" s="1113"/>
      <c r="UCP3" s="1113"/>
      <c r="UCQ3" s="1113"/>
      <c r="UCR3" s="1113"/>
      <c r="UCS3" s="1113"/>
      <c r="UCT3" s="1113"/>
      <c r="UCU3" s="1113"/>
      <c r="UCV3" s="1113"/>
      <c r="UCW3" s="1113"/>
      <c r="UCX3" s="1113"/>
      <c r="UCY3" s="1113"/>
      <c r="UCZ3" s="1113"/>
      <c r="UDA3" s="1113"/>
      <c r="UDB3" s="1113"/>
      <c r="UDC3" s="1113"/>
      <c r="UDD3" s="1113"/>
      <c r="UDE3" s="1113"/>
      <c r="UDF3" s="1113"/>
      <c r="UDG3" s="1113"/>
      <c r="UDH3" s="1113"/>
      <c r="UDI3" s="1113"/>
      <c r="UDJ3" s="1113"/>
      <c r="UDK3" s="1113"/>
      <c r="UDL3" s="1113"/>
      <c r="UDM3" s="1113"/>
      <c r="UDN3" s="1113"/>
      <c r="UDO3" s="1113"/>
      <c r="UDP3" s="1113"/>
      <c r="UDQ3" s="1113"/>
      <c r="UDR3" s="1113"/>
      <c r="UDS3" s="1113"/>
      <c r="UDT3" s="1113"/>
      <c r="UDU3" s="1113"/>
      <c r="UDV3" s="1113"/>
      <c r="UDW3" s="1113"/>
      <c r="UDX3" s="1113"/>
      <c r="UDY3" s="1113"/>
      <c r="UDZ3" s="1113"/>
      <c r="UEA3" s="1113"/>
      <c r="UEB3" s="1113"/>
      <c r="UEC3" s="1113"/>
      <c r="UED3" s="1113"/>
      <c r="UEE3" s="1113"/>
      <c r="UEF3" s="1113"/>
      <c r="UEG3" s="1113"/>
      <c r="UEH3" s="1113"/>
      <c r="UEI3" s="1113"/>
      <c r="UEJ3" s="1113"/>
      <c r="UEK3" s="1113"/>
      <c r="UEL3" s="1113"/>
      <c r="UEM3" s="1113"/>
      <c r="UEN3" s="1113"/>
      <c r="UEO3" s="1113"/>
      <c r="UEP3" s="1113"/>
      <c r="UEQ3" s="1113"/>
      <c r="UER3" s="1113"/>
      <c r="UES3" s="1113"/>
      <c r="UET3" s="1113"/>
      <c r="UEU3" s="1113"/>
      <c r="UEV3" s="1113"/>
      <c r="UEW3" s="1113"/>
      <c r="UEX3" s="1113"/>
      <c r="UEY3" s="1113"/>
      <c r="UEZ3" s="1113"/>
      <c r="UFA3" s="1113"/>
      <c r="UFB3" s="1113"/>
      <c r="UFC3" s="1113"/>
      <c r="UFD3" s="1113"/>
      <c r="UFE3" s="1113"/>
      <c r="UFF3" s="1113"/>
      <c r="UFG3" s="1113"/>
      <c r="UFH3" s="1113"/>
      <c r="UFI3" s="1113"/>
      <c r="UFJ3" s="1113"/>
      <c r="UFK3" s="1113"/>
      <c r="UFL3" s="1113"/>
      <c r="UFM3" s="1113"/>
      <c r="UFN3" s="1113"/>
      <c r="UFO3" s="1113"/>
      <c r="UFP3" s="1113"/>
      <c r="UFQ3" s="1113"/>
      <c r="UFR3" s="1113"/>
      <c r="UFS3" s="1113"/>
      <c r="UFT3" s="1113"/>
      <c r="UFU3" s="1113"/>
      <c r="UFV3" s="1113"/>
      <c r="UFW3" s="1113"/>
      <c r="UFX3" s="1113"/>
      <c r="UFY3" s="1113"/>
      <c r="UFZ3" s="1113"/>
      <c r="UGA3" s="1113"/>
      <c r="UGB3" s="1113"/>
      <c r="UGC3" s="1113"/>
      <c r="UGD3" s="1113"/>
      <c r="UGE3" s="1113"/>
      <c r="UGF3" s="1113"/>
      <c r="UGG3" s="1113"/>
      <c r="UGH3" s="1113"/>
      <c r="UGI3" s="1113"/>
      <c r="UGJ3" s="1113"/>
      <c r="UGK3" s="1113"/>
      <c r="UGL3" s="1113"/>
      <c r="UGM3" s="1113"/>
      <c r="UGN3" s="1113"/>
      <c r="UGO3" s="1113"/>
      <c r="UGP3" s="1113"/>
      <c r="UGQ3" s="1113"/>
      <c r="UGR3" s="1113"/>
      <c r="UGS3" s="1113"/>
      <c r="UGT3" s="1113"/>
      <c r="UGU3" s="1113"/>
      <c r="UGV3" s="1113"/>
      <c r="UGW3" s="1113"/>
      <c r="UGX3" s="1113"/>
      <c r="UGY3" s="1113"/>
      <c r="UGZ3" s="1113"/>
      <c r="UHA3" s="1113"/>
      <c r="UHB3" s="1113"/>
      <c r="UHC3" s="1113"/>
      <c r="UHD3" s="1113"/>
      <c r="UHE3" s="1113"/>
      <c r="UHF3" s="1113"/>
      <c r="UHG3" s="1113"/>
      <c r="UHH3" s="1113"/>
      <c r="UHI3" s="1113"/>
      <c r="UHJ3" s="1113"/>
      <c r="UHK3" s="1113"/>
      <c r="UHL3" s="1113"/>
      <c r="UHM3" s="1113"/>
      <c r="UHN3" s="1113"/>
      <c r="UHO3" s="1113"/>
      <c r="UHP3" s="1113"/>
      <c r="UHQ3" s="1113"/>
      <c r="UHR3" s="1113"/>
      <c r="UHS3" s="1113"/>
      <c r="UHT3" s="1113"/>
      <c r="UHU3" s="1113"/>
      <c r="UHV3" s="1113"/>
      <c r="UHW3" s="1113"/>
      <c r="UHX3" s="1113"/>
      <c r="UHY3" s="1113"/>
      <c r="UHZ3" s="1113"/>
      <c r="UIA3" s="1113"/>
      <c r="UIB3" s="1113"/>
      <c r="UIC3" s="1113"/>
      <c r="UID3" s="1113"/>
      <c r="UIE3" s="1113"/>
      <c r="UIF3" s="1113"/>
      <c r="UIG3" s="1113"/>
      <c r="UIH3" s="1113"/>
      <c r="UII3" s="1113"/>
      <c r="UIJ3" s="1113"/>
      <c r="UIK3" s="1113"/>
      <c r="UIL3" s="1113"/>
      <c r="UIM3" s="1113"/>
      <c r="UIN3" s="1113"/>
      <c r="UIO3" s="1113"/>
      <c r="UIP3" s="1113"/>
      <c r="UIQ3" s="1113"/>
      <c r="UIR3" s="1113"/>
      <c r="UIS3" s="1113"/>
      <c r="UIT3" s="1113"/>
      <c r="UIU3" s="1113"/>
      <c r="UIV3" s="1113"/>
      <c r="UIW3" s="1113"/>
      <c r="UIX3" s="1113"/>
      <c r="UIY3" s="1113"/>
      <c r="UIZ3" s="1113"/>
      <c r="UJA3" s="1113"/>
      <c r="UJB3" s="1113"/>
      <c r="UJC3" s="1113"/>
      <c r="UJD3" s="1113"/>
      <c r="UJE3" s="1113"/>
      <c r="UJF3" s="1113"/>
      <c r="UJG3" s="1113"/>
      <c r="UJH3" s="1113"/>
      <c r="UJI3" s="1113"/>
      <c r="UJJ3" s="1113"/>
      <c r="UJK3" s="1113"/>
      <c r="UJL3" s="1113"/>
      <c r="UJM3" s="1113"/>
      <c r="UJN3" s="1113"/>
      <c r="UJO3" s="1113"/>
      <c r="UJP3" s="1113"/>
      <c r="UJQ3" s="1113"/>
      <c r="UJR3" s="1113"/>
      <c r="UJS3" s="1113"/>
      <c r="UJT3" s="1113"/>
      <c r="UJU3" s="1113"/>
      <c r="UJV3" s="1113"/>
      <c r="UJW3" s="1113"/>
      <c r="UJX3" s="1113"/>
      <c r="UJY3" s="1113"/>
      <c r="UJZ3" s="1113"/>
      <c r="UKA3" s="1113"/>
      <c r="UKB3" s="1113"/>
      <c r="UKC3" s="1113"/>
      <c r="UKD3" s="1113"/>
      <c r="UKE3" s="1113"/>
      <c r="UKF3" s="1113"/>
      <c r="UKG3" s="1113"/>
      <c r="UKH3" s="1113"/>
      <c r="UKI3" s="1113"/>
      <c r="UKJ3" s="1113"/>
      <c r="UKK3" s="1113"/>
      <c r="UKL3" s="1113"/>
      <c r="UKM3" s="1113"/>
      <c r="UKN3" s="1113"/>
      <c r="UKO3" s="1113"/>
      <c r="UKP3" s="1113"/>
      <c r="UKQ3" s="1113"/>
      <c r="UKR3" s="1113"/>
      <c r="UKS3" s="1113"/>
      <c r="UKT3" s="1113"/>
      <c r="UKU3" s="1113"/>
      <c r="UKV3" s="1113"/>
      <c r="UKW3" s="1113"/>
      <c r="UKX3" s="1113"/>
      <c r="UKY3" s="1113"/>
      <c r="UKZ3" s="1113"/>
      <c r="ULA3" s="1113"/>
      <c r="ULB3" s="1113"/>
      <c r="ULC3" s="1113"/>
      <c r="ULD3" s="1113"/>
      <c r="ULE3" s="1113"/>
      <c r="ULF3" s="1113"/>
      <c r="ULG3" s="1113"/>
      <c r="ULH3" s="1113"/>
      <c r="ULI3" s="1113"/>
      <c r="ULJ3" s="1113"/>
      <c r="ULK3" s="1113"/>
      <c r="ULL3" s="1113"/>
      <c r="ULM3" s="1113"/>
      <c r="ULN3" s="1113"/>
      <c r="ULO3" s="1113"/>
      <c r="ULP3" s="1113"/>
      <c r="ULQ3" s="1113"/>
      <c r="ULR3" s="1113"/>
      <c r="ULS3" s="1113"/>
      <c r="ULT3" s="1113"/>
      <c r="ULU3" s="1113"/>
      <c r="ULV3" s="1113"/>
      <c r="ULW3" s="1113"/>
      <c r="ULX3" s="1113"/>
      <c r="ULY3" s="1113"/>
      <c r="ULZ3" s="1113"/>
      <c r="UMA3" s="1113"/>
      <c r="UMB3" s="1113"/>
      <c r="UMC3" s="1113"/>
      <c r="UMD3" s="1113"/>
      <c r="UME3" s="1113"/>
      <c r="UMF3" s="1113"/>
      <c r="UMG3" s="1113"/>
      <c r="UMH3" s="1113"/>
      <c r="UMI3" s="1113"/>
      <c r="UMJ3" s="1113"/>
      <c r="UMK3" s="1113"/>
      <c r="UML3" s="1113"/>
      <c r="UMM3" s="1113"/>
      <c r="UMN3" s="1113"/>
      <c r="UMO3" s="1113"/>
      <c r="UMP3" s="1113"/>
      <c r="UMQ3" s="1113"/>
      <c r="UMR3" s="1113"/>
      <c r="UMS3" s="1113"/>
      <c r="UMT3" s="1113"/>
      <c r="UMU3" s="1113"/>
      <c r="UMV3" s="1113"/>
      <c r="UMW3" s="1113"/>
      <c r="UMX3" s="1113"/>
      <c r="UMY3" s="1113"/>
      <c r="UMZ3" s="1113"/>
      <c r="UNA3" s="1113"/>
      <c r="UNB3" s="1113"/>
      <c r="UNC3" s="1113"/>
      <c r="UND3" s="1113"/>
      <c r="UNE3" s="1113"/>
      <c r="UNF3" s="1113"/>
      <c r="UNG3" s="1113"/>
      <c r="UNH3" s="1113"/>
      <c r="UNI3" s="1113"/>
      <c r="UNJ3" s="1113"/>
      <c r="UNK3" s="1113"/>
      <c r="UNL3" s="1113"/>
      <c r="UNM3" s="1113"/>
      <c r="UNN3" s="1113"/>
      <c r="UNO3" s="1113"/>
      <c r="UNP3" s="1113"/>
      <c r="UNQ3" s="1113"/>
      <c r="UNR3" s="1113"/>
      <c r="UNS3" s="1113"/>
      <c r="UNT3" s="1113"/>
      <c r="UNU3" s="1113"/>
      <c r="UNV3" s="1113"/>
      <c r="UNW3" s="1113"/>
      <c r="UNX3" s="1113"/>
      <c r="UNY3" s="1113"/>
      <c r="UNZ3" s="1113"/>
      <c r="UOA3" s="1113"/>
      <c r="UOB3" s="1113"/>
      <c r="UOC3" s="1113"/>
      <c r="UOD3" s="1113"/>
      <c r="UOE3" s="1113"/>
      <c r="UOF3" s="1113"/>
      <c r="UOG3" s="1113"/>
      <c r="UOH3" s="1113"/>
      <c r="UOI3" s="1113"/>
      <c r="UOJ3" s="1113"/>
      <c r="UOK3" s="1113"/>
      <c r="UOL3" s="1113"/>
      <c r="UOM3" s="1113"/>
      <c r="UON3" s="1113"/>
      <c r="UOO3" s="1113"/>
      <c r="UOP3" s="1113"/>
      <c r="UOQ3" s="1113"/>
      <c r="UOR3" s="1113"/>
      <c r="UOS3" s="1113"/>
      <c r="UOT3" s="1113"/>
      <c r="UOU3" s="1113"/>
      <c r="UOV3" s="1113"/>
      <c r="UOW3" s="1113"/>
      <c r="UOX3" s="1113"/>
      <c r="UOY3" s="1113"/>
      <c r="UOZ3" s="1113"/>
      <c r="UPA3" s="1113"/>
      <c r="UPB3" s="1113"/>
      <c r="UPC3" s="1113"/>
      <c r="UPD3" s="1113"/>
      <c r="UPE3" s="1113"/>
      <c r="UPF3" s="1113"/>
      <c r="UPG3" s="1113"/>
      <c r="UPH3" s="1113"/>
      <c r="UPI3" s="1113"/>
      <c r="UPJ3" s="1113"/>
      <c r="UPK3" s="1113"/>
      <c r="UPL3" s="1113"/>
      <c r="UPM3" s="1113"/>
      <c r="UPN3" s="1113"/>
      <c r="UPO3" s="1113"/>
      <c r="UPP3" s="1113"/>
      <c r="UPQ3" s="1113"/>
      <c r="UPR3" s="1113"/>
      <c r="UPS3" s="1113"/>
      <c r="UPT3" s="1113"/>
      <c r="UPU3" s="1113"/>
      <c r="UPV3" s="1113"/>
      <c r="UPW3" s="1113"/>
      <c r="UPX3" s="1113"/>
      <c r="UPY3" s="1113"/>
      <c r="UPZ3" s="1113"/>
      <c r="UQA3" s="1113"/>
      <c r="UQB3" s="1113"/>
      <c r="UQC3" s="1113"/>
      <c r="UQD3" s="1113"/>
      <c r="UQE3" s="1113"/>
      <c r="UQF3" s="1113"/>
      <c r="UQG3" s="1113"/>
      <c r="UQH3" s="1113"/>
      <c r="UQI3" s="1113"/>
      <c r="UQJ3" s="1113"/>
      <c r="UQK3" s="1113"/>
      <c r="UQL3" s="1113"/>
      <c r="UQM3" s="1113"/>
      <c r="UQN3" s="1113"/>
      <c r="UQO3" s="1113"/>
      <c r="UQP3" s="1113"/>
      <c r="UQQ3" s="1113"/>
      <c r="UQR3" s="1113"/>
      <c r="UQS3" s="1113"/>
      <c r="UQT3" s="1113"/>
      <c r="UQU3" s="1113"/>
      <c r="UQV3" s="1113"/>
      <c r="UQW3" s="1113"/>
      <c r="UQX3" s="1113"/>
      <c r="UQY3" s="1113"/>
      <c r="UQZ3" s="1113"/>
      <c r="URA3" s="1113"/>
      <c r="URB3" s="1113"/>
      <c r="URC3" s="1113"/>
      <c r="URD3" s="1113"/>
      <c r="URE3" s="1113"/>
      <c r="URF3" s="1113"/>
      <c r="URG3" s="1113"/>
      <c r="URH3" s="1113"/>
      <c r="URI3" s="1113"/>
      <c r="URJ3" s="1113"/>
      <c r="URK3" s="1113"/>
      <c r="URL3" s="1113"/>
      <c r="URM3" s="1113"/>
      <c r="URN3" s="1113"/>
      <c r="URO3" s="1113"/>
      <c r="URP3" s="1113"/>
      <c r="URQ3" s="1113"/>
      <c r="URR3" s="1113"/>
      <c r="URS3" s="1113"/>
      <c r="URT3" s="1113"/>
      <c r="URU3" s="1113"/>
      <c r="URV3" s="1113"/>
      <c r="URW3" s="1113"/>
      <c r="URX3" s="1113"/>
      <c r="URY3" s="1113"/>
      <c r="URZ3" s="1113"/>
      <c r="USA3" s="1113"/>
      <c r="USB3" s="1113"/>
      <c r="USC3" s="1113"/>
      <c r="USD3" s="1113"/>
      <c r="USE3" s="1113"/>
      <c r="USF3" s="1113"/>
      <c r="USG3" s="1113"/>
      <c r="USH3" s="1113"/>
      <c r="USI3" s="1113"/>
      <c r="USJ3" s="1113"/>
      <c r="USK3" s="1113"/>
      <c r="USL3" s="1113"/>
      <c r="USM3" s="1113"/>
      <c r="USN3" s="1113"/>
      <c r="USO3" s="1113"/>
      <c r="USP3" s="1113"/>
      <c r="USQ3" s="1113"/>
      <c r="USR3" s="1113"/>
      <c r="USS3" s="1113"/>
      <c r="UST3" s="1113"/>
      <c r="USU3" s="1113"/>
      <c r="USV3" s="1113"/>
      <c r="USW3" s="1113"/>
      <c r="USX3" s="1113"/>
      <c r="USY3" s="1113"/>
      <c r="USZ3" s="1113"/>
      <c r="UTA3" s="1113"/>
      <c r="UTB3" s="1113"/>
      <c r="UTC3" s="1113"/>
      <c r="UTD3" s="1113"/>
      <c r="UTE3" s="1113"/>
      <c r="UTF3" s="1113"/>
      <c r="UTG3" s="1113"/>
      <c r="UTH3" s="1113"/>
      <c r="UTI3" s="1113"/>
      <c r="UTJ3" s="1113"/>
      <c r="UTK3" s="1113"/>
      <c r="UTL3" s="1113"/>
      <c r="UTM3" s="1113"/>
      <c r="UTN3" s="1113"/>
      <c r="UTO3" s="1113"/>
      <c r="UTP3" s="1113"/>
      <c r="UTQ3" s="1113"/>
      <c r="UTR3" s="1113"/>
      <c r="UTS3" s="1113"/>
      <c r="UTT3" s="1113"/>
      <c r="UTU3" s="1113"/>
      <c r="UTV3" s="1113"/>
      <c r="UTW3" s="1113"/>
      <c r="UTX3" s="1113"/>
      <c r="UTY3" s="1113"/>
      <c r="UTZ3" s="1113"/>
      <c r="UUA3" s="1113"/>
      <c r="UUB3" s="1113"/>
      <c r="UUC3" s="1113"/>
      <c r="UUD3" s="1113"/>
      <c r="UUE3" s="1113"/>
      <c r="UUF3" s="1113"/>
      <c r="UUG3" s="1113"/>
      <c r="UUH3" s="1113"/>
      <c r="UUI3" s="1113"/>
      <c r="UUJ3" s="1113"/>
      <c r="UUK3" s="1113"/>
      <c r="UUL3" s="1113"/>
      <c r="UUM3" s="1113"/>
      <c r="UUN3" s="1113"/>
      <c r="UUO3" s="1113"/>
      <c r="UUP3" s="1113"/>
      <c r="UUQ3" s="1113"/>
      <c r="UUR3" s="1113"/>
      <c r="UUS3" s="1113"/>
      <c r="UUT3" s="1113"/>
      <c r="UUU3" s="1113"/>
      <c r="UUV3" s="1113"/>
      <c r="UUW3" s="1113"/>
      <c r="UUX3" s="1113"/>
      <c r="UUY3" s="1113"/>
      <c r="UUZ3" s="1113"/>
      <c r="UVA3" s="1113"/>
      <c r="UVB3" s="1113"/>
      <c r="UVC3" s="1113"/>
      <c r="UVD3" s="1113"/>
      <c r="UVE3" s="1113"/>
      <c r="UVF3" s="1113"/>
      <c r="UVG3" s="1113"/>
      <c r="UVH3" s="1113"/>
      <c r="UVI3" s="1113"/>
      <c r="UVJ3" s="1113"/>
      <c r="UVK3" s="1113"/>
      <c r="UVL3" s="1113"/>
      <c r="UVM3" s="1113"/>
      <c r="UVN3" s="1113"/>
      <c r="UVO3" s="1113"/>
      <c r="UVP3" s="1113"/>
      <c r="UVQ3" s="1113"/>
      <c r="UVR3" s="1113"/>
      <c r="UVS3" s="1113"/>
      <c r="UVT3" s="1113"/>
      <c r="UVU3" s="1113"/>
      <c r="UVV3" s="1113"/>
      <c r="UVW3" s="1113"/>
      <c r="UVX3" s="1113"/>
      <c r="UVY3" s="1113"/>
      <c r="UVZ3" s="1113"/>
      <c r="UWA3" s="1113"/>
      <c r="UWB3" s="1113"/>
      <c r="UWC3" s="1113"/>
      <c r="UWD3" s="1113"/>
      <c r="UWE3" s="1113"/>
      <c r="UWF3" s="1113"/>
      <c r="UWG3" s="1113"/>
      <c r="UWH3" s="1113"/>
      <c r="UWI3" s="1113"/>
      <c r="UWJ3" s="1113"/>
      <c r="UWK3" s="1113"/>
      <c r="UWL3" s="1113"/>
      <c r="UWM3" s="1113"/>
      <c r="UWN3" s="1113"/>
      <c r="UWO3" s="1113"/>
      <c r="UWP3" s="1113"/>
      <c r="UWQ3" s="1113"/>
      <c r="UWR3" s="1113"/>
      <c r="UWS3" s="1113"/>
      <c r="UWT3" s="1113"/>
      <c r="UWU3" s="1113"/>
      <c r="UWV3" s="1113"/>
      <c r="UWW3" s="1113"/>
      <c r="UWX3" s="1113"/>
      <c r="UWY3" s="1113"/>
      <c r="UWZ3" s="1113"/>
      <c r="UXA3" s="1113"/>
      <c r="UXB3" s="1113"/>
      <c r="UXC3" s="1113"/>
      <c r="UXD3" s="1113"/>
      <c r="UXE3" s="1113"/>
      <c r="UXF3" s="1113"/>
      <c r="UXG3" s="1113"/>
      <c r="UXH3" s="1113"/>
      <c r="UXI3" s="1113"/>
      <c r="UXJ3" s="1113"/>
      <c r="UXK3" s="1113"/>
      <c r="UXL3" s="1113"/>
      <c r="UXM3" s="1113"/>
      <c r="UXN3" s="1113"/>
      <c r="UXO3" s="1113"/>
      <c r="UXP3" s="1113"/>
      <c r="UXQ3" s="1113"/>
      <c r="UXR3" s="1113"/>
      <c r="UXS3" s="1113"/>
      <c r="UXT3" s="1113"/>
      <c r="UXU3" s="1113"/>
      <c r="UXV3" s="1113"/>
      <c r="UXW3" s="1113"/>
      <c r="UXX3" s="1113"/>
      <c r="UXY3" s="1113"/>
      <c r="UXZ3" s="1113"/>
      <c r="UYA3" s="1113"/>
      <c r="UYB3" s="1113"/>
      <c r="UYC3" s="1113"/>
      <c r="UYD3" s="1113"/>
      <c r="UYE3" s="1113"/>
      <c r="UYF3" s="1113"/>
      <c r="UYG3" s="1113"/>
      <c r="UYH3" s="1113"/>
      <c r="UYI3" s="1113"/>
      <c r="UYJ3" s="1113"/>
      <c r="UYK3" s="1113"/>
      <c r="UYL3" s="1113"/>
      <c r="UYM3" s="1113"/>
      <c r="UYN3" s="1113"/>
      <c r="UYO3" s="1113"/>
      <c r="UYP3" s="1113"/>
      <c r="UYQ3" s="1113"/>
      <c r="UYR3" s="1113"/>
      <c r="UYS3" s="1113"/>
      <c r="UYT3" s="1113"/>
      <c r="UYU3" s="1113"/>
      <c r="UYV3" s="1113"/>
      <c r="UYW3" s="1113"/>
      <c r="UYX3" s="1113"/>
      <c r="UYY3" s="1113"/>
      <c r="UYZ3" s="1113"/>
      <c r="UZA3" s="1113"/>
      <c r="UZB3" s="1113"/>
      <c r="UZC3" s="1113"/>
      <c r="UZD3" s="1113"/>
      <c r="UZE3" s="1113"/>
      <c r="UZF3" s="1113"/>
      <c r="UZG3" s="1113"/>
      <c r="UZH3" s="1113"/>
      <c r="UZI3" s="1113"/>
      <c r="UZJ3" s="1113"/>
      <c r="UZK3" s="1113"/>
      <c r="UZL3" s="1113"/>
      <c r="UZM3" s="1113"/>
      <c r="UZN3" s="1113"/>
      <c r="UZO3" s="1113"/>
      <c r="UZP3" s="1113"/>
      <c r="UZQ3" s="1113"/>
      <c r="UZR3" s="1113"/>
      <c r="UZS3" s="1113"/>
      <c r="UZT3" s="1113"/>
      <c r="UZU3" s="1113"/>
      <c r="UZV3" s="1113"/>
      <c r="UZW3" s="1113"/>
      <c r="UZX3" s="1113"/>
      <c r="UZY3" s="1113"/>
      <c r="UZZ3" s="1113"/>
      <c r="VAA3" s="1113"/>
      <c r="VAB3" s="1113"/>
      <c r="VAC3" s="1113"/>
      <c r="VAD3" s="1113"/>
      <c r="VAE3" s="1113"/>
      <c r="VAF3" s="1113"/>
      <c r="VAG3" s="1113"/>
      <c r="VAH3" s="1113"/>
      <c r="VAI3" s="1113"/>
      <c r="VAJ3" s="1113"/>
      <c r="VAK3" s="1113"/>
      <c r="VAL3" s="1113"/>
      <c r="VAM3" s="1113"/>
      <c r="VAN3" s="1113"/>
      <c r="VAO3" s="1113"/>
      <c r="VAP3" s="1113"/>
      <c r="VAQ3" s="1113"/>
      <c r="VAR3" s="1113"/>
      <c r="VAS3" s="1113"/>
      <c r="VAT3" s="1113"/>
      <c r="VAU3" s="1113"/>
      <c r="VAV3" s="1113"/>
      <c r="VAW3" s="1113"/>
      <c r="VAX3" s="1113"/>
      <c r="VAY3" s="1113"/>
      <c r="VAZ3" s="1113"/>
      <c r="VBA3" s="1113"/>
      <c r="VBB3" s="1113"/>
      <c r="VBC3" s="1113"/>
      <c r="VBD3" s="1113"/>
      <c r="VBE3" s="1113"/>
      <c r="VBF3" s="1113"/>
      <c r="VBG3" s="1113"/>
      <c r="VBH3" s="1113"/>
      <c r="VBI3" s="1113"/>
      <c r="VBJ3" s="1113"/>
      <c r="VBK3" s="1113"/>
      <c r="VBL3" s="1113"/>
      <c r="VBM3" s="1113"/>
      <c r="VBN3" s="1113"/>
      <c r="VBO3" s="1113"/>
      <c r="VBP3" s="1113"/>
      <c r="VBQ3" s="1113"/>
      <c r="VBR3" s="1113"/>
      <c r="VBS3" s="1113"/>
      <c r="VBT3" s="1113"/>
      <c r="VBU3" s="1113"/>
      <c r="VBV3" s="1113"/>
      <c r="VBW3" s="1113"/>
      <c r="VBX3" s="1113"/>
      <c r="VBY3" s="1113"/>
      <c r="VBZ3" s="1113"/>
      <c r="VCA3" s="1113"/>
      <c r="VCB3" s="1113"/>
      <c r="VCC3" s="1113"/>
      <c r="VCD3" s="1113"/>
      <c r="VCE3" s="1113"/>
      <c r="VCF3" s="1113"/>
      <c r="VCG3" s="1113"/>
      <c r="VCH3" s="1113"/>
      <c r="VCI3" s="1113"/>
      <c r="VCJ3" s="1113"/>
      <c r="VCK3" s="1113"/>
      <c r="VCL3" s="1113"/>
      <c r="VCM3" s="1113"/>
      <c r="VCN3" s="1113"/>
      <c r="VCO3" s="1113"/>
      <c r="VCP3" s="1113"/>
      <c r="VCQ3" s="1113"/>
      <c r="VCR3" s="1113"/>
      <c r="VCS3" s="1113"/>
      <c r="VCT3" s="1113"/>
      <c r="VCU3" s="1113"/>
      <c r="VCV3" s="1113"/>
      <c r="VCW3" s="1113"/>
      <c r="VCX3" s="1113"/>
      <c r="VCY3" s="1113"/>
      <c r="VCZ3" s="1113"/>
      <c r="VDA3" s="1113"/>
      <c r="VDB3" s="1113"/>
      <c r="VDC3" s="1113"/>
      <c r="VDD3" s="1113"/>
      <c r="VDE3" s="1113"/>
      <c r="VDF3" s="1113"/>
      <c r="VDG3" s="1113"/>
      <c r="VDH3" s="1113"/>
      <c r="VDI3" s="1113"/>
      <c r="VDJ3" s="1113"/>
      <c r="VDK3" s="1113"/>
      <c r="VDL3" s="1113"/>
      <c r="VDM3" s="1113"/>
      <c r="VDN3" s="1113"/>
      <c r="VDO3" s="1113"/>
      <c r="VDP3" s="1113"/>
      <c r="VDQ3" s="1113"/>
      <c r="VDR3" s="1113"/>
      <c r="VDS3" s="1113"/>
      <c r="VDT3" s="1113"/>
      <c r="VDU3" s="1113"/>
      <c r="VDV3" s="1113"/>
      <c r="VDW3" s="1113"/>
      <c r="VDX3" s="1113"/>
      <c r="VDY3" s="1113"/>
      <c r="VDZ3" s="1113"/>
      <c r="VEA3" s="1113"/>
      <c r="VEB3" s="1113"/>
      <c r="VEC3" s="1113"/>
      <c r="VED3" s="1113"/>
      <c r="VEE3" s="1113"/>
      <c r="VEF3" s="1113"/>
      <c r="VEG3" s="1113"/>
      <c r="VEH3" s="1113"/>
      <c r="VEI3" s="1113"/>
      <c r="VEJ3" s="1113"/>
      <c r="VEK3" s="1113"/>
      <c r="VEL3" s="1113"/>
      <c r="VEM3" s="1113"/>
      <c r="VEN3" s="1113"/>
      <c r="VEO3" s="1113"/>
      <c r="VEP3" s="1113"/>
      <c r="VEQ3" s="1113"/>
      <c r="VER3" s="1113"/>
      <c r="VES3" s="1113"/>
      <c r="VET3" s="1113"/>
      <c r="VEU3" s="1113"/>
      <c r="VEV3" s="1113"/>
      <c r="VEW3" s="1113"/>
      <c r="VEX3" s="1113"/>
      <c r="VEY3" s="1113"/>
      <c r="VEZ3" s="1113"/>
      <c r="VFA3" s="1113"/>
      <c r="VFB3" s="1113"/>
      <c r="VFC3" s="1113"/>
      <c r="VFD3" s="1113"/>
      <c r="VFE3" s="1113"/>
      <c r="VFF3" s="1113"/>
      <c r="VFG3" s="1113"/>
      <c r="VFH3" s="1113"/>
      <c r="VFI3" s="1113"/>
      <c r="VFJ3" s="1113"/>
      <c r="VFK3" s="1113"/>
      <c r="VFL3" s="1113"/>
      <c r="VFM3" s="1113"/>
      <c r="VFN3" s="1113"/>
      <c r="VFO3" s="1113"/>
      <c r="VFP3" s="1113"/>
      <c r="VFQ3" s="1113"/>
      <c r="VFR3" s="1113"/>
      <c r="VFS3" s="1113"/>
      <c r="VFT3" s="1113"/>
      <c r="VFU3" s="1113"/>
      <c r="VFV3" s="1113"/>
      <c r="VFW3" s="1113"/>
      <c r="VFX3" s="1113"/>
      <c r="VFY3" s="1113"/>
      <c r="VFZ3" s="1113"/>
      <c r="VGA3" s="1113"/>
      <c r="VGB3" s="1113"/>
      <c r="VGC3" s="1113"/>
      <c r="VGD3" s="1113"/>
      <c r="VGE3" s="1113"/>
      <c r="VGF3" s="1113"/>
      <c r="VGG3" s="1113"/>
      <c r="VGH3" s="1113"/>
      <c r="VGI3" s="1113"/>
      <c r="VGJ3" s="1113"/>
      <c r="VGK3" s="1113"/>
      <c r="VGL3" s="1113"/>
      <c r="VGM3" s="1113"/>
      <c r="VGN3" s="1113"/>
      <c r="VGO3" s="1113"/>
      <c r="VGP3" s="1113"/>
      <c r="VGQ3" s="1113"/>
      <c r="VGR3" s="1113"/>
      <c r="VGS3" s="1113"/>
      <c r="VGT3" s="1113"/>
      <c r="VGU3" s="1113"/>
      <c r="VGV3" s="1113"/>
      <c r="VGW3" s="1113"/>
      <c r="VGX3" s="1113"/>
      <c r="VGY3" s="1113"/>
      <c r="VGZ3" s="1113"/>
      <c r="VHA3" s="1113"/>
      <c r="VHB3" s="1113"/>
      <c r="VHC3" s="1113"/>
      <c r="VHD3" s="1113"/>
      <c r="VHE3" s="1113"/>
      <c r="VHF3" s="1113"/>
      <c r="VHG3" s="1113"/>
      <c r="VHH3" s="1113"/>
      <c r="VHI3" s="1113"/>
      <c r="VHJ3" s="1113"/>
      <c r="VHK3" s="1113"/>
      <c r="VHL3" s="1113"/>
      <c r="VHM3" s="1113"/>
      <c r="VHN3" s="1113"/>
      <c r="VHO3" s="1113"/>
      <c r="VHP3" s="1113"/>
      <c r="VHQ3" s="1113"/>
      <c r="VHR3" s="1113"/>
      <c r="VHS3" s="1113"/>
      <c r="VHT3" s="1113"/>
      <c r="VHU3" s="1113"/>
      <c r="VHV3" s="1113"/>
      <c r="VHW3" s="1113"/>
      <c r="VHX3" s="1113"/>
      <c r="VHY3" s="1113"/>
      <c r="VHZ3" s="1113"/>
      <c r="VIA3" s="1113"/>
      <c r="VIB3" s="1113"/>
      <c r="VIC3" s="1113"/>
      <c r="VID3" s="1113"/>
      <c r="VIE3" s="1113"/>
      <c r="VIF3" s="1113"/>
      <c r="VIG3" s="1113"/>
      <c r="VIH3" s="1113"/>
      <c r="VII3" s="1113"/>
      <c r="VIJ3" s="1113"/>
      <c r="VIK3" s="1113"/>
      <c r="VIL3" s="1113"/>
      <c r="VIM3" s="1113"/>
      <c r="VIN3" s="1113"/>
      <c r="VIO3" s="1113"/>
      <c r="VIP3" s="1113"/>
      <c r="VIQ3" s="1113"/>
      <c r="VIR3" s="1113"/>
      <c r="VIS3" s="1113"/>
      <c r="VIT3" s="1113"/>
      <c r="VIU3" s="1113"/>
      <c r="VIV3" s="1113"/>
      <c r="VIW3" s="1113"/>
      <c r="VIX3" s="1113"/>
      <c r="VIY3" s="1113"/>
      <c r="VIZ3" s="1113"/>
      <c r="VJA3" s="1113"/>
      <c r="VJB3" s="1113"/>
      <c r="VJC3" s="1113"/>
      <c r="VJD3" s="1113"/>
      <c r="VJE3" s="1113"/>
      <c r="VJF3" s="1113"/>
      <c r="VJG3" s="1113"/>
      <c r="VJH3" s="1113"/>
      <c r="VJI3" s="1113"/>
      <c r="VJJ3" s="1113"/>
      <c r="VJK3" s="1113"/>
      <c r="VJL3" s="1113"/>
      <c r="VJM3" s="1113"/>
      <c r="VJN3" s="1113"/>
      <c r="VJO3" s="1113"/>
      <c r="VJP3" s="1113"/>
      <c r="VJQ3" s="1113"/>
      <c r="VJR3" s="1113"/>
      <c r="VJS3" s="1113"/>
      <c r="VJT3" s="1113"/>
      <c r="VJU3" s="1113"/>
      <c r="VJV3" s="1113"/>
      <c r="VJW3" s="1113"/>
      <c r="VJX3" s="1113"/>
      <c r="VJY3" s="1113"/>
      <c r="VJZ3" s="1113"/>
      <c r="VKA3" s="1113"/>
      <c r="VKB3" s="1113"/>
      <c r="VKC3" s="1113"/>
      <c r="VKD3" s="1113"/>
      <c r="VKE3" s="1113"/>
      <c r="VKF3" s="1113"/>
      <c r="VKG3" s="1113"/>
      <c r="VKH3" s="1113"/>
      <c r="VKI3" s="1113"/>
      <c r="VKJ3" s="1113"/>
      <c r="VKK3" s="1113"/>
      <c r="VKL3" s="1113"/>
      <c r="VKM3" s="1113"/>
      <c r="VKN3" s="1113"/>
      <c r="VKO3" s="1113"/>
      <c r="VKP3" s="1113"/>
      <c r="VKQ3" s="1113"/>
      <c r="VKR3" s="1113"/>
      <c r="VKS3" s="1113"/>
      <c r="VKT3" s="1113"/>
      <c r="VKU3" s="1113"/>
      <c r="VKV3" s="1113"/>
      <c r="VKW3" s="1113"/>
      <c r="VKX3" s="1113"/>
      <c r="VKY3" s="1113"/>
      <c r="VKZ3" s="1113"/>
      <c r="VLA3" s="1113"/>
      <c r="VLB3" s="1113"/>
      <c r="VLC3" s="1113"/>
      <c r="VLD3" s="1113"/>
      <c r="VLE3" s="1113"/>
      <c r="VLF3" s="1113"/>
      <c r="VLG3" s="1113"/>
      <c r="VLH3" s="1113"/>
      <c r="VLI3" s="1113"/>
      <c r="VLJ3" s="1113"/>
      <c r="VLK3" s="1113"/>
      <c r="VLL3" s="1113"/>
      <c r="VLM3" s="1113"/>
      <c r="VLN3" s="1113"/>
      <c r="VLO3" s="1113"/>
      <c r="VLP3" s="1113"/>
      <c r="VLQ3" s="1113"/>
      <c r="VLR3" s="1113"/>
      <c r="VLS3" s="1113"/>
      <c r="VLT3" s="1113"/>
      <c r="VLU3" s="1113"/>
      <c r="VLV3" s="1113"/>
      <c r="VLW3" s="1113"/>
      <c r="VLX3" s="1113"/>
      <c r="VLY3" s="1113"/>
      <c r="VLZ3" s="1113"/>
      <c r="VMA3" s="1113"/>
      <c r="VMB3" s="1113"/>
      <c r="VMC3" s="1113"/>
      <c r="VMD3" s="1113"/>
      <c r="VME3" s="1113"/>
      <c r="VMF3" s="1113"/>
      <c r="VMG3" s="1113"/>
      <c r="VMH3" s="1113"/>
      <c r="VMI3" s="1113"/>
      <c r="VMJ3" s="1113"/>
      <c r="VMK3" s="1113"/>
      <c r="VML3" s="1113"/>
      <c r="VMM3" s="1113"/>
      <c r="VMN3" s="1113"/>
      <c r="VMO3" s="1113"/>
      <c r="VMP3" s="1113"/>
      <c r="VMQ3" s="1113"/>
      <c r="VMR3" s="1113"/>
      <c r="VMS3" s="1113"/>
      <c r="VMT3" s="1113"/>
      <c r="VMU3" s="1113"/>
      <c r="VMV3" s="1113"/>
      <c r="VMW3" s="1113"/>
      <c r="VMX3" s="1113"/>
      <c r="VMY3" s="1113"/>
      <c r="VMZ3" s="1113"/>
      <c r="VNA3" s="1113"/>
      <c r="VNB3" s="1113"/>
      <c r="VNC3" s="1113"/>
      <c r="VND3" s="1113"/>
      <c r="VNE3" s="1113"/>
      <c r="VNF3" s="1113"/>
      <c r="VNG3" s="1113"/>
      <c r="VNH3" s="1113"/>
      <c r="VNI3" s="1113"/>
      <c r="VNJ3" s="1113"/>
      <c r="VNK3" s="1113"/>
      <c r="VNL3" s="1113"/>
      <c r="VNM3" s="1113"/>
      <c r="VNN3" s="1113"/>
      <c r="VNO3" s="1113"/>
      <c r="VNP3" s="1113"/>
      <c r="VNQ3" s="1113"/>
      <c r="VNR3" s="1113"/>
      <c r="VNS3" s="1113"/>
      <c r="VNT3" s="1113"/>
      <c r="VNU3" s="1113"/>
      <c r="VNV3" s="1113"/>
      <c r="VNW3" s="1113"/>
      <c r="VNX3" s="1113"/>
      <c r="VNY3" s="1113"/>
      <c r="VNZ3" s="1113"/>
      <c r="VOA3" s="1113"/>
      <c r="VOB3" s="1113"/>
      <c r="VOC3" s="1113"/>
      <c r="VOD3" s="1113"/>
      <c r="VOE3" s="1113"/>
      <c r="VOF3" s="1113"/>
      <c r="VOG3" s="1113"/>
      <c r="VOH3" s="1113"/>
      <c r="VOI3" s="1113"/>
      <c r="VOJ3" s="1113"/>
      <c r="VOK3" s="1113"/>
      <c r="VOL3" s="1113"/>
      <c r="VOM3" s="1113"/>
      <c r="VON3" s="1113"/>
      <c r="VOO3" s="1113"/>
      <c r="VOP3" s="1113"/>
      <c r="VOQ3" s="1113"/>
      <c r="VOR3" s="1113"/>
      <c r="VOS3" s="1113"/>
      <c r="VOT3" s="1113"/>
      <c r="VOU3" s="1113"/>
      <c r="VOV3" s="1113"/>
      <c r="VOW3" s="1113"/>
      <c r="VOX3" s="1113"/>
      <c r="VOY3" s="1113"/>
      <c r="VOZ3" s="1113"/>
      <c r="VPA3" s="1113"/>
      <c r="VPB3" s="1113"/>
      <c r="VPC3" s="1113"/>
      <c r="VPD3" s="1113"/>
      <c r="VPE3" s="1113"/>
      <c r="VPF3" s="1113"/>
      <c r="VPG3" s="1113"/>
      <c r="VPH3" s="1113"/>
      <c r="VPI3" s="1113"/>
      <c r="VPJ3" s="1113"/>
      <c r="VPK3" s="1113"/>
      <c r="VPL3" s="1113"/>
      <c r="VPM3" s="1113"/>
      <c r="VPN3" s="1113"/>
      <c r="VPO3" s="1113"/>
      <c r="VPP3" s="1113"/>
      <c r="VPQ3" s="1113"/>
      <c r="VPR3" s="1113"/>
      <c r="VPS3" s="1113"/>
      <c r="VPT3" s="1113"/>
      <c r="VPU3" s="1113"/>
      <c r="VPV3" s="1113"/>
      <c r="VPW3" s="1113"/>
      <c r="VPX3" s="1113"/>
      <c r="VPY3" s="1113"/>
      <c r="VPZ3" s="1113"/>
      <c r="VQA3" s="1113"/>
      <c r="VQB3" s="1113"/>
      <c r="VQC3" s="1113"/>
      <c r="VQD3" s="1113"/>
      <c r="VQE3" s="1113"/>
      <c r="VQF3" s="1113"/>
      <c r="VQG3" s="1113"/>
      <c r="VQH3" s="1113"/>
      <c r="VQI3" s="1113"/>
      <c r="VQJ3" s="1113"/>
      <c r="VQK3" s="1113"/>
      <c r="VQL3" s="1113"/>
      <c r="VQM3" s="1113"/>
      <c r="VQN3" s="1113"/>
      <c r="VQO3" s="1113"/>
      <c r="VQP3" s="1113"/>
      <c r="VQQ3" s="1113"/>
      <c r="VQR3" s="1113"/>
      <c r="VQS3" s="1113"/>
      <c r="VQT3" s="1113"/>
      <c r="VQU3" s="1113"/>
      <c r="VQV3" s="1113"/>
      <c r="VQW3" s="1113"/>
      <c r="VQX3" s="1113"/>
      <c r="VQY3" s="1113"/>
      <c r="VQZ3" s="1113"/>
      <c r="VRA3" s="1113"/>
      <c r="VRB3" s="1113"/>
      <c r="VRC3" s="1113"/>
      <c r="VRD3" s="1113"/>
      <c r="VRE3" s="1113"/>
      <c r="VRF3" s="1113"/>
      <c r="VRG3" s="1113"/>
      <c r="VRH3" s="1113"/>
      <c r="VRI3" s="1113"/>
      <c r="VRJ3" s="1113"/>
      <c r="VRK3" s="1113"/>
      <c r="VRL3" s="1113"/>
      <c r="VRM3" s="1113"/>
      <c r="VRN3" s="1113"/>
      <c r="VRO3" s="1113"/>
      <c r="VRP3" s="1113"/>
      <c r="VRQ3" s="1113"/>
      <c r="VRR3" s="1113"/>
      <c r="VRS3" s="1113"/>
      <c r="VRT3" s="1113"/>
      <c r="VRU3" s="1113"/>
      <c r="VRV3" s="1113"/>
      <c r="VRW3" s="1113"/>
      <c r="VRX3" s="1113"/>
      <c r="VRY3" s="1113"/>
      <c r="VRZ3" s="1113"/>
      <c r="VSA3" s="1113"/>
      <c r="VSB3" s="1113"/>
      <c r="VSC3" s="1113"/>
      <c r="VSD3" s="1113"/>
      <c r="VSE3" s="1113"/>
      <c r="VSF3" s="1113"/>
      <c r="VSG3" s="1113"/>
      <c r="VSH3" s="1113"/>
      <c r="VSI3" s="1113"/>
      <c r="VSJ3" s="1113"/>
      <c r="VSK3" s="1113"/>
      <c r="VSL3" s="1113"/>
      <c r="VSM3" s="1113"/>
      <c r="VSN3" s="1113"/>
      <c r="VSO3" s="1113"/>
      <c r="VSP3" s="1113"/>
      <c r="VSQ3" s="1113"/>
      <c r="VSR3" s="1113"/>
      <c r="VSS3" s="1113"/>
      <c r="VST3" s="1113"/>
      <c r="VSU3" s="1113"/>
      <c r="VSV3" s="1113"/>
      <c r="VSW3" s="1113"/>
      <c r="VSX3" s="1113"/>
      <c r="VSY3" s="1113"/>
      <c r="VSZ3" s="1113"/>
      <c r="VTA3" s="1113"/>
      <c r="VTB3" s="1113"/>
      <c r="VTC3" s="1113"/>
      <c r="VTD3" s="1113"/>
      <c r="VTE3" s="1113"/>
      <c r="VTF3" s="1113"/>
      <c r="VTG3" s="1113"/>
      <c r="VTH3" s="1113"/>
      <c r="VTI3" s="1113"/>
      <c r="VTJ3" s="1113"/>
      <c r="VTK3" s="1113"/>
      <c r="VTL3" s="1113"/>
      <c r="VTM3" s="1113"/>
      <c r="VTN3" s="1113"/>
      <c r="VTO3" s="1113"/>
      <c r="VTP3" s="1113"/>
      <c r="VTQ3" s="1113"/>
      <c r="VTR3" s="1113"/>
      <c r="VTS3" s="1113"/>
      <c r="VTT3" s="1113"/>
      <c r="VTU3" s="1113"/>
      <c r="VTV3" s="1113"/>
      <c r="VTW3" s="1113"/>
      <c r="VTX3" s="1113"/>
      <c r="VTY3" s="1113"/>
      <c r="VTZ3" s="1113"/>
      <c r="VUA3" s="1113"/>
      <c r="VUB3" s="1113"/>
      <c r="VUC3" s="1113"/>
      <c r="VUD3" s="1113"/>
      <c r="VUE3" s="1113"/>
      <c r="VUF3" s="1113"/>
      <c r="VUG3" s="1113"/>
      <c r="VUH3" s="1113"/>
      <c r="VUI3" s="1113"/>
      <c r="VUJ3" s="1113"/>
      <c r="VUK3" s="1113"/>
      <c r="VUL3" s="1113"/>
      <c r="VUM3" s="1113"/>
      <c r="VUN3" s="1113"/>
      <c r="VUO3" s="1113"/>
      <c r="VUP3" s="1113"/>
      <c r="VUQ3" s="1113"/>
      <c r="VUR3" s="1113"/>
      <c r="VUS3" s="1113"/>
      <c r="VUT3" s="1113"/>
      <c r="VUU3" s="1113"/>
      <c r="VUV3" s="1113"/>
      <c r="VUW3" s="1113"/>
      <c r="VUX3" s="1113"/>
      <c r="VUY3" s="1113"/>
      <c r="VUZ3" s="1113"/>
      <c r="VVA3" s="1113"/>
      <c r="VVB3" s="1113"/>
      <c r="VVC3" s="1113"/>
      <c r="VVD3" s="1113"/>
      <c r="VVE3" s="1113"/>
      <c r="VVF3" s="1113"/>
      <c r="VVG3" s="1113"/>
      <c r="VVH3" s="1113"/>
      <c r="VVI3" s="1113"/>
      <c r="VVJ3" s="1113"/>
      <c r="VVK3" s="1113"/>
      <c r="VVL3" s="1113"/>
      <c r="VVM3" s="1113"/>
      <c r="VVN3" s="1113"/>
      <c r="VVO3" s="1113"/>
      <c r="VVP3" s="1113"/>
      <c r="VVQ3" s="1113"/>
      <c r="VVR3" s="1113"/>
      <c r="VVS3" s="1113"/>
      <c r="VVT3" s="1113"/>
      <c r="VVU3" s="1113"/>
      <c r="VVV3" s="1113"/>
      <c r="VVW3" s="1113"/>
      <c r="VVX3" s="1113"/>
      <c r="VVY3" s="1113"/>
      <c r="VVZ3" s="1113"/>
      <c r="VWA3" s="1113"/>
      <c r="VWB3" s="1113"/>
      <c r="VWC3" s="1113"/>
      <c r="VWD3" s="1113"/>
      <c r="VWE3" s="1113"/>
      <c r="VWF3" s="1113"/>
      <c r="VWG3" s="1113"/>
      <c r="VWH3" s="1113"/>
      <c r="VWI3" s="1113"/>
      <c r="VWJ3" s="1113"/>
      <c r="VWK3" s="1113"/>
      <c r="VWL3" s="1113"/>
      <c r="VWM3" s="1113"/>
      <c r="VWN3" s="1113"/>
      <c r="VWO3" s="1113"/>
      <c r="VWP3" s="1113"/>
      <c r="VWQ3" s="1113"/>
      <c r="VWR3" s="1113"/>
      <c r="VWS3" s="1113"/>
      <c r="VWT3" s="1113"/>
      <c r="VWU3" s="1113"/>
      <c r="VWV3" s="1113"/>
      <c r="VWW3" s="1113"/>
      <c r="VWX3" s="1113"/>
      <c r="VWY3" s="1113"/>
      <c r="VWZ3" s="1113"/>
      <c r="VXA3" s="1113"/>
      <c r="VXB3" s="1113"/>
      <c r="VXC3" s="1113"/>
      <c r="VXD3" s="1113"/>
      <c r="VXE3" s="1113"/>
      <c r="VXF3" s="1113"/>
      <c r="VXG3" s="1113"/>
      <c r="VXH3" s="1113"/>
      <c r="VXI3" s="1113"/>
      <c r="VXJ3" s="1113"/>
      <c r="VXK3" s="1113"/>
      <c r="VXL3" s="1113"/>
      <c r="VXM3" s="1113"/>
      <c r="VXN3" s="1113"/>
      <c r="VXO3" s="1113"/>
      <c r="VXP3" s="1113"/>
      <c r="VXQ3" s="1113"/>
      <c r="VXR3" s="1113"/>
      <c r="VXS3" s="1113"/>
      <c r="VXT3" s="1113"/>
      <c r="VXU3" s="1113"/>
      <c r="VXV3" s="1113"/>
      <c r="VXW3" s="1113"/>
      <c r="VXX3" s="1113"/>
      <c r="VXY3" s="1113"/>
      <c r="VXZ3" s="1113"/>
      <c r="VYA3" s="1113"/>
      <c r="VYB3" s="1113"/>
      <c r="VYC3" s="1113"/>
      <c r="VYD3" s="1113"/>
      <c r="VYE3" s="1113"/>
      <c r="VYF3" s="1113"/>
      <c r="VYG3" s="1113"/>
      <c r="VYH3" s="1113"/>
      <c r="VYI3" s="1113"/>
      <c r="VYJ3" s="1113"/>
      <c r="VYK3" s="1113"/>
      <c r="VYL3" s="1113"/>
      <c r="VYM3" s="1113"/>
      <c r="VYN3" s="1113"/>
      <c r="VYO3" s="1113"/>
      <c r="VYP3" s="1113"/>
      <c r="VYQ3" s="1113"/>
      <c r="VYR3" s="1113"/>
      <c r="VYS3" s="1113"/>
      <c r="VYT3" s="1113"/>
      <c r="VYU3" s="1113"/>
      <c r="VYV3" s="1113"/>
      <c r="VYW3" s="1113"/>
      <c r="VYX3" s="1113"/>
      <c r="VYY3" s="1113"/>
      <c r="VYZ3" s="1113"/>
      <c r="VZA3" s="1113"/>
      <c r="VZB3" s="1113"/>
      <c r="VZC3" s="1113"/>
      <c r="VZD3" s="1113"/>
      <c r="VZE3" s="1113"/>
      <c r="VZF3" s="1113"/>
      <c r="VZG3" s="1113"/>
      <c r="VZH3" s="1113"/>
      <c r="VZI3" s="1113"/>
      <c r="VZJ3" s="1113"/>
      <c r="VZK3" s="1113"/>
      <c r="VZL3" s="1113"/>
      <c r="VZM3" s="1113"/>
      <c r="VZN3" s="1113"/>
      <c r="VZO3" s="1113"/>
      <c r="VZP3" s="1113"/>
      <c r="VZQ3" s="1113"/>
      <c r="VZR3" s="1113"/>
      <c r="VZS3" s="1113"/>
      <c r="VZT3" s="1113"/>
      <c r="VZU3" s="1113"/>
      <c r="VZV3" s="1113"/>
      <c r="VZW3" s="1113"/>
      <c r="VZX3" s="1113"/>
      <c r="VZY3" s="1113"/>
      <c r="VZZ3" s="1113"/>
      <c r="WAA3" s="1113"/>
      <c r="WAB3" s="1113"/>
      <c r="WAC3" s="1113"/>
      <c r="WAD3" s="1113"/>
      <c r="WAE3" s="1113"/>
      <c r="WAF3" s="1113"/>
      <c r="WAG3" s="1113"/>
      <c r="WAH3" s="1113"/>
      <c r="WAI3" s="1113"/>
      <c r="WAJ3" s="1113"/>
      <c r="WAK3" s="1113"/>
      <c r="WAL3" s="1113"/>
      <c r="WAM3" s="1113"/>
      <c r="WAN3" s="1113"/>
      <c r="WAO3" s="1113"/>
      <c r="WAP3" s="1113"/>
      <c r="WAQ3" s="1113"/>
      <c r="WAR3" s="1113"/>
      <c r="WAS3" s="1113"/>
      <c r="WAT3" s="1113"/>
      <c r="WAU3" s="1113"/>
      <c r="WAV3" s="1113"/>
      <c r="WAW3" s="1113"/>
      <c r="WAX3" s="1113"/>
      <c r="WAY3" s="1113"/>
      <c r="WAZ3" s="1113"/>
      <c r="WBA3" s="1113"/>
      <c r="WBB3" s="1113"/>
      <c r="WBC3" s="1113"/>
      <c r="WBD3" s="1113"/>
      <c r="WBE3" s="1113"/>
      <c r="WBF3" s="1113"/>
      <c r="WBG3" s="1113"/>
      <c r="WBH3" s="1113"/>
      <c r="WBI3" s="1113"/>
      <c r="WBJ3" s="1113"/>
      <c r="WBK3" s="1113"/>
      <c r="WBL3" s="1113"/>
      <c r="WBM3" s="1113"/>
      <c r="WBN3" s="1113"/>
      <c r="WBO3" s="1113"/>
      <c r="WBP3" s="1113"/>
      <c r="WBQ3" s="1113"/>
      <c r="WBR3" s="1113"/>
      <c r="WBS3" s="1113"/>
      <c r="WBT3" s="1113"/>
      <c r="WBU3" s="1113"/>
      <c r="WBV3" s="1113"/>
      <c r="WBW3" s="1113"/>
      <c r="WBX3" s="1113"/>
      <c r="WBY3" s="1113"/>
      <c r="WBZ3" s="1113"/>
      <c r="WCA3" s="1113"/>
      <c r="WCB3" s="1113"/>
      <c r="WCC3" s="1113"/>
      <c r="WCD3" s="1113"/>
      <c r="WCE3" s="1113"/>
      <c r="WCF3" s="1113"/>
      <c r="WCG3" s="1113"/>
      <c r="WCH3" s="1113"/>
      <c r="WCI3" s="1113"/>
      <c r="WCJ3" s="1113"/>
      <c r="WCK3" s="1113"/>
      <c r="WCL3" s="1113"/>
      <c r="WCM3" s="1113"/>
      <c r="WCN3" s="1113"/>
      <c r="WCO3" s="1113"/>
      <c r="WCP3" s="1113"/>
      <c r="WCQ3" s="1113"/>
      <c r="WCR3" s="1113"/>
      <c r="WCS3" s="1113"/>
      <c r="WCT3" s="1113"/>
      <c r="WCU3" s="1113"/>
      <c r="WCV3" s="1113"/>
      <c r="WCW3" s="1113"/>
      <c r="WCX3" s="1113"/>
      <c r="WCY3" s="1113"/>
      <c r="WCZ3" s="1113"/>
      <c r="WDA3" s="1113"/>
      <c r="WDB3" s="1113"/>
      <c r="WDC3" s="1113"/>
      <c r="WDD3" s="1113"/>
      <c r="WDE3" s="1113"/>
      <c r="WDF3" s="1113"/>
      <c r="WDG3" s="1113"/>
      <c r="WDH3" s="1113"/>
      <c r="WDI3" s="1113"/>
      <c r="WDJ3" s="1113"/>
      <c r="WDK3" s="1113"/>
      <c r="WDL3" s="1113"/>
      <c r="WDM3" s="1113"/>
      <c r="WDN3" s="1113"/>
      <c r="WDO3" s="1113"/>
      <c r="WDP3" s="1113"/>
      <c r="WDQ3" s="1113"/>
      <c r="WDR3" s="1113"/>
      <c r="WDS3" s="1113"/>
      <c r="WDT3" s="1113"/>
      <c r="WDU3" s="1113"/>
      <c r="WDV3" s="1113"/>
      <c r="WDW3" s="1113"/>
      <c r="WDX3" s="1113"/>
      <c r="WDY3" s="1113"/>
      <c r="WDZ3" s="1113"/>
      <c r="WEA3" s="1113"/>
      <c r="WEB3" s="1113"/>
      <c r="WEC3" s="1113"/>
      <c r="WED3" s="1113"/>
      <c r="WEE3" s="1113"/>
      <c r="WEF3" s="1113"/>
      <c r="WEG3" s="1113"/>
      <c r="WEH3" s="1113"/>
      <c r="WEI3" s="1113"/>
      <c r="WEJ3" s="1113"/>
      <c r="WEK3" s="1113"/>
      <c r="WEL3" s="1113"/>
      <c r="WEM3" s="1113"/>
      <c r="WEN3" s="1113"/>
      <c r="WEO3" s="1113"/>
      <c r="WEP3" s="1113"/>
      <c r="WEQ3" s="1113"/>
      <c r="WER3" s="1113"/>
      <c r="WES3" s="1113"/>
      <c r="WET3" s="1113"/>
      <c r="WEU3" s="1113"/>
      <c r="WEV3" s="1113"/>
      <c r="WEW3" s="1113"/>
      <c r="WEX3" s="1113"/>
      <c r="WEY3" s="1113"/>
      <c r="WEZ3" s="1113"/>
      <c r="WFA3" s="1113"/>
      <c r="WFB3" s="1113"/>
      <c r="WFC3" s="1113"/>
      <c r="WFD3" s="1113"/>
      <c r="WFE3" s="1113"/>
      <c r="WFF3" s="1113"/>
      <c r="WFG3" s="1113"/>
      <c r="WFH3" s="1113"/>
      <c r="WFI3" s="1113"/>
      <c r="WFJ3" s="1113"/>
      <c r="WFK3" s="1113"/>
      <c r="WFL3" s="1113"/>
      <c r="WFM3" s="1113"/>
      <c r="WFN3" s="1113"/>
      <c r="WFO3" s="1113"/>
      <c r="WFP3" s="1113"/>
      <c r="WFQ3" s="1113"/>
      <c r="WFR3" s="1113"/>
      <c r="WFS3" s="1113"/>
      <c r="WFT3" s="1113"/>
      <c r="WFU3" s="1113"/>
      <c r="WFV3" s="1113"/>
      <c r="WFW3" s="1113"/>
      <c r="WFX3" s="1113"/>
      <c r="WFY3" s="1113"/>
      <c r="WFZ3" s="1113"/>
      <c r="WGA3" s="1113"/>
      <c r="WGB3" s="1113"/>
      <c r="WGC3" s="1113"/>
      <c r="WGD3" s="1113"/>
      <c r="WGE3" s="1113"/>
      <c r="WGF3" s="1113"/>
      <c r="WGG3" s="1113"/>
      <c r="WGH3" s="1113"/>
      <c r="WGI3" s="1113"/>
      <c r="WGJ3" s="1113"/>
      <c r="WGK3" s="1113"/>
      <c r="WGL3" s="1113"/>
      <c r="WGM3" s="1113"/>
      <c r="WGN3" s="1113"/>
      <c r="WGO3" s="1113"/>
      <c r="WGP3" s="1113"/>
      <c r="WGQ3" s="1113"/>
      <c r="WGR3" s="1113"/>
      <c r="WGS3" s="1113"/>
      <c r="WGT3" s="1113"/>
      <c r="WGU3" s="1113"/>
      <c r="WGV3" s="1113"/>
      <c r="WGW3" s="1113"/>
      <c r="WGX3" s="1113"/>
      <c r="WGY3" s="1113"/>
      <c r="WGZ3" s="1113"/>
      <c r="WHA3" s="1113"/>
      <c r="WHB3" s="1113"/>
      <c r="WHC3" s="1113"/>
      <c r="WHD3" s="1113"/>
      <c r="WHE3" s="1113"/>
      <c r="WHF3" s="1113"/>
      <c r="WHG3" s="1113"/>
      <c r="WHH3" s="1113"/>
      <c r="WHI3" s="1113"/>
      <c r="WHJ3" s="1113"/>
      <c r="WHK3" s="1113"/>
      <c r="WHL3" s="1113"/>
      <c r="WHM3" s="1113"/>
      <c r="WHN3" s="1113"/>
      <c r="WHO3" s="1113"/>
      <c r="WHP3" s="1113"/>
      <c r="WHQ3" s="1113"/>
      <c r="WHR3" s="1113"/>
      <c r="WHS3" s="1113"/>
      <c r="WHT3" s="1113"/>
      <c r="WHU3" s="1113"/>
      <c r="WHV3" s="1113"/>
      <c r="WHW3" s="1113"/>
      <c r="WHX3" s="1113"/>
      <c r="WHY3" s="1113"/>
      <c r="WHZ3" s="1113"/>
      <c r="WIA3" s="1113"/>
      <c r="WIB3" s="1113"/>
      <c r="WIC3" s="1113"/>
      <c r="WID3" s="1113"/>
      <c r="WIE3" s="1113"/>
      <c r="WIF3" s="1113"/>
      <c r="WIG3" s="1113"/>
      <c r="WIH3" s="1113"/>
      <c r="WII3" s="1113"/>
      <c r="WIJ3" s="1113"/>
      <c r="WIK3" s="1113"/>
      <c r="WIL3" s="1113"/>
      <c r="WIM3" s="1113"/>
      <c r="WIN3" s="1113"/>
      <c r="WIO3" s="1113"/>
      <c r="WIP3" s="1113"/>
      <c r="WIQ3" s="1113"/>
      <c r="WIR3" s="1113"/>
      <c r="WIS3" s="1113"/>
      <c r="WIT3" s="1113"/>
      <c r="WIU3" s="1113"/>
      <c r="WIV3" s="1113"/>
      <c r="WIW3" s="1113"/>
      <c r="WIX3" s="1113"/>
      <c r="WIY3" s="1113"/>
      <c r="WIZ3" s="1113"/>
      <c r="WJA3" s="1113"/>
      <c r="WJB3" s="1113"/>
      <c r="WJC3" s="1113"/>
      <c r="WJD3" s="1113"/>
      <c r="WJE3" s="1113"/>
      <c r="WJF3" s="1113"/>
      <c r="WJG3" s="1113"/>
      <c r="WJH3" s="1113"/>
      <c r="WJI3" s="1113"/>
      <c r="WJJ3" s="1113"/>
      <c r="WJK3" s="1113"/>
      <c r="WJL3" s="1113"/>
      <c r="WJM3" s="1113"/>
      <c r="WJN3" s="1113"/>
      <c r="WJO3" s="1113"/>
      <c r="WJP3" s="1113"/>
      <c r="WJQ3" s="1113"/>
      <c r="WJR3" s="1113"/>
      <c r="WJS3" s="1113"/>
      <c r="WJT3" s="1113"/>
      <c r="WJU3" s="1113"/>
      <c r="WJV3" s="1113"/>
      <c r="WJW3" s="1113"/>
      <c r="WJX3" s="1113"/>
      <c r="WJY3" s="1113"/>
      <c r="WJZ3" s="1113"/>
      <c r="WKA3" s="1113"/>
      <c r="WKB3" s="1113"/>
      <c r="WKC3" s="1113"/>
      <c r="WKD3" s="1113"/>
      <c r="WKE3" s="1113"/>
      <c r="WKF3" s="1113"/>
      <c r="WKG3" s="1113"/>
      <c r="WKH3" s="1113"/>
      <c r="WKI3" s="1113"/>
      <c r="WKJ3" s="1113"/>
      <c r="WKK3" s="1113"/>
      <c r="WKL3" s="1113"/>
      <c r="WKM3" s="1113"/>
      <c r="WKN3" s="1113"/>
      <c r="WKO3" s="1113"/>
      <c r="WKP3" s="1113"/>
      <c r="WKQ3" s="1113"/>
      <c r="WKR3" s="1113"/>
      <c r="WKS3" s="1113"/>
      <c r="WKT3" s="1113"/>
      <c r="WKU3" s="1113"/>
      <c r="WKV3" s="1113"/>
      <c r="WKW3" s="1113"/>
      <c r="WKX3" s="1113"/>
      <c r="WKY3" s="1113"/>
      <c r="WKZ3" s="1113"/>
      <c r="WLA3" s="1113"/>
      <c r="WLB3" s="1113"/>
      <c r="WLC3" s="1113"/>
      <c r="WLD3" s="1113"/>
      <c r="WLE3" s="1113"/>
      <c r="WLF3" s="1113"/>
      <c r="WLG3" s="1113"/>
      <c r="WLH3" s="1113"/>
      <c r="WLI3" s="1113"/>
      <c r="WLJ3" s="1113"/>
      <c r="WLK3" s="1113"/>
      <c r="WLL3" s="1113"/>
      <c r="WLM3" s="1113"/>
      <c r="WLN3" s="1113"/>
      <c r="WLO3" s="1113"/>
      <c r="WLP3" s="1113"/>
      <c r="WLQ3" s="1113"/>
      <c r="WLR3" s="1113"/>
      <c r="WLS3" s="1113"/>
      <c r="WLT3" s="1113"/>
      <c r="WLU3" s="1113"/>
      <c r="WLV3" s="1113"/>
      <c r="WLW3" s="1113"/>
      <c r="WLX3" s="1113"/>
      <c r="WLY3" s="1113"/>
      <c r="WLZ3" s="1113"/>
      <c r="WMA3" s="1113"/>
      <c r="WMB3" s="1113"/>
      <c r="WMC3" s="1113"/>
      <c r="WMD3" s="1113"/>
      <c r="WME3" s="1113"/>
      <c r="WMF3" s="1113"/>
      <c r="WMG3" s="1113"/>
      <c r="WMH3" s="1113"/>
      <c r="WMI3" s="1113"/>
      <c r="WMJ3" s="1113"/>
      <c r="WMK3" s="1113"/>
      <c r="WML3" s="1113"/>
      <c r="WMM3" s="1113"/>
      <c r="WMN3" s="1113"/>
      <c r="WMO3" s="1113"/>
      <c r="WMP3" s="1113"/>
      <c r="WMQ3" s="1113"/>
      <c r="WMR3" s="1113"/>
      <c r="WMS3" s="1113"/>
      <c r="WMT3" s="1113"/>
      <c r="WMU3" s="1113"/>
      <c r="WMV3" s="1113"/>
      <c r="WMW3" s="1113"/>
      <c r="WMX3" s="1113"/>
      <c r="WMY3" s="1113"/>
      <c r="WMZ3" s="1113"/>
      <c r="WNA3" s="1113"/>
      <c r="WNB3" s="1113"/>
      <c r="WNC3" s="1113"/>
      <c r="WND3" s="1113"/>
      <c r="WNE3" s="1113"/>
      <c r="WNF3" s="1113"/>
      <c r="WNG3" s="1113"/>
      <c r="WNH3" s="1113"/>
      <c r="WNI3" s="1113"/>
      <c r="WNJ3" s="1113"/>
      <c r="WNK3" s="1113"/>
      <c r="WNL3" s="1113"/>
      <c r="WNM3" s="1113"/>
      <c r="WNN3" s="1113"/>
      <c r="WNO3" s="1113"/>
      <c r="WNP3" s="1113"/>
      <c r="WNQ3" s="1113"/>
      <c r="WNR3" s="1113"/>
      <c r="WNS3" s="1113"/>
      <c r="WNT3" s="1113"/>
      <c r="WNU3" s="1113"/>
      <c r="WNV3" s="1113"/>
      <c r="WNW3" s="1113"/>
      <c r="WNX3" s="1113"/>
      <c r="WNY3" s="1113"/>
      <c r="WNZ3" s="1113"/>
      <c r="WOA3" s="1113"/>
      <c r="WOB3" s="1113"/>
      <c r="WOC3" s="1113"/>
      <c r="WOD3" s="1113"/>
      <c r="WOE3" s="1113"/>
      <c r="WOF3" s="1113"/>
      <c r="WOG3" s="1113"/>
      <c r="WOH3" s="1113"/>
      <c r="WOI3" s="1113"/>
      <c r="WOJ3" s="1113"/>
      <c r="WOK3" s="1113"/>
      <c r="WOL3" s="1113"/>
      <c r="WOM3" s="1113"/>
      <c r="WON3" s="1113"/>
      <c r="WOO3" s="1113"/>
      <c r="WOP3" s="1113"/>
      <c r="WOQ3" s="1113"/>
      <c r="WOR3" s="1113"/>
      <c r="WOS3" s="1113"/>
      <c r="WOT3" s="1113"/>
      <c r="WOU3" s="1113"/>
      <c r="WOV3" s="1113"/>
      <c r="WOW3" s="1113"/>
      <c r="WOX3" s="1113"/>
      <c r="WOY3" s="1113"/>
      <c r="WOZ3" s="1113"/>
      <c r="WPA3" s="1113"/>
      <c r="WPB3" s="1113"/>
      <c r="WPC3" s="1113"/>
      <c r="WPD3" s="1113"/>
      <c r="WPE3" s="1113"/>
      <c r="WPF3" s="1113"/>
      <c r="WPG3" s="1113"/>
      <c r="WPH3" s="1113"/>
      <c r="WPI3" s="1113"/>
      <c r="WPJ3" s="1113"/>
      <c r="WPK3" s="1113"/>
      <c r="WPL3" s="1113"/>
      <c r="WPM3" s="1113"/>
      <c r="WPN3" s="1113"/>
      <c r="WPO3" s="1113"/>
      <c r="WPP3" s="1113"/>
      <c r="WPQ3" s="1113"/>
      <c r="WPR3" s="1113"/>
      <c r="WPS3" s="1113"/>
      <c r="WPT3" s="1113"/>
      <c r="WPU3" s="1113"/>
      <c r="WPV3" s="1113"/>
      <c r="WPW3" s="1113"/>
      <c r="WPX3" s="1113"/>
      <c r="WPY3" s="1113"/>
      <c r="WPZ3" s="1113"/>
      <c r="WQA3" s="1113"/>
      <c r="WQB3" s="1113"/>
      <c r="WQC3" s="1113"/>
      <c r="WQD3" s="1113"/>
      <c r="WQE3" s="1113"/>
      <c r="WQF3" s="1113"/>
      <c r="WQG3" s="1113"/>
      <c r="WQH3" s="1113"/>
      <c r="WQI3" s="1113"/>
      <c r="WQJ3" s="1113"/>
      <c r="WQK3" s="1113"/>
      <c r="WQL3" s="1113"/>
      <c r="WQM3" s="1113"/>
      <c r="WQN3" s="1113"/>
      <c r="WQO3" s="1113"/>
      <c r="WQP3" s="1113"/>
      <c r="WQQ3" s="1113"/>
      <c r="WQR3" s="1113"/>
      <c r="WQS3" s="1113"/>
      <c r="WQT3" s="1113"/>
      <c r="WQU3" s="1113"/>
      <c r="WQV3" s="1113"/>
      <c r="WQW3" s="1113"/>
      <c r="WQX3" s="1113"/>
      <c r="WQY3" s="1113"/>
      <c r="WQZ3" s="1113"/>
      <c r="WRA3" s="1113"/>
      <c r="WRB3" s="1113"/>
      <c r="WRC3" s="1113"/>
      <c r="WRD3" s="1113"/>
      <c r="WRE3" s="1113"/>
      <c r="WRF3" s="1113"/>
      <c r="WRG3" s="1113"/>
      <c r="WRH3" s="1113"/>
      <c r="WRI3" s="1113"/>
      <c r="WRJ3" s="1113"/>
      <c r="WRK3" s="1113"/>
      <c r="WRL3" s="1113"/>
      <c r="WRM3" s="1113"/>
      <c r="WRN3" s="1113"/>
      <c r="WRO3" s="1113"/>
      <c r="WRP3" s="1113"/>
      <c r="WRQ3" s="1113"/>
      <c r="WRR3" s="1113"/>
      <c r="WRS3" s="1113"/>
      <c r="WRT3" s="1113"/>
      <c r="WRU3" s="1113"/>
      <c r="WRV3" s="1113"/>
      <c r="WRW3" s="1113"/>
      <c r="WRX3" s="1113"/>
      <c r="WRY3" s="1113"/>
      <c r="WRZ3" s="1113"/>
      <c r="WSA3" s="1113"/>
      <c r="WSB3" s="1113"/>
      <c r="WSC3" s="1113"/>
      <c r="WSD3" s="1113"/>
      <c r="WSE3" s="1113"/>
      <c r="WSF3" s="1113"/>
      <c r="WSG3" s="1113"/>
      <c r="WSH3" s="1113"/>
      <c r="WSI3" s="1113"/>
      <c r="WSJ3" s="1113"/>
      <c r="WSK3" s="1113"/>
      <c r="WSL3" s="1113"/>
      <c r="WSM3" s="1113"/>
      <c r="WSN3" s="1113"/>
      <c r="WSO3" s="1113"/>
      <c r="WSP3" s="1113"/>
      <c r="WSQ3" s="1113"/>
      <c r="WSR3" s="1113"/>
      <c r="WSS3" s="1113"/>
      <c r="WST3" s="1113"/>
      <c r="WSU3" s="1113"/>
      <c r="WSV3" s="1113"/>
      <c r="WSW3" s="1113"/>
      <c r="WSX3" s="1113"/>
      <c r="WSY3" s="1113"/>
      <c r="WSZ3" s="1113"/>
      <c r="WTA3" s="1113"/>
      <c r="WTB3" s="1113"/>
      <c r="WTC3" s="1113"/>
      <c r="WTD3" s="1113"/>
      <c r="WTE3" s="1113"/>
      <c r="WTF3" s="1113"/>
      <c r="WTG3" s="1113"/>
      <c r="WTH3" s="1113"/>
      <c r="WTI3" s="1113"/>
      <c r="WTJ3" s="1113"/>
      <c r="WTK3" s="1113"/>
      <c r="WTL3" s="1113"/>
      <c r="WTM3" s="1113"/>
      <c r="WTN3" s="1113"/>
      <c r="WTO3" s="1113"/>
      <c r="WTP3" s="1113"/>
      <c r="WTQ3" s="1113"/>
      <c r="WTR3" s="1113"/>
      <c r="WTS3" s="1113"/>
      <c r="WTT3" s="1113"/>
      <c r="WTU3" s="1113"/>
      <c r="WTV3" s="1113"/>
      <c r="WTW3" s="1113"/>
      <c r="WTX3" s="1113"/>
      <c r="WTY3" s="1113"/>
      <c r="WTZ3" s="1113"/>
      <c r="WUA3" s="1113"/>
      <c r="WUB3" s="1113"/>
      <c r="WUC3" s="1113"/>
      <c r="WUD3" s="1113"/>
      <c r="WUE3" s="1113"/>
      <c r="WUF3" s="1113"/>
      <c r="WUG3" s="1113"/>
      <c r="WUH3" s="1113"/>
      <c r="WUI3" s="1113"/>
      <c r="WUJ3" s="1113"/>
      <c r="WUK3" s="1113"/>
      <c r="WUL3" s="1113"/>
      <c r="WUM3" s="1113"/>
      <c r="WUN3" s="1113"/>
      <c r="WUO3" s="1113"/>
      <c r="WUP3" s="1113"/>
      <c r="WUQ3" s="1113"/>
      <c r="WUR3" s="1113"/>
      <c r="WUS3" s="1113"/>
      <c r="WUT3" s="1113"/>
      <c r="WUU3" s="1113"/>
      <c r="WUV3" s="1113"/>
      <c r="WUW3" s="1113"/>
      <c r="WUX3" s="1113"/>
      <c r="WUY3" s="1113"/>
      <c r="WUZ3" s="1113"/>
      <c r="WVA3" s="1113"/>
      <c r="WVB3" s="1113"/>
      <c r="WVC3" s="1113"/>
      <c r="WVD3" s="1113"/>
      <c r="WVE3" s="1113"/>
      <c r="WVF3" s="1113"/>
      <c r="WVG3" s="1113"/>
      <c r="WVH3" s="1113"/>
      <c r="WVI3" s="1113"/>
      <c r="WVJ3" s="1113"/>
      <c r="WVK3" s="1113"/>
      <c r="WVL3" s="1113"/>
      <c r="WVM3" s="1113"/>
      <c r="WVN3" s="1113"/>
      <c r="WVO3" s="1113"/>
      <c r="WVP3" s="1113"/>
      <c r="WVQ3" s="1113"/>
      <c r="WVR3" s="1113"/>
      <c r="WVS3" s="1113"/>
      <c r="WVT3" s="1113"/>
      <c r="WVU3" s="1113"/>
      <c r="WVV3" s="1113"/>
      <c r="WVW3" s="1113"/>
      <c r="WVX3" s="1113"/>
      <c r="WVY3" s="1113"/>
      <c r="WVZ3" s="1113"/>
      <c r="WWA3" s="1113"/>
      <c r="WWB3" s="1113"/>
      <c r="WWC3" s="1113"/>
      <c r="WWD3" s="1113"/>
      <c r="WWE3" s="1113"/>
      <c r="WWF3" s="1113"/>
      <c r="WWG3" s="1113"/>
      <c r="WWH3" s="1113"/>
      <c r="WWI3" s="1113"/>
      <c r="WWJ3" s="1113"/>
      <c r="WWK3" s="1113"/>
      <c r="WWL3" s="1113"/>
      <c r="WWM3" s="1113"/>
      <c r="WWN3" s="1113"/>
      <c r="WWO3" s="1113"/>
      <c r="WWP3" s="1113"/>
      <c r="WWQ3" s="1113"/>
      <c r="WWR3" s="1113"/>
      <c r="WWS3" s="1113"/>
      <c r="WWT3" s="1113"/>
      <c r="WWU3" s="1113"/>
      <c r="WWV3" s="1113"/>
      <c r="WWW3" s="1113"/>
      <c r="WWX3" s="1113"/>
      <c r="WWY3" s="1113"/>
      <c r="WWZ3" s="1113"/>
      <c r="WXA3" s="1113"/>
      <c r="WXB3" s="1113"/>
      <c r="WXC3" s="1113"/>
      <c r="WXD3" s="1113"/>
      <c r="WXE3" s="1113"/>
      <c r="WXF3" s="1113"/>
      <c r="WXG3" s="1113"/>
      <c r="WXH3" s="1113"/>
      <c r="WXI3" s="1113"/>
      <c r="WXJ3" s="1113"/>
      <c r="WXK3" s="1113"/>
      <c r="WXL3" s="1113"/>
      <c r="WXM3" s="1113"/>
      <c r="WXN3" s="1113"/>
      <c r="WXO3" s="1113"/>
      <c r="WXP3" s="1113"/>
      <c r="WXQ3" s="1113"/>
      <c r="WXR3" s="1113"/>
      <c r="WXS3" s="1113"/>
      <c r="WXT3" s="1113"/>
      <c r="WXU3" s="1113"/>
      <c r="WXV3" s="1113"/>
      <c r="WXW3" s="1113"/>
      <c r="WXX3" s="1113"/>
      <c r="WXY3" s="1113"/>
      <c r="WXZ3" s="1113"/>
      <c r="WYA3" s="1113"/>
      <c r="WYB3" s="1113"/>
      <c r="WYC3" s="1113"/>
      <c r="WYD3" s="1113"/>
      <c r="WYE3" s="1113"/>
      <c r="WYF3" s="1113"/>
      <c r="WYG3" s="1113"/>
      <c r="WYH3" s="1113"/>
      <c r="WYI3" s="1113"/>
      <c r="WYJ3" s="1113"/>
      <c r="WYK3" s="1113"/>
      <c r="WYL3" s="1113"/>
      <c r="WYM3" s="1113"/>
      <c r="WYN3" s="1113"/>
      <c r="WYO3" s="1113"/>
      <c r="WYP3" s="1113"/>
      <c r="WYQ3" s="1113"/>
      <c r="WYR3" s="1113"/>
      <c r="WYS3" s="1113"/>
      <c r="WYT3" s="1113"/>
      <c r="WYU3" s="1113"/>
      <c r="WYV3" s="1113"/>
      <c r="WYW3" s="1113"/>
      <c r="WYX3" s="1113"/>
      <c r="WYY3" s="1113"/>
      <c r="WYZ3" s="1113"/>
      <c r="WZA3" s="1113"/>
      <c r="WZB3" s="1113"/>
      <c r="WZC3" s="1113"/>
      <c r="WZD3" s="1113"/>
      <c r="WZE3" s="1113"/>
      <c r="WZF3" s="1113"/>
      <c r="WZG3" s="1113"/>
      <c r="WZH3" s="1113"/>
      <c r="WZI3" s="1113"/>
      <c r="WZJ3" s="1113"/>
      <c r="WZK3" s="1113"/>
      <c r="WZL3" s="1113"/>
      <c r="WZM3" s="1113"/>
      <c r="WZN3" s="1113"/>
      <c r="WZO3" s="1113"/>
      <c r="WZP3" s="1113"/>
      <c r="WZQ3" s="1113"/>
      <c r="WZR3" s="1113"/>
      <c r="WZS3" s="1113"/>
      <c r="WZT3" s="1113"/>
      <c r="WZU3" s="1113"/>
      <c r="WZV3" s="1113"/>
      <c r="WZW3" s="1113"/>
      <c r="WZX3" s="1113"/>
      <c r="WZY3" s="1113"/>
      <c r="WZZ3" s="1113"/>
      <c r="XAA3" s="1113"/>
      <c r="XAB3" s="1113"/>
      <c r="XAC3" s="1113"/>
      <c r="XAD3" s="1113"/>
      <c r="XAE3" s="1113"/>
      <c r="XAF3" s="1113"/>
      <c r="XAG3" s="1113"/>
      <c r="XAH3" s="1113"/>
      <c r="XAI3" s="1113"/>
      <c r="XAJ3" s="1113"/>
      <c r="XAK3" s="1113"/>
      <c r="XAL3" s="1113"/>
      <c r="XAM3" s="1113"/>
      <c r="XAN3" s="1113"/>
      <c r="XAO3" s="1113"/>
      <c r="XAP3" s="1113"/>
      <c r="XAQ3" s="1113"/>
      <c r="XAR3" s="1113"/>
      <c r="XAS3" s="1113"/>
      <c r="XAT3" s="1113"/>
      <c r="XAU3" s="1113"/>
      <c r="XAV3" s="1113"/>
      <c r="XAW3" s="1113"/>
      <c r="XAX3" s="1113"/>
      <c r="XAY3" s="1113"/>
      <c r="XAZ3" s="1113"/>
      <c r="XBA3" s="1113"/>
      <c r="XBB3" s="1113"/>
      <c r="XBC3" s="1113"/>
      <c r="XBD3" s="1113"/>
      <c r="XBE3" s="1113"/>
      <c r="XBF3" s="1113"/>
      <c r="XBG3" s="1113"/>
      <c r="XBH3" s="1113"/>
      <c r="XBI3" s="1113"/>
      <c r="XBJ3" s="1113"/>
      <c r="XBK3" s="1113"/>
      <c r="XBL3" s="1113"/>
      <c r="XBM3" s="1113"/>
      <c r="XBN3" s="1113"/>
      <c r="XBO3" s="1113"/>
      <c r="XBP3" s="1113"/>
      <c r="XBQ3" s="1113"/>
      <c r="XBR3" s="1113"/>
      <c r="XBS3" s="1113"/>
      <c r="XBT3" s="1113"/>
      <c r="XBU3" s="1113"/>
      <c r="XBV3" s="1113"/>
      <c r="XBW3" s="1113"/>
      <c r="XBX3" s="1113"/>
      <c r="XBY3" s="1113"/>
      <c r="XBZ3" s="1113"/>
      <c r="XCA3" s="1113"/>
      <c r="XCB3" s="1113"/>
      <c r="XCC3" s="1113"/>
      <c r="XCD3" s="1113"/>
      <c r="XCE3" s="1113"/>
      <c r="XCF3" s="1113"/>
      <c r="XCG3" s="1113"/>
      <c r="XCH3" s="1113"/>
      <c r="XCI3" s="1113"/>
      <c r="XCJ3" s="1113"/>
      <c r="XCK3" s="1113"/>
      <c r="XCL3" s="1113"/>
      <c r="XCM3" s="1113"/>
      <c r="XCN3" s="1113"/>
      <c r="XCO3" s="1113"/>
      <c r="XCP3" s="1113"/>
      <c r="XCQ3" s="1113"/>
      <c r="XCR3" s="1113"/>
      <c r="XCS3" s="1113"/>
      <c r="XCT3" s="1113"/>
      <c r="XCU3" s="1113"/>
      <c r="XCV3" s="1113"/>
      <c r="XCW3" s="1113"/>
      <c r="XCX3" s="1113"/>
      <c r="XCY3" s="1113"/>
      <c r="XCZ3" s="1113"/>
      <c r="XDA3" s="1113"/>
      <c r="XDB3" s="1113"/>
      <c r="XDC3" s="1113"/>
      <c r="XDD3" s="1113"/>
      <c r="XDE3" s="1113"/>
      <c r="XDF3" s="1113"/>
      <c r="XDG3" s="1113"/>
      <c r="XDH3" s="1113"/>
      <c r="XDI3" s="1113"/>
      <c r="XDJ3" s="1113"/>
      <c r="XDK3" s="1113"/>
      <c r="XDL3" s="1113"/>
      <c r="XDM3" s="1113"/>
      <c r="XDN3" s="1113"/>
      <c r="XDO3" s="1113"/>
      <c r="XDP3" s="1113"/>
      <c r="XDQ3" s="1113"/>
      <c r="XDR3" s="1113"/>
      <c r="XDS3" s="1113"/>
      <c r="XDT3" s="1113"/>
      <c r="XDU3" s="1113"/>
      <c r="XDV3" s="1113"/>
      <c r="XDW3" s="1113"/>
      <c r="XDX3" s="1113"/>
      <c r="XDY3" s="1113"/>
      <c r="XDZ3" s="1113"/>
      <c r="XEA3" s="1113"/>
      <c r="XEB3" s="1113"/>
      <c r="XEC3" s="1113"/>
      <c r="XED3" s="1113"/>
      <c r="XEE3" s="1113"/>
      <c r="XEF3" s="1113"/>
      <c r="XEG3" s="1113"/>
      <c r="XEH3" s="1113"/>
      <c r="XEI3" s="1113"/>
      <c r="XEJ3" s="1113"/>
      <c r="XEK3" s="1113"/>
      <c r="XEL3" s="1113"/>
      <c r="XEM3" s="1113"/>
      <c r="XEN3" s="1113"/>
      <c r="XEO3" s="1113"/>
      <c r="XEP3" s="1113"/>
      <c r="XEQ3" s="1113"/>
      <c r="XER3" s="1113"/>
      <c r="XES3" s="1113"/>
      <c r="XET3" s="1113"/>
      <c r="XEU3" s="1113"/>
      <c r="XEV3" s="1113"/>
      <c r="XEW3" s="1113"/>
      <c r="XEX3" s="1113"/>
      <c r="XEY3" s="1113"/>
      <c r="XEZ3" s="1113"/>
      <c r="XFA3" s="1113"/>
      <c r="XFB3" s="1113"/>
      <c r="XFC3" s="1113"/>
      <c r="XFD3" s="1113"/>
    </row>
    <row r="4" spans="1:16384" x14ac:dyDescent="0.35">
      <c r="B4" s="1342"/>
      <c r="D4" s="1124"/>
      <c r="E4" s="1124"/>
      <c r="F4" s="1124"/>
      <c r="G4" s="1114"/>
      <c r="H4" s="1114"/>
      <c r="I4" s="1114"/>
      <c r="J4" s="1125"/>
      <c r="K4" s="1114"/>
      <c r="L4" s="1114"/>
      <c r="M4" s="1114"/>
      <c r="N4" s="1114"/>
      <c r="O4" s="1114"/>
      <c r="P4" s="1114"/>
      <c r="Q4" s="1114"/>
      <c r="R4" s="1114"/>
      <c r="S4" s="1114"/>
      <c r="T4" s="1114"/>
      <c r="U4" s="1114"/>
      <c r="V4" s="1114"/>
      <c r="W4" s="1114"/>
      <c r="X4" s="1114"/>
      <c r="Y4" s="1114"/>
      <c r="Z4" s="1114"/>
      <c r="AA4" s="1114"/>
      <c r="AB4" s="1114"/>
      <c r="AC4" s="1114"/>
      <c r="AD4" s="1114"/>
      <c r="AE4" s="1114"/>
      <c r="AF4" s="1114"/>
      <c r="AG4" s="1114"/>
      <c r="AH4" s="1114"/>
      <c r="AI4" s="1114"/>
      <c r="AJ4" s="1114"/>
      <c r="AK4" s="1114"/>
      <c r="AL4" s="1114"/>
      <c r="AM4" s="1114"/>
      <c r="AN4" s="1114"/>
      <c r="AO4" s="1114"/>
      <c r="AP4" s="1114"/>
      <c r="AQ4" s="1114"/>
      <c r="AR4" s="1114"/>
      <c r="AS4" s="1114"/>
      <c r="AT4" s="1114"/>
      <c r="AU4" s="1114"/>
      <c r="AV4" s="1114"/>
      <c r="AW4" s="1114"/>
      <c r="AX4" s="1114"/>
      <c r="AY4" s="1114"/>
      <c r="AZ4" s="1114"/>
      <c r="BA4" s="1114"/>
      <c r="BB4" s="1114"/>
      <c r="BC4" s="1114"/>
      <c r="BD4" s="1114"/>
      <c r="BE4" s="1114"/>
      <c r="BF4" s="1114"/>
      <c r="BG4" s="1114"/>
      <c r="BH4" s="1114"/>
      <c r="BI4" s="1114"/>
      <c r="BJ4" s="1114"/>
      <c r="BK4" s="1114"/>
      <c r="BL4" s="1114"/>
      <c r="BM4" s="1114"/>
      <c r="BN4" s="1114"/>
      <c r="BO4" s="1114"/>
      <c r="BP4" s="1114"/>
      <c r="BQ4" s="1114"/>
      <c r="BR4" s="1114"/>
      <c r="BS4" s="1114"/>
      <c r="BT4" s="1114"/>
      <c r="BU4" s="1114"/>
      <c r="BV4" s="1114"/>
      <c r="BW4" s="1114"/>
      <c r="BX4" s="1114"/>
      <c r="BY4" s="1114"/>
      <c r="BZ4" s="1114"/>
      <c r="CA4" s="1114"/>
      <c r="CB4" s="1114"/>
      <c r="CC4" s="1114"/>
      <c r="CD4" s="1114"/>
      <c r="CE4" s="1114"/>
      <c r="CF4" s="1114"/>
      <c r="CG4" s="1114"/>
      <c r="CH4" s="1114"/>
      <c r="CI4" s="1114"/>
      <c r="CJ4" s="1114"/>
      <c r="CK4" s="1114"/>
      <c r="CL4" s="1114"/>
      <c r="CM4" s="1114"/>
      <c r="CN4" s="1114"/>
      <c r="CO4" s="1114"/>
      <c r="CP4" s="1114"/>
      <c r="CQ4" s="1114"/>
      <c r="CR4" s="1114"/>
      <c r="CS4" s="1114"/>
      <c r="CT4" s="1114"/>
      <c r="CU4" s="1114"/>
      <c r="CV4" s="1114"/>
      <c r="CW4" s="1114"/>
      <c r="CX4" s="1114"/>
      <c r="CY4" s="1114"/>
      <c r="CZ4" s="1114"/>
      <c r="DA4" s="1114"/>
      <c r="DB4" s="1114"/>
      <c r="DC4" s="1114"/>
      <c r="DD4" s="1114"/>
      <c r="DE4" s="1114"/>
      <c r="DF4" s="1114"/>
      <c r="DG4" s="1114"/>
      <c r="DH4" s="1114"/>
      <c r="DI4" s="1114"/>
      <c r="DJ4" s="1114"/>
      <c r="DK4" s="1114"/>
      <c r="DL4" s="1114"/>
      <c r="DM4" s="1114"/>
      <c r="DN4" s="1114"/>
      <c r="DO4" s="1114"/>
      <c r="DP4" s="1114"/>
      <c r="DQ4" s="1114"/>
      <c r="DR4" s="1114"/>
      <c r="DS4" s="1114"/>
      <c r="DT4" s="1114"/>
      <c r="DU4" s="1114"/>
      <c r="DV4" s="1114"/>
      <c r="DW4" s="1114"/>
      <c r="DX4" s="1114"/>
      <c r="DY4" s="1114"/>
      <c r="DZ4" s="1114"/>
      <c r="EA4" s="1114"/>
      <c r="EB4" s="1114"/>
      <c r="EC4" s="1114"/>
      <c r="ED4" s="1114"/>
      <c r="EE4" s="1114"/>
      <c r="EF4" s="1114"/>
      <c r="EG4" s="1114"/>
      <c r="EH4" s="1114"/>
      <c r="EI4" s="1114"/>
      <c r="EJ4" s="1114"/>
      <c r="EK4" s="1114"/>
      <c r="EL4" s="1114"/>
      <c r="EM4" s="1114"/>
      <c r="EN4" s="1114"/>
      <c r="EO4" s="1114"/>
      <c r="EP4" s="1114"/>
      <c r="EQ4" s="1114"/>
      <c r="ER4" s="1114"/>
      <c r="ES4" s="1114"/>
      <c r="ET4" s="1114"/>
      <c r="EU4" s="1114"/>
      <c r="EV4" s="1114"/>
      <c r="EW4" s="1114"/>
      <c r="EX4" s="1114"/>
      <c r="EY4" s="1114"/>
      <c r="EZ4" s="1114"/>
      <c r="FA4" s="1114"/>
      <c r="FB4" s="1114"/>
      <c r="FC4" s="1114"/>
      <c r="FD4" s="1114"/>
      <c r="FE4" s="1114"/>
      <c r="FF4" s="1114"/>
      <c r="FG4" s="1114"/>
      <c r="FH4" s="1114"/>
      <c r="FI4" s="1114"/>
      <c r="FJ4" s="1114"/>
      <c r="FK4" s="1114"/>
      <c r="FL4" s="1114"/>
      <c r="FM4" s="1114"/>
      <c r="FN4" s="1114"/>
      <c r="FO4" s="1114"/>
      <c r="FP4" s="1114"/>
      <c r="FQ4" s="1114"/>
      <c r="FR4" s="1114"/>
      <c r="FS4" s="1114"/>
      <c r="FT4" s="1114"/>
      <c r="FU4" s="1114"/>
      <c r="FV4" s="1114"/>
      <c r="FW4" s="1114"/>
      <c r="FX4" s="1114"/>
      <c r="FY4" s="1114"/>
      <c r="FZ4" s="1114"/>
      <c r="GA4" s="1114"/>
      <c r="GB4" s="1114"/>
      <c r="GC4" s="1114"/>
      <c r="GD4" s="1114"/>
      <c r="GE4" s="1114"/>
      <c r="GF4" s="1114"/>
      <c r="GG4" s="1114"/>
      <c r="GH4" s="1114"/>
      <c r="GI4" s="1114"/>
      <c r="GJ4" s="1114"/>
      <c r="GK4" s="1114"/>
      <c r="GL4" s="1114"/>
      <c r="GM4" s="1114"/>
      <c r="GN4" s="1114"/>
      <c r="GO4" s="1114"/>
      <c r="GP4" s="1114"/>
      <c r="GQ4" s="1114"/>
      <c r="GR4" s="1114"/>
      <c r="GS4" s="1114"/>
      <c r="GT4" s="1114"/>
      <c r="GU4" s="1114"/>
      <c r="GV4" s="1114"/>
      <c r="GW4" s="1114"/>
      <c r="GX4" s="1114"/>
      <c r="GY4" s="1114"/>
      <c r="GZ4" s="1114"/>
      <c r="HA4" s="1114"/>
      <c r="HB4" s="1114"/>
      <c r="HC4" s="1114"/>
      <c r="HD4" s="1114"/>
      <c r="HE4" s="1114"/>
      <c r="HF4" s="1114"/>
      <c r="HG4" s="1114"/>
      <c r="HH4" s="1114"/>
      <c r="HI4" s="1114"/>
      <c r="HJ4" s="1114"/>
      <c r="HK4" s="1114"/>
      <c r="HL4" s="1114"/>
      <c r="HM4" s="1114"/>
      <c r="HN4" s="1114"/>
      <c r="HO4" s="1114"/>
      <c r="HP4" s="1114"/>
      <c r="HQ4" s="1114"/>
      <c r="HR4" s="1114"/>
      <c r="HS4" s="1114"/>
      <c r="HT4" s="1114"/>
      <c r="HU4" s="1114"/>
      <c r="HV4" s="1114"/>
      <c r="HW4" s="1114"/>
      <c r="HX4" s="1114"/>
      <c r="HY4" s="1114"/>
      <c r="HZ4" s="1114"/>
      <c r="IA4" s="1114"/>
      <c r="IB4" s="1114"/>
      <c r="IC4" s="1114"/>
      <c r="ID4" s="1114"/>
      <c r="IE4" s="1114"/>
      <c r="IF4" s="1114"/>
      <c r="IG4" s="1114"/>
      <c r="IH4" s="1114"/>
      <c r="II4" s="1114"/>
      <c r="IJ4" s="1114"/>
      <c r="IK4" s="1114"/>
      <c r="IL4" s="1114"/>
      <c r="IM4" s="1114"/>
      <c r="IN4" s="1114"/>
      <c r="IO4" s="1114"/>
      <c r="IP4" s="1114"/>
      <c r="IQ4" s="1114"/>
      <c r="IR4" s="1114"/>
      <c r="IS4" s="1114"/>
      <c r="IT4" s="1114"/>
      <c r="IU4" s="1114"/>
      <c r="IV4" s="1114"/>
      <c r="IW4" s="1114"/>
      <c r="IX4" s="1114"/>
      <c r="IY4" s="1114"/>
      <c r="IZ4" s="1114"/>
      <c r="JA4" s="1114"/>
      <c r="JB4" s="1114"/>
      <c r="JC4" s="1114"/>
      <c r="JD4" s="1114"/>
      <c r="JE4" s="1114"/>
      <c r="JF4" s="1114"/>
      <c r="JG4" s="1114"/>
      <c r="JH4" s="1114"/>
      <c r="JI4" s="1114"/>
      <c r="JJ4" s="1114"/>
      <c r="JK4" s="1114"/>
      <c r="JL4" s="1114"/>
      <c r="JM4" s="1114"/>
      <c r="JN4" s="1114"/>
      <c r="JO4" s="1114"/>
      <c r="JP4" s="1114"/>
      <c r="JQ4" s="1114"/>
      <c r="JR4" s="1114"/>
      <c r="JS4" s="1114"/>
      <c r="JT4" s="1114"/>
      <c r="JU4" s="1114"/>
      <c r="JV4" s="1114"/>
      <c r="JW4" s="1114"/>
      <c r="JX4" s="1114"/>
      <c r="JY4" s="1114"/>
      <c r="JZ4" s="1114"/>
      <c r="KA4" s="1114"/>
      <c r="KB4" s="1114"/>
      <c r="KC4" s="1114"/>
      <c r="KD4" s="1114"/>
      <c r="KE4" s="1114"/>
      <c r="KF4" s="1114"/>
      <c r="KG4" s="1114"/>
      <c r="KH4" s="1114"/>
      <c r="KI4" s="1114"/>
      <c r="KJ4" s="1114"/>
      <c r="KK4" s="1114"/>
      <c r="KL4" s="1114"/>
      <c r="KM4" s="1114"/>
      <c r="KN4" s="1114"/>
      <c r="KO4" s="1114"/>
      <c r="KP4" s="1114"/>
      <c r="KQ4" s="1114"/>
      <c r="KR4" s="1114"/>
      <c r="KS4" s="1114"/>
      <c r="KT4" s="1114"/>
      <c r="KU4" s="1114"/>
      <c r="KV4" s="1114"/>
      <c r="KW4" s="1114"/>
      <c r="KX4" s="1114"/>
      <c r="KY4" s="1114"/>
      <c r="KZ4" s="1114"/>
      <c r="LA4" s="1114"/>
      <c r="LB4" s="1114"/>
      <c r="LC4" s="1114"/>
      <c r="LD4" s="1114"/>
      <c r="LE4" s="1114"/>
      <c r="LF4" s="1114"/>
      <c r="LG4" s="1114"/>
      <c r="LH4" s="1114"/>
      <c r="LI4" s="1114"/>
      <c r="LJ4" s="1114"/>
      <c r="LK4" s="1114"/>
      <c r="LL4" s="1114"/>
      <c r="LM4" s="1114"/>
      <c r="LN4" s="1114"/>
      <c r="LO4" s="1114"/>
      <c r="LP4" s="1114"/>
      <c r="LQ4" s="1114"/>
      <c r="LR4" s="1114"/>
      <c r="LS4" s="1114"/>
      <c r="LT4" s="1114"/>
      <c r="LU4" s="1114"/>
      <c r="LV4" s="1114"/>
      <c r="LW4" s="1114"/>
      <c r="LX4" s="1114"/>
      <c r="LY4" s="1114"/>
      <c r="LZ4" s="1114"/>
      <c r="MA4" s="1114"/>
      <c r="MB4" s="1114"/>
      <c r="MC4" s="1114"/>
      <c r="MD4" s="1114"/>
      <c r="ME4" s="1114"/>
      <c r="MF4" s="1114"/>
      <c r="MG4" s="1114"/>
      <c r="MH4" s="1114"/>
      <c r="MI4" s="1114"/>
      <c r="MJ4" s="1114"/>
      <c r="MK4" s="1114"/>
      <c r="ML4" s="1114"/>
      <c r="MM4" s="1114"/>
      <c r="MN4" s="1114"/>
      <c r="MO4" s="1114"/>
      <c r="MP4" s="1114"/>
      <c r="MQ4" s="1114"/>
      <c r="MR4" s="1114"/>
      <c r="MS4" s="1114"/>
      <c r="MT4" s="1114"/>
      <c r="MU4" s="1114"/>
      <c r="MV4" s="1114"/>
      <c r="MW4" s="1114"/>
      <c r="MX4" s="1114"/>
      <c r="MY4" s="1114"/>
      <c r="MZ4" s="1114"/>
      <c r="NA4" s="1114"/>
      <c r="NB4" s="1114"/>
      <c r="NC4" s="1114"/>
      <c r="ND4" s="1114"/>
      <c r="NE4" s="1114"/>
      <c r="NF4" s="1114"/>
      <c r="NG4" s="1114"/>
      <c r="NH4" s="1114"/>
      <c r="NI4" s="1114"/>
      <c r="NJ4" s="1114"/>
      <c r="NK4" s="1114"/>
      <c r="NL4" s="1114"/>
      <c r="NM4" s="1114"/>
      <c r="NN4" s="1114"/>
      <c r="NO4" s="1114"/>
      <c r="NP4" s="1114"/>
      <c r="NQ4" s="1114"/>
      <c r="NR4" s="1114"/>
      <c r="NS4" s="1114"/>
      <c r="NT4" s="1114"/>
      <c r="NU4" s="1114"/>
      <c r="NV4" s="1114"/>
      <c r="NW4" s="1114"/>
      <c r="NX4" s="1114"/>
      <c r="NY4" s="1114"/>
      <c r="NZ4" s="1114"/>
      <c r="OA4" s="1114"/>
      <c r="OB4" s="1114"/>
      <c r="OC4" s="1114"/>
      <c r="OD4" s="1114"/>
      <c r="OE4" s="1114"/>
      <c r="OF4" s="1114"/>
      <c r="OG4" s="1114"/>
      <c r="OH4" s="1114"/>
      <c r="OI4" s="1114"/>
      <c r="OJ4" s="1114"/>
      <c r="OK4" s="1114"/>
      <c r="OL4" s="1114"/>
      <c r="OM4" s="1114"/>
      <c r="ON4" s="1114"/>
      <c r="OO4" s="1114"/>
      <c r="OP4" s="1114"/>
      <c r="OQ4" s="1114"/>
      <c r="OR4" s="1114"/>
      <c r="OS4" s="1114"/>
      <c r="OT4" s="1114"/>
      <c r="OU4" s="1114"/>
      <c r="OV4" s="1114"/>
      <c r="OW4" s="1114"/>
      <c r="OX4" s="1114"/>
      <c r="OY4" s="1114"/>
      <c r="OZ4" s="1114"/>
      <c r="PA4" s="1114"/>
      <c r="PB4" s="1114"/>
      <c r="PC4" s="1114"/>
      <c r="PD4" s="1114"/>
      <c r="PE4" s="1114"/>
      <c r="PF4" s="1114"/>
      <c r="PG4" s="1114"/>
      <c r="PH4" s="1114"/>
      <c r="PI4" s="1114"/>
      <c r="PJ4" s="1114"/>
      <c r="PK4" s="1114"/>
      <c r="PL4" s="1114"/>
      <c r="PM4" s="1114"/>
      <c r="PN4" s="1114"/>
      <c r="PO4" s="1114"/>
      <c r="PP4" s="1114"/>
      <c r="PQ4" s="1114"/>
      <c r="PR4" s="1114"/>
      <c r="PS4" s="1114"/>
      <c r="PT4" s="1114"/>
      <c r="PU4" s="1114"/>
      <c r="PV4" s="1114"/>
      <c r="PW4" s="1114"/>
      <c r="PX4" s="1114"/>
      <c r="PY4" s="1114"/>
      <c r="PZ4" s="1114"/>
      <c r="QA4" s="1114"/>
      <c r="QB4" s="1114"/>
      <c r="QC4" s="1114"/>
      <c r="QD4" s="1114"/>
      <c r="QE4" s="1114"/>
      <c r="QF4" s="1114"/>
      <c r="QG4" s="1114"/>
      <c r="QH4" s="1114"/>
      <c r="QI4" s="1114"/>
      <c r="QJ4" s="1114"/>
      <c r="QK4" s="1114"/>
      <c r="QL4" s="1114"/>
      <c r="QM4" s="1114"/>
      <c r="QN4" s="1114"/>
      <c r="QO4" s="1114"/>
      <c r="QP4" s="1114"/>
      <c r="QQ4" s="1114"/>
      <c r="QR4" s="1114"/>
      <c r="QS4" s="1114"/>
      <c r="QT4" s="1114"/>
      <c r="QU4" s="1114"/>
      <c r="QV4" s="1114"/>
      <c r="QW4" s="1114"/>
      <c r="QX4" s="1114"/>
      <c r="QY4" s="1114"/>
      <c r="QZ4" s="1114"/>
      <c r="RA4" s="1114"/>
      <c r="RB4" s="1114"/>
      <c r="RC4" s="1114"/>
      <c r="RD4" s="1114"/>
      <c r="RE4" s="1114"/>
      <c r="RF4" s="1114"/>
      <c r="RG4" s="1114"/>
      <c r="RH4" s="1114"/>
      <c r="RI4" s="1114"/>
      <c r="RJ4" s="1114"/>
      <c r="RK4" s="1114"/>
      <c r="RL4" s="1114"/>
      <c r="RM4" s="1114"/>
      <c r="RN4" s="1114"/>
      <c r="RO4" s="1114"/>
      <c r="RP4" s="1114"/>
      <c r="RQ4" s="1114"/>
      <c r="RR4" s="1114"/>
      <c r="RS4" s="1114"/>
      <c r="RT4" s="1114"/>
      <c r="RU4" s="1114"/>
      <c r="RV4" s="1114"/>
      <c r="RW4" s="1114"/>
      <c r="RX4" s="1114"/>
      <c r="RY4" s="1114"/>
      <c r="RZ4" s="1114"/>
      <c r="SA4" s="1114"/>
      <c r="SB4" s="1114"/>
      <c r="SC4" s="1114"/>
      <c r="SD4" s="1114"/>
      <c r="SE4" s="1114"/>
      <c r="SF4" s="1114"/>
      <c r="SG4" s="1114"/>
      <c r="SH4" s="1114"/>
      <c r="SI4" s="1114"/>
      <c r="SJ4" s="1114"/>
      <c r="SK4" s="1114"/>
      <c r="SL4" s="1114"/>
      <c r="SM4" s="1114"/>
      <c r="SN4" s="1114"/>
      <c r="SO4" s="1114"/>
      <c r="SP4" s="1114"/>
      <c r="SQ4" s="1114"/>
      <c r="SR4" s="1114"/>
      <c r="SS4" s="1114"/>
      <c r="ST4" s="1114"/>
      <c r="SU4" s="1114"/>
      <c r="SV4" s="1114"/>
      <c r="SW4" s="1114"/>
      <c r="SX4" s="1114"/>
      <c r="SY4" s="1114"/>
      <c r="SZ4" s="1114"/>
      <c r="TA4" s="1114"/>
      <c r="TB4" s="1114"/>
      <c r="TC4" s="1114"/>
      <c r="TD4" s="1114"/>
      <c r="TE4" s="1114"/>
      <c r="TF4" s="1114"/>
      <c r="TG4" s="1114"/>
      <c r="TH4" s="1114"/>
      <c r="TI4" s="1114"/>
      <c r="TJ4" s="1114"/>
      <c r="TK4" s="1114"/>
      <c r="TL4" s="1114"/>
      <c r="TM4" s="1114"/>
      <c r="TN4" s="1114"/>
      <c r="TO4" s="1114"/>
      <c r="TP4" s="1114"/>
      <c r="TQ4" s="1114"/>
      <c r="TR4" s="1114"/>
      <c r="TS4" s="1114"/>
      <c r="TT4" s="1114"/>
      <c r="TU4" s="1114"/>
      <c r="TV4" s="1114"/>
      <c r="TW4" s="1114"/>
      <c r="TX4" s="1114"/>
      <c r="TY4" s="1114"/>
      <c r="TZ4" s="1114"/>
      <c r="UA4" s="1114"/>
      <c r="UB4" s="1114"/>
      <c r="UC4" s="1114"/>
      <c r="UD4" s="1114"/>
      <c r="UE4" s="1114"/>
      <c r="UF4" s="1114"/>
      <c r="UG4" s="1114"/>
      <c r="UH4" s="1114"/>
      <c r="UI4" s="1114"/>
      <c r="UJ4" s="1114"/>
      <c r="UK4" s="1114"/>
      <c r="UL4" s="1114"/>
      <c r="UM4" s="1114"/>
      <c r="UN4" s="1114"/>
      <c r="UO4" s="1114"/>
      <c r="UP4" s="1114"/>
      <c r="UQ4" s="1114"/>
      <c r="UR4" s="1114"/>
      <c r="US4" s="1114"/>
      <c r="UT4" s="1114"/>
      <c r="UU4" s="1114"/>
      <c r="UV4" s="1114"/>
      <c r="UW4" s="1114"/>
      <c r="UX4" s="1114"/>
      <c r="UY4" s="1114"/>
      <c r="UZ4" s="1114"/>
      <c r="VA4" s="1114"/>
      <c r="VB4" s="1114"/>
      <c r="VC4" s="1114"/>
      <c r="VD4" s="1114"/>
      <c r="VE4" s="1114"/>
      <c r="VF4" s="1114"/>
      <c r="VG4" s="1114"/>
      <c r="VH4" s="1114"/>
      <c r="VI4" s="1114"/>
      <c r="VJ4" s="1114"/>
      <c r="VK4" s="1114"/>
      <c r="VL4" s="1114"/>
      <c r="VM4" s="1114"/>
      <c r="VN4" s="1114"/>
      <c r="VO4" s="1114"/>
      <c r="VP4" s="1114"/>
      <c r="VQ4" s="1114"/>
      <c r="VR4" s="1114"/>
      <c r="VS4" s="1114"/>
      <c r="VT4" s="1114"/>
      <c r="VU4" s="1114"/>
      <c r="VV4" s="1114"/>
      <c r="VW4" s="1114"/>
      <c r="VX4" s="1114"/>
      <c r="VY4" s="1114"/>
      <c r="VZ4" s="1114"/>
      <c r="WA4" s="1114"/>
      <c r="WB4" s="1114"/>
      <c r="WC4" s="1114"/>
      <c r="WD4" s="1114"/>
      <c r="WE4" s="1114"/>
      <c r="WF4" s="1114"/>
      <c r="WG4" s="1114"/>
      <c r="WH4" s="1114"/>
      <c r="WI4" s="1114"/>
      <c r="WJ4" s="1114"/>
      <c r="WK4" s="1114"/>
      <c r="WL4" s="1114"/>
      <c r="WM4" s="1114"/>
      <c r="WN4" s="1114"/>
      <c r="WO4" s="1114"/>
      <c r="WP4" s="1114"/>
      <c r="WQ4" s="1114"/>
      <c r="WR4" s="1114"/>
      <c r="WS4" s="1114"/>
      <c r="WT4" s="1114"/>
      <c r="WU4" s="1114"/>
      <c r="WV4" s="1114"/>
      <c r="WW4" s="1114"/>
      <c r="WX4" s="1114"/>
      <c r="WY4" s="1114"/>
      <c r="WZ4" s="1114"/>
      <c r="XA4" s="1114"/>
      <c r="XB4" s="1114"/>
      <c r="XC4" s="1114"/>
      <c r="XD4" s="1114"/>
      <c r="XE4" s="1114"/>
      <c r="XF4" s="1114"/>
      <c r="XG4" s="1114"/>
      <c r="XH4" s="1114"/>
      <c r="XI4" s="1114"/>
      <c r="XJ4" s="1114"/>
      <c r="XK4" s="1114"/>
      <c r="XL4" s="1114"/>
      <c r="XM4" s="1114"/>
      <c r="XN4" s="1114"/>
      <c r="XO4" s="1114"/>
      <c r="XP4" s="1114"/>
      <c r="XQ4" s="1114"/>
      <c r="XR4" s="1114"/>
      <c r="XS4" s="1114"/>
      <c r="XT4" s="1114"/>
      <c r="XU4" s="1114"/>
      <c r="XV4" s="1114"/>
      <c r="XW4" s="1114"/>
      <c r="XX4" s="1114"/>
      <c r="XY4" s="1114"/>
      <c r="XZ4" s="1114"/>
      <c r="YA4" s="1114"/>
      <c r="YB4" s="1114"/>
      <c r="YC4" s="1114"/>
      <c r="YD4" s="1114"/>
      <c r="YE4" s="1114"/>
      <c r="YF4" s="1114"/>
      <c r="YG4" s="1114"/>
      <c r="YH4" s="1114"/>
      <c r="YI4" s="1114"/>
      <c r="YJ4" s="1114"/>
      <c r="YK4" s="1114"/>
      <c r="YL4" s="1114"/>
      <c r="YM4" s="1114"/>
      <c r="YN4" s="1114"/>
      <c r="YO4" s="1114"/>
      <c r="YP4" s="1114"/>
      <c r="YQ4" s="1114"/>
      <c r="YR4" s="1114"/>
      <c r="YS4" s="1114"/>
      <c r="YT4" s="1114"/>
      <c r="YU4" s="1114"/>
      <c r="YV4" s="1114"/>
      <c r="YW4" s="1114"/>
      <c r="YX4" s="1114"/>
      <c r="YY4" s="1114"/>
      <c r="YZ4" s="1114"/>
      <c r="ZA4" s="1114"/>
      <c r="ZB4" s="1114"/>
      <c r="ZC4" s="1114"/>
      <c r="ZD4" s="1114"/>
      <c r="ZE4" s="1114"/>
      <c r="ZF4" s="1114"/>
      <c r="ZG4" s="1114"/>
      <c r="ZH4" s="1114"/>
      <c r="ZI4" s="1114"/>
      <c r="ZJ4" s="1114"/>
      <c r="ZK4" s="1114"/>
      <c r="ZL4" s="1114"/>
      <c r="ZM4" s="1114"/>
      <c r="ZN4" s="1114"/>
      <c r="ZO4" s="1114"/>
      <c r="ZP4" s="1114"/>
      <c r="ZQ4" s="1114"/>
      <c r="ZR4" s="1114"/>
      <c r="ZS4" s="1114"/>
      <c r="ZT4" s="1114"/>
      <c r="ZU4" s="1114"/>
      <c r="ZV4" s="1114"/>
      <c r="ZW4" s="1114"/>
      <c r="ZX4" s="1114"/>
      <c r="ZY4" s="1114"/>
      <c r="ZZ4" s="1114"/>
      <c r="AAA4" s="1114"/>
      <c r="AAB4" s="1114"/>
      <c r="AAC4" s="1114"/>
      <c r="AAD4" s="1114"/>
      <c r="AAE4" s="1114"/>
      <c r="AAF4" s="1114"/>
      <c r="AAG4" s="1114"/>
      <c r="AAH4" s="1114"/>
      <c r="AAI4" s="1114"/>
      <c r="AAJ4" s="1114"/>
      <c r="AAK4" s="1114"/>
      <c r="AAL4" s="1114"/>
      <c r="AAM4" s="1114"/>
      <c r="AAN4" s="1114"/>
      <c r="AAO4" s="1114"/>
      <c r="AAP4" s="1114"/>
      <c r="AAQ4" s="1114"/>
      <c r="AAR4" s="1114"/>
      <c r="AAS4" s="1114"/>
      <c r="AAT4" s="1114"/>
      <c r="AAU4" s="1114"/>
      <c r="AAV4" s="1114"/>
      <c r="AAW4" s="1114"/>
      <c r="AAX4" s="1114"/>
      <c r="AAY4" s="1114"/>
      <c r="AAZ4" s="1114"/>
      <c r="ABA4" s="1114"/>
      <c r="ABB4" s="1114"/>
      <c r="ABC4" s="1114"/>
      <c r="ABD4" s="1114"/>
      <c r="ABE4" s="1114"/>
      <c r="ABF4" s="1114"/>
      <c r="ABG4" s="1114"/>
      <c r="ABH4" s="1114"/>
      <c r="ABI4" s="1114"/>
      <c r="ABJ4" s="1114"/>
      <c r="ABK4" s="1114"/>
      <c r="ABL4" s="1114"/>
      <c r="ABM4" s="1114"/>
      <c r="ABN4" s="1114"/>
      <c r="ABO4" s="1114"/>
      <c r="ABP4" s="1114"/>
      <c r="ABQ4" s="1114"/>
      <c r="ABR4" s="1114"/>
      <c r="ABS4" s="1114"/>
      <c r="ABT4" s="1114"/>
      <c r="ABU4" s="1114"/>
      <c r="ABV4" s="1114"/>
      <c r="ABW4" s="1114"/>
      <c r="ABX4" s="1114"/>
      <c r="ABY4" s="1114"/>
      <c r="ABZ4" s="1114"/>
      <c r="ACA4" s="1114"/>
      <c r="ACB4" s="1114"/>
      <c r="ACC4" s="1114"/>
      <c r="ACD4" s="1114"/>
      <c r="ACE4" s="1114"/>
      <c r="ACF4" s="1114"/>
      <c r="ACG4" s="1114"/>
      <c r="ACH4" s="1114"/>
      <c r="ACI4" s="1114"/>
      <c r="ACJ4" s="1114"/>
      <c r="ACK4" s="1114"/>
      <c r="ACL4" s="1114"/>
      <c r="ACM4" s="1114"/>
      <c r="ACN4" s="1114"/>
      <c r="ACO4" s="1114"/>
      <c r="ACP4" s="1114"/>
      <c r="ACQ4" s="1114"/>
      <c r="ACR4" s="1114"/>
      <c r="ACS4" s="1114"/>
      <c r="ACT4" s="1114"/>
      <c r="ACU4" s="1114"/>
      <c r="ACV4" s="1114"/>
      <c r="ACW4" s="1114"/>
      <c r="ACX4" s="1114"/>
      <c r="ACY4" s="1114"/>
      <c r="ACZ4" s="1114"/>
      <c r="ADA4" s="1114"/>
      <c r="ADB4" s="1114"/>
      <c r="ADC4" s="1114"/>
      <c r="ADD4" s="1114"/>
      <c r="ADE4" s="1114"/>
      <c r="ADF4" s="1114"/>
      <c r="ADG4" s="1114"/>
      <c r="ADH4" s="1114"/>
      <c r="ADI4" s="1114"/>
      <c r="ADJ4" s="1114"/>
      <c r="ADK4" s="1114"/>
      <c r="ADL4" s="1114"/>
      <c r="ADM4" s="1114"/>
      <c r="ADN4" s="1114"/>
      <c r="ADO4" s="1114"/>
      <c r="ADP4" s="1114"/>
      <c r="ADQ4" s="1114"/>
      <c r="ADR4" s="1114"/>
      <c r="ADS4" s="1114"/>
      <c r="ADT4" s="1114"/>
      <c r="ADU4" s="1114"/>
      <c r="ADV4" s="1114"/>
      <c r="ADW4" s="1114"/>
      <c r="ADX4" s="1114"/>
      <c r="ADY4" s="1114"/>
      <c r="ADZ4" s="1114"/>
      <c r="AEA4" s="1114"/>
      <c r="AEB4" s="1114"/>
      <c r="AEC4" s="1114"/>
      <c r="AED4" s="1114"/>
      <c r="AEE4" s="1114"/>
      <c r="AEF4" s="1114"/>
      <c r="AEG4" s="1114"/>
      <c r="AEH4" s="1114"/>
      <c r="AEI4" s="1114"/>
      <c r="AEJ4" s="1114"/>
      <c r="AEK4" s="1114"/>
      <c r="AEL4" s="1114"/>
      <c r="AEM4" s="1114"/>
      <c r="AEN4" s="1114"/>
      <c r="AEO4" s="1114"/>
      <c r="AEP4" s="1114"/>
      <c r="AEQ4" s="1114"/>
      <c r="AER4" s="1114"/>
      <c r="AES4" s="1114"/>
      <c r="AET4" s="1114"/>
      <c r="AEU4" s="1114"/>
      <c r="AEV4" s="1114"/>
      <c r="AEW4" s="1114"/>
      <c r="AEX4" s="1114"/>
      <c r="AEY4" s="1114"/>
      <c r="AEZ4" s="1114"/>
      <c r="AFA4" s="1114"/>
      <c r="AFB4" s="1114"/>
      <c r="AFC4" s="1114"/>
      <c r="AFD4" s="1114"/>
      <c r="AFE4" s="1114"/>
      <c r="AFF4" s="1114"/>
      <c r="AFG4" s="1114"/>
      <c r="AFH4" s="1114"/>
      <c r="AFI4" s="1114"/>
      <c r="AFJ4" s="1114"/>
      <c r="AFK4" s="1114"/>
      <c r="AFL4" s="1114"/>
      <c r="AFM4" s="1114"/>
      <c r="AFN4" s="1114"/>
      <c r="AFO4" s="1114"/>
      <c r="AFP4" s="1114"/>
      <c r="AFQ4" s="1114"/>
      <c r="AFR4" s="1114"/>
      <c r="AFS4" s="1114"/>
      <c r="AFT4" s="1114"/>
      <c r="AFU4" s="1114"/>
      <c r="AFV4" s="1114"/>
      <c r="AFW4" s="1114"/>
      <c r="AFX4" s="1114"/>
      <c r="AFY4" s="1114"/>
      <c r="AFZ4" s="1114"/>
      <c r="AGA4" s="1114"/>
      <c r="AGB4" s="1114"/>
      <c r="AGC4" s="1114"/>
      <c r="AGD4" s="1114"/>
      <c r="AGE4" s="1114"/>
      <c r="AGF4" s="1114"/>
      <c r="AGG4" s="1114"/>
      <c r="AGH4" s="1114"/>
      <c r="AGI4" s="1114"/>
      <c r="AGJ4" s="1114"/>
      <c r="AGK4" s="1114"/>
      <c r="AGL4" s="1114"/>
      <c r="AGM4" s="1114"/>
      <c r="AGN4" s="1114"/>
      <c r="AGO4" s="1114"/>
      <c r="AGP4" s="1114"/>
      <c r="AGQ4" s="1114"/>
      <c r="AGR4" s="1114"/>
      <c r="AGS4" s="1114"/>
      <c r="AGT4" s="1114"/>
      <c r="AGU4" s="1114"/>
      <c r="AGV4" s="1114"/>
      <c r="AGW4" s="1114"/>
      <c r="AGX4" s="1114"/>
      <c r="AGY4" s="1114"/>
      <c r="AGZ4" s="1114"/>
      <c r="AHA4" s="1114"/>
      <c r="AHB4" s="1114"/>
      <c r="AHC4" s="1114"/>
      <c r="AHD4" s="1114"/>
      <c r="AHE4" s="1114"/>
      <c r="AHF4" s="1114"/>
      <c r="AHG4" s="1114"/>
      <c r="AHH4" s="1114"/>
      <c r="AHI4" s="1114"/>
      <c r="AHJ4" s="1114"/>
      <c r="AHK4" s="1114"/>
      <c r="AHL4" s="1114"/>
      <c r="AHM4" s="1114"/>
      <c r="AHN4" s="1114"/>
      <c r="AHO4" s="1114"/>
      <c r="AHP4" s="1114"/>
      <c r="AHQ4" s="1114"/>
      <c r="AHR4" s="1114"/>
      <c r="AHS4" s="1114"/>
      <c r="AHT4" s="1114"/>
      <c r="AHU4" s="1114"/>
      <c r="AHV4" s="1114"/>
      <c r="AHW4" s="1114"/>
      <c r="AHX4" s="1114"/>
      <c r="AHY4" s="1114"/>
      <c r="AHZ4" s="1114"/>
      <c r="AIA4" s="1114"/>
      <c r="AIB4" s="1114"/>
      <c r="AIC4" s="1114"/>
      <c r="AID4" s="1114"/>
      <c r="AIE4" s="1114"/>
      <c r="AIF4" s="1114"/>
      <c r="AIG4" s="1114"/>
      <c r="AIH4" s="1114"/>
      <c r="AII4" s="1114"/>
      <c r="AIJ4" s="1114"/>
      <c r="AIK4" s="1114"/>
      <c r="AIL4" s="1114"/>
      <c r="AIM4" s="1114"/>
      <c r="AIN4" s="1114"/>
      <c r="AIO4" s="1114"/>
      <c r="AIP4" s="1114"/>
      <c r="AIQ4" s="1114"/>
      <c r="AIR4" s="1114"/>
      <c r="AIS4" s="1114"/>
      <c r="AIT4" s="1114"/>
      <c r="AIU4" s="1114"/>
      <c r="AIV4" s="1114"/>
      <c r="AIW4" s="1114"/>
      <c r="AIX4" s="1114"/>
      <c r="AIY4" s="1114"/>
      <c r="AIZ4" s="1114"/>
      <c r="AJA4" s="1114"/>
      <c r="AJB4" s="1114"/>
      <c r="AJC4" s="1114"/>
      <c r="AJD4" s="1114"/>
      <c r="AJE4" s="1114"/>
      <c r="AJF4" s="1114"/>
      <c r="AJG4" s="1114"/>
      <c r="AJH4" s="1114"/>
      <c r="AJI4" s="1114"/>
      <c r="AJJ4" s="1114"/>
      <c r="AJK4" s="1114"/>
      <c r="AJL4" s="1114"/>
      <c r="AJM4" s="1114"/>
      <c r="AJN4" s="1114"/>
      <c r="AJO4" s="1114"/>
      <c r="AJP4" s="1114"/>
      <c r="AJQ4" s="1114"/>
      <c r="AJR4" s="1114"/>
      <c r="AJS4" s="1114"/>
      <c r="AJT4" s="1114"/>
      <c r="AJU4" s="1114"/>
      <c r="AJV4" s="1114"/>
      <c r="AJW4" s="1114"/>
      <c r="AJX4" s="1114"/>
      <c r="AJY4" s="1114"/>
      <c r="AJZ4" s="1114"/>
      <c r="AKA4" s="1114"/>
      <c r="AKB4" s="1114"/>
      <c r="AKC4" s="1114"/>
      <c r="AKD4" s="1114"/>
      <c r="AKE4" s="1114"/>
      <c r="AKF4" s="1114"/>
      <c r="AKG4" s="1114"/>
      <c r="AKH4" s="1114"/>
      <c r="AKI4" s="1114"/>
      <c r="AKJ4" s="1114"/>
      <c r="AKK4" s="1114"/>
      <c r="AKL4" s="1114"/>
      <c r="AKM4" s="1114"/>
      <c r="AKN4" s="1114"/>
      <c r="AKO4" s="1114"/>
      <c r="AKP4" s="1114"/>
      <c r="AKQ4" s="1114"/>
      <c r="AKR4" s="1114"/>
      <c r="AKS4" s="1114"/>
      <c r="AKT4" s="1114"/>
      <c r="AKU4" s="1114"/>
      <c r="AKV4" s="1114"/>
      <c r="AKW4" s="1114"/>
      <c r="AKX4" s="1114"/>
      <c r="AKY4" s="1114"/>
      <c r="AKZ4" s="1114"/>
      <c r="ALA4" s="1114"/>
      <c r="ALB4" s="1114"/>
      <c r="ALC4" s="1114"/>
      <c r="ALD4" s="1114"/>
      <c r="ALE4" s="1114"/>
      <c r="ALF4" s="1114"/>
      <c r="ALG4" s="1114"/>
      <c r="ALH4" s="1114"/>
      <c r="ALI4" s="1114"/>
      <c r="ALJ4" s="1114"/>
      <c r="ALK4" s="1114"/>
      <c r="ALL4" s="1114"/>
      <c r="ALM4" s="1114"/>
      <c r="ALN4" s="1114"/>
      <c r="ALO4" s="1114"/>
      <c r="ALP4" s="1114"/>
      <c r="ALQ4" s="1114"/>
      <c r="ALR4" s="1114"/>
      <c r="ALS4" s="1114"/>
      <c r="ALT4" s="1114"/>
      <c r="ALU4" s="1114"/>
      <c r="ALV4" s="1114"/>
      <c r="ALW4" s="1114"/>
      <c r="ALX4" s="1114"/>
      <c r="ALY4" s="1114"/>
      <c r="ALZ4" s="1114"/>
      <c r="AMA4" s="1114"/>
      <c r="AMB4" s="1114"/>
      <c r="AMC4" s="1114"/>
      <c r="AMD4" s="1114"/>
      <c r="AME4" s="1114"/>
      <c r="AMF4" s="1114"/>
      <c r="AMG4" s="1114"/>
      <c r="AMH4" s="1114"/>
      <c r="AMI4" s="1114"/>
      <c r="AMJ4" s="1114"/>
      <c r="AMK4" s="1114"/>
      <c r="AML4" s="1114"/>
      <c r="AMM4" s="1114"/>
      <c r="AMN4" s="1114"/>
      <c r="AMO4" s="1114"/>
      <c r="AMP4" s="1114"/>
      <c r="AMQ4" s="1114"/>
      <c r="AMR4" s="1114"/>
      <c r="AMS4" s="1114"/>
      <c r="AMT4" s="1114"/>
      <c r="AMU4" s="1114"/>
      <c r="AMV4" s="1114"/>
      <c r="AMW4" s="1114"/>
      <c r="AMX4" s="1114"/>
      <c r="AMY4" s="1114"/>
      <c r="AMZ4" s="1114"/>
      <c r="ANA4" s="1114"/>
      <c r="ANB4" s="1114"/>
      <c r="ANC4" s="1114"/>
      <c r="AND4" s="1114"/>
      <c r="ANE4" s="1114"/>
      <c r="ANF4" s="1114"/>
      <c r="ANG4" s="1114"/>
      <c r="ANH4" s="1114"/>
      <c r="ANI4" s="1114"/>
      <c r="ANJ4" s="1114"/>
      <c r="ANK4" s="1114"/>
      <c r="ANL4" s="1114"/>
      <c r="ANM4" s="1114"/>
      <c r="ANN4" s="1114"/>
      <c r="ANO4" s="1114"/>
      <c r="ANP4" s="1114"/>
      <c r="ANQ4" s="1114"/>
      <c r="ANR4" s="1114"/>
      <c r="ANS4" s="1114"/>
      <c r="ANT4" s="1114"/>
      <c r="ANU4" s="1114"/>
      <c r="ANV4" s="1114"/>
      <c r="ANW4" s="1114"/>
      <c r="ANX4" s="1114"/>
      <c r="ANY4" s="1114"/>
      <c r="ANZ4" s="1114"/>
      <c r="AOA4" s="1114"/>
      <c r="AOB4" s="1114"/>
      <c r="AOC4" s="1114"/>
      <c r="AOD4" s="1114"/>
      <c r="AOE4" s="1114"/>
      <c r="AOF4" s="1114"/>
      <c r="AOG4" s="1114"/>
      <c r="AOH4" s="1114"/>
      <c r="AOI4" s="1114"/>
      <c r="AOJ4" s="1114"/>
      <c r="AOK4" s="1114"/>
      <c r="AOL4" s="1114"/>
      <c r="AOM4" s="1114"/>
      <c r="AON4" s="1114"/>
      <c r="AOO4" s="1114"/>
      <c r="AOP4" s="1114"/>
      <c r="AOQ4" s="1114"/>
      <c r="AOR4" s="1114"/>
      <c r="AOS4" s="1114"/>
      <c r="AOT4" s="1114"/>
      <c r="AOU4" s="1114"/>
      <c r="AOV4" s="1114"/>
      <c r="AOW4" s="1114"/>
      <c r="AOX4" s="1114"/>
      <c r="AOY4" s="1114"/>
      <c r="AOZ4" s="1114"/>
      <c r="APA4" s="1114"/>
      <c r="APB4" s="1114"/>
      <c r="APC4" s="1114"/>
      <c r="APD4" s="1114"/>
      <c r="APE4" s="1114"/>
      <c r="APF4" s="1114"/>
      <c r="APG4" s="1114"/>
      <c r="APH4" s="1114"/>
      <c r="API4" s="1114"/>
      <c r="APJ4" s="1114"/>
      <c r="APK4" s="1114"/>
      <c r="APL4" s="1114"/>
      <c r="APM4" s="1114"/>
      <c r="APN4" s="1114"/>
      <c r="APO4" s="1114"/>
      <c r="APP4" s="1114"/>
      <c r="APQ4" s="1114"/>
      <c r="APR4" s="1114"/>
      <c r="APS4" s="1114"/>
      <c r="APT4" s="1114"/>
      <c r="APU4" s="1114"/>
      <c r="APV4" s="1114"/>
      <c r="APW4" s="1114"/>
      <c r="APX4" s="1114"/>
      <c r="APY4" s="1114"/>
      <c r="APZ4" s="1114"/>
      <c r="AQA4" s="1114"/>
      <c r="AQB4" s="1114"/>
      <c r="AQC4" s="1114"/>
      <c r="AQD4" s="1114"/>
      <c r="AQE4" s="1114"/>
      <c r="AQF4" s="1114"/>
      <c r="AQG4" s="1114"/>
      <c r="AQH4" s="1114"/>
      <c r="AQI4" s="1114"/>
      <c r="AQJ4" s="1114"/>
      <c r="AQK4" s="1114"/>
      <c r="AQL4" s="1114"/>
      <c r="AQM4" s="1114"/>
      <c r="AQN4" s="1114"/>
      <c r="AQO4" s="1114"/>
      <c r="AQP4" s="1114"/>
      <c r="AQQ4" s="1114"/>
      <c r="AQR4" s="1114"/>
      <c r="AQS4" s="1114"/>
      <c r="AQT4" s="1114"/>
      <c r="AQU4" s="1114"/>
      <c r="AQV4" s="1114"/>
      <c r="AQW4" s="1114"/>
      <c r="AQX4" s="1114"/>
      <c r="AQY4" s="1114"/>
      <c r="AQZ4" s="1114"/>
      <c r="ARA4" s="1114"/>
      <c r="ARB4" s="1114"/>
      <c r="ARC4" s="1114"/>
      <c r="ARD4" s="1114"/>
      <c r="ARE4" s="1114"/>
      <c r="ARF4" s="1114"/>
      <c r="ARG4" s="1114"/>
      <c r="ARH4" s="1114"/>
      <c r="ARI4" s="1114"/>
      <c r="ARJ4" s="1114"/>
      <c r="ARK4" s="1114"/>
      <c r="ARL4" s="1114"/>
      <c r="ARM4" s="1114"/>
      <c r="ARN4" s="1114"/>
      <c r="ARO4" s="1114"/>
      <c r="ARP4" s="1114"/>
      <c r="ARQ4" s="1114"/>
      <c r="ARR4" s="1114"/>
      <c r="ARS4" s="1114"/>
      <c r="ART4" s="1114"/>
      <c r="ARU4" s="1114"/>
      <c r="ARV4" s="1114"/>
      <c r="ARW4" s="1114"/>
      <c r="ARX4" s="1114"/>
      <c r="ARY4" s="1114"/>
      <c r="ARZ4" s="1114"/>
      <c r="ASA4" s="1114"/>
      <c r="ASB4" s="1114"/>
      <c r="ASC4" s="1114"/>
      <c r="ASD4" s="1114"/>
      <c r="ASE4" s="1114"/>
      <c r="ASF4" s="1114"/>
      <c r="ASG4" s="1114"/>
      <c r="ASH4" s="1114"/>
      <c r="ASI4" s="1114"/>
      <c r="ASJ4" s="1114"/>
      <c r="ASK4" s="1114"/>
      <c r="ASL4" s="1114"/>
      <c r="ASM4" s="1114"/>
      <c r="ASN4" s="1114"/>
      <c r="ASO4" s="1114"/>
      <c r="ASP4" s="1114"/>
      <c r="ASQ4" s="1114"/>
      <c r="ASR4" s="1114"/>
      <c r="ASS4" s="1114"/>
      <c r="AST4" s="1114"/>
      <c r="ASU4" s="1114"/>
      <c r="ASV4" s="1114"/>
      <c r="ASW4" s="1114"/>
      <c r="ASX4" s="1114"/>
      <c r="ASY4" s="1114"/>
      <c r="ASZ4" s="1114"/>
      <c r="ATA4" s="1114"/>
      <c r="ATB4" s="1114"/>
      <c r="ATC4" s="1114"/>
      <c r="ATD4" s="1114"/>
      <c r="ATE4" s="1114"/>
      <c r="ATF4" s="1114"/>
      <c r="ATG4" s="1114"/>
      <c r="ATH4" s="1114"/>
      <c r="ATI4" s="1114"/>
      <c r="ATJ4" s="1114"/>
      <c r="ATK4" s="1114"/>
      <c r="ATL4" s="1114"/>
      <c r="ATM4" s="1114"/>
      <c r="ATN4" s="1114"/>
      <c r="ATO4" s="1114"/>
      <c r="ATP4" s="1114"/>
      <c r="ATQ4" s="1114"/>
      <c r="ATR4" s="1114"/>
      <c r="ATS4" s="1114"/>
      <c r="ATT4" s="1114"/>
      <c r="ATU4" s="1114"/>
      <c r="ATV4" s="1114"/>
      <c r="ATW4" s="1114"/>
      <c r="ATX4" s="1114"/>
      <c r="ATY4" s="1114"/>
      <c r="ATZ4" s="1114"/>
      <c r="AUA4" s="1114"/>
      <c r="AUB4" s="1114"/>
      <c r="AUC4" s="1114"/>
      <c r="AUD4" s="1114"/>
      <c r="AUE4" s="1114"/>
      <c r="AUF4" s="1114"/>
      <c r="AUG4" s="1114"/>
      <c r="AUH4" s="1114"/>
      <c r="AUI4" s="1114"/>
      <c r="AUJ4" s="1114"/>
      <c r="AUK4" s="1114"/>
      <c r="AUL4" s="1114"/>
      <c r="AUM4" s="1114"/>
      <c r="AUN4" s="1114"/>
      <c r="AUO4" s="1114"/>
      <c r="AUP4" s="1114"/>
      <c r="AUQ4" s="1114"/>
      <c r="AUR4" s="1114"/>
      <c r="AUS4" s="1114"/>
      <c r="AUT4" s="1114"/>
      <c r="AUU4" s="1114"/>
      <c r="AUV4" s="1114"/>
      <c r="AUW4" s="1114"/>
      <c r="AUX4" s="1114"/>
      <c r="AUY4" s="1114"/>
      <c r="AUZ4" s="1114"/>
      <c r="AVA4" s="1114"/>
      <c r="AVB4" s="1114"/>
      <c r="AVC4" s="1114"/>
      <c r="AVD4" s="1114"/>
      <c r="AVE4" s="1114"/>
      <c r="AVF4" s="1114"/>
      <c r="AVG4" s="1114"/>
      <c r="AVH4" s="1114"/>
      <c r="AVI4" s="1114"/>
      <c r="AVJ4" s="1114"/>
      <c r="AVK4" s="1114"/>
      <c r="AVL4" s="1114"/>
      <c r="AVM4" s="1114"/>
      <c r="AVN4" s="1114"/>
      <c r="AVO4" s="1114"/>
      <c r="AVP4" s="1114"/>
      <c r="AVQ4" s="1114"/>
      <c r="AVR4" s="1114"/>
      <c r="AVS4" s="1114"/>
      <c r="AVT4" s="1114"/>
      <c r="AVU4" s="1114"/>
      <c r="AVV4" s="1114"/>
      <c r="AVW4" s="1114"/>
      <c r="AVX4" s="1114"/>
      <c r="AVY4" s="1114"/>
      <c r="AVZ4" s="1114"/>
      <c r="AWA4" s="1114"/>
      <c r="AWB4" s="1114"/>
      <c r="AWC4" s="1114"/>
      <c r="AWD4" s="1114"/>
      <c r="AWE4" s="1114"/>
      <c r="AWF4" s="1114"/>
      <c r="AWG4" s="1114"/>
      <c r="AWH4" s="1114"/>
      <c r="AWI4" s="1114"/>
      <c r="AWJ4" s="1114"/>
      <c r="AWK4" s="1114"/>
      <c r="AWL4" s="1114"/>
      <c r="AWM4" s="1114"/>
      <c r="AWN4" s="1114"/>
      <c r="AWO4" s="1114"/>
      <c r="AWP4" s="1114"/>
      <c r="AWQ4" s="1114"/>
      <c r="AWR4" s="1114"/>
      <c r="AWS4" s="1114"/>
      <c r="AWT4" s="1114"/>
      <c r="AWU4" s="1114"/>
      <c r="AWV4" s="1114"/>
      <c r="AWW4" s="1114"/>
      <c r="AWX4" s="1114"/>
      <c r="AWY4" s="1114"/>
      <c r="AWZ4" s="1114"/>
      <c r="AXA4" s="1114"/>
      <c r="AXB4" s="1114"/>
      <c r="AXC4" s="1114"/>
      <c r="AXD4" s="1114"/>
      <c r="AXE4" s="1114"/>
      <c r="AXF4" s="1114"/>
      <c r="AXG4" s="1114"/>
      <c r="AXH4" s="1114"/>
      <c r="AXI4" s="1114"/>
      <c r="AXJ4" s="1114"/>
      <c r="AXK4" s="1114"/>
      <c r="AXL4" s="1114"/>
      <c r="AXM4" s="1114"/>
      <c r="AXN4" s="1114"/>
      <c r="AXO4" s="1114"/>
      <c r="AXP4" s="1114"/>
      <c r="AXQ4" s="1114"/>
      <c r="AXR4" s="1114"/>
      <c r="AXS4" s="1114"/>
      <c r="AXT4" s="1114"/>
      <c r="AXU4" s="1114"/>
      <c r="AXV4" s="1114"/>
      <c r="AXW4" s="1114"/>
      <c r="AXX4" s="1114"/>
      <c r="AXY4" s="1114"/>
      <c r="AXZ4" s="1114"/>
      <c r="AYA4" s="1114"/>
      <c r="AYB4" s="1114"/>
      <c r="AYC4" s="1114"/>
      <c r="AYD4" s="1114"/>
      <c r="AYE4" s="1114"/>
      <c r="AYF4" s="1114"/>
      <c r="AYG4" s="1114"/>
      <c r="AYH4" s="1114"/>
      <c r="AYI4" s="1114"/>
      <c r="AYJ4" s="1114"/>
      <c r="AYK4" s="1114"/>
      <c r="AYL4" s="1114"/>
      <c r="AYM4" s="1114"/>
      <c r="AYN4" s="1114"/>
      <c r="AYO4" s="1114"/>
      <c r="AYP4" s="1114"/>
      <c r="AYQ4" s="1114"/>
      <c r="AYR4" s="1114"/>
      <c r="AYS4" s="1114"/>
      <c r="AYT4" s="1114"/>
      <c r="AYU4" s="1114"/>
      <c r="AYV4" s="1114"/>
      <c r="AYW4" s="1114"/>
      <c r="AYX4" s="1114"/>
      <c r="AYY4" s="1114"/>
      <c r="AYZ4" s="1114"/>
      <c r="AZA4" s="1114"/>
      <c r="AZB4" s="1114"/>
      <c r="AZC4" s="1114"/>
      <c r="AZD4" s="1114"/>
      <c r="AZE4" s="1114"/>
      <c r="AZF4" s="1114"/>
      <c r="AZG4" s="1114"/>
      <c r="AZH4" s="1114"/>
      <c r="AZI4" s="1114"/>
      <c r="AZJ4" s="1114"/>
      <c r="AZK4" s="1114"/>
      <c r="AZL4" s="1114"/>
      <c r="AZM4" s="1114"/>
      <c r="AZN4" s="1114"/>
      <c r="AZO4" s="1114"/>
      <c r="AZP4" s="1114"/>
      <c r="AZQ4" s="1114"/>
      <c r="AZR4" s="1114"/>
      <c r="AZS4" s="1114"/>
      <c r="AZT4" s="1114"/>
      <c r="AZU4" s="1114"/>
      <c r="AZV4" s="1114"/>
      <c r="AZW4" s="1114"/>
      <c r="AZX4" s="1114"/>
      <c r="AZY4" s="1114"/>
      <c r="AZZ4" s="1114"/>
      <c r="BAA4" s="1114"/>
      <c r="BAB4" s="1114"/>
      <c r="BAC4" s="1114"/>
      <c r="BAD4" s="1114"/>
      <c r="BAE4" s="1114"/>
      <c r="BAF4" s="1114"/>
      <c r="BAG4" s="1114"/>
      <c r="BAH4" s="1114"/>
      <c r="BAI4" s="1114"/>
      <c r="BAJ4" s="1114"/>
      <c r="BAK4" s="1114"/>
      <c r="BAL4" s="1114"/>
      <c r="BAM4" s="1114"/>
      <c r="BAN4" s="1114"/>
      <c r="BAO4" s="1114"/>
      <c r="BAP4" s="1114"/>
      <c r="BAQ4" s="1114"/>
      <c r="BAR4" s="1114"/>
      <c r="BAS4" s="1114"/>
      <c r="BAT4" s="1114"/>
      <c r="BAU4" s="1114"/>
      <c r="BAV4" s="1114"/>
      <c r="BAW4" s="1114"/>
      <c r="BAX4" s="1114"/>
      <c r="BAY4" s="1114"/>
      <c r="BAZ4" s="1114"/>
      <c r="BBA4" s="1114"/>
      <c r="BBB4" s="1114"/>
      <c r="BBC4" s="1114"/>
      <c r="BBD4" s="1114"/>
      <c r="BBE4" s="1114"/>
      <c r="BBF4" s="1114"/>
      <c r="BBG4" s="1114"/>
      <c r="BBH4" s="1114"/>
      <c r="BBI4" s="1114"/>
      <c r="BBJ4" s="1114"/>
      <c r="BBK4" s="1114"/>
      <c r="BBL4" s="1114"/>
      <c r="BBM4" s="1114"/>
      <c r="BBN4" s="1114"/>
      <c r="BBO4" s="1114"/>
      <c r="BBP4" s="1114"/>
      <c r="BBQ4" s="1114"/>
      <c r="BBR4" s="1114"/>
      <c r="BBS4" s="1114"/>
      <c r="BBT4" s="1114"/>
      <c r="BBU4" s="1114"/>
      <c r="BBV4" s="1114"/>
      <c r="BBW4" s="1114"/>
      <c r="BBX4" s="1114"/>
      <c r="BBY4" s="1114"/>
      <c r="BBZ4" s="1114"/>
      <c r="BCA4" s="1114"/>
      <c r="BCB4" s="1114"/>
      <c r="BCC4" s="1114"/>
      <c r="BCD4" s="1114"/>
      <c r="BCE4" s="1114"/>
      <c r="BCF4" s="1114"/>
      <c r="BCG4" s="1114"/>
      <c r="BCH4" s="1114"/>
      <c r="BCI4" s="1114"/>
      <c r="BCJ4" s="1114"/>
      <c r="BCK4" s="1114"/>
      <c r="BCL4" s="1114"/>
      <c r="BCM4" s="1114"/>
      <c r="BCN4" s="1114"/>
      <c r="BCO4" s="1114"/>
      <c r="BCP4" s="1114"/>
      <c r="BCQ4" s="1114"/>
      <c r="BCR4" s="1114"/>
      <c r="BCS4" s="1114"/>
      <c r="BCT4" s="1114"/>
      <c r="BCU4" s="1114"/>
      <c r="BCV4" s="1114"/>
      <c r="BCW4" s="1114"/>
      <c r="BCX4" s="1114"/>
      <c r="BCY4" s="1114"/>
      <c r="BCZ4" s="1114"/>
      <c r="BDA4" s="1114"/>
      <c r="BDB4" s="1114"/>
      <c r="BDC4" s="1114"/>
      <c r="BDD4" s="1114"/>
      <c r="BDE4" s="1114"/>
      <c r="BDF4" s="1114"/>
      <c r="BDG4" s="1114"/>
      <c r="BDH4" s="1114"/>
      <c r="BDI4" s="1114"/>
      <c r="BDJ4" s="1114"/>
      <c r="BDK4" s="1114"/>
      <c r="BDL4" s="1114"/>
      <c r="BDM4" s="1114"/>
      <c r="BDN4" s="1114"/>
      <c r="BDO4" s="1114"/>
      <c r="BDP4" s="1114"/>
      <c r="BDQ4" s="1114"/>
      <c r="BDR4" s="1114"/>
      <c r="BDS4" s="1114"/>
      <c r="BDT4" s="1114"/>
      <c r="BDU4" s="1114"/>
      <c r="BDV4" s="1114"/>
      <c r="BDW4" s="1114"/>
      <c r="BDX4" s="1114"/>
      <c r="BDY4" s="1114"/>
      <c r="BDZ4" s="1114"/>
      <c r="BEA4" s="1114"/>
      <c r="BEB4" s="1114"/>
      <c r="BEC4" s="1114"/>
      <c r="BED4" s="1114"/>
      <c r="BEE4" s="1114"/>
      <c r="BEF4" s="1114"/>
      <c r="BEG4" s="1114"/>
      <c r="BEH4" s="1114"/>
      <c r="BEI4" s="1114"/>
      <c r="BEJ4" s="1114"/>
      <c r="BEK4" s="1114"/>
      <c r="BEL4" s="1114"/>
      <c r="BEM4" s="1114"/>
      <c r="BEN4" s="1114"/>
      <c r="BEO4" s="1114"/>
      <c r="BEP4" s="1114"/>
      <c r="BEQ4" s="1114"/>
      <c r="BER4" s="1114"/>
      <c r="BES4" s="1114"/>
      <c r="BET4" s="1114"/>
      <c r="BEU4" s="1114"/>
      <c r="BEV4" s="1114"/>
      <c r="BEW4" s="1114"/>
      <c r="BEX4" s="1114"/>
      <c r="BEY4" s="1114"/>
      <c r="BEZ4" s="1114"/>
      <c r="BFA4" s="1114"/>
      <c r="BFB4" s="1114"/>
      <c r="BFC4" s="1114"/>
      <c r="BFD4" s="1114"/>
      <c r="BFE4" s="1114"/>
      <c r="BFF4" s="1114"/>
      <c r="BFG4" s="1114"/>
      <c r="BFH4" s="1114"/>
      <c r="BFI4" s="1114"/>
      <c r="BFJ4" s="1114"/>
      <c r="BFK4" s="1114"/>
      <c r="BFL4" s="1114"/>
      <c r="BFM4" s="1114"/>
      <c r="BFN4" s="1114"/>
      <c r="BFO4" s="1114"/>
      <c r="BFP4" s="1114"/>
      <c r="BFQ4" s="1114"/>
      <c r="BFR4" s="1114"/>
      <c r="BFS4" s="1114"/>
      <c r="BFT4" s="1114"/>
      <c r="BFU4" s="1114"/>
      <c r="BFV4" s="1114"/>
      <c r="BFW4" s="1114"/>
      <c r="BFX4" s="1114"/>
      <c r="BFY4" s="1114"/>
      <c r="BFZ4" s="1114"/>
      <c r="BGA4" s="1114"/>
      <c r="BGB4" s="1114"/>
      <c r="BGC4" s="1114"/>
      <c r="BGD4" s="1114"/>
      <c r="BGE4" s="1114"/>
      <c r="BGF4" s="1114"/>
      <c r="BGG4" s="1114"/>
      <c r="BGH4" s="1114"/>
      <c r="BGI4" s="1114"/>
      <c r="BGJ4" s="1114"/>
      <c r="BGK4" s="1114"/>
      <c r="BGL4" s="1114"/>
      <c r="BGM4" s="1114"/>
      <c r="BGN4" s="1114"/>
      <c r="BGO4" s="1114"/>
      <c r="BGP4" s="1114"/>
      <c r="BGQ4" s="1114"/>
      <c r="BGR4" s="1114"/>
      <c r="BGS4" s="1114"/>
      <c r="BGT4" s="1114"/>
      <c r="BGU4" s="1114"/>
      <c r="BGV4" s="1114"/>
      <c r="BGW4" s="1114"/>
      <c r="BGX4" s="1114"/>
      <c r="BGY4" s="1114"/>
      <c r="BGZ4" s="1114"/>
      <c r="BHA4" s="1114"/>
      <c r="BHB4" s="1114"/>
      <c r="BHC4" s="1114"/>
      <c r="BHD4" s="1114"/>
      <c r="BHE4" s="1114"/>
      <c r="BHF4" s="1114"/>
      <c r="BHG4" s="1114"/>
      <c r="BHH4" s="1114"/>
      <c r="BHI4" s="1114"/>
      <c r="BHJ4" s="1114"/>
      <c r="BHK4" s="1114"/>
      <c r="BHL4" s="1114"/>
      <c r="BHM4" s="1114"/>
      <c r="BHN4" s="1114"/>
      <c r="BHO4" s="1114"/>
      <c r="BHP4" s="1114"/>
      <c r="BHQ4" s="1114"/>
      <c r="BHR4" s="1114"/>
      <c r="BHS4" s="1114"/>
      <c r="BHT4" s="1114"/>
      <c r="BHU4" s="1114"/>
      <c r="BHV4" s="1114"/>
      <c r="BHW4" s="1114"/>
      <c r="BHX4" s="1114"/>
      <c r="BHY4" s="1114"/>
      <c r="BHZ4" s="1114"/>
      <c r="BIA4" s="1114"/>
      <c r="BIB4" s="1114"/>
      <c r="BIC4" s="1114"/>
      <c r="BID4" s="1114"/>
      <c r="BIE4" s="1114"/>
      <c r="BIF4" s="1114"/>
      <c r="BIG4" s="1114"/>
      <c r="BIH4" s="1114"/>
      <c r="BII4" s="1114"/>
      <c r="BIJ4" s="1114"/>
      <c r="BIK4" s="1114"/>
      <c r="BIL4" s="1114"/>
      <c r="BIM4" s="1114"/>
      <c r="BIN4" s="1114"/>
      <c r="BIO4" s="1114"/>
      <c r="BIP4" s="1114"/>
      <c r="BIQ4" s="1114"/>
      <c r="BIR4" s="1114"/>
      <c r="BIS4" s="1114"/>
      <c r="BIT4" s="1114"/>
      <c r="BIU4" s="1114"/>
      <c r="BIV4" s="1114"/>
      <c r="BIW4" s="1114"/>
      <c r="BIX4" s="1114"/>
      <c r="BIY4" s="1114"/>
      <c r="BIZ4" s="1114"/>
      <c r="BJA4" s="1114"/>
      <c r="BJB4" s="1114"/>
      <c r="BJC4" s="1114"/>
      <c r="BJD4" s="1114"/>
      <c r="BJE4" s="1114"/>
      <c r="BJF4" s="1114"/>
      <c r="BJG4" s="1114"/>
      <c r="BJH4" s="1114"/>
      <c r="BJI4" s="1114"/>
      <c r="BJJ4" s="1114"/>
      <c r="BJK4" s="1114"/>
      <c r="BJL4" s="1114"/>
      <c r="BJM4" s="1114"/>
      <c r="BJN4" s="1114"/>
      <c r="BJO4" s="1114"/>
      <c r="BJP4" s="1114"/>
      <c r="BJQ4" s="1114"/>
      <c r="BJR4" s="1114"/>
      <c r="BJS4" s="1114"/>
      <c r="BJT4" s="1114"/>
      <c r="BJU4" s="1114"/>
      <c r="BJV4" s="1114"/>
      <c r="BJW4" s="1114"/>
      <c r="BJX4" s="1114"/>
      <c r="BJY4" s="1114"/>
      <c r="BJZ4" s="1114"/>
      <c r="BKA4" s="1114"/>
      <c r="BKB4" s="1114"/>
      <c r="BKC4" s="1114"/>
      <c r="BKD4" s="1114"/>
      <c r="BKE4" s="1114"/>
      <c r="BKF4" s="1114"/>
      <c r="BKG4" s="1114"/>
      <c r="BKH4" s="1114"/>
      <c r="BKI4" s="1114"/>
      <c r="BKJ4" s="1114"/>
      <c r="BKK4" s="1114"/>
      <c r="BKL4" s="1114"/>
      <c r="BKM4" s="1114"/>
      <c r="BKN4" s="1114"/>
      <c r="BKO4" s="1114"/>
      <c r="BKP4" s="1114"/>
      <c r="BKQ4" s="1114"/>
      <c r="BKR4" s="1114"/>
      <c r="BKS4" s="1114"/>
      <c r="BKT4" s="1114"/>
      <c r="BKU4" s="1114"/>
      <c r="BKV4" s="1114"/>
      <c r="BKW4" s="1114"/>
      <c r="BKX4" s="1114"/>
      <c r="BKY4" s="1114"/>
      <c r="BKZ4" s="1114"/>
      <c r="BLA4" s="1114"/>
      <c r="BLB4" s="1114"/>
      <c r="BLC4" s="1114"/>
      <c r="BLD4" s="1114"/>
      <c r="BLE4" s="1114"/>
      <c r="BLF4" s="1114"/>
      <c r="BLG4" s="1114"/>
      <c r="BLH4" s="1114"/>
      <c r="BLI4" s="1114"/>
      <c r="BLJ4" s="1114"/>
      <c r="BLK4" s="1114"/>
      <c r="BLL4" s="1114"/>
      <c r="BLM4" s="1114"/>
      <c r="BLN4" s="1114"/>
      <c r="BLO4" s="1114"/>
      <c r="BLP4" s="1114"/>
      <c r="BLQ4" s="1114"/>
      <c r="BLR4" s="1114"/>
      <c r="BLS4" s="1114"/>
      <c r="BLT4" s="1114"/>
      <c r="BLU4" s="1114"/>
      <c r="BLV4" s="1114"/>
      <c r="BLW4" s="1114"/>
      <c r="BLX4" s="1114"/>
      <c r="BLY4" s="1114"/>
      <c r="BLZ4" s="1114"/>
      <c r="BMA4" s="1114"/>
      <c r="BMB4" s="1114"/>
      <c r="BMC4" s="1114"/>
      <c r="BMD4" s="1114"/>
      <c r="BME4" s="1114"/>
      <c r="BMF4" s="1114"/>
      <c r="BMG4" s="1114"/>
      <c r="BMH4" s="1114"/>
      <c r="BMI4" s="1114"/>
      <c r="BMJ4" s="1114"/>
      <c r="BMK4" s="1114"/>
      <c r="BML4" s="1114"/>
      <c r="BMM4" s="1114"/>
      <c r="BMN4" s="1114"/>
      <c r="BMO4" s="1114"/>
      <c r="BMP4" s="1114"/>
      <c r="BMQ4" s="1114"/>
      <c r="BMR4" s="1114"/>
      <c r="BMS4" s="1114"/>
      <c r="BMT4" s="1114"/>
      <c r="BMU4" s="1114"/>
      <c r="BMV4" s="1114"/>
      <c r="BMW4" s="1114"/>
      <c r="BMX4" s="1114"/>
      <c r="BMY4" s="1114"/>
      <c r="BMZ4" s="1114"/>
      <c r="BNA4" s="1114"/>
      <c r="BNB4" s="1114"/>
      <c r="BNC4" s="1114"/>
      <c r="BND4" s="1114"/>
      <c r="BNE4" s="1114"/>
      <c r="BNF4" s="1114"/>
      <c r="BNG4" s="1114"/>
      <c r="BNH4" s="1114"/>
      <c r="BNI4" s="1114"/>
      <c r="BNJ4" s="1114"/>
      <c r="BNK4" s="1114"/>
      <c r="BNL4" s="1114"/>
      <c r="BNM4" s="1114"/>
      <c r="BNN4" s="1114"/>
      <c r="BNO4" s="1114"/>
      <c r="BNP4" s="1114"/>
      <c r="BNQ4" s="1114"/>
      <c r="BNR4" s="1114"/>
      <c r="BNS4" s="1114"/>
      <c r="BNT4" s="1114"/>
      <c r="BNU4" s="1114"/>
      <c r="BNV4" s="1114"/>
      <c r="BNW4" s="1114"/>
      <c r="BNX4" s="1114"/>
      <c r="BNY4" s="1114"/>
      <c r="BNZ4" s="1114"/>
      <c r="BOA4" s="1114"/>
      <c r="BOB4" s="1114"/>
      <c r="BOC4" s="1114"/>
      <c r="BOD4" s="1114"/>
      <c r="BOE4" s="1114"/>
      <c r="BOF4" s="1114"/>
      <c r="BOG4" s="1114"/>
      <c r="BOH4" s="1114"/>
      <c r="BOI4" s="1114"/>
      <c r="BOJ4" s="1114"/>
      <c r="BOK4" s="1114"/>
      <c r="BOL4" s="1114"/>
      <c r="BOM4" s="1114"/>
      <c r="BON4" s="1114"/>
      <c r="BOO4" s="1114"/>
      <c r="BOP4" s="1114"/>
      <c r="BOQ4" s="1114"/>
      <c r="BOR4" s="1114"/>
      <c r="BOS4" s="1114"/>
      <c r="BOT4" s="1114"/>
      <c r="BOU4" s="1114"/>
      <c r="BOV4" s="1114"/>
      <c r="BOW4" s="1114"/>
      <c r="BOX4" s="1114"/>
      <c r="BOY4" s="1114"/>
      <c r="BOZ4" s="1114"/>
      <c r="BPA4" s="1114"/>
      <c r="BPB4" s="1114"/>
      <c r="BPC4" s="1114"/>
      <c r="BPD4" s="1114"/>
      <c r="BPE4" s="1114"/>
      <c r="BPF4" s="1114"/>
      <c r="BPG4" s="1114"/>
      <c r="BPH4" s="1114"/>
      <c r="BPI4" s="1114"/>
      <c r="BPJ4" s="1114"/>
      <c r="BPK4" s="1114"/>
      <c r="BPL4" s="1114"/>
      <c r="BPM4" s="1114"/>
      <c r="BPN4" s="1114"/>
      <c r="BPO4" s="1114"/>
      <c r="BPP4" s="1114"/>
      <c r="BPQ4" s="1114"/>
      <c r="BPR4" s="1114"/>
      <c r="BPS4" s="1114"/>
      <c r="BPT4" s="1114"/>
      <c r="BPU4" s="1114"/>
      <c r="BPV4" s="1114"/>
      <c r="BPW4" s="1114"/>
      <c r="BPX4" s="1114"/>
      <c r="BPY4" s="1114"/>
      <c r="BPZ4" s="1114"/>
      <c r="BQA4" s="1114"/>
      <c r="BQB4" s="1114"/>
      <c r="BQC4" s="1114"/>
      <c r="BQD4" s="1114"/>
      <c r="BQE4" s="1114"/>
      <c r="BQF4" s="1114"/>
      <c r="BQG4" s="1114"/>
      <c r="BQH4" s="1114"/>
      <c r="BQI4" s="1114"/>
      <c r="BQJ4" s="1114"/>
      <c r="BQK4" s="1114"/>
      <c r="BQL4" s="1114"/>
      <c r="BQM4" s="1114"/>
      <c r="BQN4" s="1114"/>
      <c r="BQO4" s="1114"/>
      <c r="BQP4" s="1114"/>
      <c r="BQQ4" s="1114"/>
      <c r="BQR4" s="1114"/>
      <c r="BQS4" s="1114"/>
      <c r="BQT4" s="1114"/>
      <c r="BQU4" s="1114"/>
      <c r="BQV4" s="1114"/>
      <c r="BQW4" s="1114"/>
      <c r="BQX4" s="1114"/>
      <c r="BQY4" s="1114"/>
      <c r="BQZ4" s="1114"/>
      <c r="BRA4" s="1114"/>
      <c r="BRB4" s="1114"/>
      <c r="BRC4" s="1114"/>
      <c r="BRD4" s="1114"/>
      <c r="BRE4" s="1114"/>
      <c r="BRF4" s="1114"/>
      <c r="BRG4" s="1114"/>
      <c r="BRH4" s="1114"/>
      <c r="BRI4" s="1114"/>
      <c r="BRJ4" s="1114"/>
      <c r="BRK4" s="1114"/>
      <c r="BRL4" s="1114"/>
      <c r="BRM4" s="1114"/>
      <c r="BRN4" s="1114"/>
      <c r="BRO4" s="1114"/>
      <c r="BRP4" s="1114"/>
      <c r="BRQ4" s="1114"/>
      <c r="BRR4" s="1114"/>
      <c r="BRS4" s="1114"/>
      <c r="BRT4" s="1114"/>
      <c r="BRU4" s="1114"/>
      <c r="BRV4" s="1114"/>
      <c r="BRW4" s="1114"/>
      <c r="BRX4" s="1114"/>
      <c r="BRY4" s="1114"/>
      <c r="BRZ4" s="1114"/>
      <c r="BSA4" s="1114"/>
      <c r="BSB4" s="1114"/>
      <c r="BSC4" s="1114"/>
      <c r="BSD4" s="1114"/>
      <c r="BSE4" s="1114"/>
      <c r="BSF4" s="1114"/>
      <c r="BSG4" s="1114"/>
      <c r="BSH4" s="1114"/>
      <c r="BSI4" s="1114"/>
      <c r="BSJ4" s="1114"/>
      <c r="BSK4" s="1114"/>
      <c r="BSL4" s="1114"/>
      <c r="BSM4" s="1114"/>
      <c r="BSN4" s="1114"/>
      <c r="BSO4" s="1114"/>
      <c r="BSP4" s="1114"/>
      <c r="BSQ4" s="1114"/>
      <c r="BSR4" s="1114"/>
      <c r="BSS4" s="1114"/>
      <c r="BST4" s="1114"/>
      <c r="BSU4" s="1114"/>
      <c r="BSV4" s="1114"/>
      <c r="BSW4" s="1114"/>
      <c r="BSX4" s="1114"/>
      <c r="BSY4" s="1114"/>
      <c r="BSZ4" s="1114"/>
      <c r="BTA4" s="1114"/>
      <c r="BTB4" s="1114"/>
      <c r="BTC4" s="1114"/>
      <c r="BTD4" s="1114"/>
      <c r="BTE4" s="1114"/>
      <c r="BTF4" s="1114"/>
      <c r="BTG4" s="1114"/>
      <c r="BTH4" s="1114"/>
      <c r="BTI4" s="1114"/>
      <c r="BTJ4" s="1114"/>
      <c r="BTK4" s="1114"/>
      <c r="BTL4" s="1114"/>
      <c r="BTM4" s="1114"/>
      <c r="BTN4" s="1114"/>
      <c r="BTO4" s="1114"/>
      <c r="BTP4" s="1114"/>
      <c r="BTQ4" s="1114"/>
      <c r="BTR4" s="1114"/>
      <c r="BTS4" s="1114"/>
      <c r="BTT4" s="1114"/>
      <c r="BTU4" s="1114"/>
      <c r="BTV4" s="1114"/>
      <c r="BTW4" s="1114"/>
      <c r="BTX4" s="1114"/>
      <c r="BTY4" s="1114"/>
      <c r="BTZ4" s="1114"/>
      <c r="BUA4" s="1114"/>
      <c r="BUB4" s="1114"/>
      <c r="BUC4" s="1114"/>
      <c r="BUD4" s="1114"/>
      <c r="BUE4" s="1114"/>
      <c r="BUF4" s="1114"/>
      <c r="BUG4" s="1114"/>
      <c r="BUH4" s="1114"/>
      <c r="BUI4" s="1114"/>
      <c r="BUJ4" s="1114"/>
      <c r="BUK4" s="1114"/>
      <c r="BUL4" s="1114"/>
      <c r="BUM4" s="1114"/>
      <c r="BUN4" s="1114"/>
      <c r="BUO4" s="1114"/>
      <c r="BUP4" s="1114"/>
      <c r="BUQ4" s="1114"/>
      <c r="BUR4" s="1114"/>
      <c r="BUS4" s="1114"/>
      <c r="BUT4" s="1114"/>
      <c r="BUU4" s="1114"/>
      <c r="BUV4" s="1114"/>
      <c r="BUW4" s="1114"/>
      <c r="BUX4" s="1114"/>
      <c r="BUY4" s="1114"/>
      <c r="BUZ4" s="1114"/>
      <c r="BVA4" s="1114"/>
      <c r="BVB4" s="1114"/>
      <c r="BVC4" s="1114"/>
      <c r="BVD4" s="1114"/>
      <c r="BVE4" s="1114"/>
      <c r="BVF4" s="1114"/>
      <c r="BVG4" s="1114"/>
      <c r="BVH4" s="1114"/>
      <c r="BVI4" s="1114"/>
      <c r="BVJ4" s="1114"/>
      <c r="BVK4" s="1114"/>
      <c r="BVL4" s="1114"/>
      <c r="BVM4" s="1114"/>
      <c r="BVN4" s="1114"/>
      <c r="BVO4" s="1114"/>
      <c r="BVP4" s="1114"/>
      <c r="BVQ4" s="1114"/>
      <c r="BVR4" s="1114"/>
      <c r="BVS4" s="1114"/>
      <c r="BVT4" s="1114"/>
      <c r="BVU4" s="1114"/>
      <c r="BVV4" s="1114"/>
      <c r="BVW4" s="1114"/>
      <c r="BVX4" s="1114"/>
      <c r="BVY4" s="1114"/>
      <c r="BVZ4" s="1114"/>
      <c r="BWA4" s="1114"/>
      <c r="BWB4" s="1114"/>
      <c r="BWC4" s="1114"/>
      <c r="BWD4" s="1114"/>
      <c r="BWE4" s="1114"/>
      <c r="BWF4" s="1114"/>
      <c r="BWG4" s="1114"/>
      <c r="BWH4" s="1114"/>
      <c r="BWI4" s="1114"/>
      <c r="BWJ4" s="1114"/>
      <c r="BWK4" s="1114"/>
      <c r="BWL4" s="1114"/>
      <c r="BWM4" s="1114"/>
      <c r="BWN4" s="1114"/>
      <c r="BWO4" s="1114"/>
      <c r="BWP4" s="1114"/>
      <c r="BWQ4" s="1114"/>
      <c r="BWR4" s="1114"/>
      <c r="BWS4" s="1114"/>
      <c r="BWT4" s="1114"/>
      <c r="BWU4" s="1114"/>
      <c r="BWV4" s="1114"/>
      <c r="BWW4" s="1114"/>
      <c r="BWX4" s="1114"/>
      <c r="BWY4" s="1114"/>
      <c r="BWZ4" s="1114"/>
      <c r="BXA4" s="1114"/>
      <c r="BXB4" s="1114"/>
      <c r="BXC4" s="1114"/>
      <c r="BXD4" s="1114"/>
      <c r="BXE4" s="1114"/>
      <c r="BXF4" s="1114"/>
      <c r="BXG4" s="1114"/>
      <c r="BXH4" s="1114"/>
      <c r="BXI4" s="1114"/>
      <c r="BXJ4" s="1114"/>
      <c r="BXK4" s="1114"/>
      <c r="BXL4" s="1114"/>
      <c r="BXM4" s="1114"/>
      <c r="BXN4" s="1114"/>
      <c r="BXO4" s="1114"/>
      <c r="BXP4" s="1114"/>
      <c r="BXQ4" s="1114"/>
      <c r="BXR4" s="1114"/>
      <c r="BXS4" s="1114"/>
      <c r="BXT4" s="1114"/>
      <c r="BXU4" s="1114"/>
      <c r="BXV4" s="1114"/>
      <c r="BXW4" s="1114"/>
      <c r="BXX4" s="1114"/>
      <c r="BXY4" s="1114"/>
      <c r="BXZ4" s="1114"/>
      <c r="BYA4" s="1114"/>
      <c r="BYB4" s="1114"/>
      <c r="BYC4" s="1114"/>
      <c r="BYD4" s="1114"/>
      <c r="BYE4" s="1114"/>
      <c r="BYF4" s="1114"/>
      <c r="BYG4" s="1114"/>
      <c r="BYH4" s="1114"/>
      <c r="BYI4" s="1114"/>
      <c r="BYJ4" s="1114"/>
      <c r="BYK4" s="1114"/>
      <c r="BYL4" s="1114"/>
      <c r="BYM4" s="1114"/>
      <c r="BYN4" s="1114"/>
      <c r="BYO4" s="1114"/>
      <c r="BYP4" s="1114"/>
      <c r="BYQ4" s="1114"/>
      <c r="BYR4" s="1114"/>
      <c r="BYS4" s="1114"/>
      <c r="BYT4" s="1114"/>
      <c r="BYU4" s="1114"/>
      <c r="BYV4" s="1114"/>
      <c r="BYW4" s="1114"/>
      <c r="BYX4" s="1114"/>
      <c r="BYY4" s="1114"/>
      <c r="BYZ4" s="1114"/>
      <c r="BZA4" s="1114"/>
      <c r="BZB4" s="1114"/>
      <c r="BZC4" s="1114"/>
      <c r="BZD4" s="1114"/>
      <c r="BZE4" s="1114"/>
      <c r="BZF4" s="1114"/>
      <c r="BZG4" s="1114"/>
      <c r="BZH4" s="1114"/>
      <c r="BZI4" s="1114"/>
      <c r="BZJ4" s="1114"/>
      <c r="BZK4" s="1114"/>
      <c r="BZL4" s="1114"/>
      <c r="BZM4" s="1114"/>
      <c r="BZN4" s="1114"/>
      <c r="BZO4" s="1114"/>
      <c r="BZP4" s="1114"/>
      <c r="BZQ4" s="1114"/>
      <c r="BZR4" s="1114"/>
      <c r="BZS4" s="1114"/>
      <c r="BZT4" s="1114"/>
      <c r="BZU4" s="1114"/>
      <c r="BZV4" s="1114"/>
      <c r="BZW4" s="1114"/>
      <c r="BZX4" s="1114"/>
      <c r="BZY4" s="1114"/>
      <c r="BZZ4" s="1114"/>
      <c r="CAA4" s="1114"/>
      <c r="CAB4" s="1114"/>
      <c r="CAC4" s="1114"/>
      <c r="CAD4" s="1114"/>
      <c r="CAE4" s="1114"/>
      <c r="CAF4" s="1114"/>
      <c r="CAG4" s="1114"/>
      <c r="CAH4" s="1114"/>
      <c r="CAI4" s="1114"/>
      <c r="CAJ4" s="1114"/>
      <c r="CAK4" s="1114"/>
      <c r="CAL4" s="1114"/>
      <c r="CAM4" s="1114"/>
      <c r="CAN4" s="1114"/>
      <c r="CAO4" s="1114"/>
      <c r="CAP4" s="1114"/>
      <c r="CAQ4" s="1114"/>
      <c r="CAR4" s="1114"/>
      <c r="CAS4" s="1114"/>
      <c r="CAT4" s="1114"/>
      <c r="CAU4" s="1114"/>
      <c r="CAV4" s="1114"/>
      <c r="CAW4" s="1114"/>
      <c r="CAX4" s="1114"/>
      <c r="CAY4" s="1114"/>
      <c r="CAZ4" s="1114"/>
      <c r="CBA4" s="1114"/>
      <c r="CBB4" s="1114"/>
      <c r="CBC4" s="1114"/>
      <c r="CBD4" s="1114"/>
      <c r="CBE4" s="1114"/>
      <c r="CBF4" s="1114"/>
      <c r="CBG4" s="1114"/>
      <c r="CBH4" s="1114"/>
      <c r="CBI4" s="1114"/>
      <c r="CBJ4" s="1114"/>
      <c r="CBK4" s="1114"/>
      <c r="CBL4" s="1114"/>
      <c r="CBM4" s="1114"/>
      <c r="CBN4" s="1114"/>
      <c r="CBO4" s="1114"/>
      <c r="CBP4" s="1114"/>
      <c r="CBQ4" s="1114"/>
      <c r="CBR4" s="1114"/>
      <c r="CBS4" s="1114"/>
      <c r="CBT4" s="1114"/>
      <c r="CBU4" s="1114"/>
      <c r="CBV4" s="1114"/>
      <c r="CBW4" s="1114"/>
      <c r="CBX4" s="1114"/>
      <c r="CBY4" s="1114"/>
      <c r="CBZ4" s="1114"/>
      <c r="CCA4" s="1114"/>
      <c r="CCB4" s="1114"/>
      <c r="CCC4" s="1114"/>
      <c r="CCD4" s="1114"/>
      <c r="CCE4" s="1114"/>
      <c r="CCF4" s="1114"/>
      <c r="CCG4" s="1114"/>
      <c r="CCH4" s="1114"/>
      <c r="CCI4" s="1114"/>
      <c r="CCJ4" s="1114"/>
      <c r="CCK4" s="1114"/>
      <c r="CCL4" s="1114"/>
      <c r="CCM4" s="1114"/>
      <c r="CCN4" s="1114"/>
      <c r="CCO4" s="1114"/>
      <c r="CCP4" s="1114"/>
      <c r="CCQ4" s="1114"/>
      <c r="CCR4" s="1114"/>
      <c r="CCS4" s="1114"/>
      <c r="CCT4" s="1114"/>
      <c r="CCU4" s="1114"/>
      <c r="CCV4" s="1114"/>
      <c r="CCW4" s="1114"/>
      <c r="CCX4" s="1114"/>
      <c r="CCY4" s="1114"/>
      <c r="CCZ4" s="1114"/>
      <c r="CDA4" s="1114"/>
      <c r="CDB4" s="1114"/>
      <c r="CDC4" s="1114"/>
      <c r="CDD4" s="1114"/>
      <c r="CDE4" s="1114"/>
      <c r="CDF4" s="1114"/>
      <c r="CDG4" s="1114"/>
      <c r="CDH4" s="1114"/>
      <c r="CDI4" s="1114"/>
      <c r="CDJ4" s="1114"/>
      <c r="CDK4" s="1114"/>
      <c r="CDL4" s="1114"/>
      <c r="CDM4" s="1114"/>
      <c r="CDN4" s="1114"/>
      <c r="CDO4" s="1114"/>
      <c r="CDP4" s="1114"/>
      <c r="CDQ4" s="1114"/>
      <c r="CDR4" s="1114"/>
      <c r="CDS4" s="1114"/>
      <c r="CDT4" s="1114"/>
      <c r="CDU4" s="1114"/>
      <c r="CDV4" s="1114"/>
      <c r="CDW4" s="1114"/>
      <c r="CDX4" s="1114"/>
      <c r="CDY4" s="1114"/>
      <c r="CDZ4" s="1114"/>
      <c r="CEA4" s="1114"/>
      <c r="CEB4" s="1114"/>
      <c r="CEC4" s="1114"/>
      <c r="CED4" s="1114"/>
      <c r="CEE4" s="1114"/>
      <c r="CEF4" s="1114"/>
      <c r="CEG4" s="1114"/>
      <c r="CEH4" s="1114"/>
      <c r="CEI4" s="1114"/>
      <c r="CEJ4" s="1114"/>
      <c r="CEK4" s="1114"/>
      <c r="CEL4" s="1114"/>
      <c r="CEM4" s="1114"/>
      <c r="CEN4" s="1114"/>
      <c r="CEO4" s="1114"/>
      <c r="CEP4" s="1114"/>
      <c r="CEQ4" s="1114"/>
      <c r="CER4" s="1114"/>
      <c r="CES4" s="1114"/>
      <c r="CET4" s="1114"/>
      <c r="CEU4" s="1114"/>
      <c r="CEV4" s="1114"/>
      <c r="CEW4" s="1114"/>
      <c r="CEX4" s="1114"/>
      <c r="CEY4" s="1114"/>
      <c r="CEZ4" s="1114"/>
      <c r="CFA4" s="1114"/>
      <c r="CFB4" s="1114"/>
      <c r="CFC4" s="1114"/>
      <c r="CFD4" s="1114"/>
      <c r="CFE4" s="1114"/>
      <c r="CFF4" s="1114"/>
      <c r="CFG4" s="1114"/>
      <c r="CFH4" s="1114"/>
      <c r="CFI4" s="1114"/>
      <c r="CFJ4" s="1114"/>
      <c r="CFK4" s="1114"/>
      <c r="CFL4" s="1114"/>
      <c r="CFM4" s="1114"/>
      <c r="CFN4" s="1114"/>
      <c r="CFO4" s="1114"/>
      <c r="CFP4" s="1114"/>
      <c r="CFQ4" s="1114"/>
      <c r="CFR4" s="1114"/>
      <c r="CFS4" s="1114"/>
      <c r="CFT4" s="1114"/>
      <c r="CFU4" s="1114"/>
      <c r="CFV4" s="1114"/>
      <c r="CFW4" s="1114"/>
      <c r="CFX4" s="1114"/>
      <c r="CFY4" s="1114"/>
      <c r="CFZ4" s="1114"/>
      <c r="CGA4" s="1114"/>
      <c r="CGB4" s="1114"/>
      <c r="CGC4" s="1114"/>
      <c r="CGD4" s="1114"/>
      <c r="CGE4" s="1114"/>
      <c r="CGF4" s="1114"/>
      <c r="CGG4" s="1114"/>
      <c r="CGH4" s="1114"/>
      <c r="CGI4" s="1114"/>
      <c r="CGJ4" s="1114"/>
      <c r="CGK4" s="1114"/>
      <c r="CGL4" s="1114"/>
      <c r="CGM4" s="1114"/>
      <c r="CGN4" s="1114"/>
      <c r="CGO4" s="1114"/>
      <c r="CGP4" s="1114"/>
      <c r="CGQ4" s="1114"/>
      <c r="CGR4" s="1114"/>
      <c r="CGS4" s="1114"/>
      <c r="CGT4" s="1114"/>
      <c r="CGU4" s="1114"/>
      <c r="CGV4" s="1114"/>
      <c r="CGW4" s="1114"/>
      <c r="CGX4" s="1114"/>
      <c r="CGY4" s="1114"/>
      <c r="CGZ4" s="1114"/>
      <c r="CHA4" s="1114"/>
      <c r="CHB4" s="1114"/>
      <c r="CHC4" s="1114"/>
      <c r="CHD4" s="1114"/>
      <c r="CHE4" s="1114"/>
      <c r="CHF4" s="1114"/>
      <c r="CHG4" s="1114"/>
      <c r="CHH4" s="1114"/>
      <c r="CHI4" s="1114"/>
      <c r="CHJ4" s="1114"/>
      <c r="CHK4" s="1114"/>
      <c r="CHL4" s="1114"/>
      <c r="CHM4" s="1114"/>
      <c r="CHN4" s="1114"/>
      <c r="CHO4" s="1114"/>
      <c r="CHP4" s="1114"/>
      <c r="CHQ4" s="1114"/>
      <c r="CHR4" s="1114"/>
      <c r="CHS4" s="1114"/>
      <c r="CHT4" s="1114"/>
      <c r="CHU4" s="1114"/>
      <c r="CHV4" s="1114"/>
      <c r="CHW4" s="1114"/>
      <c r="CHX4" s="1114"/>
      <c r="CHY4" s="1114"/>
      <c r="CHZ4" s="1114"/>
      <c r="CIA4" s="1114"/>
      <c r="CIB4" s="1114"/>
      <c r="CIC4" s="1114"/>
      <c r="CID4" s="1114"/>
      <c r="CIE4" s="1114"/>
      <c r="CIF4" s="1114"/>
      <c r="CIG4" s="1114"/>
      <c r="CIH4" s="1114"/>
      <c r="CII4" s="1114"/>
      <c r="CIJ4" s="1114"/>
      <c r="CIK4" s="1114"/>
      <c r="CIL4" s="1114"/>
      <c r="CIM4" s="1114"/>
      <c r="CIN4" s="1114"/>
      <c r="CIO4" s="1114"/>
      <c r="CIP4" s="1114"/>
      <c r="CIQ4" s="1114"/>
      <c r="CIR4" s="1114"/>
      <c r="CIS4" s="1114"/>
      <c r="CIT4" s="1114"/>
      <c r="CIU4" s="1114"/>
      <c r="CIV4" s="1114"/>
      <c r="CIW4" s="1114"/>
      <c r="CIX4" s="1114"/>
      <c r="CIY4" s="1114"/>
      <c r="CIZ4" s="1114"/>
      <c r="CJA4" s="1114"/>
      <c r="CJB4" s="1114"/>
      <c r="CJC4" s="1114"/>
      <c r="CJD4" s="1114"/>
      <c r="CJE4" s="1114"/>
      <c r="CJF4" s="1114"/>
      <c r="CJG4" s="1114"/>
      <c r="CJH4" s="1114"/>
      <c r="CJI4" s="1114"/>
      <c r="CJJ4" s="1114"/>
      <c r="CJK4" s="1114"/>
      <c r="CJL4" s="1114"/>
      <c r="CJM4" s="1114"/>
      <c r="CJN4" s="1114"/>
      <c r="CJO4" s="1114"/>
      <c r="CJP4" s="1114"/>
      <c r="CJQ4" s="1114"/>
      <c r="CJR4" s="1114"/>
      <c r="CJS4" s="1114"/>
      <c r="CJT4" s="1114"/>
      <c r="CJU4" s="1114"/>
      <c r="CJV4" s="1114"/>
      <c r="CJW4" s="1114"/>
      <c r="CJX4" s="1114"/>
      <c r="CJY4" s="1114"/>
      <c r="CJZ4" s="1114"/>
      <c r="CKA4" s="1114"/>
      <c r="CKB4" s="1114"/>
      <c r="CKC4" s="1114"/>
      <c r="CKD4" s="1114"/>
      <c r="CKE4" s="1114"/>
      <c r="CKF4" s="1114"/>
      <c r="CKG4" s="1114"/>
      <c r="CKH4" s="1114"/>
      <c r="CKI4" s="1114"/>
      <c r="CKJ4" s="1114"/>
      <c r="CKK4" s="1114"/>
      <c r="CKL4" s="1114"/>
      <c r="CKM4" s="1114"/>
      <c r="CKN4" s="1114"/>
      <c r="CKO4" s="1114"/>
      <c r="CKP4" s="1114"/>
      <c r="CKQ4" s="1114"/>
      <c r="CKR4" s="1114"/>
      <c r="CKS4" s="1114"/>
      <c r="CKT4" s="1114"/>
      <c r="CKU4" s="1114"/>
      <c r="CKV4" s="1114"/>
      <c r="CKW4" s="1114"/>
      <c r="CKX4" s="1114"/>
      <c r="CKY4" s="1114"/>
      <c r="CKZ4" s="1114"/>
      <c r="CLA4" s="1114"/>
      <c r="CLB4" s="1114"/>
      <c r="CLC4" s="1114"/>
      <c r="CLD4" s="1114"/>
      <c r="CLE4" s="1114"/>
      <c r="CLF4" s="1114"/>
      <c r="CLG4" s="1114"/>
      <c r="CLH4" s="1114"/>
      <c r="CLI4" s="1114"/>
      <c r="CLJ4" s="1114"/>
      <c r="CLK4" s="1114"/>
      <c r="CLL4" s="1114"/>
      <c r="CLM4" s="1114"/>
      <c r="CLN4" s="1114"/>
      <c r="CLO4" s="1114"/>
      <c r="CLP4" s="1114"/>
      <c r="CLQ4" s="1114"/>
      <c r="CLR4" s="1114"/>
      <c r="CLS4" s="1114"/>
      <c r="CLT4" s="1114"/>
      <c r="CLU4" s="1114"/>
      <c r="CLV4" s="1114"/>
      <c r="CLW4" s="1114"/>
      <c r="CLX4" s="1114"/>
      <c r="CLY4" s="1114"/>
      <c r="CLZ4" s="1114"/>
      <c r="CMA4" s="1114"/>
      <c r="CMB4" s="1114"/>
      <c r="CMC4" s="1114"/>
      <c r="CMD4" s="1114"/>
      <c r="CME4" s="1114"/>
      <c r="CMF4" s="1114"/>
      <c r="CMG4" s="1114"/>
      <c r="CMH4" s="1114"/>
      <c r="CMI4" s="1114"/>
      <c r="CMJ4" s="1114"/>
      <c r="CMK4" s="1114"/>
      <c r="CML4" s="1114"/>
      <c r="CMM4" s="1114"/>
      <c r="CMN4" s="1114"/>
      <c r="CMO4" s="1114"/>
      <c r="CMP4" s="1114"/>
      <c r="CMQ4" s="1114"/>
      <c r="CMR4" s="1114"/>
      <c r="CMS4" s="1114"/>
      <c r="CMT4" s="1114"/>
      <c r="CMU4" s="1114"/>
      <c r="CMV4" s="1114"/>
      <c r="CMW4" s="1114"/>
      <c r="CMX4" s="1114"/>
      <c r="CMY4" s="1114"/>
      <c r="CMZ4" s="1114"/>
      <c r="CNA4" s="1114"/>
      <c r="CNB4" s="1114"/>
      <c r="CNC4" s="1114"/>
      <c r="CND4" s="1114"/>
      <c r="CNE4" s="1114"/>
      <c r="CNF4" s="1114"/>
      <c r="CNG4" s="1114"/>
      <c r="CNH4" s="1114"/>
      <c r="CNI4" s="1114"/>
      <c r="CNJ4" s="1114"/>
      <c r="CNK4" s="1114"/>
      <c r="CNL4" s="1114"/>
      <c r="CNM4" s="1114"/>
      <c r="CNN4" s="1114"/>
      <c r="CNO4" s="1114"/>
      <c r="CNP4" s="1114"/>
      <c r="CNQ4" s="1114"/>
      <c r="CNR4" s="1114"/>
      <c r="CNS4" s="1114"/>
      <c r="CNT4" s="1114"/>
      <c r="CNU4" s="1114"/>
      <c r="CNV4" s="1114"/>
      <c r="CNW4" s="1114"/>
      <c r="CNX4" s="1114"/>
      <c r="CNY4" s="1114"/>
      <c r="CNZ4" s="1114"/>
      <c r="COA4" s="1114"/>
      <c r="COB4" s="1114"/>
      <c r="COC4" s="1114"/>
      <c r="COD4" s="1114"/>
      <c r="COE4" s="1114"/>
      <c r="COF4" s="1114"/>
      <c r="COG4" s="1114"/>
      <c r="COH4" s="1114"/>
      <c r="COI4" s="1114"/>
      <c r="COJ4" s="1114"/>
      <c r="COK4" s="1114"/>
      <c r="COL4" s="1114"/>
      <c r="COM4" s="1114"/>
      <c r="CON4" s="1114"/>
      <c r="COO4" s="1114"/>
      <c r="COP4" s="1114"/>
      <c r="COQ4" s="1114"/>
      <c r="COR4" s="1114"/>
      <c r="COS4" s="1114"/>
      <c r="COT4" s="1114"/>
      <c r="COU4" s="1114"/>
      <c r="COV4" s="1114"/>
      <c r="COW4" s="1114"/>
      <c r="COX4" s="1114"/>
      <c r="COY4" s="1114"/>
      <c r="COZ4" s="1114"/>
      <c r="CPA4" s="1114"/>
      <c r="CPB4" s="1114"/>
      <c r="CPC4" s="1114"/>
      <c r="CPD4" s="1114"/>
      <c r="CPE4" s="1114"/>
      <c r="CPF4" s="1114"/>
      <c r="CPG4" s="1114"/>
      <c r="CPH4" s="1114"/>
      <c r="CPI4" s="1114"/>
      <c r="CPJ4" s="1114"/>
      <c r="CPK4" s="1114"/>
      <c r="CPL4" s="1114"/>
      <c r="CPM4" s="1114"/>
      <c r="CPN4" s="1114"/>
      <c r="CPO4" s="1114"/>
      <c r="CPP4" s="1114"/>
      <c r="CPQ4" s="1114"/>
      <c r="CPR4" s="1114"/>
      <c r="CPS4" s="1114"/>
      <c r="CPT4" s="1114"/>
      <c r="CPU4" s="1114"/>
      <c r="CPV4" s="1114"/>
      <c r="CPW4" s="1114"/>
      <c r="CPX4" s="1114"/>
      <c r="CPY4" s="1114"/>
      <c r="CPZ4" s="1114"/>
      <c r="CQA4" s="1114"/>
      <c r="CQB4" s="1114"/>
      <c r="CQC4" s="1114"/>
      <c r="CQD4" s="1114"/>
      <c r="CQE4" s="1114"/>
      <c r="CQF4" s="1114"/>
      <c r="CQG4" s="1114"/>
      <c r="CQH4" s="1114"/>
      <c r="CQI4" s="1114"/>
      <c r="CQJ4" s="1114"/>
      <c r="CQK4" s="1114"/>
      <c r="CQL4" s="1114"/>
      <c r="CQM4" s="1114"/>
      <c r="CQN4" s="1114"/>
      <c r="CQO4" s="1114"/>
      <c r="CQP4" s="1114"/>
      <c r="CQQ4" s="1114"/>
      <c r="CQR4" s="1114"/>
      <c r="CQS4" s="1114"/>
      <c r="CQT4" s="1114"/>
      <c r="CQU4" s="1114"/>
      <c r="CQV4" s="1114"/>
      <c r="CQW4" s="1114"/>
      <c r="CQX4" s="1114"/>
      <c r="CQY4" s="1114"/>
      <c r="CQZ4" s="1114"/>
      <c r="CRA4" s="1114"/>
      <c r="CRB4" s="1114"/>
      <c r="CRC4" s="1114"/>
      <c r="CRD4" s="1114"/>
      <c r="CRE4" s="1114"/>
      <c r="CRF4" s="1114"/>
      <c r="CRG4" s="1114"/>
      <c r="CRH4" s="1114"/>
      <c r="CRI4" s="1114"/>
      <c r="CRJ4" s="1114"/>
      <c r="CRK4" s="1114"/>
      <c r="CRL4" s="1114"/>
      <c r="CRM4" s="1114"/>
      <c r="CRN4" s="1114"/>
      <c r="CRO4" s="1114"/>
      <c r="CRP4" s="1114"/>
      <c r="CRQ4" s="1114"/>
      <c r="CRR4" s="1114"/>
      <c r="CRS4" s="1114"/>
      <c r="CRT4" s="1114"/>
      <c r="CRU4" s="1114"/>
      <c r="CRV4" s="1114"/>
      <c r="CRW4" s="1114"/>
      <c r="CRX4" s="1114"/>
      <c r="CRY4" s="1114"/>
      <c r="CRZ4" s="1114"/>
      <c r="CSA4" s="1114"/>
      <c r="CSB4" s="1114"/>
      <c r="CSC4" s="1114"/>
      <c r="CSD4" s="1114"/>
      <c r="CSE4" s="1114"/>
      <c r="CSF4" s="1114"/>
      <c r="CSG4" s="1114"/>
      <c r="CSH4" s="1114"/>
      <c r="CSI4" s="1114"/>
      <c r="CSJ4" s="1114"/>
      <c r="CSK4" s="1114"/>
      <c r="CSL4" s="1114"/>
      <c r="CSM4" s="1114"/>
      <c r="CSN4" s="1114"/>
      <c r="CSO4" s="1114"/>
      <c r="CSP4" s="1114"/>
      <c r="CSQ4" s="1114"/>
      <c r="CSR4" s="1114"/>
      <c r="CSS4" s="1114"/>
      <c r="CST4" s="1114"/>
      <c r="CSU4" s="1114"/>
      <c r="CSV4" s="1114"/>
      <c r="CSW4" s="1114"/>
      <c r="CSX4" s="1114"/>
      <c r="CSY4" s="1114"/>
      <c r="CSZ4" s="1114"/>
      <c r="CTA4" s="1114"/>
      <c r="CTB4" s="1114"/>
      <c r="CTC4" s="1114"/>
      <c r="CTD4" s="1114"/>
      <c r="CTE4" s="1114"/>
      <c r="CTF4" s="1114"/>
      <c r="CTG4" s="1114"/>
      <c r="CTH4" s="1114"/>
      <c r="CTI4" s="1114"/>
      <c r="CTJ4" s="1114"/>
      <c r="CTK4" s="1114"/>
      <c r="CTL4" s="1114"/>
      <c r="CTM4" s="1114"/>
      <c r="CTN4" s="1114"/>
      <c r="CTO4" s="1114"/>
      <c r="CTP4" s="1114"/>
      <c r="CTQ4" s="1114"/>
      <c r="CTR4" s="1114"/>
      <c r="CTS4" s="1114"/>
      <c r="CTT4" s="1114"/>
      <c r="CTU4" s="1114"/>
      <c r="CTV4" s="1114"/>
      <c r="CTW4" s="1114"/>
      <c r="CTX4" s="1114"/>
      <c r="CTY4" s="1114"/>
      <c r="CTZ4" s="1114"/>
      <c r="CUA4" s="1114"/>
      <c r="CUB4" s="1114"/>
      <c r="CUC4" s="1114"/>
      <c r="CUD4" s="1114"/>
      <c r="CUE4" s="1114"/>
      <c r="CUF4" s="1114"/>
      <c r="CUG4" s="1114"/>
      <c r="CUH4" s="1114"/>
      <c r="CUI4" s="1114"/>
      <c r="CUJ4" s="1114"/>
      <c r="CUK4" s="1114"/>
      <c r="CUL4" s="1114"/>
      <c r="CUM4" s="1114"/>
      <c r="CUN4" s="1114"/>
      <c r="CUO4" s="1114"/>
      <c r="CUP4" s="1114"/>
      <c r="CUQ4" s="1114"/>
      <c r="CUR4" s="1114"/>
      <c r="CUS4" s="1114"/>
      <c r="CUT4" s="1114"/>
      <c r="CUU4" s="1114"/>
      <c r="CUV4" s="1114"/>
      <c r="CUW4" s="1114"/>
      <c r="CUX4" s="1114"/>
      <c r="CUY4" s="1114"/>
      <c r="CUZ4" s="1114"/>
      <c r="CVA4" s="1114"/>
      <c r="CVB4" s="1114"/>
      <c r="CVC4" s="1114"/>
      <c r="CVD4" s="1114"/>
      <c r="CVE4" s="1114"/>
      <c r="CVF4" s="1114"/>
      <c r="CVG4" s="1114"/>
      <c r="CVH4" s="1114"/>
      <c r="CVI4" s="1114"/>
      <c r="CVJ4" s="1114"/>
      <c r="CVK4" s="1114"/>
      <c r="CVL4" s="1114"/>
      <c r="CVM4" s="1114"/>
      <c r="CVN4" s="1114"/>
      <c r="CVO4" s="1114"/>
      <c r="CVP4" s="1114"/>
      <c r="CVQ4" s="1114"/>
      <c r="CVR4" s="1114"/>
      <c r="CVS4" s="1114"/>
      <c r="CVT4" s="1114"/>
      <c r="CVU4" s="1114"/>
      <c r="CVV4" s="1114"/>
      <c r="CVW4" s="1114"/>
      <c r="CVX4" s="1114"/>
      <c r="CVY4" s="1114"/>
      <c r="CVZ4" s="1114"/>
      <c r="CWA4" s="1114"/>
      <c r="CWB4" s="1114"/>
      <c r="CWC4" s="1114"/>
      <c r="CWD4" s="1114"/>
      <c r="CWE4" s="1114"/>
      <c r="CWF4" s="1114"/>
      <c r="CWG4" s="1114"/>
      <c r="CWH4" s="1114"/>
      <c r="CWI4" s="1114"/>
      <c r="CWJ4" s="1114"/>
      <c r="CWK4" s="1114"/>
      <c r="CWL4" s="1114"/>
      <c r="CWM4" s="1114"/>
      <c r="CWN4" s="1114"/>
      <c r="CWO4" s="1114"/>
      <c r="CWP4" s="1114"/>
      <c r="CWQ4" s="1114"/>
      <c r="CWR4" s="1114"/>
      <c r="CWS4" s="1114"/>
      <c r="CWT4" s="1114"/>
      <c r="CWU4" s="1114"/>
      <c r="CWV4" s="1114"/>
      <c r="CWW4" s="1114"/>
      <c r="CWX4" s="1114"/>
      <c r="CWY4" s="1114"/>
      <c r="CWZ4" s="1114"/>
      <c r="CXA4" s="1114"/>
      <c r="CXB4" s="1114"/>
      <c r="CXC4" s="1114"/>
      <c r="CXD4" s="1114"/>
      <c r="CXE4" s="1114"/>
      <c r="CXF4" s="1114"/>
      <c r="CXG4" s="1114"/>
      <c r="CXH4" s="1114"/>
      <c r="CXI4" s="1114"/>
      <c r="CXJ4" s="1114"/>
      <c r="CXK4" s="1114"/>
      <c r="CXL4" s="1114"/>
      <c r="CXM4" s="1114"/>
      <c r="CXN4" s="1114"/>
      <c r="CXO4" s="1114"/>
      <c r="CXP4" s="1114"/>
      <c r="CXQ4" s="1114"/>
      <c r="CXR4" s="1114"/>
      <c r="CXS4" s="1114"/>
      <c r="CXT4" s="1114"/>
      <c r="CXU4" s="1114"/>
      <c r="CXV4" s="1114"/>
      <c r="CXW4" s="1114"/>
      <c r="CXX4" s="1114"/>
      <c r="CXY4" s="1114"/>
      <c r="CXZ4" s="1114"/>
      <c r="CYA4" s="1114"/>
      <c r="CYB4" s="1114"/>
      <c r="CYC4" s="1114"/>
      <c r="CYD4" s="1114"/>
      <c r="CYE4" s="1114"/>
      <c r="CYF4" s="1114"/>
      <c r="CYG4" s="1114"/>
      <c r="CYH4" s="1114"/>
      <c r="CYI4" s="1114"/>
      <c r="CYJ4" s="1114"/>
      <c r="CYK4" s="1114"/>
      <c r="CYL4" s="1114"/>
      <c r="CYM4" s="1114"/>
      <c r="CYN4" s="1114"/>
      <c r="CYO4" s="1114"/>
      <c r="CYP4" s="1114"/>
      <c r="CYQ4" s="1114"/>
      <c r="CYR4" s="1114"/>
      <c r="CYS4" s="1114"/>
      <c r="CYT4" s="1114"/>
      <c r="CYU4" s="1114"/>
      <c r="CYV4" s="1114"/>
      <c r="CYW4" s="1114"/>
      <c r="CYX4" s="1114"/>
      <c r="CYY4" s="1114"/>
      <c r="CYZ4" s="1114"/>
      <c r="CZA4" s="1114"/>
      <c r="CZB4" s="1114"/>
      <c r="CZC4" s="1114"/>
      <c r="CZD4" s="1114"/>
      <c r="CZE4" s="1114"/>
      <c r="CZF4" s="1114"/>
      <c r="CZG4" s="1114"/>
      <c r="CZH4" s="1114"/>
      <c r="CZI4" s="1114"/>
      <c r="CZJ4" s="1114"/>
      <c r="CZK4" s="1114"/>
      <c r="CZL4" s="1114"/>
      <c r="CZM4" s="1114"/>
      <c r="CZN4" s="1114"/>
      <c r="CZO4" s="1114"/>
      <c r="CZP4" s="1114"/>
      <c r="CZQ4" s="1114"/>
      <c r="CZR4" s="1114"/>
      <c r="CZS4" s="1114"/>
      <c r="CZT4" s="1114"/>
      <c r="CZU4" s="1114"/>
      <c r="CZV4" s="1114"/>
      <c r="CZW4" s="1114"/>
      <c r="CZX4" s="1114"/>
      <c r="CZY4" s="1114"/>
      <c r="CZZ4" s="1114"/>
      <c r="DAA4" s="1114"/>
      <c r="DAB4" s="1114"/>
      <c r="DAC4" s="1114"/>
      <c r="DAD4" s="1114"/>
      <c r="DAE4" s="1114"/>
      <c r="DAF4" s="1114"/>
      <c r="DAG4" s="1114"/>
      <c r="DAH4" s="1114"/>
      <c r="DAI4" s="1114"/>
      <c r="DAJ4" s="1114"/>
      <c r="DAK4" s="1114"/>
      <c r="DAL4" s="1114"/>
      <c r="DAM4" s="1114"/>
      <c r="DAN4" s="1114"/>
      <c r="DAO4" s="1114"/>
      <c r="DAP4" s="1114"/>
      <c r="DAQ4" s="1114"/>
      <c r="DAR4" s="1114"/>
      <c r="DAS4" s="1114"/>
      <c r="DAT4" s="1114"/>
      <c r="DAU4" s="1114"/>
      <c r="DAV4" s="1114"/>
      <c r="DAW4" s="1114"/>
      <c r="DAX4" s="1114"/>
      <c r="DAY4" s="1114"/>
      <c r="DAZ4" s="1114"/>
      <c r="DBA4" s="1114"/>
      <c r="DBB4" s="1114"/>
      <c r="DBC4" s="1114"/>
      <c r="DBD4" s="1114"/>
      <c r="DBE4" s="1114"/>
      <c r="DBF4" s="1114"/>
      <c r="DBG4" s="1114"/>
      <c r="DBH4" s="1114"/>
      <c r="DBI4" s="1114"/>
      <c r="DBJ4" s="1114"/>
      <c r="DBK4" s="1114"/>
      <c r="DBL4" s="1114"/>
      <c r="DBM4" s="1114"/>
      <c r="DBN4" s="1114"/>
      <c r="DBO4" s="1114"/>
      <c r="DBP4" s="1114"/>
      <c r="DBQ4" s="1114"/>
      <c r="DBR4" s="1114"/>
      <c r="DBS4" s="1114"/>
      <c r="DBT4" s="1114"/>
      <c r="DBU4" s="1114"/>
      <c r="DBV4" s="1114"/>
      <c r="DBW4" s="1114"/>
      <c r="DBX4" s="1114"/>
      <c r="DBY4" s="1114"/>
      <c r="DBZ4" s="1114"/>
      <c r="DCA4" s="1114"/>
      <c r="DCB4" s="1114"/>
      <c r="DCC4" s="1114"/>
      <c r="DCD4" s="1114"/>
      <c r="DCE4" s="1114"/>
      <c r="DCF4" s="1114"/>
      <c r="DCG4" s="1114"/>
      <c r="DCH4" s="1114"/>
      <c r="DCI4" s="1114"/>
      <c r="DCJ4" s="1114"/>
      <c r="DCK4" s="1114"/>
      <c r="DCL4" s="1114"/>
      <c r="DCM4" s="1114"/>
      <c r="DCN4" s="1114"/>
      <c r="DCO4" s="1114"/>
      <c r="DCP4" s="1114"/>
      <c r="DCQ4" s="1114"/>
      <c r="DCR4" s="1114"/>
      <c r="DCS4" s="1114"/>
      <c r="DCT4" s="1114"/>
      <c r="DCU4" s="1114"/>
      <c r="DCV4" s="1114"/>
      <c r="DCW4" s="1114"/>
      <c r="DCX4" s="1114"/>
      <c r="DCY4" s="1114"/>
      <c r="DCZ4" s="1114"/>
      <c r="DDA4" s="1114"/>
      <c r="DDB4" s="1114"/>
      <c r="DDC4" s="1114"/>
      <c r="DDD4" s="1114"/>
      <c r="DDE4" s="1114"/>
      <c r="DDF4" s="1114"/>
      <c r="DDG4" s="1114"/>
      <c r="DDH4" s="1114"/>
      <c r="DDI4" s="1114"/>
      <c r="DDJ4" s="1114"/>
      <c r="DDK4" s="1114"/>
      <c r="DDL4" s="1114"/>
      <c r="DDM4" s="1114"/>
      <c r="DDN4" s="1114"/>
      <c r="DDO4" s="1114"/>
      <c r="DDP4" s="1114"/>
      <c r="DDQ4" s="1114"/>
      <c r="DDR4" s="1114"/>
      <c r="DDS4" s="1114"/>
      <c r="DDT4" s="1114"/>
      <c r="DDU4" s="1114"/>
      <c r="DDV4" s="1114"/>
      <c r="DDW4" s="1114"/>
      <c r="DDX4" s="1114"/>
      <c r="DDY4" s="1114"/>
      <c r="DDZ4" s="1114"/>
      <c r="DEA4" s="1114"/>
      <c r="DEB4" s="1114"/>
      <c r="DEC4" s="1114"/>
      <c r="DED4" s="1114"/>
      <c r="DEE4" s="1114"/>
      <c r="DEF4" s="1114"/>
      <c r="DEG4" s="1114"/>
      <c r="DEH4" s="1114"/>
      <c r="DEI4" s="1114"/>
      <c r="DEJ4" s="1114"/>
      <c r="DEK4" s="1114"/>
      <c r="DEL4" s="1114"/>
      <c r="DEM4" s="1114"/>
      <c r="DEN4" s="1114"/>
      <c r="DEO4" s="1114"/>
      <c r="DEP4" s="1114"/>
      <c r="DEQ4" s="1114"/>
      <c r="DER4" s="1114"/>
      <c r="DES4" s="1114"/>
      <c r="DET4" s="1114"/>
      <c r="DEU4" s="1114"/>
      <c r="DEV4" s="1114"/>
      <c r="DEW4" s="1114"/>
      <c r="DEX4" s="1114"/>
      <c r="DEY4" s="1114"/>
      <c r="DEZ4" s="1114"/>
      <c r="DFA4" s="1114"/>
      <c r="DFB4" s="1114"/>
      <c r="DFC4" s="1114"/>
      <c r="DFD4" s="1114"/>
      <c r="DFE4" s="1114"/>
      <c r="DFF4" s="1114"/>
      <c r="DFG4" s="1114"/>
      <c r="DFH4" s="1114"/>
      <c r="DFI4" s="1114"/>
      <c r="DFJ4" s="1114"/>
      <c r="DFK4" s="1114"/>
      <c r="DFL4" s="1114"/>
      <c r="DFM4" s="1114"/>
      <c r="DFN4" s="1114"/>
      <c r="DFO4" s="1114"/>
      <c r="DFP4" s="1114"/>
      <c r="DFQ4" s="1114"/>
      <c r="DFR4" s="1114"/>
      <c r="DFS4" s="1114"/>
      <c r="DFT4" s="1114"/>
      <c r="DFU4" s="1114"/>
      <c r="DFV4" s="1114"/>
      <c r="DFW4" s="1114"/>
      <c r="DFX4" s="1114"/>
      <c r="DFY4" s="1114"/>
      <c r="DFZ4" s="1114"/>
      <c r="DGA4" s="1114"/>
      <c r="DGB4" s="1114"/>
      <c r="DGC4" s="1114"/>
      <c r="DGD4" s="1114"/>
      <c r="DGE4" s="1114"/>
      <c r="DGF4" s="1114"/>
      <c r="DGG4" s="1114"/>
      <c r="DGH4" s="1114"/>
      <c r="DGI4" s="1114"/>
      <c r="DGJ4" s="1114"/>
      <c r="DGK4" s="1114"/>
      <c r="DGL4" s="1114"/>
      <c r="DGM4" s="1114"/>
      <c r="DGN4" s="1114"/>
      <c r="DGO4" s="1114"/>
      <c r="DGP4" s="1114"/>
      <c r="DGQ4" s="1114"/>
      <c r="DGR4" s="1114"/>
      <c r="DGS4" s="1114"/>
      <c r="DGT4" s="1114"/>
      <c r="DGU4" s="1114"/>
      <c r="DGV4" s="1114"/>
      <c r="DGW4" s="1114"/>
      <c r="DGX4" s="1114"/>
      <c r="DGY4" s="1114"/>
      <c r="DGZ4" s="1114"/>
      <c r="DHA4" s="1114"/>
      <c r="DHB4" s="1114"/>
      <c r="DHC4" s="1114"/>
      <c r="DHD4" s="1114"/>
      <c r="DHE4" s="1114"/>
      <c r="DHF4" s="1114"/>
      <c r="DHG4" s="1114"/>
      <c r="DHH4" s="1114"/>
      <c r="DHI4" s="1114"/>
      <c r="DHJ4" s="1114"/>
      <c r="DHK4" s="1114"/>
      <c r="DHL4" s="1114"/>
      <c r="DHM4" s="1114"/>
      <c r="DHN4" s="1114"/>
      <c r="DHO4" s="1114"/>
      <c r="DHP4" s="1114"/>
      <c r="DHQ4" s="1114"/>
      <c r="DHR4" s="1114"/>
      <c r="DHS4" s="1114"/>
      <c r="DHT4" s="1114"/>
      <c r="DHU4" s="1114"/>
      <c r="DHV4" s="1114"/>
      <c r="DHW4" s="1114"/>
      <c r="DHX4" s="1114"/>
      <c r="DHY4" s="1114"/>
      <c r="DHZ4" s="1114"/>
      <c r="DIA4" s="1114"/>
      <c r="DIB4" s="1114"/>
      <c r="DIC4" s="1114"/>
      <c r="DID4" s="1114"/>
      <c r="DIE4" s="1114"/>
      <c r="DIF4" s="1114"/>
      <c r="DIG4" s="1114"/>
      <c r="DIH4" s="1114"/>
      <c r="DII4" s="1114"/>
      <c r="DIJ4" s="1114"/>
      <c r="DIK4" s="1114"/>
      <c r="DIL4" s="1114"/>
      <c r="DIM4" s="1114"/>
      <c r="DIN4" s="1114"/>
      <c r="DIO4" s="1114"/>
      <c r="DIP4" s="1114"/>
      <c r="DIQ4" s="1114"/>
      <c r="DIR4" s="1114"/>
      <c r="DIS4" s="1114"/>
      <c r="DIT4" s="1114"/>
      <c r="DIU4" s="1114"/>
      <c r="DIV4" s="1114"/>
      <c r="DIW4" s="1114"/>
      <c r="DIX4" s="1114"/>
      <c r="DIY4" s="1114"/>
      <c r="DIZ4" s="1114"/>
      <c r="DJA4" s="1114"/>
      <c r="DJB4" s="1114"/>
      <c r="DJC4" s="1114"/>
      <c r="DJD4" s="1114"/>
      <c r="DJE4" s="1114"/>
      <c r="DJF4" s="1114"/>
      <c r="DJG4" s="1114"/>
      <c r="DJH4" s="1114"/>
      <c r="DJI4" s="1114"/>
      <c r="DJJ4" s="1114"/>
      <c r="DJK4" s="1114"/>
      <c r="DJL4" s="1114"/>
      <c r="DJM4" s="1114"/>
      <c r="DJN4" s="1114"/>
      <c r="DJO4" s="1114"/>
      <c r="DJP4" s="1114"/>
      <c r="DJQ4" s="1114"/>
      <c r="DJR4" s="1114"/>
      <c r="DJS4" s="1114"/>
      <c r="DJT4" s="1114"/>
      <c r="DJU4" s="1114"/>
      <c r="DJV4" s="1114"/>
      <c r="DJW4" s="1114"/>
      <c r="DJX4" s="1114"/>
      <c r="DJY4" s="1114"/>
      <c r="DJZ4" s="1114"/>
      <c r="DKA4" s="1114"/>
      <c r="DKB4" s="1114"/>
      <c r="DKC4" s="1114"/>
      <c r="DKD4" s="1114"/>
      <c r="DKE4" s="1114"/>
      <c r="DKF4" s="1114"/>
      <c r="DKG4" s="1114"/>
      <c r="DKH4" s="1114"/>
      <c r="DKI4" s="1114"/>
      <c r="DKJ4" s="1114"/>
      <c r="DKK4" s="1114"/>
      <c r="DKL4" s="1114"/>
      <c r="DKM4" s="1114"/>
      <c r="DKN4" s="1114"/>
      <c r="DKO4" s="1114"/>
      <c r="DKP4" s="1114"/>
      <c r="DKQ4" s="1114"/>
      <c r="DKR4" s="1114"/>
      <c r="DKS4" s="1114"/>
      <c r="DKT4" s="1114"/>
      <c r="DKU4" s="1114"/>
      <c r="DKV4" s="1114"/>
      <c r="DKW4" s="1114"/>
      <c r="DKX4" s="1114"/>
      <c r="DKY4" s="1114"/>
      <c r="DKZ4" s="1114"/>
      <c r="DLA4" s="1114"/>
      <c r="DLB4" s="1114"/>
      <c r="DLC4" s="1114"/>
      <c r="DLD4" s="1114"/>
      <c r="DLE4" s="1114"/>
      <c r="DLF4" s="1114"/>
      <c r="DLG4" s="1114"/>
      <c r="DLH4" s="1114"/>
      <c r="DLI4" s="1114"/>
      <c r="DLJ4" s="1114"/>
      <c r="DLK4" s="1114"/>
      <c r="DLL4" s="1114"/>
      <c r="DLM4" s="1114"/>
      <c r="DLN4" s="1114"/>
      <c r="DLO4" s="1114"/>
      <c r="DLP4" s="1114"/>
      <c r="DLQ4" s="1114"/>
      <c r="DLR4" s="1114"/>
      <c r="DLS4" s="1114"/>
      <c r="DLT4" s="1114"/>
      <c r="DLU4" s="1114"/>
      <c r="DLV4" s="1114"/>
      <c r="DLW4" s="1114"/>
      <c r="DLX4" s="1114"/>
      <c r="DLY4" s="1114"/>
      <c r="DLZ4" s="1114"/>
      <c r="DMA4" s="1114"/>
      <c r="DMB4" s="1114"/>
      <c r="DMC4" s="1114"/>
      <c r="DMD4" s="1114"/>
      <c r="DME4" s="1114"/>
      <c r="DMF4" s="1114"/>
      <c r="DMG4" s="1114"/>
      <c r="DMH4" s="1114"/>
      <c r="DMI4" s="1114"/>
      <c r="DMJ4" s="1114"/>
      <c r="DMK4" s="1114"/>
      <c r="DML4" s="1114"/>
      <c r="DMM4" s="1114"/>
      <c r="DMN4" s="1114"/>
      <c r="DMO4" s="1114"/>
      <c r="DMP4" s="1114"/>
      <c r="DMQ4" s="1114"/>
      <c r="DMR4" s="1114"/>
      <c r="DMS4" s="1114"/>
      <c r="DMT4" s="1114"/>
      <c r="DMU4" s="1114"/>
      <c r="DMV4" s="1114"/>
      <c r="DMW4" s="1114"/>
      <c r="DMX4" s="1114"/>
      <c r="DMY4" s="1114"/>
      <c r="DMZ4" s="1114"/>
      <c r="DNA4" s="1114"/>
      <c r="DNB4" s="1114"/>
      <c r="DNC4" s="1114"/>
      <c r="DND4" s="1114"/>
      <c r="DNE4" s="1114"/>
      <c r="DNF4" s="1114"/>
      <c r="DNG4" s="1114"/>
      <c r="DNH4" s="1114"/>
      <c r="DNI4" s="1114"/>
      <c r="DNJ4" s="1114"/>
      <c r="DNK4" s="1114"/>
      <c r="DNL4" s="1114"/>
      <c r="DNM4" s="1114"/>
      <c r="DNN4" s="1114"/>
      <c r="DNO4" s="1114"/>
      <c r="DNP4" s="1114"/>
      <c r="DNQ4" s="1114"/>
      <c r="DNR4" s="1114"/>
      <c r="DNS4" s="1114"/>
      <c r="DNT4" s="1114"/>
      <c r="DNU4" s="1114"/>
      <c r="DNV4" s="1114"/>
      <c r="DNW4" s="1114"/>
      <c r="DNX4" s="1114"/>
      <c r="DNY4" s="1114"/>
      <c r="DNZ4" s="1114"/>
      <c r="DOA4" s="1114"/>
      <c r="DOB4" s="1114"/>
      <c r="DOC4" s="1114"/>
      <c r="DOD4" s="1114"/>
      <c r="DOE4" s="1114"/>
      <c r="DOF4" s="1114"/>
      <c r="DOG4" s="1114"/>
      <c r="DOH4" s="1114"/>
      <c r="DOI4" s="1114"/>
      <c r="DOJ4" s="1114"/>
      <c r="DOK4" s="1114"/>
      <c r="DOL4" s="1114"/>
      <c r="DOM4" s="1114"/>
      <c r="DON4" s="1114"/>
      <c r="DOO4" s="1114"/>
      <c r="DOP4" s="1114"/>
      <c r="DOQ4" s="1114"/>
      <c r="DOR4" s="1114"/>
      <c r="DOS4" s="1114"/>
      <c r="DOT4" s="1114"/>
      <c r="DOU4" s="1114"/>
      <c r="DOV4" s="1114"/>
      <c r="DOW4" s="1114"/>
      <c r="DOX4" s="1114"/>
      <c r="DOY4" s="1114"/>
      <c r="DOZ4" s="1114"/>
      <c r="DPA4" s="1114"/>
      <c r="DPB4" s="1114"/>
      <c r="DPC4" s="1114"/>
      <c r="DPD4" s="1114"/>
      <c r="DPE4" s="1114"/>
      <c r="DPF4" s="1114"/>
      <c r="DPG4" s="1114"/>
      <c r="DPH4" s="1114"/>
      <c r="DPI4" s="1114"/>
      <c r="DPJ4" s="1114"/>
      <c r="DPK4" s="1114"/>
      <c r="DPL4" s="1114"/>
      <c r="DPM4" s="1114"/>
      <c r="DPN4" s="1114"/>
      <c r="DPO4" s="1114"/>
      <c r="DPP4" s="1114"/>
      <c r="DPQ4" s="1114"/>
      <c r="DPR4" s="1114"/>
      <c r="DPS4" s="1114"/>
      <c r="DPT4" s="1114"/>
      <c r="DPU4" s="1114"/>
      <c r="DPV4" s="1114"/>
      <c r="DPW4" s="1114"/>
      <c r="DPX4" s="1114"/>
      <c r="DPY4" s="1114"/>
      <c r="DPZ4" s="1114"/>
      <c r="DQA4" s="1114"/>
      <c r="DQB4" s="1114"/>
      <c r="DQC4" s="1114"/>
      <c r="DQD4" s="1114"/>
      <c r="DQE4" s="1114"/>
      <c r="DQF4" s="1114"/>
      <c r="DQG4" s="1114"/>
      <c r="DQH4" s="1114"/>
      <c r="DQI4" s="1114"/>
      <c r="DQJ4" s="1114"/>
      <c r="DQK4" s="1114"/>
      <c r="DQL4" s="1114"/>
      <c r="DQM4" s="1114"/>
      <c r="DQN4" s="1114"/>
      <c r="DQO4" s="1114"/>
      <c r="DQP4" s="1114"/>
      <c r="DQQ4" s="1114"/>
      <c r="DQR4" s="1114"/>
      <c r="DQS4" s="1114"/>
      <c r="DQT4" s="1114"/>
      <c r="DQU4" s="1114"/>
      <c r="DQV4" s="1114"/>
      <c r="DQW4" s="1114"/>
      <c r="DQX4" s="1114"/>
      <c r="DQY4" s="1114"/>
      <c r="DQZ4" s="1114"/>
      <c r="DRA4" s="1114"/>
      <c r="DRB4" s="1114"/>
      <c r="DRC4" s="1114"/>
      <c r="DRD4" s="1114"/>
      <c r="DRE4" s="1114"/>
      <c r="DRF4" s="1114"/>
      <c r="DRG4" s="1114"/>
      <c r="DRH4" s="1114"/>
      <c r="DRI4" s="1114"/>
      <c r="DRJ4" s="1114"/>
      <c r="DRK4" s="1114"/>
      <c r="DRL4" s="1114"/>
      <c r="DRM4" s="1114"/>
      <c r="DRN4" s="1114"/>
      <c r="DRO4" s="1114"/>
      <c r="DRP4" s="1114"/>
      <c r="DRQ4" s="1114"/>
      <c r="DRR4" s="1114"/>
      <c r="DRS4" s="1114"/>
      <c r="DRT4" s="1114"/>
      <c r="DRU4" s="1114"/>
      <c r="DRV4" s="1114"/>
      <c r="DRW4" s="1114"/>
      <c r="DRX4" s="1114"/>
      <c r="DRY4" s="1114"/>
      <c r="DRZ4" s="1114"/>
      <c r="DSA4" s="1114"/>
      <c r="DSB4" s="1114"/>
      <c r="DSC4" s="1114"/>
      <c r="DSD4" s="1114"/>
      <c r="DSE4" s="1114"/>
      <c r="DSF4" s="1114"/>
      <c r="DSG4" s="1114"/>
      <c r="DSH4" s="1114"/>
      <c r="DSI4" s="1114"/>
      <c r="DSJ4" s="1114"/>
      <c r="DSK4" s="1114"/>
      <c r="DSL4" s="1114"/>
      <c r="DSM4" s="1114"/>
      <c r="DSN4" s="1114"/>
      <c r="DSO4" s="1114"/>
      <c r="DSP4" s="1114"/>
      <c r="DSQ4" s="1114"/>
      <c r="DSR4" s="1114"/>
      <c r="DSS4" s="1114"/>
      <c r="DST4" s="1114"/>
      <c r="DSU4" s="1114"/>
      <c r="DSV4" s="1114"/>
      <c r="DSW4" s="1114"/>
      <c r="DSX4" s="1114"/>
      <c r="DSY4" s="1114"/>
      <c r="DSZ4" s="1114"/>
      <c r="DTA4" s="1114"/>
      <c r="DTB4" s="1114"/>
      <c r="DTC4" s="1114"/>
      <c r="DTD4" s="1114"/>
      <c r="DTE4" s="1114"/>
      <c r="DTF4" s="1114"/>
      <c r="DTG4" s="1114"/>
      <c r="DTH4" s="1114"/>
      <c r="DTI4" s="1114"/>
      <c r="DTJ4" s="1114"/>
      <c r="DTK4" s="1114"/>
      <c r="DTL4" s="1114"/>
      <c r="DTM4" s="1114"/>
      <c r="DTN4" s="1114"/>
      <c r="DTO4" s="1114"/>
      <c r="DTP4" s="1114"/>
      <c r="DTQ4" s="1114"/>
      <c r="DTR4" s="1114"/>
      <c r="DTS4" s="1114"/>
      <c r="DTT4" s="1114"/>
      <c r="DTU4" s="1114"/>
      <c r="DTV4" s="1114"/>
      <c r="DTW4" s="1114"/>
      <c r="DTX4" s="1114"/>
      <c r="DTY4" s="1114"/>
      <c r="DTZ4" s="1114"/>
      <c r="DUA4" s="1114"/>
      <c r="DUB4" s="1114"/>
      <c r="DUC4" s="1114"/>
      <c r="DUD4" s="1114"/>
      <c r="DUE4" s="1114"/>
      <c r="DUF4" s="1114"/>
      <c r="DUG4" s="1114"/>
      <c r="DUH4" s="1114"/>
      <c r="DUI4" s="1114"/>
      <c r="DUJ4" s="1114"/>
      <c r="DUK4" s="1114"/>
      <c r="DUL4" s="1114"/>
      <c r="DUM4" s="1114"/>
      <c r="DUN4" s="1114"/>
      <c r="DUO4" s="1114"/>
      <c r="DUP4" s="1114"/>
      <c r="DUQ4" s="1114"/>
      <c r="DUR4" s="1114"/>
      <c r="DUS4" s="1114"/>
      <c r="DUT4" s="1114"/>
      <c r="DUU4" s="1114"/>
      <c r="DUV4" s="1114"/>
      <c r="DUW4" s="1114"/>
      <c r="DUX4" s="1114"/>
      <c r="DUY4" s="1114"/>
      <c r="DUZ4" s="1114"/>
      <c r="DVA4" s="1114"/>
      <c r="DVB4" s="1114"/>
      <c r="DVC4" s="1114"/>
      <c r="DVD4" s="1114"/>
      <c r="DVE4" s="1114"/>
      <c r="DVF4" s="1114"/>
      <c r="DVG4" s="1114"/>
      <c r="DVH4" s="1114"/>
      <c r="DVI4" s="1114"/>
      <c r="DVJ4" s="1114"/>
      <c r="DVK4" s="1114"/>
      <c r="DVL4" s="1114"/>
      <c r="DVM4" s="1114"/>
      <c r="DVN4" s="1114"/>
      <c r="DVO4" s="1114"/>
      <c r="DVP4" s="1114"/>
      <c r="DVQ4" s="1114"/>
      <c r="DVR4" s="1114"/>
      <c r="DVS4" s="1114"/>
      <c r="DVT4" s="1114"/>
      <c r="DVU4" s="1114"/>
      <c r="DVV4" s="1114"/>
      <c r="DVW4" s="1114"/>
      <c r="DVX4" s="1114"/>
      <c r="DVY4" s="1114"/>
      <c r="DVZ4" s="1114"/>
      <c r="DWA4" s="1114"/>
      <c r="DWB4" s="1114"/>
      <c r="DWC4" s="1114"/>
      <c r="DWD4" s="1114"/>
      <c r="DWE4" s="1114"/>
      <c r="DWF4" s="1114"/>
      <c r="DWG4" s="1114"/>
      <c r="DWH4" s="1114"/>
      <c r="DWI4" s="1114"/>
      <c r="DWJ4" s="1114"/>
      <c r="DWK4" s="1114"/>
      <c r="DWL4" s="1114"/>
      <c r="DWM4" s="1114"/>
      <c r="DWN4" s="1114"/>
      <c r="DWO4" s="1114"/>
      <c r="DWP4" s="1114"/>
      <c r="DWQ4" s="1114"/>
      <c r="DWR4" s="1114"/>
      <c r="DWS4" s="1114"/>
      <c r="DWT4" s="1114"/>
      <c r="DWU4" s="1114"/>
      <c r="DWV4" s="1114"/>
      <c r="DWW4" s="1114"/>
      <c r="DWX4" s="1114"/>
      <c r="DWY4" s="1114"/>
      <c r="DWZ4" s="1114"/>
      <c r="DXA4" s="1114"/>
      <c r="DXB4" s="1114"/>
      <c r="DXC4" s="1114"/>
      <c r="DXD4" s="1114"/>
      <c r="DXE4" s="1114"/>
      <c r="DXF4" s="1114"/>
      <c r="DXG4" s="1114"/>
      <c r="DXH4" s="1114"/>
      <c r="DXI4" s="1114"/>
      <c r="DXJ4" s="1114"/>
      <c r="DXK4" s="1114"/>
      <c r="DXL4" s="1114"/>
      <c r="DXM4" s="1114"/>
      <c r="DXN4" s="1114"/>
      <c r="DXO4" s="1114"/>
      <c r="DXP4" s="1114"/>
      <c r="DXQ4" s="1114"/>
      <c r="DXR4" s="1114"/>
      <c r="DXS4" s="1114"/>
      <c r="DXT4" s="1114"/>
      <c r="DXU4" s="1114"/>
      <c r="DXV4" s="1114"/>
      <c r="DXW4" s="1114"/>
      <c r="DXX4" s="1114"/>
      <c r="DXY4" s="1114"/>
      <c r="DXZ4" s="1114"/>
      <c r="DYA4" s="1114"/>
      <c r="DYB4" s="1114"/>
      <c r="DYC4" s="1114"/>
      <c r="DYD4" s="1114"/>
      <c r="DYE4" s="1114"/>
      <c r="DYF4" s="1114"/>
      <c r="DYG4" s="1114"/>
      <c r="DYH4" s="1114"/>
      <c r="DYI4" s="1114"/>
      <c r="DYJ4" s="1114"/>
      <c r="DYK4" s="1114"/>
      <c r="DYL4" s="1114"/>
      <c r="DYM4" s="1114"/>
      <c r="DYN4" s="1114"/>
      <c r="DYO4" s="1114"/>
      <c r="DYP4" s="1114"/>
      <c r="DYQ4" s="1114"/>
      <c r="DYR4" s="1114"/>
      <c r="DYS4" s="1114"/>
      <c r="DYT4" s="1114"/>
      <c r="DYU4" s="1114"/>
      <c r="DYV4" s="1114"/>
      <c r="DYW4" s="1114"/>
      <c r="DYX4" s="1114"/>
      <c r="DYY4" s="1114"/>
      <c r="DYZ4" s="1114"/>
      <c r="DZA4" s="1114"/>
      <c r="DZB4" s="1114"/>
      <c r="DZC4" s="1114"/>
      <c r="DZD4" s="1114"/>
      <c r="DZE4" s="1114"/>
      <c r="DZF4" s="1114"/>
      <c r="DZG4" s="1114"/>
      <c r="DZH4" s="1114"/>
      <c r="DZI4" s="1114"/>
      <c r="DZJ4" s="1114"/>
      <c r="DZK4" s="1114"/>
      <c r="DZL4" s="1114"/>
      <c r="DZM4" s="1114"/>
      <c r="DZN4" s="1114"/>
      <c r="DZO4" s="1114"/>
      <c r="DZP4" s="1114"/>
      <c r="DZQ4" s="1114"/>
      <c r="DZR4" s="1114"/>
      <c r="DZS4" s="1114"/>
      <c r="DZT4" s="1114"/>
      <c r="DZU4" s="1114"/>
      <c r="DZV4" s="1114"/>
      <c r="DZW4" s="1114"/>
      <c r="DZX4" s="1114"/>
      <c r="DZY4" s="1114"/>
      <c r="DZZ4" s="1114"/>
      <c r="EAA4" s="1114"/>
      <c r="EAB4" s="1114"/>
      <c r="EAC4" s="1114"/>
      <c r="EAD4" s="1114"/>
      <c r="EAE4" s="1114"/>
      <c r="EAF4" s="1114"/>
      <c r="EAG4" s="1114"/>
      <c r="EAH4" s="1114"/>
      <c r="EAI4" s="1114"/>
      <c r="EAJ4" s="1114"/>
      <c r="EAK4" s="1114"/>
      <c r="EAL4" s="1114"/>
      <c r="EAM4" s="1114"/>
      <c r="EAN4" s="1114"/>
      <c r="EAO4" s="1114"/>
      <c r="EAP4" s="1114"/>
      <c r="EAQ4" s="1114"/>
      <c r="EAR4" s="1114"/>
      <c r="EAS4" s="1114"/>
      <c r="EAT4" s="1114"/>
      <c r="EAU4" s="1114"/>
      <c r="EAV4" s="1114"/>
      <c r="EAW4" s="1114"/>
      <c r="EAX4" s="1114"/>
      <c r="EAY4" s="1114"/>
      <c r="EAZ4" s="1114"/>
      <c r="EBA4" s="1114"/>
      <c r="EBB4" s="1114"/>
      <c r="EBC4" s="1114"/>
      <c r="EBD4" s="1114"/>
      <c r="EBE4" s="1114"/>
      <c r="EBF4" s="1114"/>
      <c r="EBG4" s="1114"/>
      <c r="EBH4" s="1114"/>
      <c r="EBI4" s="1114"/>
      <c r="EBJ4" s="1114"/>
      <c r="EBK4" s="1114"/>
      <c r="EBL4" s="1114"/>
      <c r="EBM4" s="1114"/>
      <c r="EBN4" s="1114"/>
      <c r="EBO4" s="1114"/>
      <c r="EBP4" s="1114"/>
      <c r="EBQ4" s="1114"/>
      <c r="EBR4" s="1114"/>
      <c r="EBS4" s="1114"/>
      <c r="EBT4" s="1114"/>
      <c r="EBU4" s="1114"/>
      <c r="EBV4" s="1114"/>
      <c r="EBW4" s="1114"/>
      <c r="EBX4" s="1114"/>
      <c r="EBY4" s="1114"/>
      <c r="EBZ4" s="1114"/>
      <c r="ECA4" s="1114"/>
      <c r="ECB4" s="1114"/>
      <c r="ECC4" s="1114"/>
      <c r="ECD4" s="1114"/>
      <c r="ECE4" s="1114"/>
      <c r="ECF4" s="1114"/>
      <c r="ECG4" s="1114"/>
      <c r="ECH4" s="1114"/>
      <c r="ECI4" s="1114"/>
      <c r="ECJ4" s="1114"/>
      <c r="ECK4" s="1114"/>
      <c r="ECL4" s="1114"/>
      <c r="ECM4" s="1114"/>
      <c r="ECN4" s="1114"/>
      <c r="ECO4" s="1114"/>
      <c r="ECP4" s="1114"/>
      <c r="ECQ4" s="1114"/>
      <c r="ECR4" s="1114"/>
      <c r="ECS4" s="1114"/>
      <c r="ECT4" s="1114"/>
      <c r="ECU4" s="1114"/>
      <c r="ECV4" s="1114"/>
      <c r="ECW4" s="1114"/>
      <c r="ECX4" s="1114"/>
      <c r="ECY4" s="1114"/>
      <c r="ECZ4" s="1114"/>
      <c r="EDA4" s="1114"/>
      <c r="EDB4" s="1114"/>
      <c r="EDC4" s="1114"/>
      <c r="EDD4" s="1114"/>
      <c r="EDE4" s="1114"/>
      <c r="EDF4" s="1114"/>
      <c r="EDG4" s="1114"/>
      <c r="EDH4" s="1114"/>
      <c r="EDI4" s="1114"/>
      <c r="EDJ4" s="1114"/>
      <c r="EDK4" s="1114"/>
      <c r="EDL4" s="1114"/>
      <c r="EDM4" s="1114"/>
      <c r="EDN4" s="1114"/>
      <c r="EDO4" s="1114"/>
      <c r="EDP4" s="1114"/>
      <c r="EDQ4" s="1114"/>
      <c r="EDR4" s="1114"/>
      <c r="EDS4" s="1114"/>
      <c r="EDT4" s="1114"/>
      <c r="EDU4" s="1114"/>
      <c r="EDV4" s="1114"/>
      <c r="EDW4" s="1114"/>
      <c r="EDX4" s="1114"/>
      <c r="EDY4" s="1114"/>
      <c r="EDZ4" s="1114"/>
      <c r="EEA4" s="1114"/>
      <c r="EEB4" s="1114"/>
      <c r="EEC4" s="1114"/>
      <c r="EED4" s="1114"/>
      <c r="EEE4" s="1114"/>
      <c r="EEF4" s="1114"/>
      <c r="EEG4" s="1114"/>
      <c r="EEH4" s="1114"/>
      <c r="EEI4" s="1114"/>
      <c r="EEJ4" s="1114"/>
      <c r="EEK4" s="1114"/>
      <c r="EEL4" s="1114"/>
      <c r="EEM4" s="1114"/>
      <c r="EEN4" s="1114"/>
      <c r="EEO4" s="1114"/>
      <c r="EEP4" s="1114"/>
      <c r="EEQ4" s="1114"/>
      <c r="EER4" s="1114"/>
      <c r="EES4" s="1114"/>
      <c r="EET4" s="1114"/>
      <c r="EEU4" s="1114"/>
      <c r="EEV4" s="1114"/>
      <c r="EEW4" s="1114"/>
      <c r="EEX4" s="1114"/>
      <c r="EEY4" s="1114"/>
      <c r="EEZ4" s="1114"/>
      <c r="EFA4" s="1114"/>
      <c r="EFB4" s="1114"/>
      <c r="EFC4" s="1114"/>
      <c r="EFD4" s="1114"/>
      <c r="EFE4" s="1114"/>
      <c r="EFF4" s="1114"/>
      <c r="EFG4" s="1114"/>
      <c r="EFH4" s="1114"/>
      <c r="EFI4" s="1114"/>
      <c r="EFJ4" s="1114"/>
      <c r="EFK4" s="1114"/>
      <c r="EFL4" s="1114"/>
      <c r="EFM4" s="1114"/>
      <c r="EFN4" s="1114"/>
      <c r="EFO4" s="1114"/>
      <c r="EFP4" s="1114"/>
      <c r="EFQ4" s="1114"/>
      <c r="EFR4" s="1114"/>
      <c r="EFS4" s="1114"/>
      <c r="EFT4" s="1114"/>
      <c r="EFU4" s="1114"/>
      <c r="EFV4" s="1114"/>
      <c r="EFW4" s="1114"/>
      <c r="EFX4" s="1114"/>
      <c r="EFY4" s="1114"/>
      <c r="EFZ4" s="1114"/>
      <c r="EGA4" s="1114"/>
      <c r="EGB4" s="1114"/>
      <c r="EGC4" s="1114"/>
      <c r="EGD4" s="1114"/>
      <c r="EGE4" s="1114"/>
      <c r="EGF4" s="1114"/>
      <c r="EGG4" s="1114"/>
      <c r="EGH4" s="1114"/>
      <c r="EGI4" s="1114"/>
      <c r="EGJ4" s="1114"/>
      <c r="EGK4" s="1114"/>
      <c r="EGL4" s="1114"/>
      <c r="EGM4" s="1114"/>
      <c r="EGN4" s="1114"/>
      <c r="EGO4" s="1114"/>
      <c r="EGP4" s="1114"/>
      <c r="EGQ4" s="1114"/>
      <c r="EGR4" s="1114"/>
      <c r="EGS4" s="1114"/>
      <c r="EGT4" s="1114"/>
      <c r="EGU4" s="1114"/>
      <c r="EGV4" s="1114"/>
      <c r="EGW4" s="1114"/>
      <c r="EGX4" s="1114"/>
      <c r="EGY4" s="1114"/>
      <c r="EGZ4" s="1114"/>
      <c r="EHA4" s="1114"/>
      <c r="EHB4" s="1114"/>
      <c r="EHC4" s="1114"/>
      <c r="EHD4" s="1114"/>
      <c r="EHE4" s="1114"/>
      <c r="EHF4" s="1114"/>
      <c r="EHG4" s="1114"/>
      <c r="EHH4" s="1114"/>
      <c r="EHI4" s="1114"/>
      <c r="EHJ4" s="1114"/>
      <c r="EHK4" s="1114"/>
      <c r="EHL4" s="1114"/>
      <c r="EHM4" s="1114"/>
      <c r="EHN4" s="1114"/>
      <c r="EHO4" s="1114"/>
      <c r="EHP4" s="1114"/>
      <c r="EHQ4" s="1114"/>
      <c r="EHR4" s="1114"/>
      <c r="EHS4" s="1114"/>
      <c r="EHT4" s="1114"/>
      <c r="EHU4" s="1114"/>
      <c r="EHV4" s="1114"/>
      <c r="EHW4" s="1114"/>
      <c r="EHX4" s="1114"/>
      <c r="EHY4" s="1114"/>
      <c r="EHZ4" s="1114"/>
      <c r="EIA4" s="1114"/>
      <c r="EIB4" s="1114"/>
      <c r="EIC4" s="1114"/>
      <c r="EID4" s="1114"/>
      <c r="EIE4" s="1114"/>
      <c r="EIF4" s="1114"/>
      <c r="EIG4" s="1114"/>
      <c r="EIH4" s="1114"/>
      <c r="EII4" s="1114"/>
      <c r="EIJ4" s="1114"/>
      <c r="EIK4" s="1114"/>
      <c r="EIL4" s="1114"/>
      <c r="EIM4" s="1114"/>
      <c r="EIN4" s="1114"/>
      <c r="EIO4" s="1114"/>
      <c r="EIP4" s="1114"/>
      <c r="EIQ4" s="1114"/>
      <c r="EIR4" s="1114"/>
      <c r="EIS4" s="1114"/>
      <c r="EIT4" s="1114"/>
      <c r="EIU4" s="1114"/>
      <c r="EIV4" s="1114"/>
      <c r="EIW4" s="1114"/>
      <c r="EIX4" s="1114"/>
      <c r="EIY4" s="1114"/>
      <c r="EIZ4" s="1114"/>
      <c r="EJA4" s="1114"/>
      <c r="EJB4" s="1114"/>
      <c r="EJC4" s="1114"/>
      <c r="EJD4" s="1114"/>
      <c r="EJE4" s="1114"/>
      <c r="EJF4" s="1114"/>
      <c r="EJG4" s="1114"/>
      <c r="EJH4" s="1114"/>
      <c r="EJI4" s="1114"/>
      <c r="EJJ4" s="1114"/>
      <c r="EJK4" s="1114"/>
      <c r="EJL4" s="1114"/>
      <c r="EJM4" s="1114"/>
      <c r="EJN4" s="1114"/>
      <c r="EJO4" s="1114"/>
      <c r="EJP4" s="1114"/>
      <c r="EJQ4" s="1114"/>
      <c r="EJR4" s="1114"/>
      <c r="EJS4" s="1114"/>
      <c r="EJT4" s="1114"/>
      <c r="EJU4" s="1114"/>
      <c r="EJV4" s="1114"/>
      <c r="EJW4" s="1114"/>
      <c r="EJX4" s="1114"/>
      <c r="EJY4" s="1114"/>
      <c r="EJZ4" s="1114"/>
      <c r="EKA4" s="1114"/>
      <c r="EKB4" s="1114"/>
      <c r="EKC4" s="1114"/>
      <c r="EKD4" s="1114"/>
      <c r="EKE4" s="1114"/>
      <c r="EKF4" s="1114"/>
      <c r="EKG4" s="1114"/>
      <c r="EKH4" s="1114"/>
      <c r="EKI4" s="1114"/>
      <c r="EKJ4" s="1114"/>
      <c r="EKK4" s="1114"/>
      <c r="EKL4" s="1114"/>
      <c r="EKM4" s="1114"/>
      <c r="EKN4" s="1114"/>
      <c r="EKO4" s="1114"/>
      <c r="EKP4" s="1114"/>
      <c r="EKQ4" s="1114"/>
      <c r="EKR4" s="1114"/>
      <c r="EKS4" s="1114"/>
      <c r="EKT4" s="1114"/>
      <c r="EKU4" s="1114"/>
      <c r="EKV4" s="1114"/>
      <c r="EKW4" s="1114"/>
      <c r="EKX4" s="1114"/>
      <c r="EKY4" s="1114"/>
      <c r="EKZ4" s="1114"/>
      <c r="ELA4" s="1114"/>
      <c r="ELB4" s="1114"/>
      <c r="ELC4" s="1114"/>
      <c r="ELD4" s="1114"/>
      <c r="ELE4" s="1114"/>
      <c r="ELF4" s="1114"/>
      <c r="ELG4" s="1114"/>
      <c r="ELH4" s="1114"/>
      <c r="ELI4" s="1114"/>
      <c r="ELJ4" s="1114"/>
      <c r="ELK4" s="1114"/>
      <c r="ELL4" s="1114"/>
      <c r="ELM4" s="1114"/>
      <c r="ELN4" s="1114"/>
      <c r="ELO4" s="1114"/>
      <c r="ELP4" s="1114"/>
      <c r="ELQ4" s="1114"/>
      <c r="ELR4" s="1114"/>
      <c r="ELS4" s="1114"/>
      <c r="ELT4" s="1114"/>
      <c r="ELU4" s="1114"/>
      <c r="ELV4" s="1114"/>
      <c r="ELW4" s="1114"/>
      <c r="ELX4" s="1114"/>
      <c r="ELY4" s="1114"/>
      <c r="ELZ4" s="1114"/>
      <c r="EMA4" s="1114"/>
      <c r="EMB4" s="1114"/>
      <c r="EMC4" s="1114"/>
      <c r="EMD4" s="1114"/>
      <c r="EME4" s="1114"/>
      <c r="EMF4" s="1114"/>
      <c r="EMG4" s="1114"/>
      <c r="EMH4" s="1114"/>
      <c r="EMI4" s="1114"/>
      <c r="EMJ4" s="1114"/>
      <c r="EMK4" s="1114"/>
      <c r="EML4" s="1114"/>
      <c r="EMM4" s="1114"/>
      <c r="EMN4" s="1114"/>
      <c r="EMO4" s="1114"/>
      <c r="EMP4" s="1114"/>
      <c r="EMQ4" s="1114"/>
      <c r="EMR4" s="1114"/>
      <c r="EMS4" s="1114"/>
      <c r="EMT4" s="1114"/>
      <c r="EMU4" s="1114"/>
      <c r="EMV4" s="1114"/>
      <c r="EMW4" s="1114"/>
      <c r="EMX4" s="1114"/>
      <c r="EMY4" s="1114"/>
      <c r="EMZ4" s="1114"/>
      <c r="ENA4" s="1114"/>
      <c r="ENB4" s="1114"/>
      <c r="ENC4" s="1114"/>
      <c r="END4" s="1114"/>
      <c r="ENE4" s="1114"/>
      <c r="ENF4" s="1114"/>
      <c r="ENG4" s="1114"/>
      <c r="ENH4" s="1114"/>
      <c r="ENI4" s="1114"/>
      <c r="ENJ4" s="1114"/>
      <c r="ENK4" s="1114"/>
      <c r="ENL4" s="1114"/>
      <c r="ENM4" s="1114"/>
      <c r="ENN4" s="1114"/>
      <c r="ENO4" s="1114"/>
      <c r="ENP4" s="1114"/>
      <c r="ENQ4" s="1114"/>
      <c r="ENR4" s="1114"/>
      <c r="ENS4" s="1114"/>
      <c r="ENT4" s="1114"/>
      <c r="ENU4" s="1114"/>
      <c r="ENV4" s="1114"/>
      <c r="ENW4" s="1114"/>
      <c r="ENX4" s="1114"/>
      <c r="ENY4" s="1114"/>
      <c r="ENZ4" s="1114"/>
      <c r="EOA4" s="1114"/>
      <c r="EOB4" s="1114"/>
      <c r="EOC4" s="1114"/>
      <c r="EOD4" s="1114"/>
      <c r="EOE4" s="1114"/>
      <c r="EOF4" s="1114"/>
      <c r="EOG4" s="1114"/>
      <c r="EOH4" s="1114"/>
      <c r="EOI4" s="1114"/>
      <c r="EOJ4" s="1114"/>
      <c r="EOK4" s="1114"/>
      <c r="EOL4" s="1114"/>
      <c r="EOM4" s="1114"/>
      <c r="EON4" s="1114"/>
      <c r="EOO4" s="1114"/>
      <c r="EOP4" s="1114"/>
      <c r="EOQ4" s="1114"/>
      <c r="EOR4" s="1114"/>
      <c r="EOS4" s="1114"/>
      <c r="EOT4" s="1114"/>
      <c r="EOU4" s="1114"/>
      <c r="EOV4" s="1114"/>
      <c r="EOW4" s="1114"/>
      <c r="EOX4" s="1114"/>
      <c r="EOY4" s="1114"/>
      <c r="EOZ4" s="1114"/>
      <c r="EPA4" s="1114"/>
      <c r="EPB4" s="1114"/>
      <c r="EPC4" s="1114"/>
      <c r="EPD4" s="1114"/>
      <c r="EPE4" s="1114"/>
      <c r="EPF4" s="1114"/>
      <c r="EPG4" s="1114"/>
      <c r="EPH4" s="1114"/>
      <c r="EPI4" s="1114"/>
      <c r="EPJ4" s="1114"/>
      <c r="EPK4" s="1114"/>
      <c r="EPL4" s="1114"/>
      <c r="EPM4" s="1114"/>
      <c r="EPN4" s="1114"/>
      <c r="EPO4" s="1114"/>
      <c r="EPP4" s="1114"/>
      <c r="EPQ4" s="1114"/>
      <c r="EPR4" s="1114"/>
      <c r="EPS4" s="1114"/>
      <c r="EPT4" s="1114"/>
      <c r="EPU4" s="1114"/>
      <c r="EPV4" s="1114"/>
      <c r="EPW4" s="1114"/>
      <c r="EPX4" s="1114"/>
      <c r="EPY4" s="1114"/>
      <c r="EPZ4" s="1114"/>
      <c r="EQA4" s="1114"/>
      <c r="EQB4" s="1114"/>
      <c r="EQC4" s="1114"/>
      <c r="EQD4" s="1114"/>
      <c r="EQE4" s="1114"/>
      <c r="EQF4" s="1114"/>
      <c r="EQG4" s="1114"/>
      <c r="EQH4" s="1114"/>
      <c r="EQI4" s="1114"/>
      <c r="EQJ4" s="1114"/>
      <c r="EQK4" s="1114"/>
      <c r="EQL4" s="1114"/>
      <c r="EQM4" s="1114"/>
      <c r="EQN4" s="1114"/>
      <c r="EQO4" s="1114"/>
      <c r="EQP4" s="1114"/>
      <c r="EQQ4" s="1114"/>
      <c r="EQR4" s="1114"/>
      <c r="EQS4" s="1114"/>
      <c r="EQT4" s="1114"/>
      <c r="EQU4" s="1114"/>
      <c r="EQV4" s="1114"/>
      <c r="EQW4" s="1114"/>
      <c r="EQX4" s="1114"/>
      <c r="EQY4" s="1114"/>
      <c r="EQZ4" s="1114"/>
      <c r="ERA4" s="1114"/>
      <c r="ERB4" s="1114"/>
      <c r="ERC4" s="1114"/>
      <c r="ERD4" s="1114"/>
      <c r="ERE4" s="1114"/>
      <c r="ERF4" s="1114"/>
      <c r="ERG4" s="1114"/>
      <c r="ERH4" s="1114"/>
      <c r="ERI4" s="1114"/>
      <c r="ERJ4" s="1114"/>
      <c r="ERK4" s="1114"/>
      <c r="ERL4" s="1114"/>
      <c r="ERM4" s="1114"/>
      <c r="ERN4" s="1114"/>
      <c r="ERO4" s="1114"/>
      <c r="ERP4" s="1114"/>
      <c r="ERQ4" s="1114"/>
      <c r="ERR4" s="1114"/>
      <c r="ERS4" s="1114"/>
      <c r="ERT4" s="1114"/>
      <c r="ERU4" s="1114"/>
      <c r="ERV4" s="1114"/>
      <c r="ERW4" s="1114"/>
      <c r="ERX4" s="1114"/>
      <c r="ERY4" s="1114"/>
      <c r="ERZ4" s="1114"/>
      <c r="ESA4" s="1114"/>
      <c r="ESB4" s="1114"/>
      <c r="ESC4" s="1114"/>
      <c r="ESD4" s="1114"/>
      <c r="ESE4" s="1114"/>
      <c r="ESF4" s="1114"/>
      <c r="ESG4" s="1114"/>
      <c r="ESH4" s="1114"/>
      <c r="ESI4" s="1114"/>
      <c r="ESJ4" s="1114"/>
      <c r="ESK4" s="1114"/>
      <c r="ESL4" s="1114"/>
      <c r="ESM4" s="1114"/>
      <c r="ESN4" s="1114"/>
      <c r="ESO4" s="1114"/>
      <c r="ESP4" s="1114"/>
      <c r="ESQ4" s="1114"/>
      <c r="ESR4" s="1114"/>
      <c r="ESS4" s="1114"/>
      <c r="EST4" s="1114"/>
      <c r="ESU4" s="1114"/>
      <c r="ESV4" s="1114"/>
      <c r="ESW4" s="1114"/>
      <c r="ESX4" s="1114"/>
      <c r="ESY4" s="1114"/>
      <c r="ESZ4" s="1114"/>
      <c r="ETA4" s="1114"/>
      <c r="ETB4" s="1114"/>
      <c r="ETC4" s="1114"/>
      <c r="ETD4" s="1114"/>
      <c r="ETE4" s="1114"/>
      <c r="ETF4" s="1114"/>
      <c r="ETG4" s="1114"/>
      <c r="ETH4" s="1114"/>
      <c r="ETI4" s="1114"/>
      <c r="ETJ4" s="1114"/>
      <c r="ETK4" s="1114"/>
      <c r="ETL4" s="1114"/>
      <c r="ETM4" s="1114"/>
      <c r="ETN4" s="1114"/>
      <c r="ETO4" s="1114"/>
      <c r="ETP4" s="1114"/>
      <c r="ETQ4" s="1114"/>
      <c r="ETR4" s="1114"/>
      <c r="ETS4" s="1114"/>
      <c r="ETT4" s="1114"/>
      <c r="ETU4" s="1114"/>
      <c r="ETV4" s="1114"/>
      <c r="ETW4" s="1114"/>
      <c r="ETX4" s="1114"/>
      <c r="ETY4" s="1114"/>
      <c r="ETZ4" s="1114"/>
      <c r="EUA4" s="1114"/>
      <c r="EUB4" s="1114"/>
      <c r="EUC4" s="1114"/>
      <c r="EUD4" s="1114"/>
      <c r="EUE4" s="1114"/>
      <c r="EUF4" s="1114"/>
      <c r="EUG4" s="1114"/>
      <c r="EUH4" s="1114"/>
      <c r="EUI4" s="1114"/>
      <c r="EUJ4" s="1114"/>
      <c r="EUK4" s="1114"/>
      <c r="EUL4" s="1114"/>
      <c r="EUM4" s="1114"/>
      <c r="EUN4" s="1114"/>
      <c r="EUO4" s="1114"/>
      <c r="EUP4" s="1114"/>
      <c r="EUQ4" s="1114"/>
      <c r="EUR4" s="1114"/>
      <c r="EUS4" s="1114"/>
      <c r="EUT4" s="1114"/>
      <c r="EUU4" s="1114"/>
      <c r="EUV4" s="1114"/>
      <c r="EUW4" s="1114"/>
      <c r="EUX4" s="1114"/>
      <c r="EUY4" s="1114"/>
      <c r="EUZ4" s="1114"/>
      <c r="EVA4" s="1114"/>
      <c r="EVB4" s="1114"/>
      <c r="EVC4" s="1114"/>
      <c r="EVD4" s="1114"/>
      <c r="EVE4" s="1114"/>
      <c r="EVF4" s="1114"/>
      <c r="EVG4" s="1114"/>
      <c r="EVH4" s="1114"/>
      <c r="EVI4" s="1114"/>
      <c r="EVJ4" s="1114"/>
      <c r="EVK4" s="1114"/>
      <c r="EVL4" s="1114"/>
      <c r="EVM4" s="1114"/>
      <c r="EVN4" s="1114"/>
      <c r="EVO4" s="1114"/>
      <c r="EVP4" s="1114"/>
      <c r="EVQ4" s="1114"/>
      <c r="EVR4" s="1114"/>
      <c r="EVS4" s="1114"/>
      <c r="EVT4" s="1114"/>
      <c r="EVU4" s="1114"/>
      <c r="EVV4" s="1114"/>
      <c r="EVW4" s="1114"/>
      <c r="EVX4" s="1114"/>
      <c r="EVY4" s="1114"/>
      <c r="EVZ4" s="1114"/>
      <c r="EWA4" s="1114"/>
      <c r="EWB4" s="1114"/>
      <c r="EWC4" s="1114"/>
      <c r="EWD4" s="1114"/>
      <c r="EWE4" s="1114"/>
      <c r="EWF4" s="1114"/>
      <c r="EWG4" s="1114"/>
      <c r="EWH4" s="1114"/>
      <c r="EWI4" s="1114"/>
      <c r="EWJ4" s="1114"/>
      <c r="EWK4" s="1114"/>
      <c r="EWL4" s="1114"/>
      <c r="EWM4" s="1114"/>
      <c r="EWN4" s="1114"/>
      <c r="EWO4" s="1114"/>
      <c r="EWP4" s="1114"/>
      <c r="EWQ4" s="1114"/>
      <c r="EWR4" s="1114"/>
      <c r="EWS4" s="1114"/>
      <c r="EWT4" s="1114"/>
      <c r="EWU4" s="1114"/>
      <c r="EWV4" s="1114"/>
      <c r="EWW4" s="1114"/>
      <c r="EWX4" s="1114"/>
      <c r="EWY4" s="1114"/>
      <c r="EWZ4" s="1114"/>
      <c r="EXA4" s="1114"/>
      <c r="EXB4" s="1114"/>
      <c r="EXC4" s="1114"/>
      <c r="EXD4" s="1114"/>
      <c r="EXE4" s="1114"/>
      <c r="EXF4" s="1114"/>
      <c r="EXG4" s="1114"/>
      <c r="EXH4" s="1114"/>
      <c r="EXI4" s="1114"/>
      <c r="EXJ4" s="1114"/>
      <c r="EXK4" s="1114"/>
      <c r="EXL4" s="1114"/>
      <c r="EXM4" s="1114"/>
      <c r="EXN4" s="1114"/>
      <c r="EXO4" s="1114"/>
      <c r="EXP4" s="1114"/>
      <c r="EXQ4" s="1114"/>
      <c r="EXR4" s="1114"/>
      <c r="EXS4" s="1114"/>
      <c r="EXT4" s="1114"/>
      <c r="EXU4" s="1114"/>
      <c r="EXV4" s="1114"/>
      <c r="EXW4" s="1114"/>
      <c r="EXX4" s="1114"/>
      <c r="EXY4" s="1114"/>
      <c r="EXZ4" s="1114"/>
      <c r="EYA4" s="1114"/>
      <c r="EYB4" s="1114"/>
      <c r="EYC4" s="1114"/>
      <c r="EYD4" s="1114"/>
      <c r="EYE4" s="1114"/>
      <c r="EYF4" s="1114"/>
      <c r="EYG4" s="1114"/>
      <c r="EYH4" s="1114"/>
      <c r="EYI4" s="1114"/>
      <c r="EYJ4" s="1114"/>
      <c r="EYK4" s="1114"/>
      <c r="EYL4" s="1114"/>
      <c r="EYM4" s="1114"/>
      <c r="EYN4" s="1114"/>
      <c r="EYO4" s="1114"/>
      <c r="EYP4" s="1114"/>
      <c r="EYQ4" s="1114"/>
      <c r="EYR4" s="1114"/>
      <c r="EYS4" s="1114"/>
      <c r="EYT4" s="1114"/>
      <c r="EYU4" s="1114"/>
      <c r="EYV4" s="1114"/>
      <c r="EYW4" s="1114"/>
      <c r="EYX4" s="1114"/>
      <c r="EYY4" s="1114"/>
      <c r="EYZ4" s="1114"/>
      <c r="EZA4" s="1114"/>
      <c r="EZB4" s="1114"/>
      <c r="EZC4" s="1114"/>
      <c r="EZD4" s="1114"/>
      <c r="EZE4" s="1114"/>
      <c r="EZF4" s="1114"/>
      <c r="EZG4" s="1114"/>
      <c r="EZH4" s="1114"/>
      <c r="EZI4" s="1114"/>
      <c r="EZJ4" s="1114"/>
      <c r="EZK4" s="1114"/>
      <c r="EZL4" s="1114"/>
      <c r="EZM4" s="1114"/>
      <c r="EZN4" s="1114"/>
      <c r="EZO4" s="1114"/>
      <c r="EZP4" s="1114"/>
      <c r="EZQ4" s="1114"/>
      <c r="EZR4" s="1114"/>
      <c r="EZS4" s="1114"/>
      <c r="EZT4" s="1114"/>
      <c r="EZU4" s="1114"/>
      <c r="EZV4" s="1114"/>
      <c r="EZW4" s="1114"/>
      <c r="EZX4" s="1114"/>
      <c r="EZY4" s="1114"/>
      <c r="EZZ4" s="1114"/>
      <c r="FAA4" s="1114"/>
      <c r="FAB4" s="1114"/>
      <c r="FAC4" s="1114"/>
      <c r="FAD4" s="1114"/>
      <c r="FAE4" s="1114"/>
      <c r="FAF4" s="1114"/>
      <c r="FAG4" s="1114"/>
      <c r="FAH4" s="1114"/>
      <c r="FAI4" s="1114"/>
      <c r="FAJ4" s="1114"/>
      <c r="FAK4" s="1114"/>
      <c r="FAL4" s="1114"/>
      <c r="FAM4" s="1114"/>
      <c r="FAN4" s="1114"/>
      <c r="FAO4" s="1114"/>
      <c r="FAP4" s="1114"/>
      <c r="FAQ4" s="1114"/>
      <c r="FAR4" s="1114"/>
      <c r="FAS4" s="1114"/>
      <c r="FAT4" s="1114"/>
      <c r="FAU4" s="1114"/>
      <c r="FAV4" s="1114"/>
      <c r="FAW4" s="1114"/>
      <c r="FAX4" s="1114"/>
      <c r="FAY4" s="1114"/>
      <c r="FAZ4" s="1114"/>
      <c r="FBA4" s="1114"/>
      <c r="FBB4" s="1114"/>
      <c r="FBC4" s="1114"/>
      <c r="FBD4" s="1114"/>
      <c r="FBE4" s="1114"/>
      <c r="FBF4" s="1114"/>
      <c r="FBG4" s="1114"/>
      <c r="FBH4" s="1114"/>
      <c r="FBI4" s="1114"/>
      <c r="FBJ4" s="1114"/>
      <c r="FBK4" s="1114"/>
      <c r="FBL4" s="1114"/>
      <c r="FBM4" s="1114"/>
      <c r="FBN4" s="1114"/>
      <c r="FBO4" s="1114"/>
      <c r="FBP4" s="1114"/>
      <c r="FBQ4" s="1114"/>
      <c r="FBR4" s="1114"/>
      <c r="FBS4" s="1114"/>
      <c r="FBT4" s="1114"/>
      <c r="FBU4" s="1114"/>
      <c r="FBV4" s="1114"/>
      <c r="FBW4" s="1114"/>
      <c r="FBX4" s="1114"/>
      <c r="FBY4" s="1114"/>
      <c r="FBZ4" s="1114"/>
      <c r="FCA4" s="1114"/>
      <c r="FCB4" s="1114"/>
      <c r="FCC4" s="1114"/>
      <c r="FCD4" s="1114"/>
      <c r="FCE4" s="1114"/>
      <c r="FCF4" s="1114"/>
      <c r="FCG4" s="1114"/>
      <c r="FCH4" s="1114"/>
      <c r="FCI4" s="1114"/>
      <c r="FCJ4" s="1114"/>
      <c r="FCK4" s="1114"/>
      <c r="FCL4" s="1114"/>
      <c r="FCM4" s="1114"/>
      <c r="FCN4" s="1114"/>
      <c r="FCO4" s="1114"/>
      <c r="FCP4" s="1114"/>
      <c r="FCQ4" s="1114"/>
      <c r="FCR4" s="1114"/>
      <c r="FCS4" s="1114"/>
      <c r="FCT4" s="1114"/>
      <c r="FCU4" s="1114"/>
      <c r="FCV4" s="1114"/>
      <c r="FCW4" s="1114"/>
      <c r="FCX4" s="1114"/>
      <c r="FCY4" s="1114"/>
      <c r="FCZ4" s="1114"/>
      <c r="FDA4" s="1114"/>
      <c r="FDB4" s="1114"/>
      <c r="FDC4" s="1114"/>
      <c r="FDD4" s="1114"/>
      <c r="FDE4" s="1114"/>
      <c r="FDF4" s="1114"/>
      <c r="FDG4" s="1114"/>
      <c r="FDH4" s="1114"/>
      <c r="FDI4" s="1114"/>
      <c r="FDJ4" s="1114"/>
      <c r="FDK4" s="1114"/>
      <c r="FDL4" s="1114"/>
      <c r="FDM4" s="1114"/>
      <c r="FDN4" s="1114"/>
      <c r="FDO4" s="1114"/>
      <c r="FDP4" s="1114"/>
      <c r="FDQ4" s="1114"/>
      <c r="FDR4" s="1114"/>
      <c r="FDS4" s="1114"/>
      <c r="FDT4" s="1114"/>
      <c r="FDU4" s="1114"/>
      <c r="FDV4" s="1114"/>
      <c r="FDW4" s="1114"/>
      <c r="FDX4" s="1114"/>
      <c r="FDY4" s="1114"/>
      <c r="FDZ4" s="1114"/>
      <c r="FEA4" s="1114"/>
      <c r="FEB4" s="1114"/>
      <c r="FEC4" s="1114"/>
      <c r="FED4" s="1114"/>
      <c r="FEE4" s="1114"/>
      <c r="FEF4" s="1114"/>
      <c r="FEG4" s="1114"/>
      <c r="FEH4" s="1114"/>
      <c r="FEI4" s="1114"/>
      <c r="FEJ4" s="1114"/>
      <c r="FEK4" s="1114"/>
      <c r="FEL4" s="1114"/>
      <c r="FEM4" s="1114"/>
      <c r="FEN4" s="1114"/>
      <c r="FEO4" s="1114"/>
      <c r="FEP4" s="1114"/>
      <c r="FEQ4" s="1114"/>
      <c r="FER4" s="1114"/>
      <c r="FES4" s="1114"/>
      <c r="FET4" s="1114"/>
      <c r="FEU4" s="1114"/>
      <c r="FEV4" s="1114"/>
      <c r="FEW4" s="1114"/>
      <c r="FEX4" s="1114"/>
      <c r="FEY4" s="1114"/>
      <c r="FEZ4" s="1114"/>
      <c r="FFA4" s="1114"/>
      <c r="FFB4" s="1114"/>
      <c r="FFC4" s="1114"/>
      <c r="FFD4" s="1114"/>
      <c r="FFE4" s="1114"/>
      <c r="FFF4" s="1114"/>
      <c r="FFG4" s="1114"/>
      <c r="FFH4" s="1114"/>
      <c r="FFI4" s="1114"/>
      <c r="FFJ4" s="1114"/>
      <c r="FFK4" s="1114"/>
      <c r="FFL4" s="1114"/>
      <c r="FFM4" s="1114"/>
      <c r="FFN4" s="1114"/>
      <c r="FFO4" s="1114"/>
      <c r="FFP4" s="1114"/>
      <c r="FFQ4" s="1114"/>
      <c r="FFR4" s="1114"/>
      <c r="FFS4" s="1114"/>
      <c r="FFT4" s="1114"/>
      <c r="FFU4" s="1114"/>
      <c r="FFV4" s="1114"/>
      <c r="FFW4" s="1114"/>
      <c r="FFX4" s="1114"/>
      <c r="FFY4" s="1114"/>
      <c r="FFZ4" s="1114"/>
      <c r="FGA4" s="1114"/>
      <c r="FGB4" s="1114"/>
      <c r="FGC4" s="1114"/>
      <c r="FGD4" s="1114"/>
      <c r="FGE4" s="1114"/>
      <c r="FGF4" s="1114"/>
      <c r="FGG4" s="1114"/>
      <c r="FGH4" s="1114"/>
      <c r="FGI4" s="1114"/>
      <c r="FGJ4" s="1114"/>
      <c r="FGK4" s="1114"/>
      <c r="FGL4" s="1114"/>
      <c r="FGM4" s="1114"/>
      <c r="FGN4" s="1114"/>
      <c r="FGO4" s="1114"/>
      <c r="FGP4" s="1114"/>
      <c r="FGQ4" s="1114"/>
      <c r="FGR4" s="1114"/>
      <c r="FGS4" s="1114"/>
      <c r="FGT4" s="1114"/>
      <c r="FGU4" s="1114"/>
      <c r="FGV4" s="1114"/>
      <c r="FGW4" s="1114"/>
      <c r="FGX4" s="1114"/>
      <c r="FGY4" s="1114"/>
      <c r="FGZ4" s="1114"/>
      <c r="FHA4" s="1114"/>
      <c r="FHB4" s="1114"/>
      <c r="FHC4" s="1114"/>
      <c r="FHD4" s="1114"/>
      <c r="FHE4" s="1114"/>
      <c r="FHF4" s="1114"/>
      <c r="FHG4" s="1114"/>
      <c r="FHH4" s="1114"/>
      <c r="FHI4" s="1114"/>
      <c r="FHJ4" s="1114"/>
      <c r="FHK4" s="1114"/>
      <c r="FHL4" s="1114"/>
      <c r="FHM4" s="1114"/>
      <c r="FHN4" s="1114"/>
      <c r="FHO4" s="1114"/>
      <c r="FHP4" s="1114"/>
      <c r="FHQ4" s="1114"/>
      <c r="FHR4" s="1114"/>
      <c r="FHS4" s="1114"/>
      <c r="FHT4" s="1114"/>
      <c r="FHU4" s="1114"/>
      <c r="FHV4" s="1114"/>
      <c r="FHW4" s="1114"/>
      <c r="FHX4" s="1114"/>
      <c r="FHY4" s="1114"/>
      <c r="FHZ4" s="1114"/>
      <c r="FIA4" s="1114"/>
      <c r="FIB4" s="1114"/>
      <c r="FIC4" s="1114"/>
      <c r="FID4" s="1114"/>
      <c r="FIE4" s="1114"/>
      <c r="FIF4" s="1114"/>
      <c r="FIG4" s="1114"/>
      <c r="FIH4" s="1114"/>
      <c r="FII4" s="1114"/>
      <c r="FIJ4" s="1114"/>
      <c r="FIK4" s="1114"/>
      <c r="FIL4" s="1114"/>
      <c r="FIM4" s="1114"/>
      <c r="FIN4" s="1114"/>
      <c r="FIO4" s="1114"/>
      <c r="FIP4" s="1114"/>
      <c r="FIQ4" s="1114"/>
      <c r="FIR4" s="1114"/>
      <c r="FIS4" s="1114"/>
      <c r="FIT4" s="1114"/>
      <c r="FIU4" s="1114"/>
      <c r="FIV4" s="1114"/>
      <c r="FIW4" s="1114"/>
      <c r="FIX4" s="1114"/>
      <c r="FIY4" s="1114"/>
      <c r="FIZ4" s="1114"/>
      <c r="FJA4" s="1114"/>
      <c r="FJB4" s="1114"/>
      <c r="FJC4" s="1114"/>
      <c r="FJD4" s="1114"/>
      <c r="FJE4" s="1114"/>
      <c r="FJF4" s="1114"/>
      <c r="FJG4" s="1114"/>
      <c r="FJH4" s="1114"/>
      <c r="FJI4" s="1114"/>
      <c r="FJJ4" s="1114"/>
      <c r="FJK4" s="1114"/>
      <c r="FJL4" s="1114"/>
      <c r="FJM4" s="1114"/>
      <c r="FJN4" s="1114"/>
      <c r="FJO4" s="1114"/>
      <c r="FJP4" s="1114"/>
      <c r="FJQ4" s="1114"/>
      <c r="FJR4" s="1114"/>
      <c r="FJS4" s="1114"/>
      <c r="FJT4" s="1114"/>
      <c r="FJU4" s="1114"/>
      <c r="FJV4" s="1114"/>
      <c r="FJW4" s="1114"/>
      <c r="FJX4" s="1114"/>
      <c r="FJY4" s="1114"/>
      <c r="FJZ4" s="1114"/>
      <c r="FKA4" s="1114"/>
      <c r="FKB4" s="1114"/>
      <c r="FKC4" s="1114"/>
      <c r="FKD4" s="1114"/>
      <c r="FKE4" s="1114"/>
      <c r="FKF4" s="1114"/>
      <c r="FKG4" s="1114"/>
      <c r="FKH4" s="1114"/>
      <c r="FKI4" s="1114"/>
      <c r="FKJ4" s="1114"/>
      <c r="FKK4" s="1114"/>
      <c r="FKL4" s="1114"/>
      <c r="FKM4" s="1114"/>
      <c r="FKN4" s="1114"/>
      <c r="FKO4" s="1114"/>
      <c r="FKP4" s="1114"/>
      <c r="FKQ4" s="1114"/>
      <c r="FKR4" s="1114"/>
      <c r="FKS4" s="1114"/>
      <c r="FKT4" s="1114"/>
      <c r="FKU4" s="1114"/>
      <c r="FKV4" s="1114"/>
      <c r="FKW4" s="1114"/>
      <c r="FKX4" s="1114"/>
      <c r="FKY4" s="1114"/>
      <c r="FKZ4" s="1114"/>
      <c r="FLA4" s="1114"/>
      <c r="FLB4" s="1114"/>
      <c r="FLC4" s="1114"/>
      <c r="FLD4" s="1114"/>
      <c r="FLE4" s="1114"/>
      <c r="FLF4" s="1114"/>
      <c r="FLG4" s="1114"/>
      <c r="FLH4" s="1114"/>
      <c r="FLI4" s="1114"/>
      <c r="FLJ4" s="1114"/>
      <c r="FLK4" s="1114"/>
      <c r="FLL4" s="1114"/>
      <c r="FLM4" s="1114"/>
      <c r="FLN4" s="1114"/>
      <c r="FLO4" s="1114"/>
      <c r="FLP4" s="1114"/>
      <c r="FLQ4" s="1114"/>
      <c r="FLR4" s="1114"/>
      <c r="FLS4" s="1114"/>
      <c r="FLT4" s="1114"/>
      <c r="FLU4" s="1114"/>
      <c r="FLV4" s="1114"/>
      <c r="FLW4" s="1114"/>
      <c r="FLX4" s="1114"/>
      <c r="FLY4" s="1114"/>
      <c r="FLZ4" s="1114"/>
      <c r="FMA4" s="1114"/>
      <c r="FMB4" s="1114"/>
      <c r="FMC4" s="1114"/>
      <c r="FMD4" s="1114"/>
      <c r="FME4" s="1114"/>
      <c r="FMF4" s="1114"/>
      <c r="FMG4" s="1114"/>
      <c r="FMH4" s="1114"/>
      <c r="FMI4" s="1114"/>
      <c r="FMJ4" s="1114"/>
      <c r="FMK4" s="1114"/>
      <c r="FML4" s="1114"/>
      <c r="FMM4" s="1114"/>
      <c r="FMN4" s="1114"/>
      <c r="FMO4" s="1114"/>
      <c r="FMP4" s="1114"/>
      <c r="FMQ4" s="1114"/>
      <c r="FMR4" s="1114"/>
      <c r="FMS4" s="1114"/>
      <c r="FMT4" s="1114"/>
      <c r="FMU4" s="1114"/>
      <c r="FMV4" s="1114"/>
      <c r="FMW4" s="1114"/>
      <c r="FMX4" s="1114"/>
      <c r="FMY4" s="1114"/>
      <c r="FMZ4" s="1114"/>
      <c r="FNA4" s="1114"/>
      <c r="FNB4" s="1114"/>
      <c r="FNC4" s="1114"/>
      <c r="FND4" s="1114"/>
      <c r="FNE4" s="1114"/>
      <c r="FNF4" s="1114"/>
      <c r="FNG4" s="1114"/>
      <c r="FNH4" s="1114"/>
      <c r="FNI4" s="1114"/>
      <c r="FNJ4" s="1114"/>
      <c r="FNK4" s="1114"/>
      <c r="FNL4" s="1114"/>
      <c r="FNM4" s="1114"/>
      <c r="FNN4" s="1114"/>
      <c r="FNO4" s="1114"/>
      <c r="FNP4" s="1114"/>
      <c r="FNQ4" s="1114"/>
      <c r="FNR4" s="1114"/>
      <c r="FNS4" s="1114"/>
      <c r="FNT4" s="1114"/>
      <c r="FNU4" s="1114"/>
      <c r="FNV4" s="1114"/>
      <c r="FNW4" s="1114"/>
      <c r="FNX4" s="1114"/>
      <c r="FNY4" s="1114"/>
      <c r="FNZ4" s="1114"/>
      <c r="FOA4" s="1114"/>
      <c r="FOB4" s="1114"/>
      <c r="FOC4" s="1114"/>
      <c r="FOD4" s="1114"/>
      <c r="FOE4" s="1114"/>
      <c r="FOF4" s="1114"/>
      <c r="FOG4" s="1114"/>
      <c r="FOH4" s="1114"/>
      <c r="FOI4" s="1114"/>
      <c r="FOJ4" s="1114"/>
      <c r="FOK4" s="1114"/>
      <c r="FOL4" s="1114"/>
      <c r="FOM4" s="1114"/>
      <c r="FON4" s="1114"/>
      <c r="FOO4" s="1114"/>
      <c r="FOP4" s="1114"/>
      <c r="FOQ4" s="1114"/>
      <c r="FOR4" s="1114"/>
      <c r="FOS4" s="1114"/>
      <c r="FOT4" s="1114"/>
      <c r="FOU4" s="1114"/>
      <c r="FOV4" s="1114"/>
      <c r="FOW4" s="1114"/>
      <c r="FOX4" s="1114"/>
      <c r="FOY4" s="1114"/>
      <c r="FOZ4" s="1114"/>
      <c r="FPA4" s="1114"/>
      <c r="FPB4" s="1114"/>
      <c r="FPC4" s="1114"/>
      <c r="FPD4" s="1114"/>
      <c r="FPE4" s="1114"/>
      <c r="FPF4" s="1114"/>
      <c r="FPG4" s="1114"/>
      <c r="FPH4" s="1114"/>
      <c r="FPI4" s="1114"/>
      <c r="FPJ4" s="1114"/>
      <c r="FPK4" s="1114"/>
      <c r="FPL4" s="1114"/>
      <c r="FPM4" s="1114"/>
      <c r="FPN4" s="1114"/>
      <c r="FPO4" s="1114"/>
      <c r="FPP4" s="1114"/>
      <c r="FPQ4" s="1114"/>
      <c r="FPR4" s="1114"/>
      <c r="FPS4" s="1114"/>
      <c r="FPT4" s="1114"/>
      <c r="FPU4" s="1114"/>
      <c r="FPV4" s="1114"/>
      <c r="FPW4" s="1114"/>
      <c r="FPX4" s="1114"/>
      <c r="FPY4" s="1114"/>
      <c r="FPZ4" s="1114"/>
      <c r="FQA4" s="1114"/>
      <c r="FQB4" s="1114"/>
      <c r="FQC4" s="1114"/>
      <c r="FQD4" s="1114"/>
      <c r="FQE4" s="1114"/>
      <c r="FQF4" s="1114"/>
      <c r="FQG4" s="1114"/>
      <c r="FQH4" s="1114"/>
      <c r="FQI4" s="1114"/>
      <c r="FQJ4" s="1114"/>
      <c r="FQK4" s="1114"/>
      <c r="FQL4" s="1114"/>
      <c r="FQM4" s="1114"/>
      <c r="FQN4" s="1114"/>
      <c r="FQO4" s="1114"/>
      <c r="FQP4" s="1114"/>
      <c r="FQQ4" s="1114"/>
      <c r="FQR4" s="1114"/>
      <c r="FQS4" s="1114"/>
      <c r="FQT4" s="1114"/>
      <c r="FQU4" s="1114"/>
      <c r="FQV4" s="1114"/>
      <c r="FQW4" s="1114"/>
      <c r="FQX4" s="1114"/>
      <c r="FQY4" s="1114"/>
      <c r="FQZ4" s="1114"/>
      <c r="FRA4" s="1114"/>
      <c r="FRB4" s="1114"/>
      <c r="FRC4" s="1114"/>
      <c r="FRD4" s="1114"/>
      <c r="FRE4" s="1114"/>
      <c r="FRF4" s="1114"/>
      <c r="FRG4" s="1114"/>
      <c r="FRH4" s="1114"/>
      <c r="FRI4" s="1114"/>
      <c r="FRJ4" s="1114"/>
      <c r="FRK4" s="1114"/>
      <c r="FRL4" s="1114"/>
      <c r="FRM4" s="1114"/>
      <c r="FRN4" s="1114"/>
      <c r="FRO4" s="1114"/>
      <c r="FRP4" s="1114"/>
      <c r="FRQ4" s="1114"/>
      <c r="FRR4" s="1114"/>
      <c r="FRS4" s="1114"/>
      <c r="FRT4" s="1114"/>
      <c r="FRU4" s="1114"/>
      <c r="FRV4" s="1114"/>
      <c r="FRW4" s="1114"/>
      <c r="FRX4" s="1114"/>
      <c r="FRY4" s="1114"/>
      <c r="FRZ4" s="1114"/>
      <c r="FSA4" s="1114"/>
      <c r="FSB4" s="1114"/>
      <c r="FSC4" s="1114"/>
      <c r="FSD4" s="1114"/>
      <c r="FSE4" s="1114"/>
      <c r="FSF4" s="1114"/>
      <c r="FSG4" s="1114"/>
      <c r="FSH4" s="1114"/>
      <c r="FSI4" s="1114"/>
      <c r="FSJ4" s="1114"/>
      <c r="FSK4" s="1114"/>
      <c r="FSL4" s="1114"/>
      <c r="FSM4" s="1114"/>
      <c r="FSN4" s="1114"/>
      <c r="FSO4" s="1114"/>
      <c r="FSP4" s="1114"/>
      <c r="FSQ4" s="1114"/>
      <c r="FSR4" s="1114"/>
      <c r="FSS4" s="1114"/>
      <c r="FST4" s="1114"/>
      <c r="FSU4" s="1114"/>
      <c r="FSV4" s="1114"/>
      <c r="FSW4" s="1114"/>
      <c r="FSX4" s="1114"/>
      <c r="FSY4" s="1114"/>
      <c r="FSZ4" s="1114"/>
      <c r="FTA4" s="1114"/>
      <c r="FTB4" s="1114"/>
      <c r="FTC4" s="1114"/>
      <c r="FTD4" s="1114"/>
      <c r="FTE4" s="1114"/>
      <c r="FTF4" s="1114"/>
      <c r="FTG4" s="1114"/>
      <c r="FTH4" s="1114"/>
      <c r="FTI4" s="1114"/>
      <c r="FTJ4" s="1114"/>
      <c r="FTK4" s="1114"/>
      <c r="FTL4" s="1114"/>
      <c r="FTM4" s="1114"/>
      <c r="FTN4" s="1114"/>
      <c r="FTO4" s="1114"/>
      <c r="FTP4" s="1114"/>
      <c r="FTQ4" s="1114"/>
      <c r="FTR4" s="1114"/>
      <c r="FTS4" s="1114"/>
      <c r="FTT4" s="1114"/>
      <c r="FTU4" s="1114"/>
      <c r="FTV4" s="1114"/>
      <c r="FTW4" s="1114"/>
      <c r="FTX4" s="1114"/>
      <c r="FTY4" s="1114"/>
      <c r="FTZ4" s="1114"/>
      <c r="FUA4" s="1114"/>
      <c r="FUB4" s="1114"/>
      <c r="FUC4" s="1114"/>
      <c r="FUD4" s="1114"/>
      <c r="FUE4" s="1114"/>
      <c r="FUF4" s="1114"/>
      <c r="FUG4" s="1114"/>
      <c r="FUH4" s="1114"/>
      <c r="FUI4" s="1114"/>
      <c r="FUJ4" s="1114"/>
      <c r="FUK4" s="1114"/>
      <c r="FUL4" s="1114"/>
      <c r="FUM4" s="1114"/>
      <c r="FUN4" s="1114"/>
      <c r="FUO4" s="1114"/>
      <c r="FUP4" s="1114"/>
      <c r="FUQ4" s="1114"/>
      <c r="FUR4" s="1114"/>
      <c r="FUS4" s="1114"/>
      <c r="FUT4" s="1114"/>
      <c r="FUU4" s="1114"/>
      <c r="FUV4" s="1114"/>
      <c r="FUW4" s="1114"/>
      <c r="FUX4" s="1114"/>
      <c r="FUY4" s="1114"/>
      <c r="FUZ4" s="1114"/>
      <c r="FVA4" s="1114"/>
      <c r="FVB4" s="1114"/>
      <c r="FVC4" s="1114"/>
      <c r="FVD4" s="1114"/>
      <c r="FVE4" s="1114"/>
      <c r="FVF4" s="1114"/>
      <c r="FVG4" s="1114"/>
      <c r="FVH4" s="1114"/>
      <c r="FVI4" s="1114"/>
      <c r="FVJ4" s="1114"/>
      <c r="FVK4" s="1114"/>
      <c r="FVL4" s="1114"/>
      <c r="FVM4" s="1114"/>
      <c r="FVN4" s="1114"/>
      <c r="FVO4" s="1114"/>
      <c r="FVP4" s="1114"/>
      <c r="FVQ4" s="1114"/>
      <c r="FVR4" s="1114"/>
      <c r="FVS4" s="1114"/>
      <c r="FVT4" s="1114"/>
      <c r="FVU4" s="1114"/>
      <c r="FVV4" s="1114"/>
      <c r="FVW4" s="1114"/>
      <c r="FVX4" s="1114"/>
      <c r="FVY4" s="1114"/>
      <c r="FVZ4" s="1114"/>
      <c r="FWA4" s="1114"/>
      <c r="FWB4" s="1114"/>
      <c r="FWC4" s="1114"/>
      <c r="FWD4" s="1114"/>
      <c r="FWE4" s="1114"/>
      <c r="FWF4" s="1114"/>
      <c r="FWG4" s="1114"/>
      <c r="FWH4" s="1114"/>
      <c r="FWI4" s="1114"/>
      <c r="FWJ4" s="1114"/>
      <c r="FWK4" s="1114"/>
      <c r="FWL4" s="1114"/>
      <c r="FWM4" s="1114"/>
      <c r="FWN4" s="1114"/>
      <c r="FWO4" s="1114"/>
      <c r="FWP4" s="1114"/>
      <c r="FWQ4" s="1114"/>
      <c r="FWR4" s="1114"/>
      <c r="FWS4" s="1114"/>
      <c r="FWT4" s="1114"/>
      <c r="FWU4" s="1114"/>
      <c r="FWV4" s="1114"/>
      <c r="FWW4" s="1114"/>
      <c r="FWX4" s="1114"/>
      <c r="FWY4" s="1114"/>
      <c r="FWZ4" s="1114"/>
      <c r="FXA4" s="1114"/>
      <c r="FXB4" s="1114"/>
      <c r="FXC4" s="1114"/>
      <c r="FXD4" s="1114"/>
      <c r="FXE4" s="1114"/>
      <c r="FXF4" s="1114"/>
      <c r="FXG4" s="1114"/>
      <c r="FXH4" s="1114"/>
      <c r="FXI4" s="1114"/>
      <c r="FXJ4" s="1114"/>
      <c r="FXK4" s="1114"/>
      <c r="FXL4" s="1114"/>
      <c r="FXM4" s="1114"/>
      <c r="FXN4" s="1114"/>
      <c r="FXO4" s="1114"/>
      <c r="FXP4" s="1114"/>
      <c r="FXQ4" s="1114"/>
      <c r="FXR4" s="1114"/>
      <c r="FXS4" s="1114"/>
      <c r="FXT4" s="1114"/>
      <c r="FXU4" s="1114"/>
      <c r="FXV4" s="1114"/>
      <c r="FXW4" s="1114"/>
      <c r="FXX4" s="1114"/>
      <c r="FXY4" s="1114"/>
      <c r="FXZ4" s="1114"/>
      <c r="FYA4" s="1114"/>
      <c r="FYB4" s="1114"/>
      <c r="FYC4" s="1114"/>
      <c r="FYD4" s="1114"/>
      <c r="FYE4" s="1114"/>
      <c r="FYF4" s="1114"/>
      <c r="FYG4" s="1114"/>
      <c r="FYH4" s="1114"/>
      <c r="FYI4" s="1114"/>
      <c r="FYJ4" s="1114"/>
      <c r="FYK4" s="1114"/>
      <c r="FYL4" s="1114"/>
      <c r="FYM4" s="1114"/>
      <c r="FYN4" s="1114"/>
      <c r="FYO4" s="1114"/>
      <c r="FYP4" s="1114"/>
      <c r="FYQ4" s="1114"/>
      <c r="FYR4" s="1114"/>
      <c r="FYS4" s="1114"/>
      <c r="FYT4" s="1114"/>
      <c r="FYU4" s="1114"/>
      <c r="FYV4" s="1114"/>
      <c r="FYW4" s="1114"/>
      <c r="FYX4" s="1114"/>
      <c r="FYY4" s="1114"/>
      <c r="FYZ4" s="1114"/>
      <c r="FZA4" s="1114"/>
      <c r="FZB4" s="1114"/>
      <c r="FZC4" s="1114"/>
      <c r="FZD4" s="1114"/>
      <c r="FZE4" s="1114"/>
      <c r="FZF4" s="1114"/>
      <c r="FZG4" s="1114"/>
      <c r="FZH4" s="1114"/>
      <c r="FZI4" s="1114"/>
      <c r="FZJ4" s="1114"/>
      <c r="FZK4" s="1114"/>
      <c r="FZL4" s="1114"/>
      <c r="FZM4" s="1114"/>
      <c r="FZN4" s="1114"/>
      <c r="FZO4" s="1114"/>
      <c r="FZP4" s="1114"/>
      <c r="FZQ4" s="1114"/>
      <c r="FZR4" s="1114"/>
      <c r="FZS4" s="1114"/>
      <c r="FZT4" s="1114"/>
      <c r="FZU4" s="1114"/>
      <c r="FZV4" s="1114"/>
      <c r="FZW4" s="1114"/>
      <c r="FZX4" s="1114"/>
      <c r="FZY4" s="1114"/>
      <c r="FZZ4" s="1114"/>
      <c r="GAA4" s="1114"/>
      <c r="GAB4" s="1114"/>
      <c r="GAC4" s="1114"/>
      <c r="GAD4" s="1114"/>
      <c r="GAE4" s="1114"/>
      <c r="GAF4" s="1114"/>
      <c r="GAG4" s="1114"/>
      <c r="GAH4" s="1114"/>
      <c r="GAI4" s="1114"/>
      <c r="GAJ4" s="1114"/>
      <c r="GAK4" s="1114"/>
      <c r="GAL4" s="1114"/>
      <c r="GAM4" s="1114"/>
      <c r="GAN4" s="1114"/>
      <c r="GAO4" s="1114"/>
      <c r="GAP4" s="1114"/>
      <c r="GAQ4" s="1114"/>
      <c r="GAR4" s="1114"/>
      <c r="GAS4" s="1114"/>
      <c r="GAT4" s="1114"/>
      <c r="GAU4" s="1114"/>
      <c r="GAV4" s="1114"/>
      <c r="GAW4" s="1114"/>
      <c r="GAX4" s="1114"/>
      <c r="GAY4" s="1114"/>
      <c r="GAZ4" s="1114"/>
      <c r="GBA4" s="1114"/>
      <c r="GBB4" s="1114"/>
      <c r="GBC4" s="1114"/>
      <c r="GBD4" s="1114"/>
      <c r="GBE4" s="1114"/>
      <c r="GBF4" s="1114"/>
      <c r="GBG4" s="1114"/>
      <c r="GBH4" s="1114"/>
      <c r="GBI4" s="1114"/>
      <c r="GBJ4" s="1114"/>
      <c r="GBK4" s="1114"/>
      <c r="GBL4" s="1114"/>
      <c r="GBM4" s="1114"/>
      <c r="GBN4" s="1114"/>
      <c r="GBO4" s="1114"/>
      <c r="GBP4" s="1114"/>
      <c r="GBQ4" s="1114"/>
      <c r="GBR4" s="1114"/>
      <c r="GBS4" s="1114"/>
      <c r="GBT4" s="1114"/>
      <c r="GBU4" s="1114"/>
      <c r="GBV4" s="1114"/>
      <c r="GBW4" s="1114"/>
      <c r="GBX4" s="1114"/>
      <c r="GBY4" s="1114"/>
      <c r="GBZ4" s="1114"/>
      <c r="GCA4" s="1114"/>
      <c r="GCB4" s="1114"/>
      <c r="GCC4" s="1114"/>
      <c r="GCD4" s="1114"/>
      <c r="GCE4" s="1114"/>
      <c r="GCF4" s="1114"/>
      <c r="GCG4" s="1114"/>
      <c r="GCH4" s="1114"/>
      <c r="GCI4" s="1114"/>
      <c r="GCJ4" s="1114"/>
      <c r="GCK4" s="1114"/>
      <c r="GCL4" s="1114"/>
      <c r="GCM4" s="1114"/>
      <c r="GCN4" s="1114"/>
      <c r="GCO4" s="1114"/>
      <c r="GCP4" s="1114"/>
      <c r="GCQ4" s="1114"/>
      <c r="GCR4" s="1114"/>
      <c r="GCS4" s="1114"/>
      <c r="GCT4" s="1114"/>
      <c r="GCU4" s="1114"/>
      <c r="GCV4" s="1114"/>
      <c r="GCW4" s="1114"/>
      <c r="GCX4" s="1114"/>
      <c r="GCY4" s="1114"/>
      <c r="GCZ4" s="1114"/>
      <c r="GDA4" s="1114"/>
      <c r="GDB4" s="1114"/>
      <c r="GDC4" s="1114"/>
      <c r="GDD4" s="1114"/>
      <c r="GDE4" s="1114"/>
      <c r="GDF4" s="1114"/>
      <c r="GDG4" s="1114"/>
      <c r="GDH4" s="1114"/>
      <c r="GDI4" s="1114"/>
      <c r="GDJ4" s="1114"/>
      <c r="GDK4" s="1114"/>
      <c r="GDL4" s="1114"/>
      <c r="GDM4" s="1114"/>
      <c r="GDN4" s="1114"/>
      <c r="GDO4" s="1114"/>
      <c r="GDP4" s="1114"/>
      <c r="GDQ4" s="1114"/>
      <c r="GDR4" s="1114"/>
      <c r="GDS4" s="1114"/>
      <c r="GDT4" s="1114"/>
      <c r="GDU4" s="1114"/>
      <c r="GDV4" s="1114"/>
      <c r="GDW4" s="1114"/>
      <c r="GDX4" s="1114"/>
      <c r="GDY4" s="1114"/>
      <c r="GDZ4" s="1114"/>
      <c r="GEA4" s="1114"/>
      <c r="GEB4" s="1114"/>
      <c r="GEC4" s="1114"/>
      <c r="GED4" s="1114"/>
      <c r="GEE4" s="1114"/>
      <c r="GEF4" s="1114"/>
      <c r="GEG4" s="1114"/>
      <c r="GEH4" s="1114"/>
      <c r="GEI4" s="1114"/>
      <c r="GEJ4" s="1114"/>
      <c r="GEK4" s="1114"/>
      <c r="GEL4" s="1114"/>
      <c r="GEM4" s="1114"/>
      <c r="GEN4" s="1114"/>
      <c r="GEO4" s="1114"/>
      <c r="GEP4" s="1114"/>
      <c r="GEQ4" s="1114"/>
      <c r="GER4" s="1114"/>
      <c r="GES4" s="1114"/>
      <c r="GET4" s="1114"/>
      <c r="GEU4" s="1114"/>
      <c r="GEV4" s="1114"/>
      <c r="GEW4" s="1114"/>
      <c r="GEX4" s="1114"/>
      <c r="GEY4" s="1114"/>
      <c r="GEZ4" s="1114"/>
      <c r="GFA4" s="1114"/>
      <c r="GFB4" s="1114"/>
      <c r="GFC4" s="1114"/>
      <c r="GFD4" s="1114"/>
      <c r="GFE4" s="1114"/>
      <c r="GFF4" s="1114"/>
      <c r="GFG4" s="1114"/>
      <c r="GFH4" s="1114"/>
      <c r="GFI4" s="1114"/>
      <c r="GFJ4" s="1114"/>
      <c r="GFK4" s="1114"/>
      <c r="GFL4" s="1114"/>
      <c r="GFM4" s="1114"/>
      <c r="GFN4" s="1114"/>
      <c r="GFO4" s="1114"/>
      <c r="GFP4" s="1114"/>
      <c r="GFQ4" s="1114"/>
      <c r="GFR4" s="1114"/>
      <c r="GFS4" s="1114"/>
      <c r="GFT4" s="1114"/>
      <c r="GFU4" s="1114"/>
      <c r="GFV4" s="1114"/>
      <c r="GFW4" s="1114"/>
      <c r="GFX4" s="1114"/>
      <c r="GFY4" s="1114"/>
      <c r="GFZ4" s="1114"/>
      <c r="GGA4" s="1114"/>
      <c r="GGB4" s="1114"/>
      <c r="GGC4" s="1114"/>
      <c r="GGD4" s="1114"/>
      <c r="GGE4" s="1114"/>
      <c r="GGF4" s="1114"/>
      <c r="GGG4" s="1114"/>
      <c r="GGH4" s="1114"/>
      <c r="GGI4" s="1114"/>
      <c r="GGJ4" s="1114"/>
      <c r="GGK4" s="1114"/>
      <c r="GGL4" s="1114"/>
      <c r="GGM4" s="1114"/>
      <c r="GGN4" s="1114"/>
      <c r="GGO4" s="1114"/>
      <c r="GGP4" s="1114"/>
      <c r="GGQ4" s="1114"/>
      <c r="GGR4" s="1114"/>
      <c r="GGS4" s="1114"/>
      <c r="GGT4" s="1114"/>
      <c r="GGU4" s="1114"/>
      <c r="GGV4" s="1114"/>
      <c r="GGW4" s="1114"/>
      <c r="GGX4" s="1114"/>
      <c r="GGY4" s="1114"/>
      <c r="GGZ4" s="1114"/>
      <c r="GHA4" s="1114"/>
      <c r="GHB4" s="1114"/>
      <c r="GHC4" s="1114"/>
      <c r="GHD4" s="1114"/>
      <c r="GHE4" s="1114"/>
      <c r="GHF4" s="1114"/>
      <c r="GHG4" s="1114"/>
      <c r="GHH4" s="1114"/>
      <c r="GHI4" s="1114"/>
      <c r="GHJ4" s="1114"/>
      <c r="GHK4" s="1114"/>
      <c r="GHL4" s="1114"/>
      <c r="GHM4" s="1114"/>
      <c r="GHN4" s="1114"/>
      <c r="GHO4" s="1114"/>
      <c r="GHP4" s="1114"/>
      <c r="GHQ4" s="1114"/>
      <c r="GHR4" s="1114"/>
      <c r="GHS4" s="1114"/>
      <c r="GHT4" s="1114"/>
      <c r="GHU4" s="1114"/>
      <c r="GHV4" s="1114"/>
      <c r="GHW4" s="1114"/>
      <c r="GHX4" s="1114"/>
      <c r="GHY4" s="1114"/>
      <c r="GHZ4" s="1114"/>
      <c r="GIA4" s="1114"/>
      <c r="GIB4" s="1114"/>
      <c r="GIC4" s="1114"/>
      <c r="GID4" s="1114"/>
      <c r="GIE4" s="1114"/>
      <c r="GIF4" s="1114"/>
      <c r="GIG4" s="1114"/>
      <c r="GIH4" s="1114"/>
      <c r="GII4" s="1114"/>
      <c r="GIJ4" s="1114"/>
      <c r="GIK4" s="1114"/>
      <c r="GIL4" s="1114"/>
      <c r="GIM4" s="1114"/>
      <c r="GIN4" s="1114"/>
      <c r="GIO4" s="1114"/>
      <c r="GIP4" s="1114"/>
      <c r="GIQ4" s="1114"/>
      <c r="GIR4" s="1114"/>
      <c r="GIS4" s="1114"/>
      <c r="GIT4" s="1114"/>
      <c r="GIU4" s="1114"/>
      <c r="GIV4" s="1114"/>
      <c r="GIW4" s="1114"/>
      <c r="GIX4" s="1114"/>
      <c r="GIY4" s="1114"/>
      <c r="GIZ4" s="1114"/>
      <c r="GJA4" s="1114"/>
      <c r="GJB4" s="1114"/>
      <c r="GJC4" s="1114"/>
      <c r="GJD4" s="1114"/>
      <c r="GJE4" s="1114"/>
      <c r="GJF4" s="1114"/>
      <c r="GJG4" s="1114"/>
      <c r="GJH4" s="1114"/>
      <c r="GJI4" s="1114"/>
      <c r="GJJ4" s="1114"/>
      <c r="GJK4" s="1114"/>
      <c r="GJL4" s="1114"/>
      <c r="GJM4" s="1114"/>
      <c r="GJN4" s="1114"/>
      <c r="GJO4" s="1114"/>
      <c r="GJP4" s="1114"/>
      <c r="GJQ4" s="1114"/>
      <c r="GJR4" s="1114"/>
      <c r="GJS4" s="1114"/>
      <c r="GJT4" s="1114"/>
      <c r="GJU4" s="1114"/>
      <c r="GJV4" s="1114"/>
      <c r="GJW4" s="1114"/>
      <c r="GJX4" s="1114"/>
      <c r="GJY4" s="1114"/>
      <c r="GJZ4" s="1114"/>
      <c r="GKA4" s="1114"/>
      <c r="GKB4" s="1114"/>
      <c r="GKC4" s="1114"/>
      <c r="GKD4" s="1114"/>
      <c r="GKE4" s="1114"/>
      <c r="GKF4" s="1114"/>
      <c r="GKG4" s="1114"/>
      <c r="GKH4" s="1114"/>
      <c r="GKI4" s="1114"/>
      <c r="GKJ4" s="1114"/>
      <c r="GKK4" s="1114"/>
      <c r="GKL4" s="1114"/>
      <c r="GKM4" s="1114"/>
      <c r="GKN4" s="1114"/>
      <c r="GKO4" s="1114"/>
      <c r="GKP4" s="1114"/>
      <c r="GKQ4" s="1114"/>
      <c r="GKR4" s="1114"/>
      <c r="GKS4" s="1114"/>
      <c r="GKT4" s="1114"/>
      <c r="GKU4" s="1114"/>
      <c r="GKV4" s="1114"/>
      <c r="GKW4" s="1114"/>
      <c r="GKX4" s="1114"/>
      <c r="GKY4" s="1114"/>
      <c r="GKZ4" s="1114"/>
      <c r="GLA4" s="1114"/>
      <c r="GLB4" s="1114"/>
      <c r="GLC4" s="1114"/>
      <c r="GLD4" s="1114"/>
      <c r="GLE4" s="1114"/>
      <c r="GLF4" s="1114"/>
      <c r="GLG4" s="1114"/>
      <c r="GLH4" s="1114"/>
      <c r="GLI4" s="1114"/>
      <c r="GLJ4" s="1114"/>
      <c r="GLK4" s="1114"/>
      <c r="GLL4" s="1114"/>
      <c r="GLM4" s="1114"/>
      <c r="GLN4" s="1114"/>
      <c r="GLO4" s="1114"/>
      <c r="GLP4" s="1114"/>
      <c r="GLQ4" s="1114"/>
      <c r="GLR4" s="1114"/>
      <c r="GLS4" s="1114"/>
      <c r="GLT4" s="1114"/>
      <c r="GLU4" s="1114"/>
      <c r="GLV4" s="1114"/>
      <c r="GLW4" s="1114"/>
      <c r="GLX4" s="1114"/>
      <c r="GLY4" s="1114"/>
      <c r="GLZ4" s="1114"/>
      <c r="GMA4" s="1114"/>
      <c r="GMB4" s="1114"/>
      <c r="GMC4" s="1114"/>
      <c r="GMD4" s="1114"/>
      <c r="GME4" s="1114"/>
      <c r="GMF4" s="1114"/>
      <c r="GMG4" s="1114"/>
      <c r="GMH4" s="1114"/>
      <c r="GMI4" s="1114"/>
      <c r="GMJ4" s="1114"/>
      <c r="GMK4" s="1114"/>
      <c r="GML4" s="1114"/>
      <c r="GMM4" s="1114"/>
      <c r="GMN4" s="1114"/>
      <c r="GMO4" s="1114"/>
      <c r="GMP4" s="1114"/>
      <c r="GMQ4" s="1114"/>
      <c r="GMR4" s="1114"/>
      <c r="GMS4" s="1114"/>
      <c r="GMT4" s="1114"/>
      <c r="GMU4" s="1114"/>
      <c r="GMV4" s="1114"/>
      <c r="GMW4" s="1114"/>
      <c r="GMX4" s="1114"/>
      <c r="GMY4" s="1114"/>
      <c r="GMZ4" s="1114"/>
      <c r="GNA4" s="1114"/>
      <c r="GNB4" s="1114"/>
      <c r="GNC4" s="1114"/>
      <c r="GND4" s="1114"/>
      <c r="GNE4" s="1114"/>
      <c r="GNF4" s="1114"/>
      <c r="GNG4" s="1114"/>
      <c r="GNH4" s="1114"/>
      <c r="GNI4" s="1114"/>
      <c r="GNJ4" s="1114"/>
      <c r="GNK4" s="1114"/>
      <c r="GNL4" s="1114"/>
      <c r="GNM4" s="1114"/>
      <c r="GNN4" s="1114"/>
      <c r="GNO4" s="1114"/>
      <c r="GNP4" s="1114"/>
      <c r="GNQ4" s="1114"/>
      <c r="GNR4" s="1114"/>
      <c r="GNS4" s="1114"/>
      <c r="GNT4" s="1114"/>
      <c r="GNU4" s="1114"/>
      <c r="GNV4" s="1114"/>
      <c r="GNW4" s="1114"/>
      <c r="GNX4" s="1114"/>
      <c r="GNY4" s="1114"/>
      <c r="GNZ4" s="1114"/>
      <c r="GOA4" s="1114"/>
      <c r="GOB4" s="1114"/>
      <c r="GOC4" s="1114"/>
      <c r="GOD4" s="1114"/>
      <c r="GOE4" s="1114"/>
      <c r="GOF4" s="1114"/>
      <c r="GOG4" s="1114"/>
      <c r="GOH4" s="1114"/>
      <c r="GOI4" s="1114"/>
      <c r="GOJ4" s="1114"/>
      <c r="GOK4" s="1114"/>
      <c r="GOL4" s="1114"/>
      <c r="GOM4" s="1114"/>
      <c r="GON4" s="1114"/>
      <c r="GOO4" s="1114"/>
      <c r="GOP4" s="1114"/>
      <c r="GOQ4" s="1114"/>
      <c r="GOR4" s="1114"/>
      <c r="GOS4" s="1114"/>
      <c r="GOT4" s="1114"/>
      <c r="GOU4" s="1114"/>
      <c r="GOV4" s="1114"/>
      <c r="GOW4" s="1114"/>
      <c r="GOX4" s="1114"/>
      <c r="GOY4" s="1114"/>
      <c r="GOZ4" s="1114"/>
      <c r="GPA4" s="1114"/>
      <c r="GPB4" s="1114"/>
      <c r="GPC4" s="1114"/>
      <c r="GPD4" s="1114"/>
      <c r="GPE4" s="1114"/>
      <c r="GPF4" s="1114"/>
      <c r="GPG4" s="1114"/>
      <c r="GPH4" s="1114"/>
      <c r="GPI4" s="1114"/>
      <c r="GPJ4" s="1114"/>
      <c r="GPK4" s="1114"/>
      <c r="GPL4" s="1114"/>
      <c r="GPM4" s="1114"/>
      <c r="GPN4" s="1114"/>
      <c r="GPO4" s="1114"/>
      <c r="GPP4" s="1114"/>
      <c r="GPQ4" s="1114"/>
      <c r="GPR4" s="1114"/>
      <c r="GPS4" s="1114"/>
      <c r="GPT4" s="1114"/>
      <c r="GPU4" s="1114"/>
      <c r="GPV4" s="1114"/>
      <c r="GPW4" s="1114"/>
      <c r="GPX4" s="1114"/>
      <c r="GPY4" s="1114"/>
      <c r="GPZ4" s="1114"/>
      <c r="GQA4" s="1114"/>
      <c r="GQB4" s="1114"/>
      <c r="GQC4" s="1114"/>
      <c r="GQD4" s="1114"/>
      <c r="GQE4" s="1114"/>
      <c r="GQF4" s="1114"/>
      <c r="GQG4" s="1114"/>
      <c r="GQH4" s="1114"/>
      <c r="GQI4" s="1114"/>
      <c r="GQJ4" s="1114"/>
      <c r="GQK4" s="1114"/>
      <c r="GQL4" s="1114"/>
      <c r="GQM4" s="1114"/>
      <c r="GQN4" s="1114"/>
      <c r="GQO4" s="1114"/>
      <c r="GQP4" s="1114"/>
      <c r="GQQ4" s="1114"/>
      <c r="GQR4" s="1114"/>
      <c r="GQS4" s="1114"/>
      <c r="GQT4" s="1114"/>
      <c r="GQU4" s="1114"/>
      <c r="GQV4" s="1114"/>
      <c r="GQW4" s="1114"/>
      <c r="GQX4" s="1114"/>
      <c r="GQY4" s="1114"/>
      <c r="GQZ4" s="1114"/>
      <c r="GRA4" s="1114"/>
      <c r="GRB4" s="1114"/>
      <c r="GRC4" s="1114"/>
      <c r="GRD4" s="1114"/>
      <c r="GRE4" s="1114"/>
      <c r="GRF4" s="1114"/>
      <c r="GRG4" s="1114"/>
      <c r="GRH4" s="1114"/>
      <c r="GRI4" s="1114"/>
      <c r="GRJ4" s="1114"/>
      <c r="GRK4" s="1114"/>
      <c r="GRL4" s="1114"/>
      <c r="GRM4" s="1114"/>
      <c r="GRN4" s="1114"/>
      <c r="GRO4" s="1114"/>
      <c r="GRP4" s="1114"/>
      <c r="GRQ4" s="1114"/>
      <c r="GRR4" s="1114"/>
      <c r="GRS4" s="1114"/>
      <c r="GRT4" s="1114"/>
      <c r="GRU4" s="1114"/>
      <c r="GRV4" s="1114"/>
      <c r="GRW4" s="1114"/>
      <c r="GRX4" s="1114"/>
      <c r="GRY4" s="1114"/>
      <c r="GRZ4" s="1114"/>
      <c r="GSA4" s="1114"/>
      <c r="GSB4" s="1114"/>
      <c r="GSC4" s="1114"/>
      <c r="GSD4" s="1114"/>
      <c r="GSE4" s="1114"/>
      <c r="GSF4" s="1114"/>
      <c r="GSG4" s="1114"/>
      <c r="GSH4" s="1114"/>
      <c r="GSI4" s="1114"/>
      <c r="GSJ4" s="1114"/>
      <c r="GSK4" s="1114"/>
      <c r="GSL4" s="1114"/>
      <c r="GSM4" s="1114"/>
      <c r="GSN4" s="1114"/>
      <c r="GSO4" s="1114"/>
      <c r="GSP4" s="1114"/>
      <c r="GSQ4" s="1114"/>
      <c r="GSR4" s="1114"/>
      <c r="GSS4" s="1114"/>
      <c r="GST4" s="1114"/>
      <c r="GSU4" s="1114"/>
      <c r="GSV4" s="1114"/>
      <c r="GSW4" s="1114"/>
      <c r="GSX4" s="1114"/>
      <c r="GSY4" s="1114"/>
      <c r="GSZ4" s="1114"/>
      <c r="GTA4" s="1114"/>
      <c r="GTB4" s="1114"/>
      <c r="GTC4" s="1114"/>
      <c r="GTD4" s="1114"/>
      <c r="GTE4" s="1114"/>
      <c r="GTF4" s="1114"/>
      <c r="GTG4" s="1114"/>
      <c r="GTH4" s="1114"/>
      <c r="GTI4" s="1114"/>
      <c r="GTJ4" s="1114"/>
      <c r="GTK4" s="1114"/>
      <c r="GTL4" s="1114"/>
      <c r="GTM4" s="1114"/>
      <c r="GTN4" s="1114"/>
      <c r="GTO4" s="1114"/>
      <c r="GTP4" s="1114"/>
      <c r="GTQ4" s="1114"/>
      <c r="GTR4" s="1114"/>
      <c r="GTS4" s="1114"/>
      <c r="GTT4" s="1114"/>
      <c r="GTU4" s="1114"/>
      <c r="GTV4" s="1114"/>
      <c r="GTW4" s="1114"/>
      <c r="GTX4" s="1114"/>
      <c r="GTY4" s="1114"/>
      <c r="GTZ4" s="1114"/>
      <c r="GUA4" s="1114"/>
      <c r="GUB4" s="1114"/>
      <c r="GUC4" s="1114"/>
      <c r="GUD4" s="1114"/>
      <c r="GUE4" s="1114"/>
      <c r="GUF4" s="1114"/>
      <c r="GUG4" s="1114"/>
      <c r="GUH4" s="1114"/>
      <c r="GUI4" s="1114"/>
      <c r="GUJ4" s="1114"/>
      <c r="GUK4" s="1114"/>
      <c r="GUL4" s="1114"/>
      <c r="GUM4" s="1114"/>
      <c r="GUN4" s="1114"/>
      <c r="GUO4" s="1114"/>
      <c r="GUP4" s="1114"/>
      <c r="GUQ4" s="1114"/>
      <c r="GUR4" s="1114"/>
      <c r="GUS4" s="1114"/>
      <c r="GUT4" s="1114"/>
      <c r="GUU4" s="1114"/>
      <c r="GUV4" s="1114"/>
      <c r="GUW4" s="1114"/>
      <c r="GUX4" s="1114"/>
      <c r="GUY4" s="1114"/>
      <c r="GUZ4" s="1114"/>
      <c r="GVA4" s="1114"/>
      <c r="GVB4" s="1114"/>
      <c r="GVC4" s="1114"/>
      <c r="GVD4" s="1114"/>
      <c r="GVE4" s="1114"/>
      <c r="GVF4" s="1114"/>
      <c r="GVG4" s="1114"/>
      <c r="GVH4" s="1114"/>
      <c r="GVI4" s="1114"/>
      <c r="GVJ4" s="1114"/>
      <c r="GVK4" s="1114"/>
      <c r="GVL4" s="1114"/>
      <c r="GVM4" s="1114"/>
      <c r="GVN4" s="1114"/>
      <c r="GVO4" s="1114"/>
      <c r="GVP4" s="1114"/>
      <c r="GVQ4" s="1114"/>
      <c r="GVR4" s="1114"/>
      <c r="GVS4" s="1114"/>
      <c r="GVT4" s="1114"/>
      <c r="GVU4" s="1114"/>
      <c r="GVV4" s="1114"/>
      <c r="GVW4" s="1114"/>
      <c r="GVX4" s="1114"/>
      <c r="GVY4" s="1114"/>
      <c r="GVZ4" s="1114"/>
      <c r="GWA4" s="1114"/>
      <c r="GWB4" s="1114"/>
      <c r="GWC4" s="1114"/>
      <c r="GWD4" s="1114"/>
      <c r="GWE4" s="1114"/>
      <c r="GWF4" s="1114"/>
      <c r="GWG4" s="1114"/>
      <c r="GWH4" s="1114"/>
      <c r="GWI4" s="1114"/>
      <c r="GWJ4" s="1114"/>
      <c r="GWK4" s="1114"/>
      <c r="GWL4" s="1114"/>
      <c r="GWM4" s="1114"/>
      <c r="GWN4" s="1114"/>
      <c r="GWO4" s="1114"/>
      <c r="GWP4" s="1114"/>
      <c r="GWQ4" s="1114"/>
      <c r="GWR4" s="1114"/>
      <c r="GWS4" s="1114"/>
      <c r="GWT4" s="1114"/>
      <c r="GWU4" s="1114"/>
      <c r="GWV4" s="1114"/>
      <c r="GWW4" s="1114"/>
      <c r="GWX4" s="1114"/>
      <c r="GWY4" s="1114"/>
      <c r="GWZ4" s="1114"/>
      <c r="GXA4" s="1114"/>
      <c r="GXB4" s="1114"/>
      <c r="GXC4" s="1114"/>
      <c r="GXD4" s="1114"/>
      <c r="GXE4" s="1114"/>
      <c r="GXF4" s="1114"/>
      <c r="GXG4" s="1114"/>
      <c r="GXH4" s="1114"/>
      <c r="GXI4" s="1114"/>
      <c r="GXJ4" s="1114"/>
      <c r="GXK4" s="1114"/>
      <c r="GXL4" s="1114"/>
      <c r="GXM4" s="1114"/>
      <c r="GXN4" s="1114"/>
      <c r="GXO4" s="1114"/>
      <c r="GXP4" s="1114"/>
      <c r="GXQ4" s="1114"/>
      <c r="GXR4" s="1114"/>
      <c r="GXS4" s="1114"/>
      <c r="GXT4" s="1114"/>
      <c r="GXU4" s="1114"/>
      <c r="GXV4" s="1114"/>
      <c r="GXW4" s="1114"/>
      <c r="GXX4" s="1114"/>
      <c r="GXY4" s="1114"/>
      <c r="GXZ4" s="1114"/>
      <c r="GYA4" s="1114"/>
      <c r="GYB4" s="1114"/>
      <c r="GYC4" s="1114"/>
      <c r="GYD4" s="1114"/>
      <c r="GYE4" s="1114"/>
      <c r="GYF4" s="1114"/>
      <c r="GYG4" s="1114"/>
      <c r="GYH4" s="1114"/>
      <c r="GYI4" s="1114"/>
      <c r="GYJ4" s="1114"/>
      <c r="GYK4" s="1114"/>
      <c r="GYL4" s="1114"/>
      <c r="GYM4" s="1114"/>
      <c r="GYN4" s="1114"/>
      <c r="GYO4" s="1114"/>
      <c r="GYP4" s="1114"/>
      <c r="GYQ4" s="1114"/>
      <c r="GYR4" s="1114"/>
      <c r="GYS4" s="1114"/>
      <c r="GYT4" s="1114"/>
      <c r="GYU4" s="1114"/>
      <c r="GYV4" s="1114"/>
      <c r="GYW4" s="1114"/>
      <c r="GYX4" s="1114"/>
      <c r="GYY4" s="1114"/>
      <c r="GYZ4" s="1114"/>
      <c r="GZA4" s="1114"/>
      <c r="GZB4" s="1114"/>
      <c r="GZC4" s="1114"/>
      <c r="GZD4" s="1114"/>
      <c r="GZE4" s="1114"/>
      <c r="GZF4" s="1114"/>
      <c r="GZG4" s="1114"/>
      <c r="GZH4" s="1114"/>
      <c r="GZI4" s="1114"/>
      <c r="GZJ4" s="1114"/>
      <c r="GZK4" s="1114"/>
      <c r="GZL4" s="1114"/>
      <c r="GZM4" s="1114"/>
      <c r="GZN4" s="1114"/>
      <c r="GZO4" s="1114"/>
      <c r="GZP4" s="1114"/>
      <c r="GZQ4" s="1114"/>
      <c r="GZR4" s="1114"/>
      <c r="GZS4" s="1114"/>
      <c r="GZT4" s="1114"/>
      <c r="GZU4" s="1114"/>
      <c r="GZV4" s="1114"/>
      <c r="GZW4" s="1114"/>
      <c r="GZX4" s="1114"/>
      <c r="GZY4" s="1114"/>
      <c r="GZZ4" s="1114"/>
      <c r="HAA4" s="1114"/>
      <c r="HAB4" s="1114"/>
      <c r="HAC4" s="1114"/>
      <c r="HAD4" s="1114"/>
      <c r="HAE4" s="1114"/>
      <c r="HAF4" s="1114"/>
      <c r="HAG4" s="1114"/>
      <c r="HAH4" s="1114"/>
      <c r="HAI4" s="1114"/>
      <c r="HAJ4" s="1114"/>
      <c r="HAK4" s="1114"/>
      <c r="HAL4" s="1114"/>
      <c r="HAM4" s="1114"/>
      <c r="HAN4" s="1114"/>
      <c r="HAO4" s="1114"/>
      <c r="HAP4" s="1114"/>
      <c r="HAQ4" s="1114"/>
      <c r="HAR4" s="1114"/>
      <c r="HAS4" s="1114"/>
      <c r="HAT4" s="1114"/>
      <c r="HAU4" s="1114"/>
      <c r="HAV4" s="1114"/>
      <c r="HAW4" s="1114"/>
      <c r="HAX4" s="1114"/>
      <c r="HAY4" s="1114"/>
      <c r="HAZ4" s="1114"/>
      <c r="HBA4" s="1114"/>
      <c r="HBB4" s="1114"/>
      <c r="HBC4" s="1114"/>
      <c r="HBD4" s="1114"/>
      <c r="HBE4" s="1114"/>
      <c r="HBF4" s="1114"/>
      <c r="HBG4" s="1114"/>
      <c r="HBH4" s="1114"/>
      <c r="HBI4" s="1114"/>
      <c r="HBJ4" s="1114"/>
      <c r="HBK4" s="1114"/>
      <c r="HBL4" s="1114"/>
      <c r="HBM4" s="1114"/>
      <c r="HBN4" s="1114"/>
      <c r="HBO4" s="1114"/>
      <c r="HBP4" s="1114"/>
      <c r="HBQ4" s="1114"/>
      <c r="HBR4" s="1114"/>
      <c r="HBS4" s="1114"/>
      <c r="HBT4" s="1114"/>
      <c r="HBU4" s="1114"/>
      <c r="HBV4" s="1114"/>
      <c r="HBW4" s="1114"/>
      <c r="HBX4" s="1114"/>
      <c r="HBY4" s="1114"/>
      <c r="HBZ4" s="1114"/>
      <c r="HCA4" s="1114"/>
      <c r="HCB4" s="1114"/>
      <c r="HCC4" s="1114"/>
      <c r="HCD4" s="1114"/>
      <c r="HCE4" s="1114"/>
      <c r="HCF4" s="1114"/>
      <c r="HCG4" s="1114"/>
      <c r="HCH4" s="1114"/>
      <c r="HCI4" s="1114"/>
      <c r="HCJ4" s="1114"/>
      <c r="HCK4" s="1114"/>
      <c r="HCL4" s="1114"/>
      <c r="HCM4" s="1114"/>
      <c r="HCN4" s="1114"/>
      <c r="HCO4" s="1114"/>
      <c r="HCP4" s="1114"/>
      <c r="HCQ4" s="1114"/>
      <c r="HCR4" s="1114"/>
      <c r="HCS4" s="1114"/>
      <c r="HCT4" s="1114"/>
      <c r="HCU4" s="1114"/>
      <c r="HCV4" s="1114"/>
      <c r="HCW4" s="1114"/>
      <c r="HCX4" s="1114"/>
      <c r="HCY4" s="1114"/>
      <c r="HCZ4" s="1114"/>
      <c r="HDA4" s="1114"/>
      <c r="HDB4" s="1114"/>
      <c r="HDC4" s="1114"/>
      <c r="HDD4" s="1114"/>
      <c r="HDE4" s="1114"/>
      <c r="HDF4" s="1114"/>
      <c r="HDG4" s="1114"/>
      <c r="HDH4" s="1114"/>
      <c r="HDI4" s="1114"/>
      <c r="HDJ4" s="1114"/>
      <c r="HDK4" s="1114"/>
      <c r="HDL4" s="1114"/>
      <c r="HDM4" s="1114"/>
      <c r="HDN4" s="1114"/>
      <c r="HDO4" s="1114"/>
      <c r="HDP4" s="1114"/>
      <c r="HDQ4" s="1114"/>
      <c r="HDR4" s="1114"/>
      <c r="HDS4" s="1114"/>
      <c r="HDT4" s="1114"/>
      <c r="HDU4" s="1114"/>
      <c r="HDV4" s="1114"/>
      <c r="HDW4" s="1114"/>
      <c r="HDX4" s="1114"/>
      <c r="HDY4" s="1114"/>
      <c r="HDZ4" s="1114"/>
      <c r="HEA4" s="1114"/>
      <c r="HEB4" s="1114"/>
      <c r="HEC4" s="1114"/>
      <c r="HED4" s="1114"/>
      <c r="HEE4" s="1114"/>
      <c r="HEF4" s="1114"/>
      <c r="HEG4" s="1114"/>
      <c r="HEH4" s="1114"/>
      <c r="HEI4" s="1114"/>
      <c r="HEJ4" s="1114"/>
      <c r="HEK4" s="1114"/>
      <c r="HEL4" s="1114"/>
      <c r="HEM4" s="1114"/>
      <c r="HEN4" s="1114"/>
      <c r="HEO4" s="1114"/>
      <c r="HEP4" s="1114"/>
      <c r="HEQ4" s="1114"/>
      <c r="HER4" s="1114"/>
      <c r="HES4" s="1114"/>
      <c r="HET4" s="1114"/>
      <c r="HEU4" s="1114"/>
      <c r="HEV4" s="1114"/>
      <c r="HEW4" s="1114"/>
      <c r="HEX4" s="1114"/>
      <c r="HEY4" s="1114"/>
      <c r="HEZ4" s="1114"/>
      <c r="HFA4" s="1114"/>
      <c r="HFB4" s="1114"/>
      <c r="HFC4" s="1114"/>
      <c r="HFD4" s="1114"/>
      <c r="HFE4" s="1114"/>
      <c r="HFF4" s="1114"/>
      <c r="HFG4" s="1114"/>
      <c r="HFH4" s="1114"/>
      <c r="HFI4" s="1114"/>
      <c r="HFJ4" s="1114"/>
      <c r="HFK4" s="1114"/>
      <c r="HFL4" s="1114"/>
      <c r="HFM4" s="1114"/>
      <c r="HFN4" s="1114"/>
      <c r="HFO4" s="1114"/>
      <c r="HFP4" s="1114"/>
      <c r="HFQ4" s="1114"/>
      <c r="HFR4" s="1114"/>
      <c r="HFS4" s="1114"/>
      <c r="HFT4" s="1114"/>
      <c r="HFU4" s="1114"/>
      <c r="HFV4" s="1114"/>
      <c r="HFW4" s="1114"/>
      <c r="HFX4" s="1114"/>
      <c r="HFY4" s="1114"/>
      <c r="HFZ4" s="1114"/>
      <c r="HGA4" s="1114"/>
      <c r="HGB4" s="1114"/>
      <c r="HGC4" s="1114"/>
      <c r="HGD4" s="1114"/>
      <c r="HGE4" s="1114"/>
      <c r="HGF4" s="1114"/>
      <c r="HGG4" s="1114"/>
      <c r="HGH4" s="1114"/>
      <c r="HGI4" s="1114"/>
      <c r="HGJ4" s="1114"/>
      <c r="HGK4" s="1114"/>
      <c r="HGL4" s="1114"/>
      <c r="HGM4" s="1114"/>
      <c r="HGN4" s="1114"/>
      <c r="HGO4" s="1114"/>
      <c r="HGP4" s="1114"/>
      <c r="HGQ4" s="1114"/>
      <c r="HGR4" s="1114"/>
      <c r="HGS4" s="1114"/>
      <c r="HGT4" s="1114"/>
      <c r="HGU4" s="1114"/>
      <c r="HGV4" s="1114"/>
      <c r="HGW4" s="1114"/>
      <c r="HGX4" s="1114"/>
      <c r="HGY4" s="1114"/>
      <c r="HGZ4" s="1114"/>
      <c r="HHA4" s="1114"/>
      <c r="HHB4" s="1114"/>
      <c r="HHC4" s="1114"/>
      <c r="HHD4" s="1114"/>
      <c r="HHE4" s="1114"/>
      <c r="HHF4" s="1114"/>
      <c r="HHG4" s="1114"/>
      <c r="HHH4" s="1114"/>
      <c r="HHI4" s="1114"/>
      <c r="HHJ4" s="1114"/>
      <c r="HHK4" s="1114"/>
      <c r="HHL4" s="1114"/>
      <c r="HHM4" s="1114"/>
      <c r="HHN4" s="1114"/>
      <c r="HHO4" s="1114"/>
      <c r="HHP4" s="1114"/>
      <c r="HHQ4" s="1114"/>
      <c r="HHR4" s="1114"/>
      <c r="HHS4" s="1114"/>
      <c r="HHT4" s="1114"/>
      <c r="HHU4" s="1114"/>
      <c r="HHV4" s="1114"/>
      <c r="HHW4" s="1114"/>
      <c r="HHX4" s="1114"/>
      <c r="HHY4" s="1114"/>
      <c r="HHZ4" s="1114"/>
      <c r="HIA4" s="1114"/>
      <c r="HIB4" s="1114"/>
      <c r="HIC4" s="1114"/>
      <c r="HID4" s="1114"/>
      <c r="HIE4" s="1114"/>
      <c r="HIF4" s="1114"/>
      <c r="HIG4" s="1114"/>
      <c r="HIH4" s="1114"/>
      <c r="HII4" s="1114"/>
      <c r="HIJ4" s="1114"/>
      <c r="HIK4" s="1114"/>
      <c r="HIL4" s="1114"/>
      <c r="HIM4" s="1114"/>
      <c r="HIN4" s="1114"/>
      <c r="HIO4" s="1114"/>
      <c r="HIP4" s="1114"/>
      <c r="HIQ4" s="1114"/>
      <c r="HIR4" s="1114"/>
      <c r="HIS4" s="1114"/>
      <c r="HIT4" s="1114"/>
      <c r="HIU4" s="1114"/>
      <c r="HIV4" s="1114"/>
      <c r="HIW4" s="1114"/>
      <c r="HIX4" s="1114"/>
      <c r="HIY4" s="1114"/>
      <c r="HIZ4" s="1114"/>
      <c r="HJA4" s="1114"/>
      <c r="HJB4" s="1114"/>
      <c r="HJC4" s="1114"/>
      <c r="HJD4" s="1114"/>
      <c r="HJE4" s="1114"/>
      <c r="HJF4" s="1114"/>
      <c r="HJG4" s="1114"/>
      <c r="HJH4" s="1114"/>
      <c r="HJI4" s="1114"/>
      <c r="HJJ4" s="1114"/>
      <c r="HJK4" s="1114"/>
      <c r="HJL4" s="1114"/>
      <c r="HJM4" s="1114"/>
      <c r="HJN4" s="1114"/>
      <c r="HJO4" s="1114"/>
      <c r="HJP4" s="1114"/>
      <c r="HJQ4" s="1114"/>
      <c r="HJR4" s="1114"/>
      <c r="HJS4" s="1114"/>
      <c r="HJT4" s="1114"/>
      <c r="HJU4" s="1114"/>
      <c r="HJV4" s="1114"/>
      <c r="HJW4" s="1114"/>
      <c r="HJX4" s="1114"/>
      <c r="HJY4" s="1114"/>
      <c r="HJZ4" s="1114"/>
      <c r="HKA4" s="1114"/>
      <c r="HKB4" s="1114"/>
      <c r="HKC4" s="1114"/>
      <c r="HKD4" s="1114"/>
      <c r="HKE4" s="1114"/>
      <c r="HKF4" s="1114"/>
      <c r="HKG4" s="1114"/>
      <c r="HKH4" s="1114"/>
      <c r="HKI4" s="1114"/>
      <c r="HKJ4" s="1114"/>
      <c r="HKK4" s="1114"/>
      <c r="HKL4" s="1114"/>
      <c r="HKM4" s="1114"/>
      <c r="HKN4" s="1114"/>
      <c r="HKO4" s="1114"/>
      <c r="HKP4" s="1114"/>
      <c r="HKQ4" s="1114"/>
      <c r="HKR4" s="1114"/>
      <c r="HKS4" s="1114"/>
      <c r="HKT4" s="1114"/>
      <c r="HKU4" s="1114"/>
      <c r="HKV4" s="1114"/>
      <c r="HKW4" s="1114"/>
      <c r="HKX4" s="1114"/>
      <c r="HKY4" s="1114"/>
      <c r="HKZ4" s="1114"/>
      <c r="HLA4" s="1114"/>
      <c r="HLB4" s="1114"/>
      <c r="HLC4" s="1114"/>
      <c r="HLD4" s="1114"/>
      <c r="HLE4" s="1114"/>
      <c r="HLF4" s="1114"/>
      <c r="HLG4" s="1114"/>
      <c r="HLH4" s="1114"/>
      <c r="HLI4" s="1114"/>
      <c r="HLJ4" s="1114"/>
      <c r="HLK4" s="1114"/>
      <c r="HLL4" s="1114"/>
      <c r="HLM4" s="1114"/>
      <c r="HLN4" s="1114"/>
      <c r="HLO4" s="1114"/>
      <c r="HLP4" s="1114"/>
      <c r="HLQ4" s="1114"/>
      <c r="HLR4" s="1114"/>
      <c r="HLS4" s="1114"/>
      <c r="HLT4" s="1114"/>
      <c r="HLU4" s="1114"/>
      <c r="HLV4" s="1114"/>
      <c r="HLW4" s="1114"/>
      <c r="HLX4" s="1114"/>
      <c r="HLY4" s="1114"/>
      <c r="HLZ4" s="1114"/>
      <c r="HMA4" s="1114"/>
      <c r="HMB4" s="1114"/>
      <c r="HMC4" s="1114"/>
      <c r="HMD4" s="1114"/>
      <c r="HME4" s="1114"/>
      <c r="HMF4" s="1114"/>
      <c r="HMG4" s="1114"/>
      <c r="HMH4" s="1114"/>
      <c r="HMI4" s="1114"/>
      <c r="HMJ4" s="1114"/>
      <c r="HMK4" s="1114"/>
      <c r="HML4" s="1114"/>
      <c r="HMM4" s="1114"/>
      <c r="HMN4" s="1114"/>
      <c r="HMO4" s="1114"/>
      <c r="HMP4" s="1114"/>
      <c r="HMQ4" s="1114"/>
      <c r="HMR4" s="1114"/>
      <c r="HMS4" s="1114"/>
      <c r="HMT4" s="1114"/>
      <c r="HMU4" s="1114"/>
      <c r="HMV4" s="1114"/>
      <c r="HMW4" s="1114"/>
      <c r="HMX4" s="1114"/>
      <c r="HMY4" s="1114"/>
      <c r="HMZ4" s="1114"/>
      <c r="HNA4" s="1114"/>
      <c r="HNB4" s="1114"/>
      <c r="HNC4" s="1114"/>
      <c r="HND4" s="1114"/>
      <c r="HNE4" s="1114"/>
      <c r="HNF4" s="1114"/>
      <c r="HNG4" s="1114"/>
      <c r="HNH4" s="1114"/>
      <c r="HNI4" s="1114"/>
      <c r="HNJ4" s="1114"/>
      <c r="HNK4" s="1114"/>
      <c r="HNL4" s="1114"/>
      <c r="HNM4" s="1114"/>
      <c r="HNN4" s="1114"/>
      <c r="HNO4" s="1114"/>
      <c r="HNP4" s="1114"/>
      <c r="HNQ4" s="1114"/>
      <c r="HNR4" s="1114"/>
      <c r="HNS4" s="1114"/>
      <c r="HNT4" s="1114"/>
      <c r="HNU4" s="1114"/>
      <c r="HNV4" s="1114"/>
      <c r="HNW4" s="1114"/>
      <c r="HNX4" s="1114"/>
      <c r="HNY4" s="1114"/>
      <c r="HNZ4" s="1114"/>
      <c r="HOA4" s="1114"/>
      <c r="HOB4" s="1114"/>
      <c r="HOC4" s="1114"/>
      <c r="HOD4" s="1114"/>
      <c r="HOE4" s="1114"/>
      <c r="HOF4" s="1114"/>
      <c r="HOG4" s="1114"/>
      <c r="HOH4" s="1114"/>
      <c r="HOI4" s="1114"/>
      <c r="HOJ4" s="1114"/>
      <c r="HOK4" s="1114"/>
      <c r="HOL4" s="1114"/>
      <c r="HOM4" s="1114"/>
      <c r="HON4" s="1114"/>
      <c r="HOO4" s="1114"/>
      <c r="HOP4" s="1114"/>
      <c r="HOQ4" s="1114"/>
      <c r="HOR4" s="1114"/>
      <c r="HOS4" s="1114"/>
      <c r="HOT4" s="1114"/>
      <c r="HOU4" s="1114"/>
      <c r="HOV4" s="1114"/>
      <c r="HOW4" s="1114"/>
      <c r="HOX4" s="1114"/>
      <c r="HOY4" s="1114"/>
      <c r="HOZ4" s="1114"/>
      <c r="HPA4" s="1114"/>
      <c r="HPB4" s="1114"/>
      <c r="HPC4" s="1114"/>
      <c r="HPD4" s="1114"/>
      <c r="HPE4" s="1114"/>
      <c r="HPF4" s="1114"/>
      <c r="HPG4" s="1114"/>
      <c r="HPH4" s="1114"/>
      <c r="HPI4" s="1114"/>
      <c r="HPJ4" s="1114"/>
      <c r="HPK4" s="1114"/>
      <c r="HPL4" s="1114"/>
      <c r="HPM4" s="1114"/>
      <c r="HPN4" s="1114"/>
      <c r="HPO4" s="1114"/>
      <c r="HPP4" s="1114"/>
      <c r="HPQ4" s="1114"/>
      <c r="HPR4" s="1114"/>
      <c r="HPS4" s="1114"/>
      <c r="HPT4" s="1114"/>
      <c r="HPU4" s="1114"/>
      <c r="HPV4" s="1114"/>
      <c r="HPW4" s="1114"/>
      <c r="HPX4" s="1114"/>
      <c r="HPY4" s="1114"/>
      <c r="HPZ4" s="1114"/>
      <c r="HQA4" s="1114"/>
      <c r="HQB4" s="1114"/>
      <c r="HQC4" s="1114"/>
      <c r="HQD4" s="1114"/>
      <c r="HQE4" s="1114"/>
      <c r="HQF4" s="1114"/>
      <c r="HQG4" s="1114"/>
      <c r="HQH4" s="1114"/>
      <c r="HQI4" s="1114"/>
      <c r="HQJ4" s="1114"/>
      <c r="HQK4" s="1114"/>
      <c r="HQL4" s="1114"/>
      <c r="HQM4" s="1114"/>
      <c r="HQN4" s="1114"/>
      <c r="HQO4" s="1114"/>
      <c r="HQP4" s="1114"/>
      <c r="HQQ4" s="1114"/>
      <c r="HQR4" s="1114"/>
      <c r="HQS4" s="1114"/>
      <c r="HQT4" s="1114"/>
      <c r="HQU4" s="1114"/>
      <c r="HQV4" s="1114"/>
      <c r="HQW4" s="1114"/>
      <c r="HQX4" s="1114"/>
      <c r="HQY4" s="1114"/>
      <c r="HQZ4" s="1114"/>
      <c r="HRA4" s="1114"/>
      <c r="HRB4" s="1114"/>
      <c r="HRC4" s="1114"/>
      <c r="HRD4" s="1114"/>
      <c r="HRE4" s="1114"/>
      <c r="HRF4" s="1114"/>
      <c r="HRG4" s="1114"/>
      <c r="HRH4" s="1114"/>
      <c r="HRI4" s="1114"/>
      <c r="HRJ4" s="1114"/>
      <c r="HRK4" s="1114"/>
      <c r="HRL4" s="1114"/>
      <c r="HRM4" s="1114"/>
      <c r="HRN4" s="1114"/>
      <c r="HRO4" s="1114"/>
      <c r="HRP4" s="1114"/>
      <c r="HRQ4" s="1114"/>
      <c r="HRR4" s="1114"/>
      <c r="HRS4" s="1114"/>
      <c r="HRT4" s="1114"/>
      <c r="HRU4" s="1114"/>
      <c r="HRV4" s="1114"/>
      <c r="HRW4" s="1114"/>
      <c r="HRX4" s="1114"/>
      <c r="HRY4" s="1114"/>
      <c r="HRZ4" s="1114"/>
      <c r="HSA4" s="1114"/>
      <c r="HSB4" s="1114"/>
      <c r="HSC4" s="1114"/>
      <c r="HSD4" s="1114"/>
      <c r="HSE4" s="1114"/>
      <c r="HSF4" s="1114"/>
      <c r="HSG4" s="1114"/>
      <c r="HSH4" s="1114"/>
      <c r="HSI4" s="1114"/>
      <c r="HSJ4" s="1114"/>
      <c r="HSK4" s="1114"/>
      <c r="HSL4" s="1114"/>
      <c r="HSM4" s="1114"/>
      <c r="HSN4" s="1114"/>
      <c r="HSO4" s="1114"/>
      <c r="HSP4" s="1114"/>
      <c r="HSQ4" s="1114"/>
      <c r="HSR4" s="1114"/>
      <c r="HSS4" s="1114"/>
      <c r="HST4" s="1114"/>
      <c r="HSU4" s="1114"/>
      <c r="HSV4" s="1114"/>
      <c r="HSW4" s="1114"/>
      <c r="HSX4" s="1114"/>
      <c r="HSY4" s="1114"/>
      <c r="HSZ4" s="1114"/>
      <c r="HTA4" s="1114"/>
      <c r="HTB4" s="1114"/>
      <c r="HTC4" s="1114"/>
      <c r="HTD4" s="1114"/>
      <c r="HTE4" s="1114"/>
      <c r="HTF4" s="1114"/>
      <c r="HTG4" s="1114"/>
      <c r="HTH4" s="1114"/>
      <c r="HTI4" s="1114"/>
      <c r="HTJ4" s="1114"/>
      <c r="HTK4" s="1114"/>
      <c r="HTL4" s="1114"/>
      <c r="HTM4" s="1114"/>
      <c r="HTN4" s="1114"/>
      <c r="HTO4" s="1114"/>
      <c r="HTP4" s="1114"/>
      <c r="HTQ4" s="1114"/>
      <c r="HTR4" s="1114"/>
      <c r="HTS4" s="1114"/>
      <c r="HTT4" s="1114"/>
      <c r="HTU4" s="1114"/>
      <c r="HTV4" s="1114"/>
      <c r="HTW4" s="1114"/>
      <c r="HTX4" s="1114"/>
      <c r="HTY4" s="1114"/>
      <c r="HTZ4" s="1114"/>
      <c r="HUA4" s="1114"/>
      <c r="HUB4" s="1114"/>
      <c r="HUC4" s="1114"/>
      <c r="HUD4" s="1114"/>
      <c r="HUE4" s="1114"/>
      <c r="HUF4" s="1114"/>
      <c r="HUG4" s="1114"/>
      <c r="HUH4" s="1114"/>
      <c r="HUI4" s="1114"/>
      <c r="HUJ4" s="1114"/>
      <c r="HUK4" s="1114"/>
      <c r="HUL4" s="1114"/>
      <c r="HUM4" s="1114"/>
      <c r="HUN4" s="1114"/>
      <c r="HUO4" s="1114"/>
      <c r="HUP4" s="1114"/>
      <c r="HUQ4" s="1114"/>
      <c r="HUR4" s="1114"/>
      <c r="HUS4" s="1114"/>
      <c r="HUT4" s="1114"/>
      <c r="HUU4" s="1114"/>
      <c r="HUV4" s="1114"/>
      <c r="HUW4" s="1114"/>
      <c r="HUX4" s="1114"/>
      <c r="HUY4" s="1114"/>
      <c r="HUZ4" s="1114"/>
      <c r="HVA4" s="1114"/>
      <c r="HVB4" s="1114"/>
      <c r="HVC4" s="1114"/>
      <c r="HVD4" s="1114"/>
      <c r="HVE4" s="1114"/>
      <c r="HVF4" s="1114"/>
      <c r="HVG4" s="1114"/>
      <c r="HVH4" s="1114"/>
      <c r="HVI4" s="1114"/>
      <c r="HVJ4" s="1114"/>
      <c r="HVK4" s="1114"/>
      <c r="HVL4" s="1114"/>
      <c r="HVM4" s="1114"/>
      <c r="HVN4" s="1114"/>
      <c r="HVO4" s="1114"/>
      <c r="HVP4" s="1114"/>
      <c r="HVQ4" s="1114"/>
      <c r="HVR4" s="1114"/>
      <c r="HVS4" s="1114"/>
      <c r="HVT4" s="1114"/>
      <c r="HVU4" s="1114"/>
      <c r="HVV4" s="1114"/>
      <c r="HVW4" s="1114"/>
      <c r="HVX4" s="1114"/>
      <c r="HVY4" s="1114"/>
      <c r="HVZ4" s="1114"/>
      <c r="HWA4" s="1114"/>
      <c r="HWB4" s="1114"/>
      <c r="HWC4" s="1114"/>
      <c r="HWD4" s="1114"/>
      <c r="HWE4" s="1114"/>
      <c r="HWF4" s="1114"/>
      <c r="HWG4" s="1114"/>
      <c r="HWH4" s="1114"/>
      <c r="HWI4" s="1114"/>
      <c r="HWJ4" s="1114"/>
      <c r="HWK4" s="1114"/>
      <c r="HWL4" s="1114"/>
      <c r="HWM4" s="1114"/>
      <c r="HWN4" s="1114"/>
      <c r="HWO4" s="1114"/>
      <c r="HWP4" s="1114"/>
      <c r="HWQ4" s="1114"/>
      <c r="HWR4" s="1114"/>
      <c r="HWS4" s="1114"/>
      <c r="HWT4" s="1114"/>
      <c r="HWU4" s="1114"/>
      <c r="HWV4" s="1114"/>
      <c r="HWW4" s="1114"/>
      <c r="HWX4" s="1114"/>
      <c r="HWY4" s="1114"/>
      <c r="HWZ4" s="1114"/>
      <c r="HXA4" s="1114"/>
      <c r="HXB4" s="1114"/>
      <c r="HXC4" s="1114"/>
      <c r="HXD4" s="1114"/>
      <c r="HXE4" s="1114"/>
      <c r="HXF4" s="1114"/>
      <c r="HXG4" s="1114"/>
      <c r="HXH4" s="1114"/>
      <c r="HXI4" s="1114"/>
      <c r="HXJ4" s="1114"/>
      <c r="HXK4" s="1114"/>
      <c r="HXL4" s="1114"/>
      <c r="HXM4" s="1114"/>
      <c r="HXN4" s="1114"/>
      <c r="HXO4" s="1114"/>
      <c r="HXP4" s="1114"/>
      <c r="HXQ4" s="1114"/>
      <c r="HXR4" s="1114"/>
      <c r="HXS4" s="1114"/>
      <c r="HXT4" s="1114"/>
      <c r="HXU4" s="1114"/>
      <c r="HXV4" s="1114"/>
      <c r="HXW4" s="1114"/>
      <c r="HXX4" s="1114"/>
      <c r="HXY4" s="1114"/>
      <c r="HXZ4" s="1114"/>
      <c r="HYA4" s="1114"/>
      <c r="HYB4" s="1114"/>
      <c r="HYC4" s="1114"/>
      <c r="HYD4" s="1114"/>
      <c r="HYE4" s="1114"/>
      <c r="HYF4" s="1114"/>
      <c r="HYG4" s="1114"/>
      <c r="HYH4" s="1114"/>
      <c r="HYI4" s="1114"/>
      <c r="HYJ4" s="1114"/>
      <c r="HYK4" s="1114"/>
      <c r="HYL4" s="1114"/>
      <c r="HYM4" s="1114"/>
      <c r="HYN4" s="1114"/>
      <c r="HYO4" s="1114"/>
      <c r="HYP4" s="1114"/>
      <c r="HYQ4" s="1114"/>
      <c r="HYR4" s="1114"/>
      <c r="HYS4" s="1114"/>
      <c r="HYT4" s="1114"/>
      <c r="HYU4" s="1114"/>
      <c r="HYV4" s="1114"/>
      <c r="HYW4" s="1114"/>
      <c r="HYX4" s="1114"/>
      <c r="HYY4" s="1114"/>
      <c r="HYZ4" s="1114"/>
      <c r="HZA4" s="1114"/>
      <c r="HZB4" s="1114"/>
      <c r="HZC4" s="1114"/>
      <c r="HZD4" s="1114"/>
      <c r="HZE4" s="1114"/>
      <c r="HZF4" s="1114"/>
      <c r="HZG4" s="1114"/>
      <c r="HZH4" s="1114"/>
      <c r="HZI4" s="1114"/>
      <c r="HZJ4" s="1114"/>
      <c r="HZK4" s="1114"/>
      <c r="HZL4" s="1114"/>
      <c r="HZM4" s="1114"/>
      <c r="HZN4" s="1114"/>
      <c r="HZO4" s="1114"/>
      <c r="HZP4" s="1114"/>
      <c r="HZQ4" s="1114"/>
      <c r="HZR4" s="1114"/>
      <c r="HZS4" s="1114"/>
      <c r="HZT4" s="1114"/>
      <c r="HZU4" s="1114"/>
      <c r="HZV4" s="1114"/>
      <c r="HZW4" s="1114"/>
      <c r="HZX4" s="1114"/>
      <c r="HZY4" s="1114"/>
      <c r="HZZ4" s="1114"/>
      <c r="IAA4" s="1114"/>
      <c r="IAB4" s="1114"/>
      <c r="IAC4" s="1114"/>
      <c r="IAD4" s="1114"/>
      <c r="IAE4" s="1114"/>
      <c r="IAF4" s="1114"/>
      <c r="IAG4" s="1114"/>
      <c r="IAH4" s="1114"/>
      <c r="IAI4" s="1114"/>
      <c r="IAJ4" s="1114"/>
      <c r="IAK4" s="1114"/>
      <c r="IAL4" s="1114"/>
      <c r="IAM4" s="1114"/>
      <c r="IAN4" s="1114"/>
      <c r="IAO4" s="1114"/>
      <c r="IAP4" s="1114"/>
      <c r="IAQ4" s="1114"/>
      <c r="IAR4" s="1114"/>
      <c r="IAS4" s="1114"/>
      <c r="IAT4" s="1114"/>
      <c r="IAU4" s="1114"/>
      <c r="IAV4" s="1114"/>
      <c r="IAW4" s="1114"/>
      <c r="IAX4" s="1114"/>
      <c r="IAY4" s="1114"/>
      <c r="IAZ4" s="1114"/>
      <c r="IBA4" s="1114"/>
      <c r="IBB4" s="1114"/>
      <c r="IBC4" s="1114"/>
      <c r="IBD4" s="1114"/>
      <c r="IBE4" s="1114"/>
      <c r="IBF4" s="1114"/>
      <c r="IBG4" s="1114"/>
      <c r="IBH4" s="1114"/>
      <c r="IBI4" s="1114"/>
      <c r="IBJ4" s="1114"/>
      <c r="IBK4" s="1114"/>
      <c r="IBL4" s="1114"/>
      <c r="IBM4" s="1114"/>
      <c r="IBN4" s="1114"/>
      <c r="IBO4" s="1114"/>
      <c r="IBP4" s="1114"/>
      <c r="IBQ4" s="1114"/>
      <c r="IBR4" s="1114"/>
      <c r="IBS4" s="1114"/>
      <c r="IBT4" s="1114"/>
      <c r="IBU4" s="1114"/>
      <c r="IBV4" s="1114"/>
      <c r="IBW4" s="1114"/>
      <c r="IBX4" s="1114"/>
      <c r="IBY4" s="1114"/>
      <c r="IBZ4" s="1114"/>
      <c r="ICA4" s="1114"/>
      <c r="ICB4" s="1114"/>
      <c r="ICC4" s="1114"/>
      <c r="ICD4" s="1114"/>
      <c r="ICE4" s="1114"/>
      <c r="ICF4" s="1114"/>
      <c r="ICG4" s="1114"/>
      <c r="ICH4" s="1114"/>
      <c r="ICI4" s="1114"/>
      <c r="ICJ4" s="1114"/>
      <c r="ICK4" s="1114"/>
      <c r="ICL4" s="1114"/>
      <c r="ICM4" s="1114"/>
      <c r="ICN4" s="1114"/>
      <c r="ICO4" s="1114"/>
      <c r="ICP4" s="1114"/>
      <c r="ICQ4" s="1114"/>
      <c r="ICR4" s="1114"/>
      <c r="ICS4" s="1114"/>
      <c r="ICT4" s="1114"/>
      <c r="ICU4" s="1114"/>
      <c r="ICV4" s="1114"/>
      <c r="ICW4" s="1114"/>
      <c r="ICX4" s="1114"/>
      <c r="ICY4" s="1114"/>
      <c r="ICZ4" s="1114"/>
      <c r="IDA4" s="1114"/>
      <c r="IDB4" s="1114"/>
      <c r="IDC4" s="1114"/>
      <c r="IDD4" s="1114"/>
      <c r="IDE4" s="1114"/>
      <c r="IDF4" s="1114"/>
      <c r="IDG4" s="1114"/>
      <c r="IDH4" s="1114"/>
      <c r="IDI4" s="1114"/>
      <c r="IDJ4" s="1114"/>
      <c r="IDK4" s="1114"/>
      <c r="IDL4" s="1114"/>
      <c r="IDM4" s="1114"/>
      <c r="IDN4" s="1114"/>
      <c r="IDO4" s="1114"/>
      <c r="IDP4" s="1114"/>
      <c r="IDQ4" s="1114"/>
      <c r="IDR4" s="1114"/>
      <c r="IDS4" s="1114"/>
      <c r="IDT4" s="1114"/>
      <c r="IDU4" s="1114"/>
      <c r="IDV4" s="1114"/>
      <c r="IDW4" s="1114"/>
      <c r="IDX4" s="1114"/>
      <c r="IDY4" s="1114"/>
      <c r="IDZ4" s="1114"/>
      <c r="IEA4" s="1114"/>
      <c r="IEB4" s="1114"/>
      <c r="IEC4" s="1114"/>
      <c r="IED4" s="1114"/>
      <c r="IEE4" s="1114"/>
      <c r="IEF4" s="1114"/>
      <c r="IEG4" s="1114"/>
      <c r="IEH4" s="1114"/>
      <c r="IEI4" s="1114"/>
      <c r="IEJ4" s="1114"/>
      <c r="IEK4" s="1114"/>
      <c r="IEL4" s="1114"/>
      <c r="IEM4" s="1114"/>
      <c r="IEN4" s="1114"/>
      <c r="IEO4" s="1114"/>
      <c r="IEP4" s="1114"/>
      <c r="IEQ4" s="1114"/>
      <c r="IER4" s="1114"/>
      <c r="IES4" s="1114"/>
      <c r="IET4" s="1114"/>
      <c r="IEU4" s="1114"/>
      <c r="IEV4" s="1114"/>
      <c r="IEW4" s="1114"/>
      <c r="IEX4" s="1114"/>
      <c r="IEY4" s="1114"/>
      <c r="IEZ4" s="1114"/>
      <c r="IFA4" s="1114"/>
      <c r="IFB4" s="1114"/>
      <c r="IFC4" s="1114"/>
      <c r="IFD4" s="1114"/>
      <c r="IFE4" s="1114"/>
      <c r="IFF4" s="1114"/>
      <c r="IFG4" s="1114"/>
      <c r="IFH4" s="1114"/>
      <c r="IFI4" s="1114"/>
      <c r="IFJ4" s="1114"/>
      <c r="IFK4" s="1114"/>
      <c r="IFL4" s="1114"/>
      <c r="IFM4" s="1114"/>
      <c r="IFN4" s="1114"/>
      <c r="IFO4" s="1114"/>
      <c r="IFP4" s="1114"/>
      <c r="IFQ4" s="1114"/>
      <c r="IFR4" s="1114"/>
      <c r="IFS4" s="1114"/>
      <c r="IFT4" s="1114"/>
      <c r="IFU4" s="1114"/>
      <c r="IFV4" s="1114"/>
      <c r="IFW4" s="1114"/>
      <c r="IFX4" s="1114"/>
      <c r="IFY4" s="1114"/>
      <c r="IFZ4" s="1114"/>
      <c r="IGA4" s="1114"/>
      <c r="IGB4" s="1114"/>
      <c r="IGC4" s="1114"/>
      <c r="IGD4" s="1114"/>
      <c r="IGE4" s="1114"/>
      <c r="IGF4" s="1114"/>
      <c r="IGG4" s="1114"/>
      <c r="IGH4" s="1114"/>
      <c r="IGI4" s="1114"/>
      <c r="IGJ4" s="1114"/>
      <c r="IGK4" s="1114"/>
      <c r="IGL4" s="1114"/>
      <c r="IGM4" s="1114"/>
      <c r="IGN4" s="1114"/>
      <c r="IGO4" s="1114"/>
      <c r="IGP4" s="1114"/>
      <c r="IGQ4" s="1114"/>
      <c r="IGR4" s="1114"/>
      <c r="IGS4" s="1114"/>
      <c r="IGT4" s="1114"/>
      <c r="IGU4" s="1114"/>
      <c r="IGV4" s="1114"/>
      <c r="IGW4" s="1114"/>
      <c r="IGX4" s="1114"/>
      <c r="IGY4" s="1114"/>
      <c r="IGZ4" s="1114"/>
      <c r="IHA4" s="1114"/>
      <c r="IHB4" s="1114"/>
      <c r="IHC4" s="1114"/>
      <c r="IHD4" s="1114"/>
      <c r="IHE4" s="1114"/>
      <c r="IHF4" s="1114"/>
      <c r="IHG4" s="1114"/>
      <c r="IHH4" s="1114"/>
      <c r="IHI4" s="1114"/>
      <c r="IHJ4" s="1114"/>
      <c r="IHK4" s="1114"/>
      <c r="IHL4" s="1114"/>
      <c r="IHM4" s="1114"/>
      <c r="IHN4" s="1114"/>
      <c r="IHO4" s="1114"/>
      <c r="IHP4" s="1114"/>
      <c r="IHQ4" s="1114"/>
      <c r="IHR4" s="1114"/>
      <c r="IHS4" s="1114"/>
      <c r="IHT4" s="1114"/>
      <c r="IHU4" s="1114"/>
      <c r="IHV4" s="1114"/>
      <c r="IHW4" s="1114"/>
      <c r="IHX4" s="1114"/>
      <c r="IHY4" s="1114"/>
      <c r="IHZ4" s="1114"/>
      <c r="IIA4" s="1114"/>
      <c r="IIB4" s="1114"/>
      <c r="IIC4" s="1114"/>
      <c r="IID4" s="1114"/>
      <c r="IIE4" s="1114"/>
      <c r="IIF4" s="1114"/>
      <c r="IIG4" s="1114"/>
      <c r="IIH4" s="1114"/>
      <c r="III4" s="1114"/>
      <c r="IIJ4" s="1114"/>
      <c r="IIK4" s="1114"/>
      <c r="IIL4" s="1114"/>
      <c r="IIM4" s="1114"/>
      <c r="IIN4" s="1114"/>
      <c r="IIO4" s="1114"/>
      <c r="IIP4" s="1114"/>
      <c r="IIQ4" s="1114"/>
      <c r="IIR4" s="1114"/>
      <c r="IIS4" s="1114"/>
      <c r="IIT4" s="1114"/>
      <c r="IIU4" s="1114"/>
      <c r="IIV4" s="1114"/>
      <c r="IIW4" s="1114"/>
      <c r="IIX4" s="1114"/>
      <c r="IIY4" s="1114"/>
      <c r="IIZ4" s="1114"/>
      <c r="IJA4" s="1114"/>
      <c r="IJB4" s="1114"/>
      <c r="IJC4" s="1114"/>
      <c r="IJD4" s="1114"/>
      <c r="IJE4" s="1114"/>
      <c r="IJF4" s="1114"/>
      <c r="IJG4" s="1114"/>
      <c r="IJH4" s="1114"/>
      <c r="IJI4" s="1114"/>
      <c r="IJJ4" s="1114"/>
      <c r="IJK4" s="1114"/>
      <c r="IJL4" s="1114"/>
      <c r="IJM4" s="1114"/>
      <c r="IJN4" s="1114"/>
      <c r="IJO4" s="1114"/>
      <c r="IJP4" s="1114"/>
      <c r="IJQ4" s="1114"/>
      <c r="IJR4" s="1114"/>
      <c r="IJS4" s="1114"/>
      <c r="IJT4" s="1114"/>
      <c r="IJU4" s="1114"/>
      <c r="IJV4" s="1114"/>
      <c r="IJW4" s="1114"/>
      <c r="IJX4" s="1114"/>
      <c r="IJY4" s="1114"/>
      <c r="IJZ4" s="1114"/>
      <c r="IKA4" s="1114"/>
      <c r="IKB4" s="1114"/>
      <c r="IKC4" s="1114"/>
      <c r="IKD4" s="1114"/>
      <c r="IKE4" s="1114"/>
      <c r="IKF4" s="1114"/>
      <c r="IKG4" s="1114"/>
      <c r="IKH4" s="1114"/>
      <c r="IKI4" s="1114"/>
      <c r="IKJ4" s="1114"/>
      <c r="IKK4" s="1114"/>
      <c r="IKL4" s="1114"/>
      <c r="IKM4" s="1114"/>
      <c r="IKN4" s="1114"/>
      <c r="IKO4" s="1114"/>
      <c r="IKP4" s="1114"/>
      <c r="IKQ4" s="1114"/>
      <c r="IKR4" s="1114"/>
      <c r="IKS4" s="1114"/>
      <c r="IKT4" s="1114"/>
      <c r="IKU4" s="1114"/>
      <c r="IKV4" s="1114"/>
      <c r="IKW4" s="1114"/>
      <c r="IKX4" s="1114"/>
      <c r="IKY4" s="1114"/>
      <c r="IKZ4" s="1114"/>
      <c r="ILA4" s="1114"/>
      <c r="ILB4" s="1114"/>
      <c r="ILC4" s="1114"/>
      <c r="ILD4" s="1114"/>
      <c r="ILE4" s="1114"/>
      <c r="ILF4" s="1114"/>
      <c r="ILG4" s="1114"/>
      <c r="ILH4" s="1114"/>
      <c r="ILI4" s="1114"/>
      <c r="ILJ4" s="1114"/>
      <c r="ILK4" s="1114"/>
      <c r="ILL4" s="1114"/>
      <c r="ILM4" s="1114"/>
      <c r="ILN4" s="1114"/>
      <c r="ILO4" s="1114"/>
      <c r="ILP4" s="1114"/>
      <c r="ILQ4" s="1114"/>
      <c r="ILR4" s="1114"/>
      <c r="ILS4" s="1114"/>
      <c r="ILT4" s="1114"/>
      <c r="ILU4" s="1114"/>
      <c r="ILV4" s="1114"/>
      <c r="ILW4" s="1114"/>
      <c r="ILX4" s="1114"/>
      <c r="ILY4" s="1114"/>
      <c r="ILZ4" s="1114"/>
      <c r="IMA4" s="1114"/>
      <c r="IMB4" s="1114"/>
      <c r="IMC4" s="1114"/>
      <c r="IMD4" s="1114"/>
      <c r="IME4" s="1114"/>
      <c r="IMF4" s="1114"/>
      <c r="IMG4" s="1114"/>
      <c r="IMH4" s="1114"/>
      <c r="IMI4" s="1114"/>
      <c r="IMJ4" s="1114"/>
      <c r="IMK4" s="1114"/>
      <c r="IML4" s="1114"/>
      <c r="IMM4" s="1114"/>
      <c r="IMN4" s="1114"/>
      <c r="IMO4" s="1114"/>
      <c r="IMP4" s="1114"/>
      <c r="IMQ4" s="1114"/>
      <c r="IMR4" s="1114"/>
      <c r="IMS4" s="1114"/>
      <c r="IMT4" s="1114"/>
      <c r="IMU4" s="1114"/>
      <c r="IMV4" s="1114"/>
      <c r="IMW4" s="1114"/>
      <c r="IMX4" s="1114"/>
      <c r="IMY4" s="1114"/>
      <c r="IMZ4" s="1114"/>
      <c r="INA4" s="1114"/>
      <c r="INB4" s="1114"/>
      <c r="INC4" s="1114"/>
      <c r="IND4" s="1114"/>
      <c r="INE4" s="1114"/>
      <c r="INF4" s="1114"/>
      <c r="ING4" s="1114"/>
      <c r="INH4" s="1114"/>
      <c r="INI4" s="1114"/>
      <c r="INJ4" s="1114"/>
      <c r="INK4" s="1114"/>
      <c r="INL4" s="1114"/>
      <c r="INM4" s="1114"/>
      <c r="INN4" s="1114"/>
      <c r="INO4" s="1114"/>
      <c r="INP4" s="1114"/>
      <c r="INQ4" s="1114"/>
      <c r="INR4" s="1114"/>
      <c r="INS4" s="1114"/>
      <c r="INT4" s="1114"/>
      <c r="INU4" s="1114"/>
      <c r="INV4" s="1114"/>
      <c r="INW4" s="1114"/>
      <c r="INX4" s="1114"/>
      <c r="INY4" s="1114"/>
      <c r="INZ4" s="1114"/>
      <c r="IOA4" s="1114"/>
      <c r="IOB4" s="1114"/>
      <c r="IOC4" s="1114"/>
      <c r="IOD4" s="1114"/>
      <c r="IOE4" s="1114"/>
      <c r="IOF4" s="1114"/>
      <c r="IOG4" s="1114"/>
      <c r="IOH4" s="1114"/>
      <c r="IOI4" s="1114"/>
      <c r="IOJ4" s="1114"/>
      <c r="IOK4" s="1114"/>
      <c r="IOL4" s="1114"/>
      <c r="IOM4" s="1114"/>
      <c r="ION4" s="1114"/>
      <c r="IOO4" s="1114"/>
      <c r="IOP4" s="1114"/>
      <c r="IOQ4" s="1114"/>
      <c r="IOR4" s="1114"/>
      <c r="IOS4" s="1114"/>
      <c r="IOT4" s="1114"/>
      <c r="IOU4" s="1114"/>
      <c r="IOV4" s="1114"/>
      <c r="IOW4" s="1114"/>
      <c r="IOX4" s="1114"/>
      <c r="IOY4" s="1114"/>
      <c r="IOZ4" s="1114"/>
      <c r="IPA4" s="1114"/>
      <c r="IPB4" s="1114"/>
      <c r="IPC4" s="1114"/>
      <c r="IPD4" s="1114"/>
      <c r="IPE4" s="1114"/>
      <c r="IPF4" s="1114"/>
      <c r="IPG4" s="1114"/>
      <c r="IPH4" s="1114"/>
      <c r="IPI4" s="1114"/>
      <c r="IPJ4" s="1114"/>
      <c r="IPK4" s="1114"/>
      <c r="IPL4" s="1114"/>
      <c r="IPM4" s="1114"/>
      <c r="IPN4" s="1114"/>
      <c r="IPO4" s="1114"/>
      <c r="IPP4" s="1114"/>
      <c r="IPQ4" s="1114"/>
      <c r="IPR4" s="1114"/>
      <c r="IPS4" s="1114"/>
      <c r="IPT4" s="1114"/>
      <c r="IPU4" s="1114"/>
      <c r="IPV4" s="1114"/>
      <c r="IPW4" s="1114"/>
      <c r="IPX4" s="1114"/>
      <c r="IPY4" s="1114"/>
      <c r="IPZ4" s="1114"/>
      <c r="IQA4" s="1114"/>
      <c r="IQB4" s="1114"/>
      <c r="IQC4" s="1114"/>
      <c r="IQD4" s="1114"/>
      <c r="IQE4" s="1114"/>
      <c r="IQF4" s="1114"/>
      <c r="IQG4" s="1114"/>
      <c r="IQH4" s="1114"/>
      <c r="IQI4" s="1114"/>
      <c r="IQJ4" s="1114"/>
      <c r="IQK4" s="1114"/>
      <c r="IQL4" s="1114"/>
      <c r="IQM4" s="1114"/>
      <c r="IQN4" s="1114"/>
      <c r="IQO4" s="1114"/>
      <c r="IQP4" s="1114"/>
      <c r="IQQ4" s="1114"/>
      <c r="IQR4" s="1114"/>
      <c r="IQS4" s="1114"/>
      <c r="IQT4" s="1114"/>
      <c r="IQU4" s="1114"/>
      <c r="IQV4" s="1114"/>
      <c r="IQW4" s="1114"/>
      <c r="IQX4" s="1114"/>
      <c r="IQY4" s="1114"/>
      <c r="IQZ4" s="1114"/>
      <c r="IRA4" s="1114"/>
      <c r="IRB4" s="1114"/>
      <c r="IRC4" s="1114"/>
      <c r="IRD4" s="1114"/>
      <c r="IRE4" s="1114"/>
      <c r="IRF4" s="1114"/>
      <c r="IRG4" s="1114"/>
      <c r="IRH4" s="1114"/>
      <c r="IRI4" s="1114"/>
      <c r="IRJ4" s="1114"/>
      <c r="IRK4" s="1114"/>
      <c r="IRL4" s="1114"/>
      <c r="IRM4" s="1114"/>
      <c r="IRN4" s="1114"/>
      <c r="IRO4" s="1114"/>
      <c r="IRP4" s="1114"/>
      <c r="IRQ4" s="1114"/>
      <c r="IRR4" s="1114"/>
      <c r="IRS4" s="1114"/>
      <c r="IRT4" s="1114"/>
      <c r="IRU4" s="1114"/>
      <c r="IRV4" s="1114"/>
      <c r="IRW4" s="1114"/>
      <c r="IRX4" s="1114"/>
      <c r="IRY4" s="1114"/>
      <c r="IRZ4" s="1114"/>
      <c r="ISA4" s="1114"/>
      <c r="ISB4" s="1114"/>
      <c r="ISC4" s="1114"/>
      <c r="ISD4" s="1114"/>
      <c r="ISE4" s="1114"/>
      <c r="ISF4" s="1114"/>
      <c r="ISG4" s="1114"/>
      <c r="ISH4" s="1114"/>
      <c r="ISI4" s="1114"/>
      <c r="ISJ4" s="1114"/>
      <c r="ISK4" s="1114"/>
      <c r="ISL4" s="1114"/>
      <c r="ISM4" s="1114"/>
      <c r="ISN4" s="1114"/>
      <c r="ISO4" s="1114"/>
      <c r="ISP4" s="1114"/>
      <c r="ISQ4" s="1114"/>
      <c r="ISR4" s="1114"/>
      <c r="ISS4" s="1114"/>
      <c r="IST4" s="1114"/>
      <c r="ISU4" s="1114"/>
      <c r="ISV4" s="1114"/>
      <c r="ISW4" s="1114"/>
      <c r="ISX4" s="1114"/>
      <c r="ISY4" s="1114"/>
      <c r="ISZ4" s="1114"/>
      <c r="ITA4" s="1114"/>
      <c r="ITB4" s="1114"/>
      <c r="ITC4" s="1114"/>
      <c r="ITD4" s="1114"/>
      <c r="ITE4" s="1114"/>
      <c r="ITF4" s="1114"/>
      <c r="ITG4" s="1114"/>
      <c r="ITH4" s="1114"/>
      <c r="ITI4" s="1114"/>
      <c r="ITJ4" s="1114"/>
      <c r="ITK4" s="1114"/>
      <c r="ITL4" s="1114"/>
      <c r="ITM4" s="1114"/>
      <c r="ITN4" s="1114"/>
      <c r="ITO4" s="1114"/>
      <c r="ITP4" s="1114"/>
      <c r="ITQ4" s="1114"/>
      <c r="ITR4" s="1114"/>
      <c r="ITS4" s="1114"/>
      <c r="ITT4" s="1114"/>
      <c r="ITU4" s="1114"/>
      <c r="ITV4" s="1114"/>
      <c r="ITW4" s="1114"/>
      <c r="ITX4" s="1114"/>
      <c r="ITY4" s="1114"/>
      <c r="ITZ4" s="1114"/>
      <c r="IUA4" s="1114"/>
      <c r="IUB4" s="1114"/>
      <c r="IUC4" s="1114"/>
      <c r="IUD4" s="1114"/>
      <c r="IUE4" s="1114"/>
      <c r="IUF4" s="1114"/>
      <c r="IUG4" s="1114"/>
      <c r="IUH4" s="1114"/>
      <c r="IUI4" s="1114"/>
      <c r="IUJ4" s="1114"/>
      <c r="IUK4" s="1114"/>
      <c r="IUL4" s="1114"/>
      <c r="IUM4" s="1114"/>
      <c r="IUN4" s="1114"/>
      <c r="IUO4" s="1114"/>
      <c r="IUP4" s="1114"/>
      <c r="IUQ4" s="1114"/>
      <c r="IUR4" s="1114"/>
      <c r="IUS4" s="1114"/>
      <c r="IUT4" s="1114"/>
      <c r="IUU4" s="1114"/>
      <c r="IUV4" s="1114"/>
      <c r="IUW4" s="1114"/>
      <c r="IUX4" s="1114"/>
      <c r="IUY4" s="1114"/>
      <c r="IUZ4" s="1114"/>
      <c r="IVA4" s="1114"/>
      <c r="IVB4" s="1114"/>
      <c r="IVC4" s="1114"/>
      <c r="IVD4" s="1114"/>
      <c r="IVE4" s="1114"/>
      <c r="IVF4" s="1114"/>
      <c r="IVG4" s="1114"/>
      <c r="IVH4" s="1114"/>
      <c r="IVI4" s="1114"/>
      <c r="IVJ4" s="1114"/>
      <c r="IVK4" s="1114"/>
      <c r="IVL4" s="1114"/>
      <c r="IVM4" s="1114"/>
      <c r="IVN4" s="1114"/>
      <c r="IVO4" s="1114"/>
      <c r="IVP4" s="1114"/>
      <c r="IVQ4" s="1114"/>
      <c r="IVR4" s="1114"/>
      <c r="IVS4" s="1114"/>
      <c r="IVT4" s="1114"/>
      <c r="IVU4" s="1114"/>
      <c r="IVV4" s="1114"/>
      <c r="IVW4" s="1114"/>
      <c r="IVX4" s="1114"/>
      <c r="IVY4" s="1114"/>
      <c r="IVZ4" s="1114"/>
      <c r="IWA4" s="1114"/>
      <c r="IWB4" s="1114"/>
      <c r="IWC4" s="1114"/>
      <c r="IWD4" s="1114"/>
      <c r="IWE4" s="1114"/>
      <c r="IWF4" s="1114"/>
      <c r="IWG4" s="1114"/>
      <c r="IWH4" s="1114"/>
      <c r="IWI4" s="1114"/>
      <c r="IWJ4" s="1114"/>
      <c r="IWK4" s="1114"/>
      <c r="IWL4" s="1114"/>
      <c r="IWM4" s="1114"/>
      <c r="IWN4" s="1114"/>
      <c r="IWO4" s="1114"/>
      <c r="IWP4" s="1114"/>
      <c r="IWQ4" s="1114"/>
      <c r="IWR4" s="1114"/>
      <c r="IWS4" s="1114"/>
      <c r="IWT4" s="1114"/>
      <c r="IWU4" s="1114"/>
      <c r="IWV4" s="1114"/>
      <c r="IWW4" s="1114"/>
      <c r="IWX4" s="1114"/>
      <c r="IWY4" s="1114"/>
      <c r="IWZ4" s="1114"/>
      <c r="IXA4" s="1114"/>
      <c r="IXB4" s="1114"/>
      <c r="IXC4" s="1114"/>
      <c r="IXD4" s="1114"/>
      <c r="IXE4" s="1114"/>
      <c r="IXF4" s="1114"/>
      <c r="IXG4" s="1114"/>
      <c r="IXH4" s="1114"/>
      <c r="IXI4" s="1114"/>
      <c r="IXJ4" s="1114"/>
      <c r="IXK4" s="1114"/>
      <c r="IXL4" s="1114"/>
      <c r="IXM4" s="1114"/>
      <c r="IXN4" s="1114"/>
      <c r="IXO4" s="1114"/>
      <c r="IXP4" s="1114"/>
      <c r="IXQ4" s="1114"/>
      <c r="IXR4" s="1114"/>
      <c r="IXS4" s="1114"/>
      <c r="IXT4" s="1114"/>
      <c r="IXU4" s="1114"/>
      <c r="IXV4" s="1114"/>
      <c r="IXW4" s="1114"/>
      <c r="IXX4" s="1114"/>
      <c r="IXY4" s="1114"/>
      <c r="IXZ4" s="1114"/>
      <c r="IYA4" s="1114"/>
      <c r="IYB4" s="1114"/>
      <c r="IYC4" s="1114"/>
      <c r="IYD4" s="1114"/>
      <c r="IYE4" s="1114"/>
      <c r="IYF4" s="1114"/>
      <c r="IYG4" s="1114"/>
      <c r="IYH4" s="1114"/>
      <c r="IYI4" s="1114"/>
      <c r="IYJ4" s="1114"/>
      <c r="IYK4" s="1114"/>
      <c r="IYL4" s="1114"/>
      <c r="IYM4" s="1114"/>
      <c r="IYN4" s="1114"/>
      <c r="IYO4" s="1114"/>
      <c r="IYP4" s="1114"/>
      <c r="IYQ4" s="1114"/>
      <c r="IYR4" s="1114"/>
      <c r="IYS4" s="1114"/>
      <c r="IYT4" s="1114"/>
      <c r="IYU4" s="1114"/>
      <c r="IYV4" s="1114"/>
      <c r="IYW4" s="1114"/>
      <c r="IYX4" s="1114"/>
      <c r="IYY4" s="1114"/>
      <c r="IYZ4" s="1114"/>
      <c r="IZA4" s="1114"/>
      <c r="IZB4" s="1114"/>
      <c r="IZC4" s="1114"/>
      <c r="IZD4" s="1114"/>
      <c r="IZE4" s="1114"/>
      <c r="IZF4" s="1114"/>
      <c r="IZG4" s="1114"/>
      <c r="IZH4" s="1114"/>
      <c r="IZI4" s="1114"/>
      <c r="IZJ4" s="1114"/>
      <c r="IZK4" s="1114"/>
      <c r="IZL4" s="1114"/>
      <c r="IZM4" s="1114"/>
      <c r="IZN4" s="1114"/>
      <c r="IZO4" s="1114"/>
      <c r="IZP4" s="1114"/>
      <c r="IZQ4" s="1114"/>
      <c r="IZR4" s="1114"/>
      <c r="IZS4" s="1114"/>
      <c r="IZT4" s="1114"/>
      <c r="IZU4" s="1114"/>
      <c r="IZV4" s="1114"/>
      <c r="IZW4" s="1114"/>
      <c r="IZX4" s="1114"/>
      <c r="IZY4" s="1114"/>
      <c r="IZZ4" s="1114"/>
      <c r="JAA4" s="1114"/>
      <c r="JAB4" s="1114"/>
      <c r="JAC4" s="1114"/>
      <c r="JAD4" s="1114"/>
      <c r="JAE4" s="1114"/>
      <c r="JAF4" s="1114"/>
      <c r="JAG4" s="1114"/>
      <c r="JAH4" s="1114"/>
      <c r="JAI4" s="1114"/>
      <c r="JAJ4" s="1114"/>
      <c r="JAK4" s="1114"/>
      <c r="JAL4" s="1114"/>
      <c r="JAM4" s="1114"/>
      <c r="JAN4" s="1114"/>
      <c r="JAO4" s="1114"/>
      <c r="JAP4" s="1114"/>
      <c r="JAQ4" s="1114"/>
      <c r="JAR4" s="1114"/>
      <c r="JAS4" s="1114"/>
      <c r="JAT4" s="1114"/>
      <c r="JAU4" s="1114"/>
      <c r="JAV4" s="1114"/>
      <c r="JAW4" s="1114"/>
      <c r="JAX4" s="1114"/>
      <c r="JAY4" s="1114"/>
      <c r="JAZ4" s="1114"/>
      <c r="JBA4" s="1114"/>
      <c r="JBB4" s="1114"/>
      <c r="JBC4" s="1114"/>
      <c r="JBD4" s="1114"/>
      <c r="JBE4" s="1114"/>
      <c r="JBF4" s="1114"/>
      <c r="JBG4" s="1114"/>
      <c r="JBH4" s="1114"/>
      <c r="JBI4" s="1114"/>
      <c r="JBJ4" s="1114"/>
      <c r="JBK4" s="1114"/>
      <c r="JBL4" s="1114"/>
      <c r="JBM4" s="1114"/>
      <c r="JBN4" s="1114"/>
      <c r="JBO4" s="1114"/>
      <c r="JBP4" s="1114"/>
      <c r="JBQ4" s="1114"/>
      <c r="JBR4" s="1114"/>
      <c r="JBS4" s="1114"/>
      <c r="JBT4" s="1114"/>
      <c r="JBU4" s="1114"/>
      <c r="JBV4" s="1114"/>
      <c r="JBW4" s="1114"/>
      <c r="JBX4" s="1114"/>
      <c r="JBY4" s="1114"/>
      <c r="JBZ4" s="1114"/>
      <c r="JCA4" s="1114"/>
      <c r="JCB4" s="1114"/>
      <c r="JCC4" s="1114"/>
      <c r="JCD4" s="1114"/>
      <c r="JCE4" s="1114"/>
      <c r="JCF4" s="1114"/>
      <c r="JCG4" s="1114"/>
      <c r="JCH4" s="1114"/>
      <c r="JCI4" s="1114"/>
      <c r="JCJ4" s="1114"/>
      <c r="JCK4" s="1114"/>
      <c r="JCL4" s="1114"/>
      <c r="JCM4" s="1114"/>
      <c r="JCN4" s="1114"/>
      <c r="JCO4" s="1114"/>
      <c r="JCP4" s="1114"/>
      <c r="JCQ4" s="1114"/>
      <c r="JCR4" s="1114"/>
      <c r="JCS4" s="1114"/>
      <c r="JCT4" s="1114"/>
      <c r="JCU4" s="1114"/>
      <c r="JCV4" s="1114"/>
      <c r="JCW4" s="1114"/>
      <c r="JCX4" s="1114"/>
      <c r="JCY4" s="1114"/>
      <c r="JCZ4" s="1114"/>
      <c r="JDA4" s="1114"/>
      <c r="JDB4" s="1114"/>
      <c r="JDC4" s="1114"/>
      <c r="JDD4" s="1114"/>
      <c r="JDE4" s="1114"/>
      <c r="JDF4" s="1114"/>
      <c r="JDG4" s="1114"/>
      <c r="JDH4" s="1114"/>
      <c r="JDI4" s="1114"/>
      <c r="JDJ4" s="1114"/>
      <c r="JDK4" s="1114"/>
      <c r="JDL4" s="1114"/>
      <c r="JDM4" s="1114"/>
      <c r="JDN4" s="1114"/>
      <c r="JDO4" s="1114"/>
      <c r="JDP4" s="1114"/>
      <c r="JDQ4" s="1114"/>
      <c r="JDR4" s="1114"/>
      <c r="JDS4" s="1114"/>
      <c r="JDT4" s="1114"/>
      <c r="JDU4" s="1114"/>
      <c r="JDV4" s="1114"/>
      <c r="JDW4" s="1114"/>
      <c r="JDX4" s="1114"/>
      <c r="JDY4" s="1114"/>
      <c r="JDZ4" s="1114"/>
      <c r="JEA4" s="1114"/>
      <c r="JEB4" s="1114"/>
      <c r="JEC4" s="1114"/>
      <c r="JED4" s="1114"/>
      <c r="JEE4" s="1114"/>
      <c r="JEF4" s="1114"/>
      <c r="JEG4" s="1114"/>
      <c r="JEH4" s="1114"/>
      <c r="JEI4" s="1114"/>
      <c r="JEJ4" s="1114"/>
      <c r="JEK4" s="1114"/>
      <c r="JEL4" s="1114"/>
      <c r="JEM4" s="1114"/>
      <c r="JEN4" s="1114"/>
      <c r="JEO4" s="1114"/>
      <c r="JEP4" s="1114"/>
      <c r="JEQ4" s="1114"/>
      <c r="JER4" s="1114"/>
      <c r="JES4" s="1114"/>
      <c r="JET4" s="1114"/>
      <c r="JEU4" s="1114"/>
      <c r="JEV4" s="1114"/>
      <c r="JEW4" s="1114"/>
      <c r="JEX4" s="1114"/>
      <c r="JEY4" s="1114"/>
      <c r="JEZ4" s="1114"/>
      <c r="JFA4" s="1114"/>
      <c r="JFB4" s="1114"/>
      <c r="JFC4" s="1114"/>
      <c r="JFD4" s="1114"/>
      <c r="JFE4" s="1114"/>
      <c r="JFF4" s="1114"/>
      <c r="JFG4" s="1114"/>
      <c r="JFH4" s="1114"/>
      <c r="JFI4" s="1114"/>
      <c r="JFJ4" s="1114"/>
      <c r="JFK4" s="1114"/>
      <c r="JFL4" s="1114"/>
      <c r="JFM4" s="1114"/>
      <c r="JFN4" s="1114"/>
      <c r="JFO4" s="1114"/>
      <c r="JFP4" s="1114"/>
      <c r="JFQ4" s="1114"/>
      <c r="JFR4" s="1114"/>
      <c r="JFS4" s="1114"/>
      <c r="JFT4" s="1114"/>
      <c r="JFU4" s="1114"/>
      <c r="JFV4" s="1114"/>
      <c r="JFW4" s="1114"/>
      <c r="JFX4" s="1114"/>
      <c r="JFY4" s="1114"/>
      <c r="JFZ4" s="1114"/>
      <c r="JGA4" s="1114"/>
      <c r="JGB4" s="1114"/>
      <c r="JGC4" s="1114"/>
      <c r="JGD4" s="1114"/>
      <c r="JGE4" s="1114"/>
      <c r="JGF4" s="1114"/>
      <c r="JGG4" s="1114"/>
      <c r="JGH4" s="1114"/>
      <c r="JGI4" s="1114"/>
      <c r="JGJ4" s="1114"/>
      <c r="JGK4" s="1114"/>
      <c r="JGL4" s="1114"/>
      <c r="JGM4" s="1114"/>
      <c r="JGN4" s="1114"/>
      <c r="JGO4" s="1114"/>
      <c r="JGP4" s="1114"/>
      <c r="JGQ4" s="1114"/>
      <c r="JGR4" s="1114"/>
      <c r="JGS4" s="1114"/>
      <c r="JGT4" s="1114"/>
      <c r="JGU4" s="1114"/>
      <c r="JGV4" s="1114"/>
      <c r="JGW4" s="1114"/>
      <c r="JGX4" s="1114"/>
      <c r="JGY4" s="1114"/>
      <c r="JGZ4" s="1114"/>
      <c r="JHA4" s="1114"/>
      <c r="JHB4" s="1114"/>
      <c r="JHC4" s="1114"/>
      <c r="JHD4" s="1114"/>
      <c r="JHE4" s="1114"/>
      <c r="JHF4" s="1114"/>
      <c r="JHG4" s="1114"/>
      <c r="JHH4" s="1114"/>
      <c r="JHI4" s="1114"/>
      <c r="JHJ4" s="1114"/>
      <c r="JHK4" s="1114"/>
      <c r="JHL4" s="1114"/>
      <c r="JHM4" s="1114"/>
      <c r="JHN4" s="1114"/>
      <c r="JHO4" s="1114"/>
      <c r="JHP4" s="1114"/>
      <c r="JHQ4" s="1114"/>
      <c r="JHR4" s="1114"/>
      <c r="JHS4" s="1114"/>
      <c r="JHT4" s="1114"/>
      <c r="JHU4" s="1114"/>
      <c r="JHV4" s="1114"/>
      <c r="JHW4" s="1114"/>
      <c r="JHX4" s="1114"/>
      <c r="JHY4" s="1114"/>
      <c r="JHZ4" s="1114"/>
      <c r="JIA4" s="1114"/>
      <c r="JIB4" s="1114"/>
      <c r="JIC4" s="1114"/>
      <c r="JID4" s="1114"/>
      <c r="JIE4" s="1114"/>
      <c r="JIF4" s="1114"/>
      <c r="JIG4" s="1114"/>
      <c r="JIH4" s="1114"/>
      <c r="JII4" s="1114"/>
      <c r="JIJ4" s="1114"/>
      <c r="JIK4" s="1114"/>
      <c r="JIL4" s="1114"/>
      <c r="JIM4" s="1114"/>
      <c r="JIN4" s="1114"/>
      <c r="JIO4" s="1114"/>
      <c r="JIP4" s="1114"/>
      <c r="JIQ4" s="1114"/>
      <c r="JIR4" s="1114"/>
      <c r="JIS4" s="1114"/>
      <c r="JIT4" s="1114"/>
      <c r="JIU4" s="1114"/>
      <c r="JIV4" s="1114"/>
      <c r="JIW4" s="1114"/>
      <c r="JIX4" s="1114"/>
      <c r="JIY4" s="1114"/>
      <c r="JIZ4" s="1114"/>
      <c r="JJA4" s="1114"/>
      <c r="JJB4" s="1114"/>
      <c r="JJC4" s="1114"/>
      <c r="JJD4" s="1114"/>
      <c r="JJE4" s="1114"/>
      <c r="JJF4" s="1114"/>
      <c r="JJG4" s="1114"/>
      <c r="JJH4" s="1114"/>
      <c r="JJI4" s="1114"/>
      <c r="JJJ4" s="1114"/>
      <c r="JJK4" s="1114"/>
      <c r="JJL4" s="1114"/>
      <c r="JJM4" s="1114"/>
      <c r="JJN4" s="1114"/>
      <c r="JJO4" s="1114"/>
      <c r="JJP4" s="1114"/>
      <c r="JJQ4" s="1114"/>
      <c r="JJR4" s="1114"/>
      <c r="JJS4" s="1114"/>
      <c r="JJT4" s="1114"/>
      <c r="JJU4" s="1114"/>
      <c r="JJV4" s="1114"/>
      <c r="JJW4" s="1114"/>
      <c r="JJX4" s="1114"/>
      <c r="JJY4" s="1114"/>
      <c r="JJZ4" s="1114"/>
      <c r="JKA4" s="1114"/>
      <c r="JKB4" s="1114"/>
      <c r="JKC4" s="1114"/>
      <c r="JKD4" s="1114"/>
      <c r="JKE4" s="1114"/>
      <c r="JKF4" s="1114"/>
      <c r="JKG4" s="1114"/>
      <c r="JKH4" s="1114"/>
      <c r="JKI4" s="1114"/>
      <c r="JKJ4" s="1114"/>
      <c r="JKK4" s="1114"/>
      <c r="JKL4" s="1114"/>
      <c r="JKM4" s="1114"/>
      <c r="JKN4" s="1114"/>
      <c r="JKO4" s="1114"/>
      <c r="JKP4" s="1114"/>
      <c r="JKQ4" s="1114"/>
      <c r="JKR4" s="1114"/>
      <c r="JKS4" s="1114"/>
      <c r="JKT4" s="1114"/>
      <c r="JKU4" s="1114"/>
      <c r="JKV4" s="1114"/>
      <c r="JKW4" s="1114"/>
      <c r="JKX4" s="1114"/>
      <c r="JKY4" s="1114"/>
      <c r="JKZ4" s="1114"/>
      <c r="JLA4" s="1114"/>
      <c r="JLB4" s="1114"/>
      <c r="JLC4" s="1114"/>
      <c r="JLD4" s="1114"/>
      <c r="JLE4" s="1114"/>
      <c r="JLF4" s="1114"/>
      <c r="JLG4" s="1114"/>
      <c r="JLH4" s="1114"/>
      <c r="JLI4" s="1114"/>
      <c r="JLJ4" s="1114"/>
      <c r="JLK4" s="1114"/>
      <c r="JLL4" s="1114"/>
      <c r="JLM4" s="1114"/>
      <c r="JLN4" s="1114"/>
      <c r="JLO4" s="1114"/>
      <c r="JLP4" s="1114"/>
      <c r="JLQ4" s="1114"/>
      <c r="JLR4" s="1114"/>
      <c r="JLS4" s="1114"/>
      <c r="JLT4" s="1114"/>
      <c r="JLU4" s="1114"/>
      <c r="JLV4" s="1114"/>
      <c r="JLW4" s="1114"/>
      <c r="JLX4" s="1114"/>
      <c r="JLY4" s="1114"/>
      <c r="JLZ4" s="1114"/>
      <c r="JMA4" s="1114"/>
      <c r="JMB4" s="1114"/>
      <c r="JMC4" s="1114"/>
      <c r="JMD4" s="1114"/>
      <c r="JME4" s="1114"/>
      <c r="JMF4" s="1114"/>
      <c r="JMG4" s="1114"/>
      <c r="JMH4" s="1114"/>
      <c r="JMI4" s="1114"/>
      <c r="JMJ4" s="1114"/>
      <c r="JMK4" s="1114"/>
      <c r="JML4" s="1114"/>
      <c r="JMM4" s="1114"/>
      <c r="JMN4" s="1114"/>
      <c r="JMO4" s="1114"/>
      <c r="JMP4" s="1114"/>
      <c r="JMQ4" s="1114"/>
      <c r="JMR4" s="1114"/>
      <c r="JMS4" s="1114"/>
      <c r="JMT4" s="1114"/>
      <c r="JMU4" s="1114"/>
      <c r="JMV4" s="1114"/>
      <c r="JMW4" s="1114"/>
      <c r="JMX4" s="1114"/>
      <c r="JMY4" s="1114"/>
      <c r="JMZ4" s="1114"/>
      <c r="JNA4" s="1114"/>
      <c r="JNB4" s="1114"/>
      <c r="JNC4" s="1114"/>
      <c r="JND4" s="1114"/>
      <c r="JNE4" s="1114"/>
      <c r="JNF4" s="1114"/>
      <c r="JNG4" s="1114"/>
      <c r="JNH4" s="1114"/>
      <c r="JNI4" s="1114"/>
      <c r="JNJ4" s="1114"/>
      <c r="JNK4" s="1114"/>
      <c r="JNL4" s="1114"/>
      <c r="JNM4" s="1114"/>
      <c r="JNN4" s="1114"/>
      <c r="JNO4" s="1114"/>
      <c r="JNP4" s="1114"/>
      <c r="JNQ4" s="1114"/>
      <c r="JNR4" s="1114"/>
      <c r="JNS4" s="1114"/>
      <c r="JNT4" s="1114"/>
      <c r="JNU4" s="1114"/>
      <c r="JNV4" s="1114"/>
      <c r="JNW4" s="1114"/>
      <c r="JNX4" s="1114"/>
      <c r="JNY4" s="1114"/>
      <c r="JNZ4" s="1114"/>
      <c r="JOA4" s="1114"/>
      <c r="JOB4" s="1114"/>
      <c r="JOC4" s="1114"/>
      <c r="JOD4" s="1114"/>
      <c r="JOE4" s="1114"/>
      <c r="JOF4" s="1114"/>
      <c r="JOG4" s="1114"/>
      <c r="JOH4" s="1114"/>
      <c r="JOI4" s="1114"/>
      <c r="JOJ4" s="1114"/>
      <c r="JOK4" s="1114"/>
      <c r="JOL4" s="1114"/>
      <c r="JOM4" s="1114"/>
      <c r="JON4" s="1114"/>
      <c r="JOO4" s="1114"/>
      <c r="JOP4" s="1114"/>
      <c r="JOQ4" s="1114"/>
      <c r="JOR4" s="1114"/>
      <c r="JOS4" s="1114"/>
      <c r="JOT4" s="1114"/>
      <c r="JOU4" s="1114"/>
      <c r="JOV4" s="1114"/>
      <c r="JOW4" s="1114"/>
      <c r="JOX4" s="1114"/>
      <c r="JOY4" s="1114"/>
      <c r="JOZ4" s="1114"/>
      <c r="JPA4" s="1114"/>
      <c r="JPB4" s="1114"/>
      <c r="JPC4" s="1114"/>
      <c r="JPD4" s="1114"/>
      <c r="JPE4" s="1114"/>
      <c r="JPF4" s="1114"/>
      <c r="JPG4" s="1114"/>
      <c r="JPH4" s="1114"/>
      <c r="JPI4" s="1114"/>
      <c r="JPJ4" s="1114"/>
      <c r="JPK4" s="1114"/>
      <c r="JPL4" s="1114"/>
      <c r="JPM4" s="1114"/>
      <c r="JPN4" s="1114"/>
      <c r="JPO4" s="1114"/>
      <c r="JPP4" s="1114"/>
      <c r="JPQ4" s="1114"/>
      <c r="JPR4" s="1114"/>
      <c r="JPS4" s="1114"/>
      <c r="JPT4" s="1114"/>
      <c r="JPU4" s="1114"/>
      <c r="JPV4" s="1114"/>
      <c r="JPW4" s="1114"/>
      <c r="JPX4" s="1114"/>
      <c r="JPY4" s="1114"/>
      <c r="JPZ4" s="1114"/>
      <c r="JQA4" s="1114"/>
      <c r="JQB4" s="1114"/>
      <c r="JQC4" s="1114"/>
      <c r="JQD4" s="1114"/>
      <c r="JQE4" s="1114"/>
      <c r="JQF4" s="1114"/>
      <c r="JQG4" s="1114"/>
      <c r="JQH4" s="1114"/>
      <c r="JQI4" s="1114"/>
      <c r="JQJ4" s="1114"/>
      <c r="JQK4" s="1114"/>
      <c r="JQL4" s="1114"/>
      <c r="JQM4" s="1114"/>
      <c r="JQN4" s="1114"/>
      <c r="JQO4" s="1114"/>
      <c r="JQP4" s="1114"/>
      <c r="JQQ4" s="1114"/>
      <c r="JQR4" s="1114"/>
      <c r="JQS4" s="1114"/>
      <c r="JQT4" s="1114"/>
      <c r="JQU4" s="1114"/>
      <c r="JQV4" s="1114"/>
      <c r="JQW4" s="1114"/>
      <c r="JQX4" s="1114"/>
      <c r="JQY4" s="1114"/>
      <c r="JQZ4" s="1114"/>
      <c r="JRA4" s="1114"/>
      <c r="JRB4" s="1114"/>
      <c r="JRC4" s="1114"/>
      <c r="JRD4" s="1114"/>
      <c r="JRE4" s="1114"/>
      <c r="JRF4" s="1114"/>
      <c r="JRG4" s="1114"/>
      <c r="JRH4" s="1114"/>
      <c r="JRI4" s="1114"/>
      <c r="JRJ4" s="1114"/>
      <c r="JRK4" s="1114"/>
      <c r="JRL4" s="1114"/>
      <c r="JRM4" s="1114"/>
      <c r="JRN4" s="1114"/>
      <c r="JRO4" s="1114"/>
      <c r="JRP4" s="1114"/>
      <c r="JRQ4" s="1114"/>
      <c r="JRR4" s="1114"/>
      <c r="JRS4" s="1114"/>
      <c r="JRT4" s="1114"/>
      <c r="JRU4" s="1114"/>
      <c r="JRV4" s="1114"/>
      <c r="JRW4" s="1114"/>
      <c r="JRX4" s="1114"/>
      <c r="JRY4" s="1114"/>
      <c r="JRZ4" s="1114"/>
      <c r="JSA4" s="1114"/>
      <c r="JSB4" s="1114"/>
      <c r="JSC4" s="1114"/>
      <c r="JSD4" s="1114"/>
      <c r="JSE4" s="1114"/>
      <c r="JSF4" s="1114"/>
      <c r="JSG4" s="1114"/>
      <c r="JSH4" s="1114"/>
      <c r="JSI4" s="1114"/>
      <c r="JSJ4" s="1114"/>
      <c r="JSK4" s="1114"/>
      <c r="JSL4" s="1114"/>
      <c r="JSM4" s="1114"/>
      <c r="JSN4" s="1114"/>
      <c r="JSO4" s="1114"/>
      <c r="JSP4" s="1114"/>
      <c r="JSQ4" s="1114"/>
      <c r="JSR4" s="1114"/>
      <c r="JSS4" s="1114"/>
      <c r="JST4" s="1114"/>
      <c r="JSU4" s="1114"/>
      <c r="JSV4" s="1114"/>
      <c r="JSW4" s="1114"/>
      <c r="JSX4" s="1114"/>
      <c r="JSY4" s="1114"/>
      <c r="JSZ4" s="1114"/>
      <c r="JTA4" s="1114"/>
      <c r="JTB4" s="1114"/>
      <c r="JTC4" s="1114"/>
      <c r="JTD4" s="1114"/>
      <c r="JTE4" s="1114"/>
      <c r="JTF4" s="1114"/>
      <c r="JTG4" s="1114"/>
      <c r="JTH4" s="1114"/>
      <c r="JTI4" s="1114"/>
      <c r="JTJ4" s="1114"/>
      <c r="JTK4" s="1114"/>
      <c r="JTL4" s="1114"/>
      <c r="JTM4" s="1114"/>
      <c r="JTN4" s="1114"/>
      <c r="JTO4" s="1114"/>
      <c r="JTP4" s="1114"/>
      <c r="JTQ4" s="1114"/>
      <c r="JTR4" s="1114"/>
      <c r="JTS4" s="1114"/>
      <c r="JTT4" s="1114"/>
      <c r="JTU4" s="1114"/>
      <c r="JTV4" s="1114"/>
      <c r="JTW4" s="1114"/>
      <c r="JTX4" s="1114"/>
      <c r="JTY4" s="1114"/>
      <c r="JTZ4" s="1114"/>
      <c r="JUA4" s="1114"/>
      <c r="JUB4" s="1114"/>
      <c r="JUC4" s="1114"/>
      <c r="JUD4" s="1114"/>
      <c r="JUE4" s="1114"/>
      <c r="JUF4" s="1114"/>
      <c r="JUG4" s="1114"/>
      <c r="JUH4" s="1114"/>
      <c r="JUI4" s="1114"/>
      <c r="JUJ4" s="1114"/>
      <c r="JUK4" s="1114"/>
      <c r="JUL4" s="1114"/>
      <c r="JUM4" s="1114"/>
      <c r="JUN4" s="1114"/>
      <c r="JUO4" s="1114"/>
      <c r="JUP4" s="1114"/>
      <c r="JUQ4" s="1114"/>
      <c r="JUR4" s="1114"/>
      <c r="JUS4" s="1114"/>
      <c r="JUT4" s="1114"/>
      <c r="JUU4" s="1114"/>
      <c r="JUV4" s="1114"/>
      <c r="JUW4" s="1114"/>
      <c r="JUX4" s="1114"/>
      <c r="JUY4" s="1114"/>
      <c r="JUZ4" s="1114"/>
      <c r="JVA4" s="1114"/>
      <c r="JVB4" s="1114"/>
      <c r="JVC4" s="1114"/>
      <c r="JVD4" s="1114"/>
      <c r="JVE4" s="1114"/>
      <c r="JVF4" s="1114"/>
      <c r="JVG4" s="1114"/>
      <c r="JVH4" s="1114"/>
      <c r="JVI4" s="1114"/>
      <c r="JVJ4" s="1114"/>
      <c r="JVK4" s="1114"/>
      <c r="JVL4" s="1114"/>
      <c r="JVM4" s="1114"/>
      <c r="JVN4" s="1114"/>
      <c r="JVO4" s="1114"/>
      <c r="JVP4" s="1114"/>
      <c r="JVQ4" s="1114"/>
      <c r="JVR4" s="1114"/>
      <c r="JVS4" s="1114"/>
      <c r="JVT4" s="1114"/>
      <c r="JVU4" s="1114"/>
      <c r="JVV4" s="1114"/>
      <c r="JVW4" s="1114"/>
      <c r="JVX4" s="1114"/>
      <c r="JVY4" s="1114"/>
      <c r="JVZ4" s="1114"/>
      <c r="JWA4" s="1114"/>
      <c r="JWB4" s="1114"/>
      <c r="JWC4" s="1114"/>
      <c r="JWD4" s="1114"/>
      <c r="JWE4" s="1114"/>
      <c r="JWF4" s="1114"/>
      <c r="JWG4" s="1114"/>
      <c r="JWH4" s="1114"/>
      <c r="JWI4" s="1114"/>
      <c r="JWJ4" s="1114"/>
      <c r="JWK4" s="1114"/>
      <c r="JWL4" s="1114"/>
      <c r="JWM4" s="1114"/>
      <c r="JWN4" s="1114"/>
      <c r="JWO4" s="1114"/>
      <c r="JWP4" s="1114"/>
      <c r="JWQ4" s="1114"/>
      <c r="JWR4" s="1114"/>
      <c r="JWS4" s="1114"/>
      <c r="JWT4" s="1114"/>
      <c r="JWU4" s="1114"/>
      <c r="JWV4" s="1114"/>
      <c r="JWW4" s="1114"/>
      <c r="JWX4" s="1114"/>
      <c r="JWY4" s="1114"/>
      <c r="JWZ4" s="1114"/>
      <c r="JXA4" s="1114"/>
      <c r="JXB4" s="1114"/>
      <c r="JXC4" s="1114"/>
      <c r="JXD4" s="1114"/>
      <c r="JXE4" s="1114"/>
      <c r="JXF4" s="1114"/>
      <c r="JXG4" s="1114"/>
      <c r="JXH4" s="1114"/>
      <c r="JXI4" s="1114"/>
      <c r="JXJ4" s="1114"/>
      <c r="JXK4" s="1114"/>
      <c r="JXL4" s="1114"/>
      <c r="JXM4" s="1114"/>
      <c r="JXN4" s="1114"/>
      <c r="JXO4" s="1114"/>
      <c r="JXP4" s="1114"/>
      <c r="JXQ4" s="1114"/>
      <c r="JXR4" s="1114"/>
      <c r="JXS4" s="1114"/>
      <c r="JXT4" s="1114"/>
      <c r="JXU4" s="1114"/>
      <c r="JXV4" s="1114"/>
      <c r="JXW4" s="1114"/>
      <c r="JXX4" s="1114"/>
      <c r="JXY4" s="1114"/>
      <c r="JXZ4" s="1114"/>
      <c r="JYA4" s="1114"/>
      <c r="JYB4" s="1114"/>
      <c r="JYC4" s="1114"/>
      <c r="JYD4" s="1114"/>
      <c r="JYE4" s="1114"/>
      <c r="JYF4" s="1114"/>
      <c r="JYG4" s="1114"/>
      <c r="JYH4" s="1114"/>
      <c r="JYI4" s="1114"/>
      <c r="JYJ4" s="1114"/>
      <c r="JYK4" s="1114"/>
      <c r="JYL4" s="1114"/>
      <c r="JYM4" s="1114"/>
      <c r="JYN4" s="1114"/>
      <c r="JYO4" s="1114"/>
      <c r="JYP4" s="1114"/>
      <c r="JYQ4" s="1114"/>
      <c r="JYR4" s="1114"/>
      <c r="JYS4" s="1114"/>
      <c r="JYT4" s="1114"/>
      <c r="JYU4" s="1114"/>
      <c r="JYV4" s="1114"/>
      <c r="JYW4" s="1114"/>
      <c r="JYX4" s="1114"/>
      <c r="JYY4" s="1114"/>
      <c r="JYZ4" s="1114"/>
      <c r="JZA4" s="1114"/>
      <c r="JZB4" s="1114"/>
      <c r="JZC4" s="1114"/>
      <c r="JZD4" s="1114"/>
      <c r="JZE4" s="1114"/>
      <c r="JZF4" s="1114"/>
      <c r="JZG4" s="1114"/>
      <c r="JZH4" s="1114"/>
      <c r="JZI4" s="1114"/>
      <c r="JZJ4" s="1114"/>
      <c r="JZK4" s="1114"/>
      <c r="JZL4" s="1114"/>
      <c r="JZM4" s="1114"/>
      <c r="JZN4" s="1114"/>
      <c r="JZO4" s="1114"/>
      <c r="JZP4" s="1114"/>
      <c r="JZQ4" s="1114"/>
      <c r="JZR4" s="1114"/>
      <c r="JZS4" s="1114"/>
      <c r="JZT4" s="1114"/>
      <c r="JZU4" s="1114"/>
      <c r="JZV4" s="1114"/>
      <c r="JZW4" s="1114"/>
      <c r="JZX4" s="1114"/>
      <c r="JZY4" s="1114"/>
      <c r="JZZ4" s="1114"/>
      <c r="KAA4" s="1114"/>
      <c r="KAB4" s="1114"/>
      <c r="KAC4" s="1114"/>
      <c r="KAD4" s="1114"/>
      <c r="KAE4" s="1114"/>
      <c r="KAF4" s="1114"/>
      <c r="KAG4" s="1114"/>
      <c r="KAH4" s="1114"/>
      <c r="KAI4" s="1114"/>
      <c r="KAJ4" s="1114"/>
      <c r="KAK4" s="1114"/>
      <c r="KAL4" s="1114"/>
      <c r="KAM4" s="1114"/>
      <c r="KAN4" s="1114"/>
      <c r="KAO4" s="1114"/>
      <c r="KAP4" s="1114"/>
      <c r="KAQ4" s="1114"/>
      <c r="KAR4" s="1114"/>
      <c r="KAS4" s="1114"/>
      <c r="KAT4" s="1114"/>
      <c r="KAU4" s="1114"/>
      <c r="KAV4" s="1114"/>
      <c r="KAW4" s="1114"/>
      <c r="KAX4" s="1114"/>
      <c r="KAY4" s="1114"/>
      <c r="KAZ4" s="1114"/>
      <c r="KBA4" s="1114"/>
      <c r="KBB4" s="1114"/>
      <c r="KBC4" s="1114"/>
      <c r="KBD4" s="1114"/>
      <c r="KBE4" s="1114"/>
      <c r="KBF4" s="1114"/>
      <c r="KBG4" s="1114"/>
      <c r="KBH4" s="1114"/>
      <c r="KBI4" s="1114"/>
      <c r="KBJ4" s="1114"/>
      <c r="KBK4" s="1114"/>
      <c r="KBL4" s="1114"/>
      <c r="KBM4" s="1114"/>
      <c r="KBN4" s="1114"/>
      <c r="KBO4" s="1114"/>
      <c r="KBP4" s="1114"/>
      <c r="KBQ4" s="1114"/>
      <c r="KBR4" s="1114"/>
      <c r="KBS4" s="1114"/>
      <c r="KBT4" s="1114"/>
      <c r="KBU4" s="1114"/>
      <c r="KBV4" s="1114"/>
      <c r="KBW4" s="1114"/>
      <c r="KBX4" s="1114"/>
      <c r="KBY4" s="1114"/>
      <c r="KBZ4" s="1114"/>
      <c r="KCA4" s="1114"/>
      <c r="KCB4" s="1114"/>
      <c r="KCC4" s="1114"/>
      <c r="KCD4" s="1114"/>
      <c r="KCE4" s="1114"/>
      <c r="KCF4" s="1114"/>
      <c r="KCG4" s="1114"/>
      <c r="KCH4" s="1114"/>
      <c r="KCI4" s="1114"/>
      <c r="KCJ4" s="1114"/>
      <c r="KCK4" s="1114"/>
      <c r="KCL4" s="1114"/>
      <c r="KCM4" s="1114"/>
      <c r="KCN4" s="1114"/>
      <c r="KCO4" s="1114"/>
      <c r="KCP4" s="1114"/>
      <c r="KCQ4" s="1114"/>
      <c r="KCR4" s="1114"/>
      <c r="KCS4" s="1114"/>
      <c r="KCT4" s="1114"/>
      <c r="KCU4" s="1114"/>
      <c r="KCV4" s="1114"/>
      <c r="KCW4" s="1114"/>
      <c r="KCX4" s="1114"/>
      <c r="KCY4" s="1114"/>
      <c r="KCZ4" s="1114"/>
      <c r="KDA4" s="1114"/>
      <c r="KDB4" s="1114"/>
      <c r="KDC4" s="1114"/>
      <c r="KDD4" s="1114"/>
      <c r="KDE4" s="1114"/>
      <c r="KDF4" s="1114"/>
      <c r="KDG4" s="1114"/>
      <c r="KDH4" s="1114"/>
      <c r="KDI4" s="1114"/>
      <c r="KDJ4" s="1114"/>
      <c r="KDK4" s="1114"/>
      <c r="KDL4" s="1114"/>
      <c r="KDM4" s="1114"/>
      <c r="KDN4" s="1114"/>
      <c r="KDO4" s="1114"/>
      <c r="KDP4" s="1114"/>
      <c r="KDQ4" s="1114"/>
      <c r="KDR4" s="1114"/>
      <c r="KDS4" s="1114"/>
      <c r="KDT4" s="1114"/>
      <c r="KDU4" s="1114"/>
      <c r="KDV4" s="1114"/>
      <c r="KDW4" s="1114"/>
      <c r="KDX4" s="1114"/>
      <c r="KDY4" s="1114"/>
      <c r="KDZ4" s="1114"/>
      <c r="KEA4" s="1114"/>
      <c r="KEB4" s="1114"/>
      <c r="KEC4" s="1114"/>
      <c r="KED4" s="1114"/>
      <c r="KEE4" s="1114"/>
      <c r="KEF4" s="1114"/>
      <c r="KEG4" s="1114"/>
      <c r="KEH4" s="1114"/>
      <c r="KEI4" s="1114"/>
      <c r="KEJ4" s="1114"/>
      <c r="KEK4" s="1114"/>
      <c r="KEL4" s="1114"/>
      <c r="KEM4" s="1114"/>
      <c r="KEN4" s="1114"/>
      <c r="KEO4" s="1114"/>
      <c r="KEP4" s="1114"/>
      <c r="KEQ4" s="1114"/>
      <c r="KER4" s="1114"/>
      <c r="KES4" s="1114"/>
      <c r="KET4" s="1114"/>
      <c r="KEU4" s="1114"/>
      <c r="KEV4" s="1114"/>
      <c r="KEW4" s="1114"/>
      <c r="KEX4" s="1114"/>
      <c r="KEY4" s="1114"/>
      <c r="KEZ4" s="1114"/>
      <c r="KFA4" s="1114"/>
      <c r="KFB4" s="1114"/>
      <c r="KFC4" s="1114"/>
      <c r="KFD4" s="1114"/>
      <c r="KFE4" s="1114"/>
      <c r="KFF4" s="1114"/>
      <c r="KFG4" s="1114"/>
      <c r="KFH4" s="1114"/>
      <c r="KFI4" s="1114"/>
      <c r="KFJ4" s="1114"/>
      <c r="KFK4" s="1114"/>
      <c r="KFL4" s="1114"/>
      <c r="KFM4" s="1114"/>
      <c r="KFN4" s="1114"/>
      <c r="KFO4" s="1114"/>
      <c r="KFP4" s="1114"/>
      <c r="KFQ4" s="1114"/>
      <c r="KFR4" s="1114"/>
      <c r="KFS4" s="1114"/>
      <c r="KFT4" s="1114"/>
      <c r="KFU4" s="1114"/>
      <c r="KFV4" s="1114"/>
      <c r="KFW4" s="1114"/>
      <c r="KFX4" s="1114"/>
      <c r="KFY4" s="1114"/>
      <c r="KFZ4" s="1114"/>
      <c r="KGA4" s="1114"/>
      <c r="KGB4" s="1114"/>
      <c r="KGC4" s="1114"/>
      <c r="KGD4" s="1114"/>
      <c r="KGE4" s="1114"/>
      <c r="KGF4" s="1114"/>
      <c r="KGG4" s="1114"/>
      <c r="KGH4" s="1114"/>
      <c r="KGI4" s="1114"/>
      <c r="KGJ4" s="1114"/>
      <c r="KGK4" s="1114"/>
      <c r="KGL4" s="1114"/>
      <c r="KGM4" s="1114"/>
      <c r="KGN4" s="1114"/>
      <c r="KGO4" s="1114"/>
      <c r="KGP4" s="1114"/>
      <c r="KGQ4" s="1114"/>
      <c r="KGR4" s="1114"/>
      <c r="KGS4" s="1114"/>
      <c r="KGT4" s="1114"/>
      <c r="KGU4" s="1114"/>
      <c r="KGV4" s="1114"/>
      <c r="KGW4" s="1114"/>
      <c r="KGX4" s="1114"/>
      <c r="KGY4" s="1114"/>
      <c r="KGZ4" s="1114"/>
      <c r="KHA4" s="1114"/>
      <c r="KHB4" s="1114"/>
      <c r="KHC4" s="1114"/>
      <c r="KHD4" s="1114"/>
      <c r="KHE4" s="1114"/>
      <c r="KHF4" s="1114"/>
      <c r="KHG4" s="1114"/>
      <c r="KHH4" s="1114"/>
      <c r="KHI4" s="1114"/>
      <c r="KHJ4" s="1114"/>
      <c r="KHK4" s="1114"/>
      <c r="KHL4" s="1114"/>
      <c r="KHM4" s="1114"/>
      <c r="KHN4" s="1114"/>
      <c r="KHO4" s="1114"/>
      <c r="KHP4" s="1114"/>
      <c r="KHQ4" s="1114"/>
      <c r="KHR4" s="1114"/>
      <c r="KHS4" s="1114"/>
      <c r="KHT4" s="1114"/>
      <c r="KHU4" s="1114"/>
      <c r="KHV4" s="1114"/>
      <c r="KHW4" s="1114"/>
      <c r="KHX4" s="1114"/>
      <c r="KHY4" s="1114"/>
      <c r="KHZ4" s="1114"/>
      <c r="KIA4" s="1114"/>
      <c r="KIB4" s="1114"/>
      <c r="KIC4" s="1114"/>
      <c r="KID4" s="1114"/>
      <c r="KIE4" s="1114"/>
      <c r="KIF4" s="1114"/>
      <c r="KIG4" s="1114"/>
      <c r="KIH4" s="1114"/>
      <c r="KII4" s="1114"/>
      <c r="KIJ4" s="1114"/>
      <c r="KIK4" s="1114"/>
      <c r="KIL4" s="1114"/>
      <c r="KIM4" s="1114"/>
      <c r="KIN4" s="1114"/>
      <c r="KIO4" s="1114"/>
      <c r="KIP4" s="1114"/>
      <c r="KIQ4" s="1114"/>
      <c r="KIR4" s="1114"/>
      <c r="KIS4" s="1114"/>
      <c r="KIT4" s="1114"/>
      <c r="KIU4" s="1114"/>
      <c r="KIV4" s="1114"/>
      <c r="KIW4" s="1114"/>
      <c r="KIX4" s="1114"/>
      <c r="KIY4" s="1114"/>
      <c r="KIZ4" s="1114"/>
      <c r="KJA4" s="1114"/>
      <c r="KJB4" s="1114"/>
      <c r="KJC4" s="1114"/>
      <c r="KJD4" s="1114"/>
      <c r="KJE4" s="1114"/>
      <c r="KJF4" s="1114"/>
      <c r="KJG4" s="1114"/>
      <c r="KJH4" s="1114"/>
      <c r="KJI4" s="1114"/>
      <c r="KJJ4" s="1114"/>
      <c r="KJK4" s="1114"/>
      <c r="KJL4" s="1114"/>
      <c r="KJM4" s="1114"/>
      <c r="KJN4" s="1114"/>
      <c r="KJO4" s="1114"/>
      <c r="KJP4" s="1114"/>
      <c r="KJQ4" s="1114"/>
      <c r="KJR4" s="1114"/>
      <c r="KJS4" s="1114"/>
      <c r="KJT4" s="1114"/>
      <c r="KJU4" s="1114"/>
      <c r="KJV4" s="1114"/>
      <c r="KJW4" s="1114"/>
      <c r="KJX4" s="1114"/>
      <c r="KJY4" s="1114"/>
      <c r="KJZ4" s="1114"/>
      <c r="KKA4" s="1114"/>
      <c r="KKB4" s="1114"/>
      <c r="KKC4" s="1114"/>
      <c r="KKD4" s="1114"/>
      <c r="KKE4" s="1114"/>
      <c r="KKF4" s="1114"/>
      <c r="KKG4" s="1114"/>
      <c r="KKH4" s="1114"/>
      <c r="KKI4" s="1114"/>
      <c r="KKJ4" s="1114"/>
      <c r="KKK4" s="1114"/>
      <c r="KKL4" s="1114"/>
      <c r="KKM4" s="1114"/>
      <c r="KKN4" s="1114"/>
      <c r="KKO4" s="1114"/>
      <c r="KKP4" s="1114"/>
      <c r="KKQ4" s="1114"/>
      <c r="KKR4" s="1114"/>
      <c r="KKS4" s="1114"/>
      <c r="KKT4" s="1114"/>
      <c r="KKU4" s="1114"/>
      <c r="KKV4" s="1114"/>
      <c r="KKW4" s="1114"/>
      <c r="KKX4" s="1114"/>
      <c r="KKY4" s="1114"/>
      <c r="KKZ4" s="1114"/>
      <c r="KLA4" s="1114"/>
      <c r="KLB4" s="1114"/>
      <c r="KLC4" s="1114"/>
      <c r="KLD4" s="1114"/>
      <c r="KLE4" s="1114"/>
      <c r="KLF4" s="1114"/>
      <c r="KLG4" s="1114"/>
      <c r="KLH4" s="1114"/>
      <c r="KLI4" s="1114"/>
      <c r="KLJ4" s="1114"/>
      <c r="KLK4" s="1114"/>
      <c r="KLL4" s="1114"/>
      <c r="KLM4" s="1114"/>
      <c r="KLN4" s="1114"/>
      <c r="KLO4" s="1114"/>
      <c r="KLP4" s="1114"/>
      <c r="KLQ4" s="1114"/>
      <c r="KLR4" s="1114"/>
      <c r="KLS4" s="1114"/>
      <c r="KLT4" s="1114"/>
      <c r="KLU4" s="1114"/>
      <c r="KLV4" s="1114"/>
      <c r="KLW4" s="1114"/>
      <c r="KLX4" s="1114"/>
      <c r="KLY4" s="1114"/>
      <c r="KLZ4" s="1114"/>
      <c r="KMA4" s="1114"/>
      <c r="KMB4" s="1114"/>
      <c r="KMC4" s="1114"/>
      <c r="KMD4" s="1114"/>
      <c r="KME4" s="1114"/>
      <c r="KMF4" s="1114"/>
      <c r="KMG4" s="1114"/>
      <c r="KMH4" s="1114"/>
      <c r="KMI4" s="1114"/>
      <c r="KMJ4" s="1114"/>
      <c r="KMK4" s="1114"/>
      <c r="KML4" s="1114"/>
      <c r="KMM4" s="1114"/>
      <c r="KMN4" s="1114"/>
      <c r="KMO4" s="1114"/>
      <c r="KMP4" s="1114"/>
      <c r="KMQ4" s="1114"/>
      <c r="KMR4" s="1114"/>
      <c r="KMS4" s="1114"/>
      <c r="KMT4" s="1114"/>
      <c r="KMU4" s="1114"/>
      <c r="KMV4" s="1114"/>
      <c r="KMW4" s="1114"/>
      <c r="KMX4" s="1114"/>
      <c r="KMY4" s="1114"/>
      <c r="KMZ4" s="1114"/>
      <c r="KNA4" s="1114"/>
      <c r="KNB4" s="1114"/>
      <c r="KNC4" s="1114"/>
      <c r="KND4" s="1114"/>
      <c r="KNE4" s="1114"/>
      <c r="KNF4" s="1114"/>
      <c r="KNG4" s="1114"/>
      <c r="KNH4" s="1114"/>
      <c r="KNI4" s="1114"/>
      <c r="KNJ4" s="1114"/>
      <c r="KNK4" s="1114"/>
      <c r="KNL4" s="1114"/>
      <c r="KNM4" s="1114"/>
      <c r="KNN4" s="1114"/>
      <c r="KNO4" s="1114"/>
      <c r="KNP4" s="1114"/>
      <c r="KNQ4" s="1114"/>
      <c r="KNR4" s="1114"/>
      <c r="KNS4" s="1114"/>
      <c r="KNT4" s="1114"/>
      <c r="KNU4" s="1114"/>
      <c r="KNV4" s="1114"/>
      <c r="KNW4" s="1114"/>
      <c r="KNX4" s="1114"/>
      <c r="KNY4" s="1114"/>
      <c r="KNZ4" s="1114"/>
      <c r="KOA4" s="1114"/>
      <c r="KOB4" s="1114"/>
      <c r="KOC4" s="1114"/>
      <c r="KOD4" s="1114"/>
      <c r="KOE4" s="1114"/>
      <c r="KOF4" s="1114"/>
      <c r="KOG4" s="1114"/>
      <c r="KOH4" s="1114"/>
      <c r="KOI4" s="1114"/>
      <c r="KOJ4" s="1114"/>
      <c r="KOK4" s="1114"/>
      <c r="KOL4" s="1114"/>
      <c r="KOM4" s="1114"/>
      <c r="KON4" s="1114"/>
      <c r="KOO4" s="1114"/>
      <c r="KOP4" s="1114"/>
      <c r="KOQ4" s="1114"/>
      <c r="KOR4" s="1114"/>
      <c r="KOS4" s="1114"/>
      <c r="KOT4" s="1114"/>
      <c r="KOU4" s="1114"/>
      <c r="KOV4" s="1114"/>
      <c r="KOW4" s="1114"/>
      <c r="KOX4" s="1114"/>
      <c r="KOY4" s="1114"/>
      <c r="KOZ4" s="1114"/>
      <c r="KPA4" s="1114"/>
      <c r="KPB4" s="1114"/>
      <c r="KPC4" s="1114"/>
      <c r="KPD4" s="1114"/>
      <c r="KPE4" s="1114"/>
      <c r="KPF4" s="1114"/>
      <c r="KPG4" s="1114"/>
      <c r="KPH4" s="1114"/>
      <c r="KPI4" s="1114"/>
      <c r="KPJ4" s="1114"/>
      <c r="KPK4" s="1114"/>
      <c r="KPL4" s="1114"/>
      <c r="KPM4" s="1114"/>
      <c r="KPN4" s="1114"/>
      <c r="KPO4" s="1114"/>
      <c r="KPP4" s="1114"/>
      <c r="KPQ4" s="1114"/>
      <c r="KPR4" s="1114"/>
      <c r="KPS4" s="1114"/>
      <c r="KPT4" s="1114"/>
      <c r="KPU4" s="1114"/>
      <c r="KPV4" s="1114"/>
      <c r="KPW4" s="1114"/>
      <c r="KPX4" s="1114"/>
      <c r="KPY4" s="1114"/>
      <c r="KPZ4" s="1114"/>
      <c r="KQA4" s="1114"/>
      <c r="KQB4" s="1114"/>
      <c r="KQC4" s="1114"/>
      <c r="KQD4" s="1114"/>
      <c r="KQE4" s="1114"/>
      <c r="KQF4" s="1114"/>
      <c r="KQG4" s="1114"/>
      <c r="KQH4" s="1114"/>
      <c r="KQI4" s="1114"/>
      <c r="KQJ4" s="1114"/>
      <c r="KQK4" s="1114"/>
      <c r="KQL4" s="1114"/>
      <c r="KQM4" s="1114"/>
      <c r="KQN4" s="1114"/>
      <c r="KQO4" s="1114"/>
      <c r="KQP4" s="1114"/>
      <c r="KQQ4" s="1114"/>
      <c r="KQR4" s="1114"/>
      <c r="KQS4" s="1114"/>
      <c r="KQT4" s="1114"/>
      <c r="KQU4" s="1114"/>
      <c r="KQV4" s="1114"/>
      <c r="KQW4" s="1114"/>
      <c r="KQX4" s="1114"/>
      <c r="KQY4" s="1114"/>
      <c r="KQZ4" s="1114"/>
      <c r="KRA4" s="1114"/>
      <c r="KRB4" s="1114"/>
      <c r="KRC4" s="1114"/>
      <c r="KRD4" s="1114"/>
      <c r="KRE4" s="1114"/>
      <c r="KRF4" s="1114"/>
      <c r="KRG4" s="1114"/>
      <c r="KRH4" s="1114"/>
      <c r="KRI4" s="1114"/>
      <c r="KRJ4" s="1114"/>
      <c r="KRK4" s="1114"/>
      <c r="KRL4" s="1114"/>
      <c r="KRM4" s="1114"/>
      <c r="KRN4" s="1114"/>
      <c r="KRO4" s="1114"/>
      <c r="KRP4" s="1114"/>
      <c r="KRQ4" s="1114"/>
      <c r="KRR4" s="1114"/>
      <c r="KRS4" s="1114"/>
      <c r="KRT4" s="1114"/>
      <c r="KRU4" s="1114"/>
      <c r="KRV4" s="1114"/>
      <c r="KRW4" s="1114"/>
      <c r="KRX4" s="1114"/>
      <c r="KRY4" s="1114"/>
      <c r="KRZ4" s="1114"/>
      <c r="KSA4" s="1114"/>
      <c r="KSB4" s="1114"/>
      <c r="KSC4" s="1114"/>
      <c r="KSD4" s="1114"/>
      <c r="KSE4" s="1114"/>
      <c r="KSF4" s="1114"/>
      <c r="KSG4" s="1114"/>
      <c r="KSH4" s="1114"/>
      <c r="KSI4" s="1114"/>
      <c r="KSJ4" s="1114"/>
      <c r="KSK4" s="1114"/>
      <c r="KSL4" s="1114"/>
      <c r="KSM4" s="1114"/>
      <c r="KSN4" s="1114"/>
      <c r="KSO4" s="1114"/>
      <c r="KSP4" s="1114"/>
      <c r="KSQ4" s="1114"/>
      <c r="KSR4" s="1114"/>
      <c r="KSS4" s="1114"/>
      <c r="KST4" s="1114"/>
      <c r="KSU4" s="1114"/>
      <c r="KSV4" s="1114"/>
      <c r="KSW4" s="1114"/>
      <c r="KSX4" s="1114"/>
      <c r="KSY4" s="1114"/>
      <c r="KSZ4" s="1114"/>
      <c r="KTA4" s="1114"/>
      <c r="KTB4" s="1114"/>
      <c r="KTC4" s="1114"/>
      <c r="KTD4" s="1114"/>
      <c r="KTE4" s="1114"/>
      <c r="KTF4" s="1114"/>
      <c r="KTG4" s="1114"/>
      <c r="KTH4" s="1114"/>
      <c r="KTI4" s="1114"/>
      <c r="KTJ4" s="1114"/>
      <c r="KTK4" s="1114"/>
      <c r="KTL4" s="1114"/>
      <c r="KTM4" s="1114"/>
      <c r="KTN4" s="1114"/>
      <c r="KTO4" s="1114"/>
      <c r="KTP4" s="1114"/>
      <c r="KTQ4" s="1114"/>
      <c r="KTR4" s="1114"/>
      <c r="KTS4" s="1114"/>
      <c r="KTT4" s="1114"/>
      <c r="KTU4" s="1114"/>
      <c r="KTV4" s="1114"/>
      <c r="KTW4" s="1114"/>
      <c r="KTX4" s="1114"/>
      <c r="KTY4" s="1114"/>
      <c r="KTZ4" s="1114"/>
      <c r="KUA4" s="1114"/>
      <c r="KUB4" s="1114"/>
      <c r="KUC4" s="1114"/>
      <c r="KUD4" s="1114"/>
      <c r="KUE4" s="1114"/>
      <c r="KUF4" s="1114"/>
      <c r="KUG4" s="1114"/>
      <c r="KUH4" s="1114"/>
      <c r="KUI4" s="1114"/>
      <c r="KUJ4" s="1114"/>
      <c r="KUK4" s="1114"/>
      <c r="KUL4" s="1114"/>
      <c r="KUM4" s="1114"/>
      <c r="KUN4" s="1114"/>
      <c r="KUO4" s="1114"/>
      <c r="KUP4" s="1114"/>
      <c r="KUQ4" s="1114"/>
      <c r="KUR4" s="1114"/>
      <c r="KUS4" s="1114"/>
      <c r="KUT4" s="1114"/>
      <c r="KUU4" s="1114"/>
      <c r="KUV4" s="1114"/>
      <c r="KUW4" s="1114"/>
      <c r="KUX4" s="1114"/>
      <c r="KUY4" s="1114"/>
      <c r="KUZ4" s="1114"/>
      <c r="KVA4" s="1114"/>
      <c r="KVB4" s="1114"/>
      <c r="KVC4" s="1114"/>
      <c r="KVD4" s="1114"/>
      <c r="KVE4" s="1114"/>
      <c r="KVF4" s="1114"/>
      <c r="KVG4" s="1114"/>
      <c r="KVH4" s="1114"/>
      <c r="KVI4" s="1114"/>
      <c r="KVJ4" s="1114"/>
      <c r="KVK4" s="1114"/>
      <c r="KVL4" s="1114"/>
      <c r="KVM4" s="1114"/>
      <c r="KVN4" s="1114"/>
      <c r="KVO4" s="1114"/>
      <c r="KVP4" s="1114"/>
      <c r="KVQ4" s="1114"/>
      <c r="KVR4" s="1114"/>
      <c r="KVS4" s="1114"/>
      <c r="KVT4" s="1114"/>
      <c r="KVU4" s="1114"/>
      <c r="KVV4" s="1114"/>
      <c r="KVW4" s="1114"/>
      <c r="KVX4" s="1114"/>
      <c r="KVY4" s="1114"/>
      <c r="KVZ4" s="1114"/>
      <c r="KWA4" s="1114"/>
      <c r="KWB4" s="1114"/>
      <c r="KWC4" s="1114"/>
      <c r="KWD4" s="1114"/>
      <c r="KWE4" s="1114"/>
      <c r="KWF4" s="1114"/>
      <c r="KWG4" s="1114"/>
      <c r="KWH4" s="1114"/>
      <c r="KWI4" s="1114"/>
      <c r="KWJ4" s="1114"/>
      <c r="KWK4" s="1114"/>
      <c r="KWL4" s="1114"/>
      <c r="KWM4" s="1114"/>
      <c r="KWN4" s="1114"/>
      <c r="KWO4" s="1114"/>
      <c r="KWP4" s="1114"/>
      <c r="KWQ4" s="1114"/>
      <c r="KWR4" s="1114"/>
      <c r="KWS4" s="1114"/>
      <c r="KWT4" s="1114"/>
      <c r="KWU4" s="1114"/>
      <c r="KWV4" s="1114"/>
      <c r="KWW4" s="1114"/>
      <c r="KWX4" s="1114"/>
      <c r="KWY4" s="1114"/>
      <c r="KWZ4" s="1114"/>
      <c r="KXA4" s="1114"/>
      <c r="KXB4" s="1114"/>
      <c r="KXC4" s="1114"/>
      <c r="KXD4" s="1114"/>
      <c r="KXE4" s="1114"/>
      <c r="KXF4" s="1114"/>
      <c r="KXG4" s="1114"/>
      <c r="KXH4" s="1114"/>
      <c r="KXI4" s="1114"/>
      <c r="KXJ4" s="1114"/>
      <c r="KXK4" s="1114"/>
      <c r="KXL4" s="1114"/>
      <c r="KXM4" s="1114"/>
      <c r="KXN4" s="1114"/>
      <c r="KXO4" s="1114"/>
      <c r="KXP4" s="1114"/>
      <c r="KXQ4" s="1114"/>
      <c r="KXR4" s="1114"/>
      <c r="KXS4" s="1114"/>
      <c r="KXT4" s="1114"/>
      <c r="KXU4" s="1114"/>
      <c r="KXV4" s="1114"/>
      <c r="KXW4" s="1114"/>
      <c r="KXX4" s="1114"/>
      <c r="KXY4" s="1114"/>
      <c r="KXZ4" s="1114"/>
      <c r="KYA4" s="1114"/>
      <c r="KYB4" s="1114"/>
      <c r="KYC4" s="1114"/>
      <c r="KYD4" s="1114"/>
      <c r="KYE4" s="1114"/>
      <c r="KYF4" s="1114"/>
      <c r="KYG4" s="1114"/>
      <c r="KYH4" s="1114"/>
      <c r="KYI4" s="1114"/>
      <c r="KYJ4" s="1114"/>
      <c r="KYK4" s="1114"/>
      <c r="KYL4" s="1114"/>
      <c r="KYM4" s="1114"/>
      <c r="KYN4" s="1114"/>
      <c r="KYO4" s="1114"/>
      <c r="KYP4" s="1114"/>
      <c r="KYQ4" s="1114"/>
      <c r="KYR4" s="1114"/>
      <c r="KYS4" s="1114"/>
      <c r="KYT4" s="1114"/>
      <c r="KYU4" s="1114"/>
      <c r="KYV4" s="1114"/>
      <c r="KYW4" s="1114"/>
      <c r="KYX4" s="1114"/>
      <c r="KYY4" s="1114"/>
      <c r="KYZ4" s="1114"/>
      <c r="KZA4" s="1114"/>
      <c r="KZB4" s="1114"/>
      <c r="KZC4" s="1114"/>
      <c r="KZD4" s="1114"/>
      <c r="KZE4" s="1114"/>
      <c r="KZF4" s="1114"/>
      <c r="KZG4" s="1114"/>
      <c r="KZH4" s="1114"/>
      <c r="KZI4" s="1114"/>
      <c r="KZJ4" s="1114"/>
      <c r="KZK4" s="1114"/>
      <c r="KZL4" s="1114"/>
      <c r="KZM4" s="1114"/>
      <c r="KZN4" s="1114"/>
      <c r="KZO4" s="1114"/>
      <c r="KZP4" s="1114"/>
      <c r="KZQ4" s="1114"/>
      <c r="KZR4" s="1114"/>
      <c r="KZS4" s="1114"/>
      <c r="KZT4" s="1114"/>
      <c r="KZU4" s="1114"/>
      <c r="KZV4" s="1114"/>
      <c r="KZW4" s="1114"/>
      <c r="KZX4" s="1114"/>
      <c r="KZY4" s="1114"/>
      <c r="KZZ4" s="1114"/>
      <c r="LAA4" s="1114"/>
      <c r="LAB4" s="1114"/>
      <c r="LAC4" s="1114"/>
      <c r="LAD4" s="1114"/>
      <c r="LAE4" s="1114"/>
      <c r="LAF4" s="1114"/>
      <c r="LAG4" s="1114"/>
      <c r="LAH4" s="1114"/>
      <c r="LAI4" s="1114"/>
      <c r="LAJ4" s="1114"/>
      <c r="LAK4" s="1114"/>
      <c r="LAL4" s="1114"/>
      <c r="LAM4" s="1114"/>
      <c r="LAN4" s="1114"/>
      <c r="LAO4" s="1114"/>
      <c r="LAP4" s="1114"/>
      <c r="LAQ4" s="1114"/>
      <c r="LAR4" s="1114"/>
      <c r="LAS4" s="1114"/>
      <c r="LAT4" s="1114"/>
      <c r="LAU4" s="1114"/>
      <c r="LAV4" s="1114"/>
      <c r="LAW4" s="1114"/>
      <c r="LAX4" s="1114"/>
      <c r="LAY4" s="1114"/>
      <c r="LAZ4" s="1114"/>
      <c r="LBA4" s="1114"/>
      <c r="LBB4" s="1114"/>
      <c r="LBC4" s="1114"/>
      <c r="LBD4" s="1114"/>
      <c r="LBE4" s="1114"/>
      <c r="LBF4" s="1114"/>
      <c r="LBG4" s="1114"/>
      <c r="LBH4" s="1114"/>
      <c r="LBI4" s="1114"/>
      <c r="LBJ4" s="1114"/>
      <c r="LBK4" s="1114"/>
      <c r="LBL4" s="1114"/>
      <c r="LBM4" s="1114"/>
      <c r="LBN4" s="1114"/>
      <c r="LBO4" s="1114"/>
      <c r="LBP4" s="1114"/>
      <c r="LBQ4" s="1114"/>
      <c r="LBR4" s="1114"/>
      <c r="LBS4" s="1114"/>
      <c r="LBT4" s="1114"/>
      <c r="LBU4" s="1114"/>
      <c r="LBV4" s="1114"/>
      <c r="LBW4" s="1114"/>
      <c r="LBX4" s="1114"/>
      <c r="LBY4" s="1114"/>
      <c r="LBZ4" s="1114"/>
      <c r="LCA4" s="1114"/>
      <c r="LCB4" s="1114"/>
      <c r="LCC4" s="1114"/>
      <c r="LCD4" s="1114"/>
      <c r="LCE4" s="1114"/>
      <c r="LCF4" s="1114"/>
      <c r="LCG4" s="1114"/>
      <c r="LCH4" s="1114"/>
      <c r="LCI4" s="1114"/>
      <c r="LCJ4" s="1114"/>
      <c r="LCK4" s="1114"/>
      <c r="LCL4" s="1114"/>
      <c r="LCM4" s="1114"/>
      <c r="LCN4" s="1114"/>
      <c r="LCO4" s="1114"/>
      <c r="LCP4" s="1114"/>
      <c r="LCQ4" s="1114"/>
      <c r="LCR4" s="1114"/>
      <c r="LCS4" s="1114"/>
      <c r="LCT4" s="1114"/>
      <c r="LCU4" s="1114"/>
      <c r="LCV4" s="1114"/>
      <c r="LCW4" s="1114"/>
      <c r="LCX4" s="1114"/>
      <c r="LCY4" s="1114"/>
      <c r="LCZ4" s="1114"/>
      <c r="LDA4" s="1114"/>
      <c r="LDB4" s="1114"/>
      <c r="LDC4" s="1114"/>
      <c r="LDD4" s="1114"/>
      <c r="LDE4" s="1114"/>
      <c r="LDF4" s="1114"/>
      <c r="LDG4" s="1114"/>
      <c r="LDH4" s="1114"/>
      <c r="LDI4" s="1114"/>
      <c r="LDJ4" s="1114"/>
      <c r="LDK4" s="1114"/>
      <c r="LDL4" s="1114"/>
      <c r="LDM4" s="1114"/>
      <c r="LDN4" s="1114"/>
      <c r="LDO4" s="1114"/>
      <c r="LDP4" s="1114"/>
      <c r="LDQ4" s="1114"/>
      <c r="LDR4" s="1114"/>
      <c r="LDS4" s="1114"/>
      <c r="LDT4" s="1114"/>
      <c r="LDU4" s="1114"/>
      <c r="LDV4" s="1114"/>
      <c r="LDW4" s="1114"/>
      <c r="LDX4" s="1114"/>
      <c r="LDY4" s="1114"/>
      <c r="LDZ4" s="1114"/>
      <c r="LEA4" s="1114"/>
      <c r="LEB4" s="1114"/>
      <c r="LEC4" s="1114"/>
      <c r="LED4" s="1114"/>
      <c r="LEE4" s="1114"/>
      <c r="LEF4" s="1114"/>
      <c r="LEG4" s="1114"/>
      <c r="LEH4" s="1114"/>
      <c r="LEI4" s="1114"/>
      <c r="LEJ4" s="1114"/>
      <c r="LEK4" s="1114"/>
      <c r="LEL4" s="1114"/>
      <c r="LEM4" s="1114"/>
      <c r="LEN4" s="1114"/>
      <c r="LEO4" s="1114"/>
      <c r="LEP4" s="1114"/>
      <c r="LEQ4" s="1114"/>
      <c r="LER4" s="1114"/>
      <c r="LES4" s="1114"/>
      <c r="LET4" s="1114"/>
      <c r="LEU4" s="1114"/>
      <c r="LEV4" s="1114"/>
      <c r="LEW4" s="1114"/>
      <c r="LEX4" s="1114"/>
      <c r="LEY4" s="1114"/>
      <c r="LEZ4" s="1114"/>
      <c r="LFA4" s="1114"/>
      <c r="LFB4" s="1114"/>
      <c r="LFC4" s="1114"/>
      <c r="LFD4" s="1114"/>
      <c r="LFE4" s="1114"/>
      <c r="LFF4" s="1114"/>
      <c r="LFG4" s="1114"/>
      <c r="LFH4" s="1114"/>
      <c r="LFI4" s="1114"/>
      <c r="LFJ4" s="1114"/>
      <c r="LFK4" s="1114"/>
      <c r="LFL4" s="1114"/>
      <c r="LFM4" s="1114"/>
      <c r="LFN4" s="1114"/>
      <c r="LFO4" s="1114"/>
      <c r="LFP4" s="1114"/>
      <c r="LFQ4" s="1114"/>
      <c r="LFR4" s="1114"/>
      <c r="LFS4" s="1114"/>
      <c r="LFT4" s="1114"/>
      <c r="LFU4" s="1114"/>
      <c r="LFV4" s="1114"/>
      <c r="LFW4" s="1114"/>
      <c r="LFX4" s="1114"/>
      <c r="LFY4" s="1114"/>
      <c r="LFZ4" s="1114"/>
      <c r="LGA4" s="1114"/>
      <c r="LGB4" s="1114"/>
      <c r="LGC4" s="1114"/>
      <c r="LGD4" s="1114"/>
      <c r="LGE4" s="1114"/>
      <c r="LGF4" s="1114"/>
      <c r="LGG4" s="1114"/>
      <c r="LGH4" s="1114"/>
      <c r="LGI4" s="1114"/>
      <c r="LGJ4" s="1114"/>
      <c r="LGK4" s="1114"/>
      <c r="LGL4" s="1114"/>
      <c r="LGM4" s="1114"/>
      <c r="LGN4" s="1114"/>
      <c r="LGO4" s="1114"/>
      <c r="LGP4" s="1114"/>
      <c r="LGQ4" s="1114"/>
      <c r="LGR4" s="1114"/>
      <c r="LGS4" s="1114"/>
      <c r="LGT4" s="1114"/>
      <c r="LGU4" s="1114"/>
      <c r="LGV4" s="1114"/>
      <c r="LGW4" s="1114"/>
      <c r="LGX4" s="1114"/>
      <c r="LGY4" s="1114"/>
      <c r="LGZ4" s="1114"/>
      <c r="LHA4" s="1114"/>
      <c r="LHB4" s="1114"/>
      <c r="LHC4" s="1114"/>
      <c r="LHD4" s="1114"/>
      <c r="LHE4" s="1114"/>
      <c r="LHF4" s="1114"/>
      <c r="LHG4" s="1114"/>
      <c r="LHH4" s="1114"/>
      <c r="LHI4" s="1114"/>
      <c r="LHJ4" s="1114"/>
      <c r="LHK4" s="1114"/>
      <c r="LHL4" s="1114"/>
      <c r="LHM4" s="1114"/>
      <c r="LHN4" s="1114"/>
      <c r="LHO4" s="1114"/>
      <c r="LHP4" s="1114"/>
      <c r="LHQ4" s="1114"/>
      <c r="LHR4" s="1114"/>
      <c r="LHS4" s="1114"/>
      <c r="LHT4" s="1114"/>
      <c r="LHU4" s="1114"/>
      <c r="LHV4" s="1114"/>
      <c r="LHW4" s="1114"/>
      <c r="LHX4" s="1114"/>
      <c r="LHY4" s="1114"/>
      <c r="LHZ4" s="1114"/>
      <c r="LIA4" s="1114"/>
      <c r="LIB4" s="1114"/>
      <c r="LIC4" s="1114"/>
      <c r="LID4" s="1114"/>
      <c r="LIE4" s="1114"/>
      <c r="LIF4" s="1114"/>
      <c r="LIG4" s="1114"/>
      <c r="LIH4" s="1114"/>
      <c r="LII4" s="1114"/>
      <c r="LIJ4" s="1114"/>
      <c r="LIK4" s="1114"/>
      <c r="LIL4" s="1114"/>
      <c r="LIM4" s="1114"/>
      <c r="LIN4" s="1114"/>
      <c r="LIO4" s="1114"/>
      <c r="LIP4" s="1114"/>
      <c r="LIQ4" s="1114"/>
      <c r="LIR4" s="1114"/>
      <c r="LIS4" s="1114"/>
      <c r="LIT4" s="1114"/>
      <c r="LIU4" s="1114"/>
      <c r="LIV4" s="1114"/>
      <c r="LIW4" s="1114"/>
      <c r="LIX4" s="1114"/>
      <c r="LIY4" s="1114"/>
      <c r="LIZ4" s="1114"/>
      <c r="LJA4" s="1114"/>
      <c r="LJB4" s="1114"/>
      <c r="LJC4" s="1114"/>
      <c r="LJD4" s="1114"/>
      <c r="LJE4" s="1114"/>
      <c r="LJF4" s="1114"/>
      <c r="LJG4" s="1114"/>
      <c r="LJH4" s="1114"/>
      <c r="LJI4" s="1114"/>
      <c r="LJJ4" s="1114"/>
      <c r="LJK4" s="1114"/>
      <c r="LJL4" s="1114"/>
      <c r="LJM4" s="1114"/>
      <c r="LJN4" s="1114"/>
      <c r="LJO4" s="1114"/>
      <c r="LJP4" s="1114"/>
      <c r="LJQ4" s="1114"/>
      <c r="LJR4" s="1114"/>
      <c r="LJS4" s="1114"/>
      <c r="LJT4" s="1114"/>
      <c r="LJU4" s="1114"/>
      <c r="LJV4" s="1114"/>
      <c r="LJW4" s="1114"/>
      <c r="LJX4" s="1114"/>
      <c r="LJY4" s="1114"/>
      <c r="LJZ4" s="1114"/>
      <c r="LKA4" s="1114"/>
      <c r="LKB4" s="1114"/>
      <c r="LKC4" s="1114"/>
      <c r="LKD4" s="1114"/>
      <c r="LKE4" s="1114"/>
      <c r="LKF4" s="1114"/>
      <c r="LKG4" s="1114"/>
      <c r="LKH4" s="1114"/>
      <c r="LKI4" s="1114"/>
      <c r="LKJ4" s="1114"/>
      <c r="LKK4" s="1114"/>
      <c r="LKL4" s="1114"/>
      <c r="LKM4" s="1114"/>
      <c r="LKN4" s="1114"/>
      <c r="LKO4" s="1114"/>
      <c r="LKP4" s="1114"/>
      <c r="LKQ4" s="1114"/>
      <c r="LKR4" s="1114"/>
      <c r="LKS4" s="1114"/>
      <c r="LKT4" s="1114"/>
      <c r="LKU4" s="1114"/>
      <c r="LKV4" s="1114"/>
      <c r="LKW4" s="1114"/>
      <c r="LKX4" s="1114"/>
      <c r="LKY4" s="1114"/>
      <c r="LKZ4" s="1114"/>
      <c r="LLA4" s="1114"/>
      <c r="LLB4" s="1114"/>
      <c r="LLC4" s="1114"/>
      <c r="LLD4" s="1114"/>
      <c r="LLE4" s="1114"/>
      <c r="LLF4" s="1114"/>
      <c r="LLG4" s="1114"/>
      <c r="LLH4" s="1114"/>
      <c r="LLI4" s="1114"/>
      <c r="LLJ4" s="1114"/>
      <c r="LLK4" s="1114"/>
      <c r="LLL4" s="1114"/>
      <c r="LLM4" s="1114"/>
      <c r="LLN4" s="1114"/>
      <c r="LLO4" s="1114"/>
      <c r="LLP4" s="1114"/>
      <c r="LLQ4" s="1114"/>
      <c r="LLR4" s="1114"/>
      <c r="LLS4" s="1114"/>
      <c r="LLT4" s="1114"/>
      <c r="LLU4" s="1114"/>
      <c r="LLV4" s="1114"/>
      <c r="LLW4" s="1114"/>
      <c r="LLX4" s="1114"/>
      <c r="LLY4" s="1114"/>
      <c r="LLZ4" s="1114"/>
      <c r="LMA4" s="1114"/>
      <c r="LMB4" s="1114"/>
      <c r="LMC4" s="1114"/>
      <c r="LMD4" s="1114"/>
      <c r="LME4" s="1114"/>
      <c r="LMF4" s="1114"/>
      <c r="LMG4" s="1114"/>
      <c r="LMH4" s="1114"/>
      <c r="LMI4" s="1114"/>
      <c r="LMJ4" s="1114"/>
      <c r="LMK4" s="1114"/>
      <c r="LML4" s="1114"/>
      <c r="LMM4" s="1114"/>
      <c r="LMN4" s="1114"/>
      <c r="LMO4" s="1114"/>
      <c r="LMP4" s="1114"/>
      <c r="LMQ4" s="1114"/>
      <c r="LMR4" s="1114"/>
      <c r="LMS4" s="1114"/>
      <c r="LMT4" s="1114"/>
      <c r="LMU4" s="1114"/>
      <c r="LMV4" s="1114"/>
      <c r="LMW4" s="1114"/>
      <c r="LMX4" s="1114"/>
      <c r="LMY4" s="1114"/>
      <c r="LMZ4" s="1114"/>
      <c r="LNA4" s="1114"/>
      <c r="LNB4" s="1114"/>
      <c r="LNC4" s="1114"/>
      <c r="LND4" s="1114"/>
      <c r="LNE4" s="1114"/>
      <c r="LNF4" s="1114"/>
      <c r="LNG4" s="1114"/>
      <c r="LNH4" s="1114"/>
      <c r="LNI4" s="1114"/>
      <c r="LNJ4" s="1114"/>
      <c r="LNK4" s="1114"/>
      <c r="LNL4" s="1114"/>
      <c r="LNM4" s="1114"/>
      <c r="LNN4" s="1114"/>
      <c r="LNO4" s="1114"/>
      <c r="LNP4" s="1114"/>
      <c r="LNQ4" s="1114"/>
      <c r="LNR4" s="1114"/>
      <c r="LNS4" s="1114"/>
      <c r="LNT4" s="1114"/>
      <c r="LNU4" s="1114"/>
      <c r="LNV4" s="1114"/>
      <c r="LNW4" s="1114"/>
      <c r="LNX4" s="1114"/>
      <c r="LNY4" s="1114"/>
      <c r="LNZ4" s="1114"/>
      <c r="LOA4" s="1114"/>
      <c r="LOB4" s="1114"/>
      <c r="LOC4" s="1114"/>
      <c r="LOD4" s="1114"/>
      <c r="LOE4" s="1114"/>
      <c r="LOF4" s="1114"/>
      <c r="LOG4" s="1114"/>
      <c r="LOH4" s="1114"/>
      <c r="LOI4" s="1114"/>
      <c r="LOJ4" s="1114"/>
      <c r="LOK4" s="1114"/>
      <c r="LOL4" s="1114"/>
      <c r="LOM4" s="1114"/>
      <c r="LON4" s="1114"/>
      <c r="LOO4" s="1114"/>
      <c r="LOP4" s="1114"/>
      <c r="LOQ4" s="1114"/>
      <c r="LOR4" s="1114"/>
      <c r="LOS4" s="1114"/>
      <c r="LOT4" s="1114"/>
      <c r="LOU4" s="1114"/>
      <c r="LOV4" s="1114"/>
      <c r="LOW4" s="1114"/>
      <c r="LOX4" s="1114"/>
      <c r="LOY4" s="1114"/>
      <c r="LOZ4" s="1114"/>
      <c r="LPA4" s="1114"/>
      <c r="LPB4" s="1114"/>
      <c r="LPC4" s="1114"/>
      <c r="LPD4" s="1114"/>
      <c r="LPE4" s="1114"/>
      <c r="LPF4" s="1114"/>
      <c r="LPG4" s="1114"/>
      <c r="LPH4" s="1114"/>
      <c r="LPI4" s="1114"/>
      <c r="LPJ4" s="1114"/>
      <c r="LPK4" s="1114"/>
      <c r="LPL4" s="1114"/>
      <c r="LPM4" s="1114"/>
      <c r="LPN4" s="1114"/>
      <c r="LPO4" s="1114"/>
      <c r="LPP4" s="1114"/>
      <c r="LPQ4" s="1114"/>
      <c r="LPR4" s="1114"/>
      <c r="LPS4" s="1114"/>
      <c r="LPT4" s="1114"/>
      <c r="LPU4" s="1114"/>
      <c r="LPV4" s="1114"/>
      <c r="LPW4" s="1114"/>
      <c r="LPX4" s="1114"/>
      <c r="LPY4" s="1114"/>
      <c r="LPZ4" s="1114"/>
      <c r="LQA4" s="1114"/>
      <c r="LQB4" s="1114"/>
      <c r="LQC4" s="1114"/>
      <c r="LQD4" s="1114"/>
      <c r="LQE4" s="1114"/>
      <c r="LQF4" s="1114"/>
      <c r="LQG4" s="1114"/>
      <c r="LQH4" s="1114"/>
      <c r="LQI4" s="1114"/>
      <c r="LQJ4" s="1114"/>
      <c r="LQK4" s="1114"/>
      <c r="LQL4" s="1114"/>
      <c r="LQM4" s="1114"/>
      <c r="LQN4" s="1114"/>
      <c r="LQO4" s="1114"/>
      <c r="LQP4" s="1114"/>
      <c r="LQQ4" s="1114"/>
      <c r="LQR4" s="1114"/>
      <c r="LQS4" s="1114"/>
      <c r="LQT4" s="1114"/>
      <c r="LQU4" s="1114"/>
      <c r="LQV4" s="1114"/>
      <c r="LQW4" s="1114"/>
      <c r="LQX4" s="1114"/>
      <c r="LQY4" s="1114"/>
      <c r="LQZ4" s="1114"/>
      <c r="LRA4" s="1114"/>
      <c r="LRB4" s="1114"/>
      <c r="LRC4" s="1114"/>
      <c r="LRD4" s="1114"/>
      <c r="LRE4" s="1114"/>
      <c r="LRF4" s="1114"/>
      <c r="LRG4" s="1114"/>
      <c r="LRH4" s="1114"/>
      <c r="LRI4" s="1114"/>
      <c r="LRJ4" s="1114"/>
      <c r="LRK4" s="1114"/>
      <c r="LRL4" s="1114"/>
      <c r="LRM4" s="1114"/>
      <c r="LRN4" s="1114"/>
      <c r="LRO4" s="1114"/>
      <c r="LRP4" s="1114"/>
      <c r="LRQ4" s="1114"/>
      <c r="LRR4" s="1114"/>
      <c r="LRS4" s="1114"/>
      <c r="LRT4" s="1114"/>
      <c r="LRU4" s="1114"/>
      <c r="LRV4" s="1114"/>
      <c r="LRW4" s="1114"/>
      <c r="LRX4" s="1114"/>
      <c r="LRY4" s="1114"/>
      <c r="LRZ4" s="1114"/>
      <c r="LSA4" s="1114"/>
      <c r="LSB4" s="1114"/>
      <c r="LSC4" s="1114"/>
      <c r="LSD4" s="1114"/>
      <c r="LSE4" s="1114"/>
      <c r="LSF4" s="1114"/>
      <c r="LSG4" s="1114"/>
      <c r="LSH4" s="1114"/>
      <c r="LSI4" s="1114"/>
      <c r="LSJ4" s="1114"/>
      <c r="LSK4" s="1114"/>
      <c r="LSL4" s="1114"/>
      <c r="LSM4" s="1114"/>
      <c r="LSN4" s="1114"/>
      <c r="LSO4" s="1114"/>
      <c r="LSP4" s="1114"/>
      <c r="LSQ4" s="1114"/>
      <c r="LSR4" s="1114"/>
      <c r="LSS4" s="1114"/>
      <c r="LST4" s="1114"/>
      <c r="LSU4" s="1114"/>
      <c r="LSV4" s="1114"/>
      <c r="LSW4" s="1114"/>
      <c r="LSX4" s="1114"/>
      <c r="LSY4" s="1114"/>
      <c r="LSZ4" s="1114"/>
      <c r="LTA4" s="1114"/>
      <c r="LTB4" s="1114"/>
      <c r="LTC4" s="1114"/>
      <c r="LTD4" s="1114"/>
      <c r="LTE4" s="1114"/>
      <c r="LTF4" s="1114"/>
      <c r="LTG4" s="1114"/>
      <c r="LTH4" s="1114"/>
      <c r="LTI4" s="1114"/>
      <c r="LTJ4" s="1114"/>
      <c r="LTK4" s="1114"/>
      <c r="LTL4" s="1114"/>
      <c r="LTM4" s="1114"/>
      <c r="LTN4" s="1114"/>
      <c r="LTO4" s="1114"/>
      <c r="LTP4" s="1114"/>
      <c r="LTQ4" s="1114"/>
      <c r="LTR4" s="1114"/>
      <c r="LTS4" s="1114"/>
      <c r="LTT4" s="1114"/>
      <c r="LTU4" s="1114"/>
      <c r="LTV4" s="1114"/>
      <c r="LTW4" s="1114"/>
      <c r="LTX4" s="1114"/>
      <c r="LTY4" s="1114"/>
      <c r="LTZ4" s="1114"/>
      <c r="LUA4" s="1114"/>
      <c r="LUB4" s="1114"/>
      <c r="LUC4" s="1114"/>
      <c r="LUD4" s="1114"/>
      <c r="LUE4" s="1114"/>
      <c r="LUF4" s="1114"/>
      <c r="LUG4" s="1114"/>
      <c r="LUH4" s="1114"/>
      <c r="LUI4" s="1114"/>
      <c r="LUJ4" s="1114"/>
      <c r="LUK4" s="1114"/>
      <c r="LUL4" s="1114"/>
      <c r="LUM4" s="1114"/>
      <c r="LUN4" s="1114"/>
      <c r="LUO4" s="1114"/>
      <c r="LUP4" s="1114"/>
      <c r="LUQ4" s="1114"/>
      <c r="LUR4" s="1114"/>
      <c r="LUS4" s="1114"/>
      <c r="LUT4" s="1114"/>
      <c r="LUU4" s="1114"/>
      <c r="LUV4" s="1114"/>
      <c r="LUW4" s="1114"/>
      <c r="LUX4" s="1114"/>
      <c r="LUY4" s="1114"/>
      <c r="LUZ4" s="1114"/>
      <c r="LVA4" s="1114"/>
      <c r="LVB4" s="1114"/>
      <c r="LVC4" s="1114"/>
      <c r="LVD4" s="1114"/>
      <c r="LVE4" s="1114"/>
      <c r="LVF4" s="1114"/>
      <c r="LVG4" s="1114"/>
      <c r="LVH4" s="1114"/>
      <c r="LVI4" s="1114"/>
      <c r="LVJ4" s="1114"/>
      <c r="LVK4" s="1114"/>
      <c r="LVL4" s="1114"/>
      <c r="LVM4" s="1114"/>
      <c r="LVN4" s="1114"/>
      <c r="LVO4" s="1114"/>
      <c r="LVP4" s="1114"/>
      <c r="LVQ4" s="1114"/>
      <c r="LVR4" s="1114"/>
      <c r="LVS4" s="1114"/>
      <c r="LVT4" s="1114"/>
      <c r="LVU4" s="1114"/>
      <c r="LVV4" s="1114"/>
      <c r="LVW4" s="1114"/>
      <c r="LVX4" s="1114"/>
      <c r="LVY4" s="1114"/>
      <c r="LVZ4" s="1114"/>
      <c r="LWA4" s="1114"/>
      <c r="LWB4" s="1114"/>
      <c r="LWC4" s="1114"/>
      <c r="LWD4" s="1114"/>
      <c r="LWE4" s="1114"/>
      <c r="LWF4" s="1114"/>
      <c r="LWG4" s="1114"/>
      <c r="LWH4" s="1114"/>
      <c r="LWI4" s="1114"/>
      <c r="LWJ4" s="1114"/>
      <c r="LWK4" s="1114"/>
      <c r="LWL4" s="1114"/>
      <c r="LWM4" s="1114"/>
      <c r="LWN4" s="1114"/>
      <c r="LWO4" s="1114"/>
      <c r="LWP4" s="1114"/>
      <c r="LWQ4" s="1114"/>
      <c r="LWR4" s="1114"/>
      <c r="LWS4" s="1114"/>
      <c r="LWT4" s="1114"/>
      <c r="LWU4" s="1114"/>
      <c r="LWV4" s="1114"/>
      <c r="LWW4" s="1114"/>
      <c r="LWX4" s="1114"/>
      <c r="LWY4" s="1114"/>
      <c r="LWZ4" s="1114"/>
      <c r="LXA4" s="1114"/>
      <c r="LXB4" s="1114"/>
      <c r="LXC4" s="1114"/>
      <c r="LXD4" s="1114"/>
      <c r="LXE4" s="1114"/>
      <c r="LXF4" s="1114"/>
      <c r="LXG4" s="1114"/>
      <c r="LXH4" s="1114"/>
      <c r="LXI4" s="1114"/>
      <c r="LXJ4" s="1114"/>
      <c r="LXK4" s="1114"/>
      <c r="LXL4" s="1114"/>
      <c r="LXM4" s="1114"/>
      <c r="LXN4" s="1114"/>
      <c r="LXO4" s="1114"/>
      <c r="LXP4" s="1114"/>
      <c r="LXQ4" s="1114"/>
      <c r="LXR4" s="1114"/>
      <c r="LXS4" s="1114"/>
      <c r="LXT4" s="1114"/>
      <c r="LXU4" s="1114"/>
      <c r="LXV4" s="1114"/>
      <c r="LXW4" s="1114"/>
      <c r="LXX4" s="1114"/>
      <c r="LXY4" s="1114"/>
      <c r="LXZ4" s="1114"/>
      <c r="LYA4" s="1114"/>
      <c r="LYB4" s="1114"/>
      <c r="LYC4" s="1114"/>
      <c r="LYD4" s="1114"/>
      <c r="LYE4" s="1114"/>
      <c r="LYF4" s="1114"/>
      <c r="LYG4" s="1114"/>
      <c r="LYH4" s="1114"/>
      <c r="LYI4" s="1114"/>
      <c r="LYJ4" s="1114"/>
      <c r="LYK4" s="1114"/>
      <c r="LYL4" s="1114"/>
      <c r="LYM4" s="1114"/>
      <c r="LYN4" s="1114"/>
      <c r="LYO4" s="1114"/>
      <c r="LYP4" s="1114"/>
      <c r="LYQ4" s="1114"/>
      <c r="LYR4" s="1114"/>
      <c r="LYS4" s="1114"/>
      <c r="LYT4" s="1114"/>
      <c r="LYU4" s="1114"/>
      <c r="LYV4" s="1114"/>
      <c r="LYW4" s="1114"/>
      <c r="LYX4" s="1114"/>
      <c r="LYY4" s="1114"/>
      <c r="LYZ4" s="1114"/>
      <c r="LZA4" s="1114"/>
      <c r="LZB4" s="1114"/>
      <c r="LZC4" s="1114"/>
      <c r="LZD4" s="1114"/>
      <c r="LZE4" s="1114"/>
      <c r="LZF4" s="1114"/>
      <c r="LZG4" s="1114"/>
      <c r="LZH4" s="1114"/>
      <c r="LZI4" s="1114"/>
      <c r="LZJ4" s="1114"/>
      <c r="LZK4" s="1114"/>
      <c r="LZL4" s="1114"/>
      <c r="LZM4" s="1114"/>
      <c r="LZN4" s="1114"/>
      <c r="LZO4" s="1114"/>
      <c r="LZP4" s="1114"/>
      <c r="LZQ4" s="1114"/>
      <c r="LZR4" s="1114"/>
      <c r="LZS4" s="1114"/>
      <c r="LZT4" s="1114"/>
      <c r="LZU4" s="1114"/>
      <c r="LZV4" s="1114"/>
      <c r="LZW4" s="1114"/>
      <c r="LZX4" s="1114"/>
      <c r="LZY4" s="1114"/>
      <c r="LZZ4" s="1114"/>
      <c r="MAA4" s="1114"/>
      <c r="MAB4" s="1114"/>
      <c r="MAC4" s="1114"/>
      <c r="MAD4" s="1114"/>
      <c r="MAE4" s="1114"/>
      <c r="MAF4" s="1114"/>
      <c r="MAG4" s="1114"/>
      <c r="MAH4" s="1114"/>
      <c r="MAI4" s="1114"/>
      <c r="MAJ4" s="1114"/>
      <c r="MAK4" s="1114"/>
      <c r="MAL4" s="1114"/>
      <c r="MAM4" s="1114"/>
      <c r="MAN4" s="1114"/>
      <c r="MAO4" s="1114"/>
      <c r="MAP4" s="1114"/>
      <c r="MAQ4" s="1114"/>
      <c r="MAR4" s="1114"/>
      <c r="MAS4" s="1114"/>
      <c r="MAT4" s="1114"/>
      <c r="MAU4" s="1114"/>
      <c r="MAV4" s="1114"/>
      <c r="MAW4" s="1114"/>
      <c r="MAX4" s="1114"/>
      <c r="MAY4" s="1114"/>
      <c r="MAZ4" s="1114"/>
      <c r="MBA4" s="1114"/>
      <c r="MBB4" s="1114"/>
      <c r="MBC4" s="1114"/>
      <c r="MBD4" s="1114"/>
      <c r="MBE4" s="1114"/>
      <c r="MBF4" s="1114"/>
      <c r="MBG4" s="1114"/>
      <c r="MBH4" s="1114"/>
      <c r="MBI4" s="1114"/>
      <c r="MBJ4" s="1114"/>
      <c r="MBK4" s="1114"/>
      <c r="MBL4" s="1114"/>
      <c r="MBM4" s="1114"/>
      <c r="MBN4" s="1114"/>
      <c r="MBO4" s="1114"/>
      <c r="MBP4" s="1114"/>
      <c r="MBQ4" s="1114"/>
      <c r="MBR4" s="1114"/>
      <c r="MBS4" s="1114"/>
      <c r="MBT4" s="1114"/>
      <c r="MBU4" s="1114"/>
      <c r="MBV4" s="1114"/>
      <c r="MBW4" s="1114"/>
      <c r="MBX4" s="1114"/>
      <c r="MBY4" s="1114"/>
      <c r="MBZ4" s="1114"/>
      <c r="MCA4" s="1114"/>
      <c r="MCB4" s="1114"/>
      <c r="MCC4" s="1114"/>
      <c r="MCD4" s="1114"/>
      <c r="MCE4" s="1114"/>
      <c r="MCF4" s="1114"/>
      <c r="MCG4" s="1114"/>
      <c r="MCH4" s="1114"/>
      <c r="MCI4" s="1114"/>
      <c r="MCJ4" s="1114"/>
      <c r="MCK4" s="1114"/>
      <c r="MCL4" s="1114"/>
      <c r="MCM4" s="1114"/>
      <c r="MCN4" s="1114"/>
      <c r="MCO4" s="1114"/>
      <c r="MCP4" s="1114"/>
      <c r="MCQ4" s="1114"/>
      <c r="MCR4" s="1114"/>
      <c r="MCS4" s="1114"/>
      <c r="MCT4" s="1114"/>
      <c r="MCU4" s="1114"/>
      <c r="MCV4" s="1114"/>
      <c r="MCW4" s="1114"/>
      <c r="MCX4" s="1114"/>
      <c r="MCY4" s="1114"/>
      <c r="MCZ4" s="1114"/>
      <c r="MDA4" s="1114"/>
      <c r="MDB4" s="1114"/>
      <c r="MDC4" s="1114"/>
      <c r="MDD4" s="1114"/>
      <c r="MDE4" s="1114"/>
      <c r="MDF4" s="1114"/>
      <c r="MDG4" s="1114"/>
      <c r="MDH4" s="1114"/>
      <c r="MDI4" s="1114"/>
      <c r="MDJ4" s="1114"/>
      <c r="MDK4" s="1114"/>
      <c r="MDL4" s="1114"/>
      <c r="MDM4" s="1114"/>
      <c r="MDN4" s="1114"/>
      <c r="MDO4" s="1114"/>
      <c r="MDP4" s="1114"/>
      <c r="MDQ4" s="1114"/>
      <c r="MDR4" s="1114"/>
      <c r="MDS4" s="1114"/>
      <c r="MDT4" s="1114"/>
      <c r="MDU4" s="1114"/>
      <c r="MDV4" s="1114"/>
      <c r="MDW4" s="1114"/>
      <c r="MDX4" s="1114"/>
      <c r="MDY4" s="1114"/>
      <c r="MDZ4" s="1114"/>
      <c r="MEA4" s="1114"/>
      <c r="MEB4" s="1114"/>
      <c r="MEC4" s="1114"/>
      <c r="MED4" s="1114"/>
      <c r="MEE4" s="1114"/>
      <c r="MEF4" s="1114"/>
      <c r="MEG4" s="1114"/>
      <c r="MEH4" s="1114"/>
      <c r="MEI4" s="1114"/>
      <c r="MEJ4" s="1114"/>
      <c r="MEK4" s="1114"/>
      <c r="MEL4" s="1114"/>
      <c r="MEM4" s="1114"/>
      <c r="MEN4" s="1114"/>
      <c r="MEO4" s="1114"/>
      <c r="MEP4" s="1114"/>
      <c r="MEQ4" s="1114"/>
      <c r="MER4" s="1114"/>
      <c r="MES4" s="1114"/>
      <c r="MET4" s="1114"/>
      <c r="MEU4" s="1114"/>
      <c r="MEV4" s="1114"/>
      <c r="MEW4" s="1114"/>
      <c r="MEX4" s="1114"/>
      <c r="MEY4" s="1114"/>
      <c r="MEZ4" s="1114"/>
      <c r="MFA4" s="1114"/>
      <c r="MFB4" s="1114"/>
      <c r="MFC4" s="1114"/>
      <c r="MFD4" s="1114"/>
      <c r="MFE4" s="1114"/>
      <c r="MFF4" s="1114"/>
      <c r="MFG4" s="1114"/>
      <c r="MFH4" s="1114"/>
      <c r="MFI4" s="1114"/>
      <c r="MFJ4" s="1114"/>
      <c r="MFK4" s="1114"/>
      <c r="MFL4" s="1114"/>
      <c r="MFM4" s="1114"/>
      <c r="MFN4" s="1114"/>
      <c r="MFO4" s="1114"/>
      <c r="MFP4" s="1114"/>
      <c r="MFQ4" s="1114"/>
      <c r="MFR4" s="1114"/>
      <c r="MFS4" s="1114"/>
      <c r="MFT4" s="1114"/>
      <c r="MFU4" s="1114"/>
      <c r="MFV4" s="1114"/>
      <c r="MFW4" s="1114"/>
      <c r="MFX4" s="1114"/>
      <c r="MFY4" s="1114"/>
      <c r="MFZ4" s="1114"/>
      <c r="MGA4" s="1114"/>
      <c r="MGB4" s="1114"/>
      <c r="MGC4" s="1114"/>
      <c r="MGD4" s="1114"/>
      <c r="MGE4" s="1114"/>
      <c r="MGF4" s="1114"/>
      <c r="MGG4" s="1114"/>
      <c r="MGH4" s="1114"/>
      <c r="MGI4" s="1114"/>
      <c r="MGJ4" s="1114"/>
      <c r="MGK4" s="1114"/>
      <c r="MGL4" s="1114"/>
      <c r="MGM4" s="1114"/>
      <c r="MGN4" s="1114"/>
      <c r="MGO4" s="1114"/>
      <c r="MGP4" s="1114"/>
      <c r="MGQ4" s="1114"/>
      <c r="MGR4" s="1114"/>
      <c r="MGS4" s="1114"/>
      <c r="MGT4" s="1114"/>
      <c r="MGU4" s="1114"/>
      <c r="MGV4" s="1114"/>
      <c r="MGW4" s="1114"/>
      <c r="MGX4" s="1114"/>
      <c r="MGY4" s="1114"/>
      <c r="MGZ4" s="1114"/>
      <c r="MHA4" s="1114"/>
      <c r="MHB4" s="1114"/>
      <c r="MHC4" s="1114"/>
      <c r="MHD4" s="1114"/>
      <c r="MHE4" s="1114"/>
      <c r="MHF4" s="1114"/>
      <c r="MHG4" s="1114"/>
      <c r="MHH4" s="1114"/>
      <c r="MHI4" s="1114"/>
      <c r="MHJ4" s="1114"/>
      <c r="MHK4" s="1114"/>
      <c r="MHL4" s="1114"/>
      <c r="MHM4" s="1114"/>
      <c r="MHN4" s="1114"/>
      <c r="MHO4" s="1114"/>
      <c r="MHP4" s="1114"/>
      <c r="MHQ4" s="1114"/>
      <c r="MHR4" s="1114"/>
      <c r="MHS4" s="1114"/>
      <c r="MHT4" s="1114"/>
      <c r="MHU4" s="1114"/>
      <c r="MHV4" s="1114"/>
      <c r="MHW4" s="1114"/>
      <c r="MHX4" s="1114"/>
      <c r="MHY4" s="1114"/>
      <c r="MHZ4" s="1114"/>
      <c r="MIA4" s="1114"/>
      <c r="MIB4" s="1114"/>
      <c r="MIC4" s="1114"/>
      <c r="MID4" s="1114"/>
      <c r="MIE4" s="1114"/>
      <c r="MIF4" s="1114"/>
      <c r="MIG4" s="1114"/>
      <c r="MIH4" s="1114"/>
      <c r="MII4" s="1114"/>
      <c r="MIJ4" s="1114"/>
      <c r="MIK4" s="1114"/>
      <c r="MIL4" s="1114"/>
      <c r="MIM4" s="1114"/>
      <c r="MIN4" s="1114"/>
      <c r="MIO4" s="1114"/>
      <c r="MIP4" s="1114"/>
      <c r="MIQ4" s="1114"/>
      <c r="MIR4" s="1114"/>
      <c r="MIS4" s="1114"/>
      <c r="MIT4" s="1114"/>
      <c r="MIU4" s="1114"/>
      <c r="MIV4" s="1114"/>
      <c r="MIW4" s="1114"/>
      <c r="MIX4" s="1114"/>
      <c r="MIY4" s="1114"/>
      <c r="MIZ4" s="1114"/>
      <c r="MJA4" s="1114"/>
      <c r="MJB4" s="1114"/>
      <c r="MJC4" s="1114"/>
      <c r="MJD4" s="1114"/>
      <c r="MJE4" s="1114"/>
      <c r="MJF4" s="1114"/>
      <c r="MJG4" s="1114"/>
      <c r="MJH4" s="1114"/>
      <c r="MJI4" s="1114"/>
      <c r="MJJ4" s="1114"/>
      <c r="MJK4" s="1114"/>
      <c r="MJL4" s="1114"/>
      <c r="MJM4" s="1114"/>
      <c r="MJN4" s="1114"/>
      <c r="MJO4" s="1114"/>
      <c r="MJP4" s="1114"/>
      <c r="MJQ4" s="1114"/>
      <c r="MJR4" s="1114"/>
      <c r="MJS4" s="1114"/>
      <c r="MJT4" s="1114"/>
      <c r="MJU4" s="1114"/>
      <c r="MJV4" s="1114"/>
      <c r="MJW4" s="1114"/>
      <c r="MJX4" s="1114"/>
      <c r="MJY4" s="1114"/>
      <c r="MJZ4" s="1114"/>
      <c r="MKA4" s="1114"/>
      <c r="MKB4" s="1114"/>
      <c r="MKC4" s="1114"/>
      <c r="MKD4" s="1114"/>
      <c r="MKE4" s="1114"/>
      <c r="MKF4" s="1114"/>
      <c r="MKG4" s="1114"/>
      <c r="MKH4" s="1114"/>
      <c r="MKI4" s="1114"/>
      <c r="MKJ4" s="1114"/>
      <c r="MKK4" s="1114"/>
      <c r="MKL4" s="1114"/>
      <c r="MKM4" s="1114"/>
      <c r="MKN4" s="1114"/>
      <c r="MKO4" s="1114"/>
      <c r="MKP4" s="1114"/>
      <c r="MKQ4" s="1114"/>
      <c r="MKR4" s="1114"/>
      <c r="MKS4" s="1114"/>
      <c r="MKT4" s="1114"/>
      <c r="MKU4" s="1114"/>
      <c r="MKV4" s="1114"/>
      <c r="MKW4" s="1114"/>
      <c r="MKX4" s="1114"/>
      <c r="MKY4" s="1114"/>
      <c r="MKZ4" s="1114"/>
      <c r="MLA4" s="1114"/>
      <c r="MLB4" s="1114"/>
      <c r="MLC4" s="1114"/>
      <c r="MLD4" s="1114"/>
      <c r="MLE4" s="1114"/>
      <c r="MLF4" s="1114"/>
      <c r="MLG4" s="1114"/>
      <c r="MLH4" s="1114"/>
      <c r="MLI4" s="1114"/>
      <c r="MLJ4" s="1114"/>
      <c r="MLK4" s="1114"/>
      <c r="MLL4" s="1114"/>
      <c r="MLM4" s="1114"/>
      <c r="MLN4" s="1114"/>
      <c r="MLO4" s="1114"/>
      <c r="MLP4" s="1114"/>
      <c r="MLQ4" s="1114"/>
      <c r="MLR4" s="1114"/>
      <c r="MLS4" s="1114"/>
      <c r="MLT4" s="1114"/>
      <c r="MLU4" s="1114"/>
      <c r="MLV4" s="1114"/>
      <c r="MLW4" s="1114"/>
      <c r="MLX4" s="1114"/>
      <c r="MLY4" s="1114"/>
      <c r="MLZ4" s="1114"/>
      <c r="MMA4" s="1114"/>
      <c r="MMB4" s="1114"/>
      <c r="MMC4" s="1114"/>
      <c r="MMD4" s="1114"/>
      <c r="MME4" s="1114"/>
      <c r="MMF4" s="1114"/>
      <c r="MMG4" s="1114"/>
      <c r="MMH4" s="1114"/>
      <c r="MMI4" s="1114"/>
      <c r="MMJ4" s="1114"/>
      <c r="MMK4" s="1114"/>
      <c r="MML4" s="1114"/>
      <c r="MMM4" s="1114"/>
      <c r="MMN4" s="1114"/>
      <c r="MMO4" s="1114"/>
      <c r="MMP4" s="1114"/>
      <c r="MMQ4" s="1114"/>
      <c r="MMR4" s="1114"/>
      <c r="MMS4" s="1114"/>
      <c r="MMT4" s="1114"/>
      <c r="MMU4" s="1114"/>
      <c r="MMV4" s="1114"/>
      <c r="MMW4" s="1114"/>
      <c r="MMX4" s="1114"/>
      <c r="MMY4" s="1114"/>
      <c r="MMZ4" s="1114"/>
      <c r="MNA4" s="1114"/>
      <c r="MNB4" s="1114"/>
      <c r="MNC4" s="1114"/>
      <c r="MND4" s="1114"/>
      <c r="MNE4" s="1114"/>
      <c r="MNF4" s="1114"/>
      <c r="MNG4" s="1114"/>
      <c r="MNH4" s="1114"/>
      <c r="MNI4" s="1114"/>
      <c r="MNJ4" s="1114"/>
      <c r="MNK4" s="1114"/>
      <c r="MNL4" s="1114"/>
      <c r="MNM4" s="1114"/>
      <c r="MNN4" s="1114"/>
      <c r="MNO4" s="1114"/>
      <c r="MNP4" s="1114"/>
      <c r="MNQ4" s="1114"/>
      <c r="MNR4" s="1114"/>
      <c r="MNS4" s="1114"/>
      <c r="MNT4" s="1114"/>
      <c r="MNU4" s="1114"/>
      <c r="MNV4" s="1114"/>
      <c r="MNW4" s="1114"/>
      <c r="MNX4" s="1114"/>
      <c r="MNY4" s="1114"/>
      <c r="MNZ4" s="1114"/>
      <c r="MOA4" s="1114"/>
      <c r="MOB4" s="1114"/>
      <c r="MOC4" s="1114"/>
      <c r="MOD4" s="1114"/>
      <c r="MOE4" s="1114"/>
      <c r="MOF4" s="1114"/>
      <c r="MOG4" s="1114"/>
      <c r="MOH4" s="1114"/>
      <c r="MOI4" s="1114"/>
      <c r="MOJ4" s="1114"/>
      <c r="MOK4" s="1114"/>
      <c r="MOL4" s="1114"/>
      <c r="MOM4" s="1114"/>
      <c r="MON4" s="1114"/>
      <c r="MOO4" s="1114"/>
      <c r="MOP4" s="1114"/>
      <c r="MOQ4" s="1114"/>
      <c r="MOR4" s="1114"/>
      <c r="MOS4" s="1114"/>
      <c r="MOT4" s="1114"/>
      <c r="MOU4" s="1114"/>
      <c r="MOV4" s="1114"/>
      <c r="MOW4" s="1114"/>
      <c r="MOX4" s="1114"/>
      <c r="MOY4" s="1114"/>
      <c r="MOZ4" s="1114"/>
      <c r="MPA4" s="1114"/>
      <c r="MPB4" s="1114"/>
      <c r="MPC4" s="1114"/>
      <c r="MPD4" s="1114"/>
      <c r="MPE4" s="1114"/>
      <c r="MPF4" s="1114"/>
      <c r="MPG4" s="1114"/>
      <c r="MPH4" s="1114"/>
      <c r="MPI4" s="1114"/>
      <c r="MPJ4" s="1114"/>
      <c r="MPK4" s="1114"/>
      <c r="MPL4" s="1114"/>
      <c r="MPM4" s="1114"/>
      <c r="MPN4" s="1114"/>
      <c r="MPO4" s="1114"/>
      <c r="MPP4" s="1114"/>
      <c r="MPQ4" s="1114"/>
      <c r="MPR4" s="1114"/>
      <c r="MPS4" s="1114"/>
      <c r="MPT4" s="1114"/>
      <c r="MPU4" s="1114"/>
      <c r="MPV4" s="1114"/>
      <c r="MPW4" s="1114"/>
      <c r="MPX4" s="1114"/>
      <c r="MPY4" s="1114"/>
      <c r="MPZ4" s="1114"/>
      <c r="MQA4" s="1114"/>
      <c r="MQB4" s="1114"/>
      <c r="MQC4" s="1114"/>
      <c r="MQD4" s="1114"/>
      <c r="MQE4" s="1114"/>
      <c r="MQF4" s="1114"/>
      <c r="MQG4" s="1114"/>
      <c r="MQH4" s="1114"/>
      <c r="MQI4" s="1114"/>
      <c r="MQJ4" s="1114"/>
      <c r="MQK4" s="1114"/>
      <c r="MQL4" s="1114"/>
      <c r="MQM4" s="1114"/>
      <c r="MQN4" s="1114"/>
      <c r="MQO4" s="1114"/>
      <c r="MQP4" s="1114"/>
      <c r="MQQ4" s="1114"/>
      <c r="MQR4" s="1114"/>
      <c r="MQS4" s="1114"/>
      <c r="MQT4" s="1114"/>
      <c r="MQU4" s="1114"/>
      <c r="MQV4" s="1114"/>
      <c r="MQW4" s="1114"/>
      <c r="MQX4" s="1114"/>
      <c r="MQY4" s="1114"/>
      <c r="MQZ4" s="1114"/>
      <c r="MRA4" s="1114"/>
      <c r="MRB4" s="1114"/>
      <c r="MRC4" s="1114"/>
      <c r="MRD4" s="1114"/>
      <c r="MRE4" s="1114"/>
      <c r="MRF4" s="1114"/>
      <c r="MRG4" s="1114"/>
      <c r="MRH4" s="1114"/>
      <c r="MRI4" s="1114"/>
      <c r="MRJ4" s="1114"/>
      <c r="MRK4" s="1114"/>
      <c r="MRL4" s="1114"/>
      <c r="MRM4" s="1114"/>
      <c r="MRN4" s="1114"/>
      <c r="MRO4" s="1114"/>
      <c r="MRP4" s="1114"/>
      <c r="MRQ4" s="1114"/>
      <c r="MRR4" s="1114"/>
      <c r="MRS4" s="1114"/>
      <c r="MRT4" s="1114"/>
      <c r="MRU4" s="1114"/>
      <c r="MRV4" s="1114"/>
      <c r="MRW4" s="1114"/>
      <c r="MRX4" s="1114"/>
      <c r="MRY4" s="1114"/>
      <c r="MRZ4" s="1114"/>
      <c r="MSA4" s="1114"/>
      <c r="MSB4" s="1114"/>
      <c r="MSC4" s="1114"/>
      <c r="MSD4" s="1114"/>
      <c r="MSE4" s="1114"/>
      <c r="MSF4" s="1114"/>
      <c r="MSG4" s="1114"/>
      <c r="MSH4" s="1114"/>
      <c r="MSI4" s="1114"/>
      <c r="MSJ4" s="1114"/>
      <c r="MSK4" s="1114"/>
      <c r="MSL4" s="1114"/>
      <c r="MSM4" s="1114"/>
      <c r="MSN4" s="1114"/>
      <c r="MSO4" s="1114"/>
      <c r="MSP4" s="1114"/>
      <c r="MSQ4" s="1114"/>
      <c r="MSR4" s="1114"/>
      <c r="MSS4" s="1114"/>
      <c r="MST4" s="1114"/>
      <c r="MSU4" s="1114"/>
      <c r="MSV4" s="1114"/>
      <c r="MSW4" s="1114"/>
      <c r="MSX4" s="1114"/>
      <c r="MSY4" s="1114"/>
      <c r="MSZ4" s="1114"/>
      <c r="MTA4" s="1114"/>
      <c r="MTB4" s="1114"/>
      <c r="MTC4" s="1114"/>
      <c r="MTD4" s="1114"/>
      <c r="MTE4" s="1114"/>
      <c r="MTF4" s="1114"/>
      <c r="MTG4" s="1114"/>
      <c r="MTH4" s="1114"/>
      <c r="MTI4" s="1114"/>
      <c r="MTJ4" s="1114"/>
      <c r="MTK4" s="1114"/>
      <c r="MTL4" s="1114"/>
      <c r="MTM4" s="1114"/>
      <c r="MTN4" s="1114"/>
      <c r="MTO4" s="1114"/>
      <c r="MTP4" s="1114"/>
      <c r="MTQ4" s="1114"/>
      <c r="MTR4" s="1114"/>
      <c r="MTS4" s="1114"/>
      <c r="MTT4" s="1114"/>
      <c r="MTU4" s="1114"/>
      <c r="MTV4" s="1114"/>
      <c r="MTW4" s="1114"/>
      <c r="MTX4" s="1114"/>
      <c r="MTY4" s="1114"/>
      <c r="MTZ4" s="1114"/>
      <c r="MUA4" s="1114"/>
      <c r="MUB4" s="1114"/>
      <c r="MUC4" s="1114"/>
      <c r="MUD4" s="1114"/>
      <c r="MUE4" s="1114"/>
      <c r="MUF4" s="1114"/>
      <c r="MUG4" s="1114"/>
      <c r="MUH4" s="1114"/>
      <c r="MUI4" s="1114"/>
      <c r="MUJ4" s="1114"/>
      <c r="MUK4" s="1114"/>
      <c r="MUL4" s="1114"/>
      <c r="MUM4" s="1114"/>
      <c r="MUN4" s="1114"/>
      <c r="MUO4" s="1114"/>
      <c r="MUP4" s="1114"/>
      <c r="MUQ4" s="1114"/>
      <c r="MUR4" s="1114"/>
      <c r="MUS4" s="1114"/>
      <c r="MUT4" s="1114"/>
      <c r="MUU4" s="1114"/>
      <c r="MUV4" s="1114"/>
      <c r="MUW4" s="1114"/>
      <c r="MUX4" s="1114"/>
      <c r="MUY4" s="1114"/>
      <c r="MUZ4" s="1114"/>
      <c r="MVA4" s="1114"/>
      <c r="MVB4" s="1114"/>
      <c r="MVC4" s="1114"/>
      <c r="MVD4" s="1114"/>
      <c r="MVE4" s="1114"/>
      <c r="MVF4" s="1114"/>
      <c r="MVG4" s="1114"/>
      <c r="MVH4" s="1114"/>
      <c r="MVI4" s="1114"/>
      <c r="MVJ4" s="1114"/>
      <c r="MVK4" s="1114"/>
      <c r="MVL4" s="1114"/>
      <c r="MVM4" s="1114"/>
      <c r="MVN4" s="1114"/>
      <c r="MVO4" s="1114"/>
      <c r="MVP4" s="1114"/>
      <c r="MVQ4" s="1114"/>
      <c r="MVR4" s="1114"/>
      <c r="MVS4" s="1114"/>
      <c r="MVT4" s="1114"/>
      <c r="MVU4" s="1114"/>
      <c r="MVV4" s="1114"/>
      <c r="MVW4" s="1114"/>
      <c r="MVX4" s="1114"/>
      <c r="MVY4" s="1114"/>
      <c r="MVZ4" s="1114"/>
      <c r="MWA4" s="1114"/>
      <c r="MWB4" s="1114"/>
      <c r="MWC4" s="1114"/>
      <c r="MWD4" s="1114"/>
      <c r="MWE4" s="1114"/>
      <c r="MWF4" s="1114"/>
      <c r="MWG4" s="1114"/>
      <c r="MWH4" s="1114"/>
      <c r="MWI4" s="1114"/>
      <c r="MWJ4" s="1114"/>
      <c r="MWK4" s="1114"/>
      <c r="MWL4" s="1114"/>
      <c r="MWM4" s="1114"/>
      <c r="MWN4" s="1114"/>
      <c r="MWO4" s="1114"/>
      <c r="MWP4" s="1114"/>
      <c r="MWQ4" s="1114"/>
      <c r="MWR4" s="1114"/>
      <c r="MWS4" s="1114"/>
      <c r="MWT4" s="1114"/>
      <c r="MWU4" s="1114"/>
      <c r="MWV4" s="1114"/>
      <c r="MWW4" s="1114"/>
      <c r="MWX4" s="1114"/>
      <c r="MWY4" s="1114"/>
      <c r="MWZ4" s="1114"/>
      <c r="MXA4" s="1114"/>
      <c r="MXB4" s="1114"/>
      <c r="MXC4" s="1114"/>
      <c r="MXD4" s="1114"/>
      <c r="MXE4" s="1114"/>
      <c r="MXF4" s="1114"/>
      <c r="MXG4" s="1114"/>
      <c r="MXH4" s="1114"/>
      <c r="MXI4" s="1114"/>
      <c r="MXJ4" s="1114"/>
      <c r="MXK4" s="1114"/>
      <c r="MXL4" s="1114"/>
      <c r="MXM4" s="1114"/>
      <c r="MXN4" s="1114"/>
      <c r="MXO4" s="1114"/>
      <c r="MXP4" s="1114"/>
      <c r="MXQ4" s="1114"/>
      <c r="MXR4" s="1114"/>
      <c r="MXS4" s="1114"/>
      <c r="MXT4" s="1114"/>
      <c r="MXU4" s="1114"/>
      <c r="MXV4" s="1114"/>
      <c r="MXW4" s="1114"/>
      <c r="MXX4" s="1114"/>
      <c r="MXY4" s="1114"/>
      <c r="MXZ4" s="1114"/>
      <c r="MYA4" s="1114"/>
      <c r="MYB4" s="1114"/>
      <c r="MYC4" s="1114"/>
      <c r="MYD4" s="1114"/>
      <c r="MYE4" s="1114"/>
      <c r="MYF4" s="1114"/>
      <c r="MYG4" s="1114"/>
      <c r="MYH4" s="1114"/>
      <c r="MYI4" s="1114"/>
      <c r="MYJ4" s="1114"/>
      <c r="MYK4" s="1114"/>
      <c r="MYL4" s="1114"/>
      <c r="MYM4" s="1114"/>
      <c r="MYN4" s="1114"/>
      <c r="MYO4" s="1114"/>
      <c r="MYP4" s="1114"/>
      <c r="MYQ4" s="1114"/>
      <c r="MYR4" s="1114"/>
      <c r="MYS4" s="1114"/>
      <c r="MYT4" s="1114"/>
      <c r="MYU4" s="1114"/>
      <c r="MYV4" s="1114"/>
      <c r="MYW4" s="1114"/>
      <c r="MYX4" s="1114"/>
      <c r="MYY4" s="1114"/>
      <c r="MYZ4" s="1114"/>
      <c r="MZA4" s="1114"/>
      <c r="MZB4" s="1114"/>
      <c r="MZC4" s="1114"/>
      <c r="MZD4" s="1114"/>
      <c r="MZE4" s="1114"/>
      <c r="MZF4" s="1114"/>
      <c r="MZG4" s="1114"/>
      <c r="MZH4" s="1114"/>
      <c r="MZI4" s="1114"/>
      <c r="MZJ4" s="1114"/>
      <c r="MZK4" s="1114"/>
      <c r="MZL4" s="1114"/>
      <c r="MZM4" s="1114"/>
      <c r="MZN4" s="1114"/>
      <c r="MZO4" s="1114"/>
      <c r="MZP4" s="1114"/>
      <c r="MZQ4" s="1114"/>
      <c r="MZR4" s="1114"/>
      <c r="MZS4" s="1114"/>
      <c r="MZT4" s="1114"/>
      <c r="MZU4" s="1114"/>
      <c r="MZV4" s="1114"/>
      <c r="MZW4" s="1114"/>
      <c r="MZX4" s="1114"/>
      <c r="MZY4" s="1114"/>
      <c r="MZZ4" s="1114"/>
      <c r="NAA4" s="1114"/>
      <c r="NAB4" s="1114"/>
      <c r="NAC4" s="1114"/>
      <c r="NAD4" s="1114"/>
      <c r="NAE4" s="1114"/>
      <c r="NAF4" s="1114"/>
      <c r="NAG4" s="1114"/>
      <c r="NAH4" s="1114"/>
      <c r="NAI4" s="1114"/>
      <c r="NAJ4" s="1114"/>
      <c r="NAK4" s="1114"/>
      <c r="NAL4" s="1114"/>
      <c r="NAM4" s="1114"/>
      <c r="NAN4" s="1114"/>
      <c r="NAO4" s="1114"/>
      <c r="NAP4" s="1114"/>
      <c r="NAQ4" s="1114"/>
      <c r="NAR4" s="1114"/>
      <c r="NAS4" s="1114"/>
      <c r="NAT4" s="1114"/>
      <c r="NAU4" s="1114"/>
      <c r="NAV4" s="1114"/>
      <c r="NAW4" s="1114"/>
      <c r="NAX4" s="1114"/>
      <c r="NAY4" s="1114"/>
      <c r="NAZ4" s="1114"/>
      <c r="NBA4" s="1114"/>
      <c r="NBB4" s="1114"/>
      <c r="NBC4" s="1114"/>
      <c r="NBD4" s="1114"/>
      <c r="NBE4" s="1114"/>
      <c r="NBF4" s="1114"/>
      <c r="NBG4" s="1114"/>
      <c r="NBH4" s="1114"/>
      <c r="NBI4" s="1114"/>
      <c r="NBJ4" s="1114"/>
      <c r="NBK4" s="1114"/>
      <c r="NBL4" s="1114"/>
      <c r="NBM4" s="1114"/>
      <c r="NBN4" s="1114"/>
      <c r="NBO4" s="1114"/>
      <c r="NBP4" s="1114"/>
      <c r="NBQ4" s="1114"/>
      <c r="NBR4" s="1114"/>
      <c r="NBS4" s="1114"/>
      <c r="NBT4" s="1114"/>
      <c r="NBU4" s="1114"/>
      <c r="NBV4" s="1114"/>
      <c r="NBW4" s="1114"/>
      <c r="NBX4" s="1114"/>
      <c r="NBY4" s="1114"/>
      <c r="NBZ4" s="1114"/>
      <c r="NCA4" s="1114"/>
      <c r="NCB4" s="1114"/>
      <c r="NCC4" s="1114"/>
      <c r="NCD4" s="1114"/>
      <c r="NCE4" s="1114"/>
      <c r="NCF4" s="1114"/>
      <c r="NCG4" s="1114"/>
      <c r="NCH4" s="1114"/>
      <c r="NCI4" s="1114"/>
      <c r="NCJ4" s="1114"/>
      <c r="NCK4" s="1114"/>
      <c r="NCL4" s="1114"/>
      <c r="NCM4" s="1114"/>
      <c r="NCN4" s="1114"/>
      <c r="NCO4" s="1114"/>
      <c r="NCP4" s="1114"/>
      <c r="NCQ4" s="1114"/>
      <c r="NCR4" s="1114"/>
      <c r="NCS4" s="1114"/>
      <c r="NCT4" s="1114"/>
      <c r="NCU4" s="1114"/>
      <c r="NCV4" s="1114"/>
      <c r="NCW4" s="1114"/>
      <c r="NCX4" s="1114"/>
      <c r="NCY4" s="1114"/>
      <c r="NCZ4" s="1114"/>
      <c r="NDA4" s="1114"/>
      <c r="NDB4" s="1114"/>
      <c r="NDC4" s="1114"/>
      <c r="NDD4" s="1114"/>
      <c r="NDE4" s="1114"/>
      <c r="NDF4" s="1114"/>
      <c r="NDG4" s="1114"/>
      <c r="NDH4" s="1114"/>
      <c r="NDI4" s="1114"/>
      <c r="NDJ4" s="1114"/>
      <c r="NDK4" s="1114"/>
      <c r="NDL4" s="1114"/>
      <c r="NDM4" s="1114"/>
      <c r="NDN4" s="1114"/>
      <c r="NDO4" s="1114"/>
      <c r="NDP4" s="1114"/>
      <c r="NDQ4" s="1114"/>
      <c r="NDR4" s="1114"/>
      <c r="NDS4" s="1114"/>
      <c r="NDT4" s="1114"/>
      <c r="NDU4" s="1114"/>
      <c r="NDV4" s="1114"/>
      <c r="NDW4" s="1114"/>
      <c r="NDX4" s="1114"/>
      <c r="NDY4" s="1114"/>
      <c r="NDZ4" s="1114"/>
      <c r="NEA4" s="1114"/>
      <c r="NEB4" s="1114"/>
      <c r="NEC4" s="1114"/>
      <c r="NED4" s="1114"/>
      <c r="NEE4" s="1114"/>
      <c r="NEF4" s="1114"/>
      <c r="NEG4" s="1114"/>
      <c r="NEH4" s="1114"/>
      <c r="NEI4" s="1114"/>
      <c r="NEJ4" s="1114"/>
      <c r="NEK4" s="1114"/>
      <c r="NEL4" s="1114"/>
      <c r="NEM4" s="1114"/>
      <c r="NEN4" s="1114"/>
      <c r="NEO4" s="1114"/>
      <c r="NEP4" s="1114"/>
      <c r="NEQ4" s="1114"/>
      <c r="NER4" s="1114"/>
      <c r="NES4" s="1114"/>
      <c r="NET4" s="1114"/>
      <c r="NEU4" s="1114"/>
      <c r="NEV4" s="1114"/>
      <c r="NEW4" s="1114"/>
      <c r="NEX4" s="1114"/>
      <c r="NEY4" s="1114"/>
      <c r="NEZ4" s="1114"/>
      <c r="NFA4" s="1114"/>
      <c r="NFB4" s="1114"/>
      <c r="NFC4" s="1114"/>
      <c r="NFD4" s="1114"/>
      <c r="NFE4" s="1114"/>
      <c r="NFF4" s="1114"/>
      <c r="NFG4" s="1114"/>
      <c r="NFH4" s="1114"/>
      <c r="NFI4" s="1114"/>
      <c r="NFJ4" s="1114"/>
      <c r="NFK4" s="1114"/>
      <c r="NFL4" s="1114"/>
      <c r="NFM4" s="1114"/>
      <c r="NFN4" s="1114"/>
      <c r="NFO4" s="1114"/>
      <c r="NFP4" s="1114"/>
      <c r="NFQ4" s="1114"/>
      <c r="NFR4" s="1114"/>
      <c r="NFS4" s="1114"/>
      <c r="NFT4" s="1114"/>
      <c r="NFU4" s="1114"/>
      <c r="NFV4" s="1114"/>
      <c r="NFW4" s="1114"/>
      <c r="NFX4" s="1114"/>
      <c r="NFY4" s="1114"/>
      <c r="NFZ4" s="1114"/>
      <c r="NGA4" s="1114"/>
      <c r="NGB4" s="1114"/>
      <c r="NGC4" s="1114"/>
      <c r="NGD4" s="1114"/>
      <c r="NGE4" s="1114"/>
      <c r="NGF4" s="1114"/>
      <c r="NGG4" s="1114"/>
      <c r="NGH4" s="1114"/>
      <c r="NGI4" s="1114"/>
      <c r="NGJ4" s="1114"/>
      <c r="NGK4" s="1114"/>
      <c r="NGL4" s="1114"/>
      <c r="NGM4" s="1114"/>
      <c r="NGN4" s="1114"/>
      <c r="NGO4" s="1114"/>
      <c r="NGP4" s="1114"/>
      <c r="NGQ4" s="1114"/>
      <c r="NGR4" s="1114"/>
      <c r="NGS4" s="1114"/>
      <c r="NGT4" s="1114"/>
      <c r="NGU4" s="1114"/>
      <c r="NGV4" s="1114"/>
      <c r="NGW4" s="1114"/>
      <c r="NGX4" s="1114"/>
      <c r="NGY4" s="1114"/>
      <c r="NGZ4" s="1114"/>
      <c r="NHA4" s="1114"/>
      <c r="NHB4" s="1114"/>
      <c r="NHC4" s="1114"/>
      <c r="NHD4" s="1114"/>
      <c r="NHE4" s="1114"/>
      <c r="NHF4" s="1114"/>
      <c r="NHG4" s="1114"/>
      <c r="NHH4" s="1114"/>
      <c r="NHI4" s="1114"/>
      <c r="NHJ4" s="1114"/>
      <c r="NHK4" s="1114"/>
      <c r="NHL4" s="1114"/>
      <c r="NHM4" s="1114"/>
      <c r="NHN4" s="1114"/>
      <c r="NHO4" s="1114"/>
      <c r="NHP4" s="1114"/>
      <c r="NHQ4" s="1114"/>
      <c r="NHR4" s="1114"/>
      <c r="NHS4" s="1114"/>
      <c r="NHT4" s="1114"/>
      <c r="NHU4" s="1114"/>
      <c r="NHV4" s="1114"/>
      <c r="NHW4" s="1114"/>
      <c r="NHX4" s="1114"/>
      <c r="NHY4" s="1114"/>
      <c r="NHZ4" s="1114"/>
      <c r="NIA4" s="1114"/>
      <c r="NIB4" s="1114"/>
      <c r="NIC4" s="1114"/>
      <c r="NID4" s="1114"/>
      <c r="NIE4" s="1114"/>
      <c r="NIF4" s="1114"/>
      <c r="NIG4" s="1114"/>
      <c r="NIH4" s="1114"/>
      <c r="NII4" s="1114"/>
      <c r="NIJ4" s="1114"/>
      <c r="NIK4" s="1114"/>
      <c r="NIL4" s="1114"/>
      <c r="NIM4" s="1114"/>
      <c r="NIN4" s="1114"/>
      <c r="NIO4" s="1114"/>
      <c r="NIP4" s="1114"/>
      <c r="NIQ4" s="1114"/>
      <c r="NIR4" s="1114"/>
      <c r="NIS4" s="1114"/>
      <c r="NIT4" s="1114"/>
      <c r="NIU4" s="1114"/>
      <c r="NIV4" s="1114"/>
      <c r="NIW4" s="1114"/>
      <c r="NIX4" s="1114"/>
      <c r="NIY4" s="1114"/>
      <c r="NIZ4" s="1114"/>
      <c r="NJA4" s="1114"/>
      <c r="NJB4" s="1114"/>
      <c r="NJC4" s="1114"/>
      <c r="NJD4" s="1114"/>
      <c r="NJE4" s="1114"/>
      <c r="NJF4" s="1114"/>
      <c r="NJG4" s="1114"/>
      <c r="NJH4" s="1114"/>
      <c r="NJI4" s="1114"/>
      <c r="NJJ4" s="1114"/>
      <c r="NJK4" s="1114"/>
      <c r="NJL4" s="1114"/>
      <c r="NJM4" s="1114"/>
      <c r="NJN4" s="1114"/>
      <c r="NJO4" s="1114"/>
      <c r="NJP4" s="1114"/>
      <c r="NJQ4" s="1114"/>
      <c r="NJR4" s="1114"/>
      <c r="NJS4" s="1114"/>
      <c r="NJT4" s="1114"/>
      <c r="NJU4" s="1114"/>
      <c r="NJV4" s="1114"/>
      <c r="NJW4" s="1114"/>
      <c r="NJX4" s="1114"/>
      <c r="NJY4" s="1114"/>
      <c r="NJZ4" s="1114"/>
      <c r="NKA4" s="1114"/>
      <c r="NKB4" s="1114"/>
      <c r="NKC4" s="1114"/>
      <c r="NKD4" s="1114"/>
      <c r="NKE4" s="1114"/>
      <c r="NKF4" s="1114"/>
      <c r="NKG4" s="1114"/>
      <c r="NKH4" s="1114"/>
      <c r="NKI4" s="1114"/>
      <c r="NKJ4" s="1114"/>
      <c r="NKK4" s="1114"/>
      <c r="NKL4" s="1114"/>
      <c r="NKM4" s="1114"/>
      <c r="NKN4" s="1114"/>
      <c r="NKO4" s="1114"/>
      <c r="NKP4" s="1114"/>
      <c r="NKQ4" s="1114"/>
      <c r="NKR4" s="1114"/>
      <c r="NKS4" s="1114"/>
      <c r="NKT4" s="1114"/>
      <c r="NKU4" s="1114"/>
      <c r="NKV4" s="1114"/>
      <c r="NKW4" s="1114"/>
      <c r="NKX4" s="1114"/>
      <c r="NKY4" s="1114"/>
      <c r="NKZ4" s="1114"/>
      <c r="NLA4" s="1114"/>
      <c r="NLB4" s="1114"/>
      <c r="NLC4" s="1114"/>
      <c r="NLD4" s="1114"/>
      <c r="NLE4" s="1114"/>
      <c r="NLF4" s="1114"/>
      <c r="NLG4" s="1114"/>
      <c r="NLH4" s="1114"/>
      <c r="NLI4" s="1114"/>
      <c r="NLJ4" s="1114"/>
      <c r="NLK4" s="1114"/>
      <c r="NLL4" s="1114"/>
      <c r="NLM4" s="1114"/>
      <c r="NLN4" s="1114"/>
      <c r="NLO4" s="1114"/>
      <c r="NLP4" s="1114"/>
      <c r="NLQ4" s="1114"/>
      <c r="NLR4" s="1114"/>
      <c r="NLS4" s="1114"/>
      <c r="NLT4" s="1114"/>
      <c r="NLU4" s="1114"/>
      <c r="NLV4" s="1114"/>
      <c r="NLW4" s="1114"/>
      <c r="NLX4" s="1114"/>
      <c r="NLY4" s="1114"/>
      <c r="NLZ4" s="1114"/>
      <c r="NMA4" s="1114"/>
      <c r="NMB4" s="1114"/>
      <c r="NMC4" s="1114"/>
      <c r="NMD4" s="1114"/>
      <c r="NME4" s="1114"/>
      <c r="NMF4" s="1114"/>
      <c r="NMG4" s="1114"/>
      <c r="NMH4" s="1114"/>
      <c r="NMI4" s="1114"/>
      <c r="NMJ4" s="1114"/>
      <c r="NMK4" s="1114"/>
      <c r="NML4" s="1114"/>
      <c r="NMM4" s="1114"/>
      <c r="NMN4" s="1114"/>
      <c r="NMO4" s="1114"/>
      <c r="NMP4" s="1114"/>
      <c r="NMQ4" s="1114"/>
      <c r="NMR4" s="1114"/>
      <c r="NMS4" s="1114"/>
      <c r="NMT4" s="1114"/>
      <c r="NMU4" s="1114"/>
      <c r="NMV4" s="1114"/>
      <c r="NMW4" s="1114"/>
      <c r="NMX4" s="1114"/>
      <c r="NMY4" s="1114"/>
      <c r="NMZ4" s="1114"/>
      <c r="NNA4" s="1114"/>
      <c r="NNB4" s="1114"/>
      <c r="NNC4" s="1114"/>
      <c r="NND4" s="1114"/>
      <c r="NNE4" s="1114"/>
      <c r="NNF4" s="1114"/>
      <c r="NNG4" s="1114"/>
      <c r="NNH4" s="1114"/>
      <c r="NNI4" s="1114"/>
      <c r="NNJ4" s="1114"/>
      <c r="NNK4" s="1114"/>
      <c r="NNL4" s="1114"/>
      <c r="NNM4" s="1114"/>
      <c r="NNN4" s="1114"/>
      <c r="NNO4" s="1114"/>
      <c r="NNP4" s="1114"/>
      <c r="NNQ4" s="1114"/>
      <c r="NNR4" s="1114"/>
      <c r="NNS4" s="1114"/>
      <c r="NNT4" s="1114"/>
      <c r="NNU4" s="1114"/>
      <c r="NNV4" s="1114"/>
      <c r="NNW4" s="1114"/>
      <c r="NNX4" s="1114"/>
      <c r="NNY4" s="1114"/>
      <c r="NNZ4" s="1114"/>
      <c r="NOA4" s="1114"/>
      <c r="NOB4" s="1114"/>
      <c r="NOC4" s="1114"/>
      <c r="NOD4" s="1114"/>
      <c r="NOE4" s="1114"/>
      <c r="NOF4" s="1114"/>
      <c r="NOG4" s="1114"/>
      <c r="NOH4" s="1114"/>
      <c r="NOI4" s="1114"/>
      <c r="NOJ4" s="1114"/>
      <c r="NOK4" s="1114"/>
      <c r="NOL4" s="1114"/>
      <c r="NOM4" s="1114"/>
      <c r="NON4" s="1114"/>
      <c r="NOO4" s="1114"/>
      <c r="NOP4" s="1114"/>
      <c r="NOQ4" s="1114"/>
      <c r="NOR4" s="1114"/>
      <c r="NOS4" s="1114"/>
      <c r="NOT4" s="1114"/>
      <c r="NOU4" s="1114"/>
      <c r="NOV4" s="1114"/>
      <c r="NOW4" s="1114"/>
      <c r="NOX4" s="1114"/>
      <c r="NOY4" s="1114"/>
      <c r="NOZ4" s="1114"/>
      <c r="NPA4" s="1114"/>
      <c r="NPB4" s="1114"/>
      <c r="NPC4" s="1114"/>
      <c r="NPD4" s="1114"/>
      <c r="NPE4" s="1114"/>
      <c r="NPF4" s="1114"/>
      <c r="NPG4" s="1114"/>
      <c r="NPH4" s="1114"/>
      <c r="NPI4" s="1114"/>
      <c r="NPJ4" s="1114"/>
      <c r="NPK4" s="1114"/>
      <c r="NPL4" s="1114"/>
      <c r="NPM4" s="1114"/>
      <c r="NPN4" s="1114"/>
      <c r="NPO4" s="1114"/>
      <c r="NPP4" s="1114"/>
      <c r="NPQ4" s="1114"/>
      <c r="NPR4" s="1114"/>
      <c r="NPS4" s="1114"/>
      <c r="NPT4" s="1114"/>
      <c r="NPU4" s="1114"/>
      <c r="NPV4" s="1114"/>
      <c r="NPW4" s="1114"/>
      <c r="NPX4" s="1114"/>
      <c r="NPY4" s="1114"/>
      <c r="NPZ4" s="1114"/>
      <c r="NQA4" s="1114"/>
      <c r="NQB4" s="1114"/>
      <c r="NQC4" s="1114"/>
      <c r="NQD4" s="1114"/>
      <c r="NQE4" s="1114"/>
      <c r="NQF4" s="1114"/>
      <c r="NQG4" s="1114"/>
      <c r="NQH4" s="1114"/>
      <c r="NQI4" s="1114"/>
      <c r="NQJ4" s="1114"/>
      <c r="NQK4" s="1114"/>
      <c r="NQL4" s="1114"/>
      <c r="NQM4" s="1114"/>
      <c r="NQN4" s="1114"/>
      <c r="NQO4" s="1114"/>
      <c r="NQP4" s="1114"/>
      <c r="NQQ4" s="1114"/>
      <c r="NQR4" s="1114"/>
      <c r="NQS4" s="1114"/>
      <c r="NQT4" s="1114"/>
      <c r="NQU4" s="1114"/>
      <c r="NQV4" s="1114"/>
      <c r="NQW4" s="1114"/>
      <c r="NQX4" s="1114"/>
      <c r="NQY4" s="1114"/>
      <c r="NQZ4" s="1114"/>
      <c r="NRA4" s="1114"/>
      <c r="NRB4" s="1114"/>
      <c r="NRC4" s="1114"/>
      <c r="NRD4" s="1114"/>
      <c r="NRE4" s="1114"/>
      <c r="NRF4" s="1114"/>
      <c r="NRG4" s="1114"/>
      <c r="NRH4" s="1114"/>
      <c r="NRI4" s="1114"/>
      <c r="NRJ4" s="1114"/>
      <c r="NRK4" s="1114"/>
      <c r="NRL4" s="1114"/>
      <c r="NRM4" s="1114"/>
      <c r="NRN4" s="1114"/>
      <c r="NRO4" s="1114"/>
      <c r="NRP4" s="1114"/>
      <c r="NRQ4" s="1114"/>
      <c r="NRR4" s="1114"/>
      <c r="NRS4" s="1114"/>
      <c r="NRT4" s="1114"/>
      <c r="NRU4" s="1114"/>
      <c r="NRV4" s="1114"/>
      <c r="NRW4" s="1114"/>
      <c r="NRX4" s="1114"/>
      <c r="NRY4" s="1114"/>
      <c r="NRZ4" s="1114"/>
      <c r="NSA4" s="1114"/>
      <c r="NSB4" s="1114"/>
      <c r="NSC4" s="1114"/>
      <c r="NSD4" s="1114"/>
      <c r="NSE4" s="1114"/>
      <c r="NSF4" s="1114"/>
      <c r="NSG4" s="1114"/>
      <c r="NSH4" s="1114"/>
      <c r="NSI4" s="1114"/>
      <c r="NSJ4" s="1114"/>
      <c r="NSK4" s="1114"/>
      <c r="NSL4" s="1114"/>
      <c r="NSM4" s="1114"/>
      <c r="NSN4" s="1114"/>
      <c r="NSO4" s="1114"/>
      <c r="NSP4" s="1114"/>
      <c r="NSQ4" s="1114"/>
      <c r="NSR4" s="1114"/>
      <c r="NSS4" s="1114"/>
      <c r="NST4" s="1114"/>
      <c r="NSU4" s="1114"/>
      <c r="NSV4" s="1114"/>
      <c r="NSW4" s="1114"/>
      <c r="NSX4" s="1114"/>
      <c r="NSY4" s="1114"/>
      <c r="NSZ4" s="1114"/>
      <c r="NTA4" s="1114"/>
      <c r="NTB4" s="1114"/>
      <c r="NTC4" s="1114"/>
      <c r="NTD4" s="1114"/>
      <c r="NTE4" s="1114"/>
      <c r="NTF4" s="1114"/>
      <c r="NTG4" s="1114"/>
      <c r="NTH4" s="1114"/>
      <c r="NTI4" s="1114"/>
      <c r="NTJ4" s="1114"/>
      <c r="NTK4" s="1114"/>
      <c r="NTL4" s="1114"/>
      <c r="NTM4" s="1114"/>
      <c r="NTN4" s="1114"/>
      <c r="NTO4" s="1114"/>
      <c r="NTP4" s="1114"/>
      <c r="NTQ4" s="1114"/>
      <c r="NTR4" s="1114"/>
      <c r="NTS4" s="1114"/>
      <c r="NTT4" s="1114"/>
      <c r="NTU4" s="1114"/>
      <c r="NTV4" s="1114"/>
      <c r="NTW4" s="1114"/>
      <c r="NTX4" s="1114"/>
      <c r="NTY4" s="1114"/>
      <c r="NTZ4" s="1114"/>
      <c r="NUA4" s="1114"/>
      <c r="NUB4" s="1114"/>
      <c r="NUC4" s="1114"/>
      <c r="NUD4" s="1114"/>
      <c r="NUE4" s="1114"/>
      <c r="NUF4" s="1114"/>
      <c r="NUG4" s="1114"/>
      <c r="NUH4" s="1114"/>
      <c r="NUI4" s="1114"/>
      <c r="NUJ4" s="1114"/>
      <c r="NUK4" s="1114"/>
      <c r="NUL4" s="1114"/>
      <c r="NUM4" s="1114"/>
      <c r="NUN4" s="1114"/>
      <c r="NUO4" s="1114"/>
      <c r="NUP4" s="1114"/>
      <c r="NUQ4" s="1114"/>
      <c r="NUR4" s="1114"/>
      <c r="NUS4" s="1114"/>
      <c r="NUT4" s="1114"/>
      <c r="NUU4" s="1114"/>
      <c r="NUV4" s="1114"/>
      <c r="NUW4" s="1114"/>
      <c r="NUX4" s="1114"/>
      <c r="NUY4" s="1114"/>
      <c r="NUZ4" s="1114"/>
      <c r="NVA4" s="1114"/>
      <c r="NVB4" s="1114"/>
      <c r="NVC4" s="1114"/>
      <c r="NVD4" s="1114"/>
      <c r="NVE4" s="1114"/>
      <c r="NVF4" s="1114"/>
      <c r="NVG4" s="1114"/>
      <c r="NVH4" s="1114"/>
      <c r="NVI4" s="1114"/>
      <c r="NVJ4" s="1114"/>
      <c r="NVK4" s="1114"/>
      <c r="NVL4" s="1114"/>
      <c r="NVM4" s="1114"/>
      <c r="NVN4" s="1114"/>
      <c r="NVO4" s="1114"/>
      <c r="NVP4" s="1114"/>
      <c r="NVQ4" s="1114"/>
      <c r="NVR4" s="1114"/>
      <c r="NVS4" s="1114"/>
      <c r="NVT4" s="1114"/>
      <c r="NVU4" s="1114"/>
      <c r="NVV4" s="1114"/>
      <c r="NVW4" s="1114"/>
      <c r="NVX4" s="1114"/>
      <c r="NVY4" s="1114"/>
      <c r="NVZ4" s="1114"/>
      <c r="NWA4" s="1114"/>
      <c r="NWB4" s="1114"/>
      <c r="NWC4" s="1114"/>
      <c r="NWD4" s="1114"/>
      <c r="NWE4" s="1114"/>
      <c r="NWF4" s="1114"/>
      <c r="NWG4" s="1114"/>
      <c r="NWH4" s="1114"/>
      <c r="NWI4" s="1114"/>
      <c r="NWJ4" s="1114"/>
      <c r="NWK4" s="1114"/>
      <c r="NWL4" s="1114"/>
      <c r="NWM4" s="1114"/>
      <c r="NWN4" s="1114"/>
      <c r="NWO4" s="1114"/>
      <c r="NWP4" s="1114"/>
      <c r="NWQ4" s="1114"/>
      <c r="NWR4" s="1114"/>
      <c r="NWS4" s="1114"/>
      <c r="NWT4" s="1114"/>
      <c r="NWU4" s="1114"/>
      <c r="NWV4" s="1114"/>
      <c r="NWW4" s="1114"/>
      <c r="NWX4" s="1114"/>
      <c r="NWY4" s="1114"/>
      <c r="NWZ4" s="1114"/>
      <c r="NXA4" s="1114"/>
      <c r="NXB4" s="1114"/>
      <c r="NXC4" s="1114"/>
      <c r="NXD4" s="1114"/>
      <c r="NXE4" s="1114"/>
      <c r="NXF4" s="1114"/>
      <c r="NXG4" s="1114"/>
      <c r="NXH4" s="1114"/>
      <c r="NXI4" s="1114"/>
      <c r="NXJ4" s="1114"/>
      <c r="NXK4" s="1114"/>
      <c r="NXL4" s="1114"/>
      <c r="NXM4" s="1114"/>
      <c r="NXN4" s="1114"/>
      <c r="NXO4" s="1114"/>
      <c r="NXP4" s="1114"/>
      <c r="NXQ4" s="1114"/>
      <c r="NXR4" s="1114"/>
      <c r="NXS4" s="1114"/>
      <c r="NXT4" s="1114"/>
      <c r="NXU4" s="1114"/>
      <c r="NXV4" s="1114"/>
      <c r="NXW4" s="1114"/>
      <c r="NXX4" s="1114"/>
      <c r="NXY4" s="1114"/>
      <c r="NXZ4" s="1114"/>
      <c r="NYA4" s="1114"/>
      <c r="NYB4" s="1114"/>
      <c r="NYC4" s="1114"/>
      <c r="NYD4" s="1114"/>
      <c r="NYE4" s="1114"/>
      <c r="NYF4" s="1114"/>
      <c r="NYG4" s="1114"/>
      <c r="NYH4" s="1114"/>
      <c r="NYI4" s="1114"/>
      <c r="NYJ4" s="1114"/>
      <c r="NYK4" s="1114"/>
      <c r="NYL4" s="1114"/>
      <c r="NYM4" s="1114"/>
      <c r="NYN4" s="1114"/>
      <c r="NYO4" s="1114"/>
      <c r="NYP4" s="1114"/>
      <c r="NYQ4" s="1114"/>
      <c r="NYR4" s="1114"/>
      <c r="NYS4" s="1114"/>
      <c r="NYT4" s="1114"/>
      <c r="NYU4" s="1114"/>
      <c r="NYV4" s="1114"/>
      <c r="NYW4" s="1114"/>
      <c r="NYX4" s="1114"/>
      <c r="NYY4" s="1114"/>
      <c r="NYZ4" s="1114"/>
      <c r="NZA4" s="1114"/>
      <c r="NZB4" s="1114"/>
      <c r="NZC4" s="1114"/>
      <c r="NZD4" s="1114"/>
      <c r="NZE4" s="1114"/>
      <c r="NZF4" s="1114"/>
      <c r="NZG4" s="1114"/>
      <c r="NZH4" s="1114"/>
      <c r="NZI4" s="1114"/>
      <c r="NZJ4" s="1114"/>
      <c r="NZK4" s="1114"/>
      <c r="NZL4" s="1114"/>
      <c r="NZM4" s="1114"/>
      <c r="NZN4" s="1114"/>
      <c r="NZO4" s="1114"/>
      <c r="NZP4" s="1114"/>
      <c r="NZQ4" s="1114"/>
      <c r="NZR4" s="1114"/>
      <c r="NZS4" s="1114"/>
      <c r="NZT4" s="1114"/>
      <c r="NZU4" s="1114"/>
      <c r="NZV4" s="1114"/>
      <c r="NZW4" s="1114"/>
      <c r="NZX4" s="1114"/>
      <c r="NZY4" s="1114"/>
      <c r="NZZ4" s="1114"/>
      <c r="OAA4" s="1114"/>
      <c r="OAB4" s="1114"/>
      <c r="OAC4" s="1114"/>
      <c r="OAD4" s="1114"/>
      <c r="OAE4" s="1114"/>
      <c r="OAF4" s="1114"/>
      <c r="OAG4" s="1114"/>
      <c r="OAH4" s="1114"/>
      <c r="OAI4" s="1114"/>
      <c r="OAJ4" s="1114"/>
      <c r="OAK4" s="1114"/>
      <c r="OAL4" s="1114"/>
      <c r="OAM4" s="1114"/>
      <c r="OAN4" s="1114"/>
      <c r="OAO4" s="1114"/>
      <c r="OAP4" s="1114"/>
      <c r="OAQ4" s="1114"/>
      <c r="OAR4" s="1114"/>
      <c r="OAS4" s="1114"/>
      <c r="OAT4" s="1114"/>
      <c r="OAU4" s="1114"/>
      <c r="OAV4" s="1114"/>
      <c r="OAW4" s="1114"/>
      <c r="OAX4" s="1114"/>
      <c r="OAY4" s="1114"/>
      <c r="OAZ4" s="1114"/>
      <c r="OBA4" s="1114"/>
      <c r="OBB4" s="1114"/>
      <c r="OBC4" s="1114"/>
      <c r="OBD4" s="1114"/>
      <c r="OBE4" s="1114"/>
      <c r="OBF4" s="1114"/>
      <c r="OBG4" s="1114"/>
      <c r="OBH4" s="1114"/>
      <c r="OBI4" s="1114"/>
      <c r="OBJ4" s="1114"/>
      <c r="OBK4" s="1114"/>
      <c r="OBL4" s="1114"/>
      <c r="OBM4" s="1114"/>
      <c r="OBN4" s="1114"/>
      <c r="OBO4" s="1114"/>
      <c r="OBP4" s="1114"/>
      <c r="OBQ4" s="1114"/>
      <c r="OBR4" s="1114"/>
      <c r="OBS4" s="1114"/>
      <c r="OBT4" s="1114"/>
      <c r="OBU4" s="1114"/>
      <c r="OBV4" s="1114"/>
      <c r="OBW4" s="1114"/>
      <c r="OBX4" s="1114"/>
      <c r="OBY4" s="1114"/>
      <c r="OBZ4" s="1114"/>
      <c r="OCA4" s="1114"/>
      <c r="OCB4" s="1114"/>
      <c r="OCC4" s="1114"/>
      <c r="OCD4" s="1114"/>
      <c r="OCE4" s="1114"/>
      <c r="OCF4" s="1114"/>
      <c r="OCG4" s="1114"/>
      <c r="OCH4" s="1114"/>
      <c r="OCI4" s="1114"/>
      <c r="OCJ4" s="1114"/>
      <c r="OCK4" s="1114"/>
      <c r="OCL4" s="1114"/>
      <c r="OCM4" s="1114"/>
      <c r="OCN4" s="1114"/>
      <c r="OCO4" s="1114"/>
      <c r="OCP4" s="1114"/>
      <c r="OCQ4" s="1114"/>
      <c r="OCR4" s="1114"/>
      <c r="OCS4" s="1114"/>
      <c r="OCT4" s="1114"/>
      <c r="OCU4" s="1114"/>
      <c r="OCV4" s="1114"/>
      <c r="OCW4" s="1114"/>
      <c r="OCX4" s="1114"/>
      <c r="OCY4" s="1114"/>
      <c r="OCZ4" s="1114"/>
      <c r="ODA4" s="1114"/>
      <c r="ODB4" s="1114"/>
      <c r="ODC4" s="1114"/>
      <c r="ODD4" s="1114"/>
      <c r="ODE4" s="1114"/>
      <c r="ODF4" s="1114"/>
      <c r="ODG4" s="1114"/>
      <c r="ODH4" s="1114"/>
      <c r="ODI4" s="1114"/>
      <c r="ODJ4" s="1114"/>
      <c r="ODK4" s="1114"/>
      <c r="ODL4" s="1114"/>
      <c r="ODM4" s="1114"/>
      <c r="ODN4" s="1114"/>
      <c r="ODO4" s="1114"/>
      <c r="ODP4" s="1114"/>
      <c r="ODQ4" s="1114"/>
      <c r="ODR4" s="1114"/>
      <c r="ODS4" s="1114"/>
      <c r="ODT4" s="1114"/>
      <c r="ODU4" s="1114"/>
      <c r="ODV4" s="1114"/>
      <c r="ODW4" s="1114"/>
      <c r="ODX4" s="1114"/>
      <c r="ODY4" s="1114"/>
      <c r="ODZ4" s="1114"/>
      <c r="OEA4" s="1114"/>
      <c r="OEB4" s="1114"/>
      <c r="OEC4" s="1114"/>
      <c r="OED4" s="1114"/>
      <c r="OEE4" s="1114"/>
      <c r="OEF4" s="1114"/>
      <c r="OEG4" s="1114"/>
      <c r="OEH4" s="1114"/>
      <c r="OEI4" s="1114"/>
      <c r="OEJ4" s="1114"/>
      <c r="OEK4" s="1114"/>
      <c r="OEL4" s="1114"/>
      <c r="OEM4" s="1114"/>
      <c r="OEN4" s="1114"/>
      <c r="OEO4" s="1114"/>
      <c r="OEP4" s="1114"/>
      <c r="OEQ4" s="1114"/>
      <c r="OER4" s="1114"/>
      <c r="OES4" s="1114"/>
      <c r="OET4" s="1114"/>
      <c r="OEU4" s="1114"/>
      <c r="OEV4" s="1114"/>
      <c r="OEW4" s="1114"/>
      <c r="OEX4" s="1114"/>
      <c r="OEY4" s="1114"/>
      <c r="OEZ4" s="1114"/>
      <c r="OFA4" s="1114"/>
      <c r="OFB4" s="1114"/>
      <c r="OFC4" s="1114"/>
      <c r="OFD4" s="1114"/>
      <c r="OFE4" s="1114"/>
      <c r="OFF4" s="1114"/>
      <c r="OFG4" s="1114"/>
      <c r="OFH4" s="1114"/>
      <c r="OFI4" s="1114"/>
      <c r="OFJ4" s="1114"/>
      <c r="OFK4" s="1114"/>
      <c r="OFL4" s="1114"/>
      <c r="OFM4" s="1114"/>
      <c r="OFN4" s="1114"/>
      <c r="OFO4" s="1114"/>
      <c r="OFP4" s="1114"/>
      <c r="OFQ4" s="1114"/>
      <c r="OFR4" s="1114"/>
      <c r="OFS4" s="1114"/>
      <c r="OFT4" s="1114"/>
      <c r="OFU4" s="1114"/>
      <c r="OFV4" s="1114"/>
      <c r="OFW4" s="1114"/>
      <c r="OFX4" s="1114"/>
      <c r="OFY4" s="1114"/>
      <c r="OFZ4" s="1114"/>
      <c r="OGA4" s="1114"/>
      <c r="OGB4" s="1114"/>
      <c r="OGC4" s="1114"/>
      <c r="OGD4" s="1114"/>
      <c r="OGE4" s="1114"/>
      <c r="OGF4" s="1114"/>
      <c r="OGG4" s="1114"/>
      <c r="OGH4" s="1114"/>
      <c r="OGI4" s="1114"/>
      <c r="OGJ4" s="1114"/>
      <c r="OGK4" s="1114"/>
      <c r="OGL4" s="1114"/>
      <c r="OGM4" s="1114"/>
      <c r="OGN4" s="1114"/>
      <c r="OGO4" s="1114"/>
      <c r="OGP4" s="1114"/>
      <c r="OGQ4" s="1114"/>
      <c r="OGR4" s="1114"/>
      <c r="OGS4" s="1114"/>
      <c r="OGT4" s="1114"/>
      <c r="OGU4" s="1114"/>
      <c r="OGV4" s="1114"/>
      <c r="OGW4" s="1114"/>
      <c r="OGX4" s="1114"/>
      <c r="OGY4" s="1114"/>
      <c r="OGZ4" s="1114"/>
      <c r="OHA4" s="1114"/>
      <c r="OHB4" s="1114"/>
      <c r="OHC4" s="1114"/>
      <c r="OHD4" s="1114"/>
      <c r="OHE4" s="1114"/>
      <c r="OHF4" s="1114"/>
      <c r="OHG4" s="1114"/>
      <c r="OHH4" s="1114"/>
      <c r="OHI4" s="1114"/>
      <c r="OHJ4" s="1114"/>
      <c r="OHK4" s="1114"/>
      <c r="OHL4" s="1114"/>
      <c r="OHM4" s="1114"/>
      <c r="OHN4" s="1114"/>
      <c r="OHO4" s="1114"/>
      <c r="OHP4" s="1114"/>
      <c r="OHQ4" s="1114"/>
      <c r="OHR4" s="1114"/>
      <c r="OHS4" s="1114"/>
      <c r="OHT4" s="1114"/>
      <c r="OHU4" s="1114"/>
      <c r="OHV4" s="1114"/>
      <c r="OHW4" s="1114"/>
      <c r="OHX4" s="1114"/>
      <c r="OHY4" s="1114"/>
      <c r="OHZ4" s="1114"/>
      <c r="OIA4" s="1114"/>
      <c r="OIB4" s="1114"/>
      <c r="OIC4" s="1114"/>
      <c r="OID4" s="1114"/>
      <c r="OIE4" s="1114"/>
      <c r="OIF4" s="1114"/>
      <c r="OIG4" s="1114"/>
      <c r="OIH4" s="1114"/>
      <c r="OII4" s="1114"/>
      <c r="OIJ4" s="1114"/>
      <c r="OIK4" s="1114"/>
      <c r="OIL4" s="1114"/>
      <c r="OIM4" s="1114"/>
      <c r="OIN4" s="1114"/>
      <c r="OIO4" s="1114"/>
      <c r="OIP4" s="1114"/>
      <c r="OIQ4" s="1114"/>
      <c r="OIR4" s="1114"/>
      <c r="OIS4" s="1114"/>
      <c r="OIT4" s="1114"/>
      <c r="OIU4" s="1114"/>
      <c r="OIV4" s="1114"/>
      <c r="OIW4" s="1114"/>
      <c r="OIX4" s="1114"/>
      <c r="OIY4" s="1114"/>
      <c r="OIZ4" s="1114"/>
      <c r="OJA4" s="1114"/>
      <c r="OJB4" s="1114"/>
      <c r="OJC4" s="1114"/>
      <c r="OJD4" s="1114"/>
      <c r="OJE4" s="1114"/>
      <c r="OJF4" s="1114"/>
      <c r="OJG4" s="1114"/>
      <c r="OJH4" s="1114"/>
      <c r="OJI4" s="1114"/>
      <c r="OJJ4" s="1114"/>
      <c r="OJK4" s="1114"/>
      <c r="OJL4" s="1114"/>
      <c r="OJM4" s="1114"/>
      <c r="OJN4" s="1114"/>
      <c r="OJO4" s="1114"/>
      <c r="OJP4" s="1114"/>
      <c r="OJQ4" s="1114"/>
      <c r="OJR4" s="1114"/>
      <c r="OJS4" s="1114"/>
      <c r="OJT4" s="1114"/>
      <c r="OJU4" s="1114"/>
      <c r="OJV4" s="1114"/>
      <c r="OJW4" s="1114"/>
      <c r="OJX4" s="1114"/>
      <c r="OJY4" s="1114"/>
      <c r="OJZ4" s="1114"/>
      <c r="OKA4" s="1114"/>
      <c r="OKB4" s="1114"/>
      <c r="OKC4" s="1114"/>
      <c r="OKD4" s="1114"/>
      <c r="OKE4" s="1114"/>
      <c r="OKF4" s="1114"/>
      <c r="OKG4" s="1114"/>
      <c r="OKH4" s="1114"/>
      <c r="OKI4" s="1114"/>
      <c r="OKJ4" s="1114"/>
      <c r="OKK4" s="1114"/>
      <c r="OKL4" s="1114"/>
      <c r="OKM4" s="1114"/>
      <c r="OKN4" s="1114"/>
      <c r="OKO4" s="1114"/>
      <c r="OKP4" s="1114"/>
      <c r="OKQ4" s="1114"/>
      <c r="OKR4" s="1114"/>
      <c r="OKS4" s="1114"/>
      <c r="OKT4" s="1114"/>
      <c r="OKU4" s="1114"/>
      <c r="OKV4" s="1114"/>
      <c r="OKW4" s="1114"/>
      <c r="OKX4" s="1114"/>
      <c r="OKY4" s="1114"/>
      <c r="OKZ4" s="1114"/>
      <c r="OLA4" s="1114"/>
      <c r="OLB4" s="1114"/>
      <c r="OLC4" s="1114"/>
      <c r="OLD4" s="1114"/>
      <c r="OLE4" s="1114"/>
      <c r="OLF4" s="1114"/>
      <c r="OLG4" s="1114"/>
      <c r="OLH4" s="1114"/>
      <c r="OLI4" s="1114"/>
      <c r="OLJ4" s="1114"/>
      <c r="OLK4" s="1114"/>
      <c r="OLL4" s="1114"/>
      <c r="OLM4" s="1114"/>
      <c r="OLN4" s="1114"/>
      <c r="OLO4" s="1114"/>
      <c r="OLP4" s="1114"/>
      <c r="OLQ4" s="1114"/>
      <c r="OLR4" s="1114"/>
      <c r="OLS4" s="1114"/>
      <c r="OLT4" s="1114"/>
      <c r="OLU4" s="1114"/>
      <c r="OLV4" s="1114"/>
      <c r="OLW4" s="1114"/>
      <c r="OLX4" s="1114"/>
      <c r="OLY4" s="1114"/>
      <c r="OLZ4" s="1114"/>
      <c r="OMA4" s="1114"/>
      <c r="OMB4" s="1114"/>
      <c r="OMC4" s="1114"/>
      <c r="OMD4" s="1114"/>
      <c r="OME4" s="1114"/>
      <c r="OMF4" s="1114"/>
      <c r="OMG4" s="1114"/>
      <c r="OMH4" s="1114"/>
      <c r="OMI4" s="1114"/>
      <c r="OMJ4" s="1114"/>
      <c r="OMK4" s="1114"/>
      <c r="OML4" s="1114"/>
      <c r="OMM4" s="1114"/>
      <c r="OMN4" s="1114"/>
      <c r="OMO4" s="1114"/>
      <c r="OMP4" s="1114"/>
      <c r="OMQ4" s="1114"/>
      <c r="OMR4" s="1114"/>
      <c r="OMS4" s="1114"/>
      <c r="OMT4" s="1114"/>
      <c r="OMU4" s="1114"/>
      <c r="OMV4" s="1114"/>
      <c r="OMW4" s="1114"/>
      <c r="OMX4" s="1114"/>
      <c r="OMY4" s="1114"/>
      <c r="OMZ4" s="1114"/>
      <c r="ONA4" s="1114"/>
      <c r="ONB4" s="1114"/>
      <c r="ONC4" s="1114"/>
      <c r="OND4" s="1114"/>
      <c r="ONE4" s="1114"/>
      <c r="ONF4" s="1114"/>
      <c r="ONG4" s="1114"/>
      <c r="ONH4" s="1114"/>
      <c r="ONI4" s="1114"/>
      <c r="ONJ4" s="1114"/>
      <c r="ONK4" s="1114"/>
      <c r="ONL4" s="1114"/>
      <c r="ONM4" s="1114"/>
      <c r="ONN4" s="1114"/>
      <c r="ONO4" s="1114"/>
      <c r="ONP4" s="1114"/>
      <c r="ONQ4" s="1114"/>
      <c r="ONR4" s="1114"/>
      <c r="ONS4" s="1114"/>
      <c r="ONT4" s="1114"/>
      <c r="ONU4" s="1114"/>
      <c r="ONV4" s="1114"/>
      <c r="ONW4" s="1114"/>
      <c r="ONX4" s="1114"/>
      <c r="ONY4" s="1114"/>
      <c r="ONZ4" s="1114"/>
      <c r="OOA4" s="1114"/>
      <c r="OOB4" s="1114"/>
      <c r="OOC4" s="1114"/>
      <c r="OOD4" s="1114"/>
      <c r="OOE4" s="1114"/>
      <c r="OOF4" s="1114"/>
      <c r="OOG4" s="1114"/>
      <c r="OOH4" s="1114"/>
      <c r="OOI4" s="1114"/>
      <c r="OOJ4" s="1114"/>
      <c r="OOK4" s="1114"/>
      <c r="OOL4" s="1114"/>
      <c r="OOM4" s="1114"/>
      <c r="OON4" s="1114"/>
      <c r="OOO4" s="1114"/>
      <c r="OOP4" s="1114"/>
      <c r="OOQ4" s="1114"/>
      <c r="OOR4" s="1114"/>
      <c r="OOS4" s="1114"/>
      <c r="OOT4" s="1114"/>
      <c r="OOU4" s="1114"/>
      <c r="OOV4" s="1114"/>
      <c r="OOW4" s="1114"/>
      <c r="OOX4" s="1114"/>
      <c r="OOY4" s="1114"/>
      <c r="OOZ4" s="1114"/>
      <c r="OPA4" s="1114"/>
      <c r="OPB4" s="1114"/>
      <c r="OPC4" s="1114"/>
      <c r="OPD4" s="1114"/>
      <c r="OPE4" s="1114"/>
      <c r="OPF4" s="1114"/>
      <c r="OPG4" s="1114"/>
      <c r="OPH4" s="1114"/>
      <c r="OPI4" s="1114"/>
      <c r="OPJ4" s="1114"/>
      <c r="OPK4" s="1114"/>
      <c r="OPL4" s="1114"/>
      <c r="OPM4" s="1114"/>
      <c r="OPN4" s="1114"/>
      <c r="OPO4" s="1114"/>
      <c r="OPP4" s="1114"/>
      <c r="OPQ4" s="1114"/>
      <c r="OPR4" s="1114"/>
      <c r="OPS4" s="1114"/>
      <c r="OPT4" s="1114"/>
      <c r="OPU4" s="1114"/>
      <c r="OPV4" s="1114"/>
      <c r="OPW4" s="1114"/>
      <c r="OPX4" s="1114"/>
      <c r="OPY4" s="1114"/>
      <c r="OPZ4" s="1114"/>
      <c r="OQA4" s="1114"/>
      <c r="OQB4" s="1114"/>
      <c r="OQC4" s="1114"/>
      <c r="OQD4" s="1114"/>
      <c r="OQE4" s="1114"/>
      <c r="OQF4" s="1114"/>
      <c r="OQG4" s="1114"/>
      <c r="OQH4" s="1114"/>
      <c r="OQI4" s="1114"/>
      <c r="OQJ4" s="1114"/>
      <c r="OQK4" s="1114"/>
      <c r="OQL4" s="1114"/>
      <c r="OQM4" s="1114"/>
      <c r="OQN4" s="1114"/>
      <c r="OQO4" s="1114"/>
      <c r="OQP4" s="1114"/>
      <c r="OQQ4" s="1114"/>
      <c r="OQR4" s="1114"/>
      <c r="OQS4" s="1114"/>
      <c r="OQT4" s="1114"/>
      <c r="OQU4" s="1114"/>
      <c r="OQV4" s="1114"/>
      <c r="OQW4" s="1114"/>
      <c r="OQX4" s="1114"/>
      <c r="OQY4" s="1114"/>
      <c r="OQZ4" s="1114"/>
      <c r="ORA4" s="1114"/>
      <c r="ORB4" s="1114"/>
      <c r="ORC4" s="1114"/>
      <c r="ORD4" s="1114"/>
      <c r="ORE4" s="1114"/>
      <c r="ORF4" s="1114"/>
      <c r="ORG4" s="1114"/>
      <c r="ORH4" s="1114"/>
      <c r="ORI4" s="1114"/>
      <c r="ORJ4" s="1114"/>
      <c r="ORK4" s="1114"/>
      <c r="ORL4" s="1114"/>
      <c r="ORM4" s="1114"/>
      <c r="ORN4" s="1114"/>
      <c r="ORO4" s="1114"/>
      <c r="ORP4" s="1114"/>
      <c r="ORQ4" s="1114"/>
      <c r="ORR4" s="1114"/>
      <c r="ORS4" s="1114"/>
      <c r="ORT4" s="1114"/>
      <c r="ORU4" s="1114"/>
      <c r="ORV4" s="1114"/>
      <c r="ORW4" s="1114"/>
      <c r="ORX4" s="1114"/>
      <c r="ORY4" s="1114"/>
      <c r="ORZ4" s="1114"/>
      <c r="OSA4" s="1114"/>
      <c r="OSB4" s="1114"/>
      <c r="OSC4" s="1114"/>
      <c r="OSD4" s="1114"/>
      <c r="OSE4" s="1114"/>
      <c r="OSF4" s="1114"/>
      <c r="OSG4" s="1114"/>
      <c r="OSH4" s="1114"/>
      <c r="OSI4" s="1114"/>
      <c r="OSJ4" s="1114"/>
      <c r="OSK4" s="1114"/>
      <c r="OSL4" s="1114"/>
      <c r="OSM4" s="1114"/>
      <c r="OSN4" s="1114"/>
      <c r="OSO4" s="1114"/>
      <c r="OSP4" s="1114"/>
      <c r="OSQ4" s="1114"/>
      <c r="OSR4" s="1114"/>
      <c r="OSS4" s="1114"/>
      <c r="OST4" s="1114"/>
      <c r="OSU4" s="1114"/>
      <c r="OSV4" s="1114"/>
      <c r="OSW4" s="1114"/>
      <c r="OSX4" s="1114"/>
      <c r="OSY4" s="1114"/>
      <c r="OSZ4" s="1114"/>
      <c r="OTA4" s="1114"/>
      <c r="OTB4" s="1114"/>
      <c r="OTC4" s="1114"/>
      <c r="OTD4" s="1114"/>
      <c r="OTE4" s="1114"/>
      <c r="OTF4" s="1114"/>
      <c r="OTG4" s="1114"/>
      <c r="OTH4" s="1114"/>
      <c r="OTI4" s="1114"/>
      <c r="OTJ4" s="1114"/>
      <c r="OTK4" s="1114"/>
      <c r="OTL4" s="1114"/>
      <c r="OTM4" s="1114"/>
      <c r="OTN4" s="1114"/>
      <c r="OTO4" s="1114"/>
      <c r="OTP4" s="1114"/>
      <c r="OTQ4" s="1114"/>
      <c r="OTR4" s="1114"/>
      <c r="OTS4" s="1114"/>
      <c r="OTT4" s="1114"/>
      <c r="OTU4" s="1114"/>
      <c r="OTV4" s="1114"/>
      <c r="OTW4" s="1114"/>
      <c r="OTX4" s="1114"/>
      <c r="OTY4" s="1114"/>
      <c r="OTZ4" s="1114"/>
      <c r="OUA4" s="1114"/>
      <c r="OUB4" s="1114"/>
      <c r="OUC4" s="1114"/>
      <c r="OUD4" s="1114"/>
      <c r="OUE4" s="1114"/>
      <c r="OUF4" s="1114"/>
      <c r="OUG4" s="1114"/>
      <c r="OUH4" s="1114"/>
      <c r="OUI4" s="1114"/>
      <c r="OUJ4" s="1114"/>
      <c r="OUK4" s="1114"/>
      <c r="OUL4" s="1114"/>
      <c r="OUM4" s="1114"/>
      <c r="OUN4" s="1114"/>
      <c r="OUO4" s="1114"/>
      <c r="OUP4" s="1114"/>
      <c r="OUQ4" s="1114"/>
      <c r="OUR4" s="1114"/>
      <c r="OUS4" s="1114"/>
      <c r="OUT4" s="1114"/>
      <c r="OUU4" s="1114"/>
      <c r="OUV4" s="1114"/>
      <c r="OUW4" s="1114"/>
      <c r="OUX4" s="1114"/>
      <c r="OUY4" s="1114"/>
      <c r="OUZ4" s="1114"/>
      <c r="OVA4" s="1114"/>
      <c r="OVB4" s="1114"/>
      <c r="OVC4" s="1114"/>
      <c r="OVD4" s="1114"/>
      <c r="OVE4" s="1114"/>
      <c r="OVF4" s="1114"/>
      <c r="OVG4" s="1114"/>
      <c r="OVH4" s="1114"/>
      <c r="OVI4" s="1114"/>
      <c r="OVJ4" s="1114"/>
      <c r="OVK4" s="1114"/>
      <c r="OVL4" s="1114"/>
      <c r="OVM4" s="1114"/>
      <c r="OVN4" s="1114"/>
      <c r="OVO4" s="1114"/>
      <c r="OVP4" s="1114"/>
      <c r="OVQ4" s="1114"/>
      <c r="OVR4" s="1114"/>
      <c r="OVS4" s="1114"/>
      <c r="OVT4" s="1114"/>
      <c r="OVU4" s="1114"/>
      <c r="OVV4" s="1114"/>
      <c r="OVW4" s="1114"/>
      <c r="OVX4" s="1114"/>
      <c r="OVY4" s="1114"/>
      <c r="OVZ4" s="1114"/>
      <c r="OWA4" s="1114"/>
      <c r="OWB4" s="1114"/>
      <c r="OWC4" s="1114"/>
      <c r="OWD4" s="1114"/>
      <c r="OWE4" s="1114"/>
      <c r="OWF4" s="1114"/>
      <c r="OWG4" s="1114"/>
      <c r="OWH4" s="1114"/>
      <c r="OWI4" s="1114"/>
      <c r="OWJ4" s="1114"/>
      <c r="OWK4" s="1114"/>
      <c r="OWL4" s="1114"/>
      <c r="OWM4" s="1114"/>
      <c r="OWN4" s="1114"/>
      <c r="OWO4" s="1114"/>
      <c r="OWP4" s="1114"/>
      <c r="OWQ4" s="1114"/>
      <c r="OWR4" s="1114"/>
      <c r="OWS4" s="1114"/>
      <c r="OWT4" s="1114"/>
      <c r="OWU4" s="1114"/>
      <c r="OWV4" s="1114"/>
      <c r="OWW4" s="1114"/>
      <c r="OWX4" s="1114"/>
      <c r="OWY4" s="1114"/>
      <c r="OWZ4" s="1114"/>
      <c r="OXA4" s="1114"/>
      <c r="OXB4" s="1114"/>
      <c r="OXC4" s="1114"/>
      <c r="OXD4" s="1114"/>
      <c r="OXE4" s="1114"/>
      <c r="OXF4" s="1114"/>
      <c r="OXG4" s="1114"/>
      <c r="OXH4" s="1114"/>
      <c r="OXI4" s="1114"/>
      <c r="OXJ4" s="1114"/>
      <c r="OXK4" s="1114"/>
      <c r="OXL4" s="1114"/>
      <c r="OXM4" s="1114"/>
      <c r="OXN4" s="1114"/>
      <c r="OXO4" s="1114"/>
      <c r="OXP4" s="1114"/>
      <c r="OXQ4" s="1114"/>
      <c r="OXR4" s="1114"/>
      <c r="OXS4" s="1114"/>
      <c r="OXT4" s="1114"/>
      <c r="OXU4" s="1114"/>
      <c r="OXV4" s="1114"/>
      <c r="OXW4" s="1114"/>
      <c r="OXX4" s="1114"/>
      <c r="OXY4" s="1114"/>
      <c r="OXZ4" s="1114"/>
      <c r="OYA4" s="1114"/>
      <c r="OYB4" s="1114"/>
      <c r="OYC4" s="1114"/>
      <c r="OYD4" s="1114"/>
      <c r="OYE4" s="1114"/>
      <c r="OYF4" s="1114"/>
      <c r="OYG4" s="1114"/>
      <c r="OYH4" s="1114"/>
      <c r="OYI4" s="1114"/>
      <c r="OYJ4" s="1114"/>
      <c r="OYK4" s="1114"/>
      <c r="OYL4" s="1114"/>
      <c r="OYM4" s="1114"/>
      <c r="OYN4" s="1114"/>
      <c r="OYO4" s="1114"/>
      <c r="OYP4" s="1114"/>
      <c r="OYQ4" s="1114"/>
      <c r="OYR4" s="1114"/>
      <c r="OYS4" s="1114"/>
      <c r="OYT4" s="1114"/>
      <c r="OYU4" s="1114"/>
      <c r="OYV4" s="1114"/>
      <c r="OYW4" s="1114"/>
      <c r="OYX4" s="1114"/>
      <c r="OYY4" s="1114"/>
      <c r="OYZ4" s="1114"/>
      <c r="OZA4" s="1114"/>
      <c r="OZB4" s="1114"/>
      <c r="OZC4" s="1114"/>
      <c r="OZD4" s="1114"/>
      <c r="OZE4" s="1114"/>
      <c r="OZF4" s="1114"/>
      <c r="OZG4" s="1114"/>
      <c r="OZH4" s="1114"/>
      <c r="OZI4" s="1114"/>
      <c r="OZJ4" s="1114"/>
      <c r="OZK4" s="1114"/>
      <c r="OZL4" s="1114"/>
      <c r="OZM4" s="1114"/>
      <c r="OZN4" s="1114"/>
      <c r="OZO4" s="1114"/>
      <c r="OZP4" s="1114"/>
      <c r="OZQ4" s="1114"/>
      <c r="OZR4" s="1114"/>
      <c r="OZS4" s="1114"/>
      <c r="OZT4" s="1114"/>
      <c r="OZU4" s="1114"/>
      <c r="OZV4" s="1114"/>
      <c r="OZW4" s="1114"/>
      <c r="OZX4" s="1114"/>
      <c r="OZY4" s="1114"/>
      <c r="OZZ4" s="1114"/>
      <c r="PAA4" s="1114"/>
      <c r="PAB4" s="1114"/>
      <c r="PAC4" s="1114"/>
      <c r="PAD4" s="1114"/>
      <c r="PAE4" s="1114"/>
      <c r="PAF4" s="1114"/>
      <c r="PAG4" s="1114"/>
      <c r="PAH4" s="1114"/>
      <c r="PAI4" s="1114"/>
      <c r="PAJ4" s="1114"/>
      <c r="PAK4" s="1114"/>
      <c r="PAL4" s="1114"/>
      <c r="PAM4" s="1114"/>
      <c r="PAN4" s="1114"/>
      <c r="PAO4" s="1114"/>
      <c r="PAP4" s="1114"/>
      <c r="PAQ4" s="1114"/>
      <c r="PAR4" s="1114"/>
      <c r="PAS4" s="1114"/>
      <c r="PAT4" s="1114"/>
      <c r="PAU4" s="1114"/>
      <c r="PAV4" s="1114"/>
      <c r="PAW4" s="1114"/>
      <c r="PAX4" s="1114"/>
      <c r="PAY4" s="1114"/>
      <c r="PAZ4" s="1114"/>
      <c r="PBA4" s="1114"/>
      <c r="PBB4" s="1114"/>
      <c r="PBC4" s="1114"/>
      <c r="PBD4" s="1114"/>
      <c r="PBE4" s="1114"/>
      <c r="PBF4" s="1114"/>
      <c r="PBG4" s="1114"/>
      <c r="PBH4" s="1114"/>
      <c r="PBI4" s="1114"/>
      <c r="PBJ4" s="1114"/>
      <c r="PBK4" s="1114"/>
      <c r="PBL4" s="1114"/>
      <c r="PBM4" s="1114"/>
      <c r="PBN4" s="1114"/>
      <c r="PBO4" s="1114"/>
      <c r="PBP4" s="1114"/>
      <c r="PBQ4" s="1114"/>
      <c r="PBR4" s="1114"/>
      <c r="PBS4" s="1114"/>
      <c r="PBT4" s="1114"/>
      <c r="PBU4" s="1114"/>
      <c r="PBV4" s="1114"/>
      <c r="PBW4" s="1114"/>
      <c r="PBX4" s="1114"/>
      <c r="PBY4" s="1114"/>
      <c r="PBZ4" s="1114"/>
      <c r="PCA4" s="1114"/>
      <c r="PCB4" s="1114"/>
      <c r="PCC4" s="1114"/>
      <c r="PCD4" s="1114"/>
      <c r="PCE4" s="1114"/>
      <c r="PCF4" s="1114"/>
      <c r="PCG4" s="1114"/>
      <c r="PCH4" s="1114"/>
      <c r="PCI4" s="1114"/>
      <c r="PCJ4" s="1114"/>
      <c r="PCK4" s="1114"/>
      <c r="PCL4" s="1114"/>
      <c r="PCM4" s="1114"/>
      <c r="PCN4" s="1114"/>
      <c r="PCO4" s="1114"/>
      <c r="PCP4" s="1114"/>
      <c r="PCQ4" s="1114"/>
      <c r="PCR4" s="1114"/>
      <c r="PCS4" s="1114"/>
      <c r="PCT4" s="1114"/>
      <c r="PCU4" s="1114"/>
      <c r="PCV4" s="1114"/>
      <c r="PCW4" s="1114"/>
      <c r="PCX4" s="1114"/>
      <c r="PCY4" s="1114"/>
      <c r="PCZ4" s="1114"/>
      <c r="PDA4" s="1114"/>
      <c r="PDB4" s="1114"/>
      <c r="PDC4" s="1114"/>
      <c r="PDD4" s="1114"/>
      <c r="PDE4" s="1114"/>
      <c r="PDF4" s="1114"/>
      <c r="PDG4" s="1114"/>
      <c r="PDH4" s="1114"/>
      <c r="PDI4" s="1114"/>
      <c r="PDJ4" s="1114"/>
      <c r="PDK4" s="1114"/>
      <c r="PDL4" s="1114"/>
      <c r="PDM4" s="1114"/>
      <c r="PDN4" s="1114"/>
      <c r="PDO4" s="1114"/>
      <c r="PDP4" s="1114"/>
      <c r="PDQ4" s="1114"/>
      <c r="PDR4" s="1114"/>
      <c r="PDS4" s="1114"/>
      <c r="PDT4" s="1114"/>
      <c r="PDU4" s="1114"/>
      <c r="PDV4" s="1114"/>
      <c r="PDW4" s="1114"/>
      <c r="PDX4" s="1114"/>
      <c r="PDY4" s="1114"/>
      <c r="PDZ4" s="1114"/>
      <c r="PEA4" s="1114"/>
      <c r="PEB4" s="1114"/>
      <c r="PEC4" s="1114"/>
      <c r="PED4" s="1114"/>
      <c r="PEE4" s="1114"/>
      <c r="PEF4" s="1114"/>
      <c r="PEG4" s="1114"/>
      <c r="PEH4" s="1114"/>
      <c r="PEI4" s="1114"/>
      <c r="PEJ4" s="1114"/>
      <c r="PEK4" s="1114"/>
      <c r="PEL4" s="1114"/>
      <c r="PEM4" s="1114"/>
      <c r="PEN4" s="1114"/>
      <c r="PEO4" s="1114"/>
      <c r="PEP4" s="1114"/>
      <c r="PEQ4" s="1114"/>
      <c r="PER4" s="1114"/>
      <c r="PES4" s="1114"/>
      <c r="PET4" s="1114"/>
      <c r="PEU4" s="1114"/>
      <c r="PEV4" s="1114"/>
      <c r="PEW4" s="1114"/>
      <c r="PEX4" s="1114"/>
      <c r="PEY4" s="1114"/>
      <c r="PEZ4" s="1114"/>
      <c r="PFA4" s="1114"/>
      <c r="PFB4" s="1114"/>
      <c r="PFC4" s="1114"/>
      <c r="PFD4" s="1114"/>
      <c r="PFE4" s="1114"/>
      <c r="PFF4" s="1114"/>
      <c r="PFG4" s="1114"/>
      <c r="PFH4" s="1114"/>
      <c r="PFI4" s="1114"/>
      <c r="PFJ4" s="1114"/>
      <c r="PFK4" s="1114"/>
      <c r="PFL4" s="1114"/>
      <c r="PFM4" s="1114"/>
      <c r="PFN4" s="1114"/>
      <c r="PFO4" s="1114"/>
      <c r="PFP4" s="1114"/>
      <c r="PFQ4" s="1114"/>
      <c r="PFR4" s="1114"/>
      <c r="PFS4" s="1114"/>
      <c r="PFT4" s="1114"/>
      <c r="PFU4" s="1114"/>
      <c r="PFV4" s="1114"/>
      <c r="PFW4" s="1114"/>
      <c r="PFX4" s="1114"/>
      <c r="PFY4" s="1114"/>
      <c r="PFZ4" s="1114"/>
      <c r="PGA4" s="1114"/>
      <c r="PGB4" s="1114"/>
      <c r="PGC4" s="1114"/>
      <c r="PGD4" s="1114"/>
      <c r="PGE4" s="1114"/>
      <c r="PGF4" s="1114"/>
      <c r="PGG4" s="1114"/>
      <c r="PGH4" s="1114"/>
      <c r="PGI4" s="1114"/>
      <c r="PGJ4" s="1114"/>
      <c r="PGK4" s="1114"/>
      <c r="PGL4" s="1114"/>
      <c r="PGM4" s="1114"/>
      <c r="PGN4" s="1114"/>
      <c r="PGO4" s="1114"/>
      <c r="PGP4" s="1114"/>
      <c r="PGQ4" s="1114"/>
      <c r="PGR4" s="1114"/>
      <c r="PGS4" s="1114"/>
      <c r="PGT4" s="1114"/>
      <c r="PGU4" s="1114"/>
      <c r="PGV4" s="1114"/>
      <c r="PGW4" s="1114"/>
      <c r="PGX4" s="1114"/>
      <c r="PGY4" s="1114"/>
      <c r="PGZ4" s="1114"/>
      <c r="PHA4" s="1114"/>
      <c r="PHB4" s="1114"/>
      <c r="PHC4" s="1114"/>
      <c r="PHD4" s="1114"/>
      <c r="PHE4" s="1114"/>
      <c r="PHF4" s="1114"/>
      <c r="PHG4" s="1114"/>
      <c r="PHH4" s="1114"/>
      <c r="PHI4" s="1114"/>
      <c r="PHJ4" s="1114"/>
      <c r="PHK4" s="1114"/>
      <c r="PHL4" s="1114"/>
      <c r="PHM4" s="1114"/>
      <c r="PHN4" s="1114"/>
      <c r="PHO4" s="1114"/>
      <c r="PHP4" s="1114"/>
      <c r="PHQ4" s="1114"/>
      <c r="PHR4" s="1114"/>
      <c r="PHS4" s="1114"/>
      <c r="PHT4" s="1114"/>
      <c r="PHU4" s="1114"/>
      <c r="PHV4" s="1114"/>
      <c r="PHW4" s="1114"/>
      <c r="PHX4" s="1114"/>
      <c r="PHY4" s="1114"/>
      <c r="PHZ4" s="1114"/>
      <c r="PIA4" s="1114"/>
      <c r="PIB4" s="1114"/>
      <c r="PIC4" s="1114"/>
      <c r="PID4" s="1114"/>
      <c r="PIE4" s="1114"/>
      <c r="PIF4" s="1114"/>
      <c r="PIG4" s="1114"/>
      <c r="PIH4" s="1114"/>
      <c r="PII4" s="1114"/>
      <c r="PIJ4" s="1114"/>
      <c r="PIK4" s="1114"/>
      <c r="PIL4" s="1114"/>
      <c r="PIM4" s="1114"/>
      <c r="PIN4" s="1114"/>
      <c r="PIO4" s="1114"/>
      <c r="PIP4" s="1114"/>
      <c r="PIQ4" s="1114"/>
      <c r="PIR4" s="1114"/>
      <c r="PIS4" s="1114"/>
      <c r="PIT4" s="1114"/>
      <c r="PIU4" s="1114"/>
      <c r="PIV4" s="1114"/>
      <c r="PIW4" s="1114"/>
      <c r="PIX4" s="1114"/>
      <c r="PIY4" s="1114"/>
      <c r="PIZ4" s="1114"/>
      <c r="PJA4" s="1114"/>
      <c r="PJB4" s="1114"/>
      <c r="PJC4" s="1114"/>
      <c r="PJD4" s="1114"/>
      <c r="PJE4" s="1114"/>
      <c r="PJF4" s="1114"/>
      <c r="PJG4" s="1114"/>
      <c r="PJH4" s="1114"/>
      <c r="PJI4" s="1114"/>
      <c r="PJJ4" s="1114"/>
      <c r="PJK4" s="1114"/>
      <c r="PJL4" s="1114"/>
      <c r="PJM4" s="1114"/>
      <c r="PJN4" s="1114"/>
      <c r="PJO4" s="1114"/>
      <c r="PJP4" s="1114"/>
      <c r="PJQ4" s="1114"/>
      <c r="PJR4" s="1114"/>
      <c r="PJS4" s="1114"/>
      <c r="PJT4" s="1114"/>
      <c r="PJU4" s="1114"/>
      <c r="PJV4" s="1114"/>
      <c r="PJW4" s="1114"/>
      <c r="PJX4" s="1114"/>
      <c r="PJY4" s="1114"/>
      <c r="PJZ4" s="1114"/>
      <c r="PKA4" s="1114"/>
      <c r="PKB4" s="1114"/>
      <c r="PKC4" s="1114"/>
      <c r="PKD4" s="1114"/>
      <c r="PKE4" s="1114"/>
      <c r="PKF4" s="1114"/>
      <c r="PKG4" s="1114"/>
      <c r="PKH4" s="1114"/>
      <c r="PKI4" s="1114"/>
      <c r="PKJ4" s="1114"/>
      <c r="PKK4" s="1114"/>
      <c r="PKL4" s="1114"/>
      <c r="PKM4" s="1114"/>
      <c r="PKN4" s="1114"/>
      <c r="PKO4" s="1114"/>
      <c r="PKP4" s="1114"/>
      <c r="PKQ4" s="1114"/>
      <c r="PKR4" s="1114"/>
      <c r="PKS4" s="1114"/>
      <c r="PKT4" s="1114"/>
      <c r="PKU4" s="1114"/>
      <c r="PKV4" s="1114"/>
      <c r="PKW4" s="1114"/>
      <c r="PKX4" s="1114"/>
      <c r="PKY4" s="1114"/>
      <c r="PKZ4" s="1114"/>
      <c r="PLA4" s="1114"/>
      <c r="PLB4" s="1114"/>
      <c r="PLC4" s="1114"/>
      <c r="PLD4" s="1114"/>
      <c r="PLE4" s="1114"/>
      <c r="PLF4" s="1114"/>
      <c r="PLG4" s="1114"/>
      <c r="PLH4" s="1114"/>
      <c r="PLI4" s="1114"/>
      <c r="PLJ4" s="1114"/>
      <c r="PLK4" s="1114"/>
      <c r="PLL4" s="1114"/>
      <c r="PLM4" s="1114"/>
      <c r="PLN4" s="1114"/>
      <c r="PLO4" s="1114"/>
      <c r="PLP4" s="1114"/>
      <c r="PLQ4" s="1114"/>
      <c r="PLR4" s="1114"/>
      <c r="PLS4" s="1114"/>
      <c r="PLT4" s="1114"/>
      <c r="PLU4" s="1114"/>
      <c r="PLV4" s="1114"/>
      <c r="PLW4" s="1114"/>
      <c r="PLX4" s="1114"/>
      <c r="PLY4" s="1114"/>
      <c r="PLZ4" s="1114"/>
      <c r="PMA4" s="1114"/>
      <c r="PMB4" s="1114"/>
      <c r="PMC4" s="1114"/>
      <c r="PMD4" s="1114"/>
      <c r="PME4" s="1114"/>
      <c r="PMF4" s="1114"/>
      <c r="PMG4" s="1114"/>
      <c r="PMH4" s="1114"/>
      <c r="PMI4" s="1114"/>
      <c r="PMJ4" s="1114"/>
      <c r="PMK4" s="1114"/>
      <c r="PML4" s="1114"/>
      <c r="PMM4" s="1114"/>
      <c r="PMN4" s="1114"/>
      <c r="PMO4" s="1114"/>
      <c r="PMP4" s="1114"/>
      <c r="PMQ4" s="1114"/>
      <c r="PMR4" s="1114"/>
      <c r="PMS4" s="1114"/>
      <c r="PMT4" s="1114"/>
      <c r="PMU4" s="1114"/>
      <c r="PMV4" s="1114"/>
      <c r="PMW4" s="1114"/>
      <c r="PMX4" s="1114"/>
      <c r="PMY4" s="1114"/>
      <c r="PMZ4" s="1114"/>
      <c r="PNA4" s="1114"/>
      <c r="PNB4" s="1114"/>
      <c r="PNC4" s="1114"/>
      <c r="PND4" s="1114"/>
      <c r="PNE4" s="1114"/>
      <c r="PNF4" s="1114"/>
      <c r="PNG4" s="1114"/>
      <c r="PNH4" s="1114"/>
      <c r="PNI4" s="1114"/>
      <c r="PNJ4" s="1114"/>
      <c r="PNK4" s="1114"/>
      <c r="PNL4" s="1114"/>
      <c r="PNM4" s="1114"/>
      <c r="PNN4" s="1114"/>
      <c r="PNO4" s="1114"/>
      <c r="PNP4" s="1114"/>
      <c r="PNQ4" s="1114"/>
      <c r="PNR4" s="1114"/>
      <c r="PNS4" s="1114"/>
      <c r="PNT4" s="1114"/>
      <c r="PNU4" s="1114"/>
      <c r="PNV4" s="1114"/>
      <c r="PNW4" s="1114"/>
      <c r="PNX4" s="1114"/>
      <c r="PNY4" s="1114"/>
      <c r="PNZ4" s="1114"/>
      <c r="POA4" s="1114"/>
      <c r="POB4" s="1114"/>
      <c r="POC4" s="1114"/>
      <c r="POD4" s="1114"/>
      <c r="POE4" s="1114"/>
      <c r="POF4" s="1114"/>
      <c r="POG4" s="1114"/>
      <c r="POH4" s="1114"/>
      <c r="POI4" s="1114"/>
      <c r="POJ4" s="1114"/>
      <c r="POK4" s="1114"/>
      <c r="POL4" s="1114"/>
      <c r="POM4" s="1114"/>
      <c r="PON4" s="1114"/>
      <c r="POO4" s="1114"/>
      <c r="POP4" s="1114"/>
      <c r="POQ4" s="1114"/>
      <c r="POR4" s="1114"/>
      <c r="POS4" s="1114"/>
      <c r="POT4" s="1114"/>
      <c r="POU4" s="1114"/>
      <c r="POV4" s="1114"/>
      <c r="POW4" s="1114"/>
      <c r="POX4" s="1114"/>
      <c r="POY4" s="1114"/>
      <c r="POZ4" s="1114"/>
      <c r="PPA4" s="1114"/>
      <c r="PPB4" s="1114"/>
      <c r="PPC4" s="1114"/>
      <c r="PPD4" s="1114"/>
      <c r="PPE4" s="1114"/>
      <c r="PPF4" s="1114"/>
      <c r="PPG4" s="1114"/>
      <c r="PPH4" s="1114"/>
      <c r="PPI4" s="1114"/>
      <c r="PPJ4" s="1114"/>
      <c r="PPK4" s="1114"/>
      <c r="PPL4" s="1114"/>
      <c r="PPM4" s="1114"/>
      <c r="PPN4" s="1114"/>
      <c r="PPO4" s="1114"/>
      <c r="PPP4" s="1114"/>
      <c r="PPQ4" s="1114"/>
      <c r="PPR4" s="1114"/>
      <c r="PPS4" s="1114"/>
      <c r="PPT4" s="1114"/>
      <c r="PPU4" s="1114"/>
      <c r="PPV4" s="1114"/>
      <c r="PPW4" s="1114"/>
      <c r="PPX4" s="1114"/>
      <c r="PPY4" s="1114"/>
      <c r="PPZ4" s="1114"/>
      <c r="PQA4" s="1114"/>
      <c r="PQB4" s="1114"/>
      <c r="PQC4" s="1114"/>
      <c r="PQD4" s="1114"/>
      <c r="PQE4" s="1114"/>
      <c r="PQF4" s="1114"/>
      <c r="PQG4" s="1114"/>
      <c r="PQH4" s="1114"/>
      <c r="PQI4" s="1114"/>
      <c r="PQJ4" s="1114"/>
      <c r="PQK4" s="1114"/>
      <c r="PQL4" s="1114"/>
      <c r="PQM4" s="1114"/>
      <c r="PQN4" s="1114"/>
      <c r="PQO4" s="1114"/>
      <c r="PQP4" s="1114"/>
      <c r="PQQ4" s="1114"/>
      <c r="PQR4" s="1114"/>
      <c r="PQS4" s="1114"/>
      <c r="PQT4" s="1114"/>
      <c r="PQU4" s="1114"/>
      <c r="PQV4" s="1114"/>
      <c r="PQW4" s="1114"/>
      <c r="PQX4" s="1114"/>
      <c r="PQY4" s="1114"/>
      <c r="PQZ4" s="1114"/>
      <c r="PRA4" s="1114"/>
      <c r="PRB4" s="1114"/>
      <c r="PRC4" s="1114"/>
      <c r="PRD4" s="1114"/>
      <c r="PRE4" s="1114"/>
      <c r="PRF4" s="1114"/>
      <c r="PRG4" s="1114"/>
      <c r="PRH4" s="1114"/>
      <c r="PRI4" s="1114"/>
      <c r="PRJ4" s="1114"/>
      <c r="PRK4" s="1114"/>
      <c r="PRL4" s="1114"/>
      <c r="PRM4" s="1114"/>
      <c r="PRN4" s="1114"/>
      <c r="PRO4" s="1114"/>
      <c r="PRP4" s="1114"/>
      <c r="PRQ4" s="1114"/>
      <c r="PRR4" s="1114"/>
      <c r="PRS4" s="1114"/>
      <c r="PRT4" s="1114"/>
      <c r="PRU4" s="1114"/>
      <c r="PRV4" s="1114"/>
      <c r="PRW4" s="1114"/>
      <c r="PRX4" s="1114"/>
      <c r="PRY4" s="1114"/>
      <c r="PRZ4" s="1114"/>
      <c r="PSA4" s="1114"/>
      <c r="PSB4" s="1114"/>
      <c r="PSC4" s="1114"/>
      <c r="PSD4" s="1114"/>
      <c r="PSE4" s="1114"/>
      <c r="PSF4" s="1114"/>
      <c r="PSG4" s="1114"/>
      <c r="PSH4" s="1114"/>
      <c r="PSI4" s="1114"/>
      <c r="PSJ4" s="1114"/>
      <c r="PSK4" s="1114"/>
      <c r="PSL4" s="1114"/>
      <c r="PSM4" s="1114"/>
      <c r="PSN4" s="1114"/>
      <c r="PSO4" s="1114"/>
      <c r="PSP4" s="1114"/>
      <c r="PSQ4" s="1114"/>
      <c r="PSR4" s="1114"/>
      <c r="PSS4" s="1114"/>
      <c r="PST4" s="1114"/>
      <c r="PSU4" s="1114"/>
      <c r="PSV4" s="1114"/>
      <c r="PSW4" s="1114"/>
      <c r="PSX4" s="1114"/>
      <c r="PSY4" s="1114"/>
      <c r="PSZ4" s="1114"/>
      <c r="PTA4" s="1114"/>
      <c r="PTB4" s="1114"/>
      <c r="PTC4" s="1114"/>
      <c r="PTD4" s="1114"/>
      <c r="PTE4" s="1114"/>
      <c r="PTF4" s="1114"/>
      <c r="PTG4" s="1114"/>
      <c r="PTH4" s="1114"/>
      <c r="PTI4" s="1114"/>
      <c r="PTJ4" s="1114"/>
      <c r="PTK4" s="1114"/>
      <c r="PTL4" s="1114"/>
      <c r="PTM4" s="1114"/>
      <c r="PTN4" s="1114"/>
      <c r="PTO4" s="1114"/>
      <c r="PTP4" s="1114"/>
      <c r="PTQ4" s="1114"/>
      <c r="PTR4" s="1114"/>
      <c r="PTS4" s="1114"/>
      <c r="PTT4" s="1114"/>
      <c r="PTU4" s="1114"/>
      <c r="PTV4" s="1114"/>
      <c r="PTW4" s="1114"/>
      <c r="PTX4" s="1114"/>
      <c r="PTY4" s="1114"/>
      <c r="PTZ4" s="1114"/>
      <c r="PUA4" s="1114"/>
      <c r="PUB4" s="1114"/>
      <c r="PUC4" s="1114"/>
      <c r="PUD4" s="1114"/>
      <c r="PUE4" s="1114"/>
      <c r="PUF4" s="1114"/>
      <c r="PUG4" s="1114"/>
      <c r="PUH4" s="1114"/>
      <c r="PUI4" s="1114"/>
      <c r="PUJ4" s="1114"/>
      <c r="PUK4" s="1114"/>
      <c r="PUL4" s="1114"/>
      <c r="PUM4" s="1114"/>
      <c r="PUN4" s="1114"/>
      <c r="PUO4" s="1114"/>
      <c r="PUP4" s="1114"/>
      <c r="PUQ4" s="1114"/>
      <c r="PUR4" s="1114"/>
      <c r="PUS4" s="1114"/>
      <c r="PUT4" s="1114"/>
      <c r="PUU4" s="1114"/>
      <c r="PUV4" s="1114"/>
      <c r="PUW4" s="1114"/>
      <c r="PUX4" s="1114"/>
      <c r="PUY4" s="1114"/>
      <c r="PUZ4" s="1114"/>
      <c r="PVA4" s="1114"/>
      <c r="PVB4" s="1114"/>
      <c r="PVC4" s="1114"/>
      <c r="PVD4" s="1114"/>
      <c r="PVE4" s="1114"/>
      <c r="PVF4" s="1114"/>
      <c r="PVG4" s="1114"/>
      <c r="PVH4" s="1114"/>
      <c r="PVI4" s="1114"/>
      <c r="PVJ4" s="1114"/>
      <c r="PVK4" s="1114"/>
      <c r="PVL4" s="1114"/>
      <c r="PVM4" s="1114"/>
      <c r="PVN4" s="1114"/>
      <c r="PVO4" s="1114"/>
      <c r="PVP4" s="1114"/>
      <c r="PVQ4" s="1114"/>
      <c r="PVR4" s="1114"/>
      <c r="PVS4" s="1114"/>
      <c r="PVT4" s="1114"/>
      <c r="PVU4" s="1114"/>
      <c r="PVV4" s="1114"/>
      <c r="PVW4" s="1114"/>
      <c r="PVX4" s="1114"/>
      <c r="PVY4" s="1114"/>
      <c r="PVZ4" s="1114"/>
      <c r="PWA4" s="1114"/>
      <c r="PWB4" s="1114"/>
      <c r="PWC4" s="1114"/>
      <c r="PWD4" s="1114"/>
      <c r="PWE4" s="1114"/>
      <c r="PWF4" s="1114"/>
      <c r="PWG4" s="1114"/>
      <c r="PWH4" s="1114"/>
      <c r="PWI4" s="1114"/>
      <c r="PWJ4" s="1114"/>
      <c r="PWK4" s="1114"/>
      <c r="PWL4" s="1114"/>
      <c r="PWM4" s="1114"/>
      <c r="PWN4" s="1114"/>
      <c r="PWO4" s="1114"/>
      <c r="PWP4" s="1114"/>
      <c r="PWQ4" s="1114"/>
      <c r="PWR4" s="1114"/>
      <c r="PWS4" s="1114"/>
      <c r="PWT4" s="1114"/>
      <c r="PWU4" s="1114"/>
      <c r="PWV4" s="1114"/>
      <c r="PWW4" s="1114"/>
      <c r="PWX4" s="1114"/>
      <c r="PWY4" s="1114"/>
      <c r="PWZ4" s="1114"/>
      <c r="PXA4" s="1114"/>
      <c r="PXB4" s="1114"/>
      <c r="PXC4" s="1114"/>
      <c r="PXD4" s="1114"/>
      <c r="PXE4" s="1114"/>
      <c r="PXF4" s="1114"/>
      <c r="PXG4" s="1114"/>
      <c r="PXH4" s="1114"/>
      <c r="PXI4" s="1114"/>
      <c r="PXJ4" s="1114"/>
      <c r="PXK4" s="1114"/>
      <c r="PXL4" s="1114"/>
      <c r="PXM4" s="1114"/>
      <c r="PXN4" s="1114"/>
      <c r="PXO4" s="1114"/>
      <c r="PXP4" s="1114"/>
      <c r="PXQ4" s="1114"/>
      <c r="PXR4" s="1114"/>
      <c r="PXS4" s="1114"/>
      <c r="PXT4" s="1114"/>
      <c r="PXU4" s="1114"/>
      <c r="PXV4" s="1114"/>
      <c r="PXW4" s="1114"/>
      <c r="PXX4" s="1114"/>
      <c r="PXY4" s="1114"/>
      <c r="PXZ4" s="1114"/>
      <c r="PYA4" s="1114"/>
      <c r="PYB4" s="1114"/>
      <c r="PYC4" s="1114"/>
      <c r="PYD4" s="1114"/>
      <c r="PYE4" s="1114"/>
      <c r="PYF4" s="1114"/>
      <c r="PYG4" s="1114"/>
      <c r="PYH4" s="1114"/>
      <c r="PYI4" s="1114"/>
      <c r="PYJ4" s="1114"/>
      <c r="PYK4" s="1114"/>
      <c r="PYL4" s="1114"/>
      <c r="PYM4" s="1114"/>
      <c r="PYN4" s="1114"/>
      <c r="PYO4" s="1114"/>
      <c r="PYP4" s="1114"/>
      <c r="PYQ4" s="1114"/>
      <c r="PYR4" s="1114"/>
      <c r="PYS4" s="1114"/>
      <c r="PYT4" s="1114"/>
      <c r="PYU4" s="1114"/>
      <c r="PYV4" s="1114"/>
      <c r="PYW4" s="1114"/>
      <c r="PYX4" s="1114"/>
      <c r="PYY4" s="1114"/>
      <c r="PYZ4" s="1114"/>
      <c r="PZA4" s="1114"/>
      <c r="PZB4" s="1114"/>
      <c r="PZC4" s="1114"/>
      <c r="PZD4" s="1114"/>
      <c r="PZE4" s="1114"/>
      <c r="PZF4" s="1114"/>
      <c r="PZG4" s="1114"/>
      <c r="PZH4" s="1114"/>
      <c r="PZI4" s="1114"/>
      <c r="PZJ4" s="1114"/>
      <c r="PZK4" s="1114"/>
      <c r="PZL4" s="1114"/>
      <c r="PZM4" s="1114"/>
      <c r="PZN4" s="1114"/>
      <c r="PZO4" s="1114"/>
      <c r="PZP4" s="1114"/>
      <c r="PZQ4" s="1114"/>
      <c r="PZR4" s="1114"/>
      <c r="PZS4" s="1114"/>
      <c r="PZT4" s="1114"/>
      <c r="PZU4" s="1114"/>
      <c r="PZV4" s="1114"/>
      <c r="PZW4" s="1114"/>
      <c r="PZX4" s="1114"/>
      <c r="PZY4" s="1114"/>
      <c r="PZZ4" s="1114"/>
      <c r="QAA4" s="1114"/>
      <c r="QAB4" s="1114"/>
      <c r="QAC4" s="1114"/>
      <c r="QAD4" s="1114"/>
      <c r="QAE4" s="1114"/>
      <c r="QAF4" s="1114"/>
      <c r="QAG4" s="1114"/>
      <c r="QAH4" s="1114"/>
      <c r="QAI4" s="1114"/>
      <c r="QAJ4" s="1114"/>
      <c r="QAK4" s="1114"/>
      <c r="QAL4" s="1114"/>
      <c r="QAM4" s="1114"/>
      <c r="QAN4" s="1114"/>
      <c r="QAO4" s="1114"/>
      <c r="QAP4" s="1114"/>
      <c r="QAQ4" s="1114"/>
      <c r="QAR4" s="1114"/>
      <c r="QAS4" s="1114"/>
      <c r="QAT4" s="1114"/>
      <c r="QAU4" s="1114"/>
      <c r="QAV4" s="1114"/>
      <c r="QAW4" s="1114"/>
      <c r="QAX4" s="1114"/>
      <c r="QAY4" s="1114"/>
      <c r="QAZ4" s="1114"/>
      <c r="QBA4" s="1114"/>
      <c r="QBB4" s="1114"/>
      <c r="QBC4" s="1114"/>
      <c r="QBD4" s="1114"/>
      <c r="QBE4" s="1114"/>
      <c r="QBF4" s="1114"/>
      <c r="QBG4" s="1114"/>
      <c r="QBH4" s="1114"/>
      <c r="QBI4" s="1114"/>
      <c r="QBJ4" s="1114"/>
      <c r="QBK4" s="1114"/>
      <c r="QBL4" s="1114"/>
      <c r="QBM4" s="1114"/>
      <c r="QBN4" s="1114"/>
      <c r="QBO4" s="1114"/>
      <c r="QBP4" s="1114"/>
      <c r="QBQ4" s="1114"/>
      <c r="QBR4" s="1114"/>
      <c r="QBS4" s="1114"/>
      <c r="QBT4" s="1114"/>
      <c r="QBU4" s="1114"/>
      <c r="QBV4" s="1114"/>
      <c r="QBW4" s="1114"/>
      <c r="QBX4" s="1114"/>
      <c r="QBY4" s="1114"/>
      <c r="QBZ4" s="1114"/>
      <c r="QCA4" s="1114"/>
      <c r="QCB4" s="1114"/>
      <c r="QCC4" s="1114"/>
      <c r="QCD4" s="1114"/>
      <c r="QCE4" s="1114"/>
      <c r="QCF4" s="1114"/>
      <c r="QCG4" s="1114"/>
      <c r="QCH4" s="1114"/>
      <c r="QCI4" s="1114"/>
      <c r="QCJ4" s="1114"/>
      <c r="QCK4" s="1114"/>
      <c r="QCL4" s="1114"/>
      <c r="QCM4" s="1114"/>
      <c r="QCN4" s="1114"/>
      <c r="QCO4" s="1114"/>
      <c r="QCP4" s="1114"/>
      <c r="QCQ4" s="1114"/>
      <c r="QCR4" s="1114"/>
      <c r="QCS4" s="1114"/>
      <c r="QCT4" s="1114"/>
      <c r="QCU4" s="1114"/>
      <c r="QCV4" s="1114"/>
      <c r="QCW4" s="1114"/>
      <c r="QCX4" s="1114"/>
      <c r="QCY4" s="1114"/>
      <c r="QCZ4" s="1114"/>
      <c r="QDA4" s="1114"/>
      <c r="QDB4" s="1114"/>
      <c r="QDC4" s="1114"/>
      <c r="QDD4" s="1114"/>
      <c r="QDE4" s="1114"/>
      <c r="QDF4" s="1114"/>
      <c r="QDG4" s="1114"/>
      <c r="QDH4" s="1114"/>
      <c r="QDI4" s="1114"/>
      <c r="QDJ4" s="1114"/>
      <c r="QDK4" s="1114"/>
      <c r="QDL4" s="1114"/>
      <c r="QDM4" s="1114"/>
      <c r="QDN4" s="1114"/>
      <c r="QDO4" s="1114"/>
      <c r="QDP4" s="1114"/>
      <c r="QDQ4" s="1114"/>
      <c r="QDR4" s="1114"/>
      <c r="QDS4" s="1114"/>
      <c r="QDT4" s="1114"/>
      <c r="QDU4" s="1114"/>
      <c r="QDV4" s="1114"/>
      <c r="QDW4" s="1114"/>
      <c r="QDX4" s="1114"/>
      <c r="QDY4" s="1114"/>
      <c r="QDZ4" s="1114"/>
      <c r="QEA4" s="1114"/>
      <c r="QEB4" s="1114"/>
      <c r="QEC4" s="1114"/>
      <c r="QED4" s="1114"/>
      <c r="QEE4" s="1114"/>
      <c r="QEF4" s="1114"/>
      <c r="QEG4" s="1114"/>
      <c r="QEH4" s="1114"/>
      <c r="QEI4" s="1114"/>
      <c r="QEJ4" s="1114"/>
      <c r="QEK4" s="1114"/>
      <c r="QEL4" s="1114"/>
      <c r="QEM4" s="1114"/>
      <c r="QEN4" s="1114"/>
      <c r="QEO4" s="1114"/>
      <c r="QEP4" s="1114"/>
      <c r="QEQ4" s="1114"/>
      <c r="QER4" s="1114"/>
      <c r="QES4" s="1114"/>
      <c r="QET4" s="1114"/>
      <c r="QEU4" s="1114"/>
      <c r="QEV4" s="1114"/>
      <c r="QEW4" s="1114"/>
      <c r="QEX4" s="1114"/>
      <c r="QEY4" s="1114"/>
      <c r="QEZ4" s="1114"/>
      <c r="QFA4" s="1114"/>
      <c r="QFB4" s="1114"/>
      <c r="QFC4" s="1114"/>
      <c r="QFD4" s="1114"/>
      <c r="QFE4" s="1114"/>
      <c r="QFF4" s="1114"/>
      <c r="QFG4" s="1114"/>
      <c r="QFH4" s="1114"/>
      <c r="QFI4" s="1114"/>
      <c r="QFJ4" s="1114"/>
      <c r="QFK4" s="1114"/>
      <c r="QFL4" s="1114"/>
      <c r="QFM4" s="1114"/>
      <c r="QFN4" s="1114"/>
      <c r="QFO4" s="1114"/>
      <c r="QFP4" s="1114"/>
      <c r="QFQ4" s="1114"/>
      <c r="QFR4" s="1114"/>
      <c r="QFS4" s="1114"/>
      <c r="QFT4" s="1114"/>
      <c r="QFU4" s="1114"/>
      <c r="QFV4" s="1114"/>
      <c r="QFW4" s="1114"/>
      <c r="QFX4" s="1114"/>
      <c r="QFY4" s="1114"/>
      <c r="QFZ4" s="1114"/>
      <c r="QGA4" s="1114"/>
      <c r="QGB4" s="1114"/>
      <c r="QGC4" s="1114"/>
      <c r="QGD4" s="1114"/>
      <c r="QGE4" s="1114"/>
      <c r="QGF4" s="1114"/>
      <c r="QGG4" s="1114"/>
      <c r="QGH4" s="1114"/>
      <c r="QGI4" s="1114"/>
      <c r="QGJ4" s="1114"/>
      <c r="QGK4" s="1114"/>
      <c r="QGL4" s="1114"/>
      <c r="QGM4" s="1114"/>
      <c r="QGN4" s="1114"/>
      <c r="QGO4" s="1114"/>
      <c r="QGP4" s="1114"/>
      <c r="QGQ4" s="1114"/>
      <c r="QGR4" s="1114"/>
      <c r="QGS4" s="1114"/>
      <c r="QGT4" s="1114"/>
      <c r="QGU4" s="1114"/>
      <c r="QGV4" s="1114"/>
      <c r="QGW4" s="1114"/>
      <c r="QGX4" s="1114"/>
      <c r="QGY4" s="1114"/>
      <c r="QGZ4" s="1114"/>
      <c r="QHA4" s="1114"/>
      <c r="QHB4" s="1114"/>
      <c r="QHC4" s="1114"/>
      <c r="QHD4" s="1114"/>
      <c r="QHE4" s="1114"/>
      <c r="QHF4" s="1114"/>
      <c r="QHG4" s="1114"/>
      <c r="QHH4" s="1114"/>
      <c r="QHI4" s="1114"/>
      <c r="QHJ4" s="1114"/>
      <c r="QHK4" s="1114"/>
      <c r="QHL4" s="1114"/>
      <c r="QHM4" s="1114"/>
      <c r="QHN4" s="1114"/>
      <c r="QHO4" s="1114"/>
      <c r="QHP4" s="1114"/>
      <c r="QHQ4" s="1114"/>
      <c r="QHR4" s="1114"/>
      <c r="QHS4" s="1114"/>
      <c r="QHT4" s="1114"/>
      <c r="QHU4" s="1114"/>
      <c r="QHV4" s="1114"/>
      <c r="QHW4" s="1114"/>
      <c r="QHX4" s="1114"/>
      <c r="QHY4" s="1114"/>
      <c r="QHZ4" s="1114"/>
      <c r="QIA4" s="1114"/>
      <c r="QIB4" s="1114"/>
      <c r="QIC4" s="1114"/>
      <c r="QID4" s="1114"/>
      <c r="QIE4" s="1114"/>
      <c r="QIF4" s="1114"/>
      <c r="QIG4" s="1114"/>
      <c r="QIH4" s="1114"/>
      <c r="QII4" s="1114"/>
      <c r="QIJ4" s="1114"/>
      <c r="QIK4" s="1114"/>
      <c r="QIL4" s="1114"/>
      <c r="QIM4" s="1114"/>
      <c r="QIN4" s="1114"/>
      <c r="QIO4" s="1114"/>
      <c r="QIP4" s="1114"/>
      <c r="QIQ4" s="1114"/>
      <c r="QIR4" s="1114"/>
      <c r="QIS4" s="1114"/>
      <c r="QIT4" s="1114"/>
      <c r="QIU4" s="1114"/>
      <c r="QIV4" s="1114"/>
      <c r="QIW4" s="1114"/>
      <c r="QIX4" s="1114"/>
      <c r="QIY4" s="1114"/>
      <c r="QIZ4" s="1114"/>
      <c r="QJA4" s="1114"/>
      <c r="QJB4" s="1114"/>
      <c r="QJC4" s="1114"/>
      <c r="QJD4" s="1114"/>
      <c r="QJE4" s="1114"/>
      <c r="QJF4" s="1114"/>
      <c r="QJG4" s="1114"/>
      <c r="QJH4" s="1114"/>
      <c r="QJI4" s="1114"/>
      <c r="QJJ4" s="1114"/>
      <c r="QJK4" s="1114"/>
      <c r="QJL4" s="1114"/>
      <c r="QJM4" s="1114"/>
      <c r="QJN4" s="1114"/>
      <c r="QJO4" s="1114"/>
      <c r="QJP4" s="1114"/>
      <c r="QJQ4" s="1114"/>
      <c r="QJR4" s="1114"/>
      <c r="QJS4" s="1114"/>
      <c r="QJT4" s="1114"/>
      <c r="QJU4" s="1114"/>
      <c r="QJV4" s="1114"/>
      <c r="QJW4" s="1114"/>
      <c r="QJX4" s="1114"/>
      <c r="QJY4" s="1114"/>
      <c r="QJZ4" s="1114"/>
      <c r="QKA4" s="1114"/>
      <c r="QKB4" s="1114"/>
      <c r="QKC4" s="1114"/>
      <c r="QKD4" s="1114"/>
      <c r="QKE4" s="1114"/>
      <c r="QKF4" s="1114"/>
      <c r="QKG4" s="1114"/>
      <c r="QKH4" s="1114"/>
      <c r="QKI4" s="1114"/>
      <c r="QKJ4" s="1114"/>
      <c r="QKK4" s="1114"/>
      <c r="QKL4" s="1114"/>
      <c r="QKM4" s="1114"/>
      <c r="QKN4" s="1114"/>
      <c r="QKO4" s="1114"/>
      <c r="QKP4" s="1114"/>
      <c r="QKQ4" s="1114"/>
      <c r="QKR4" s="1114"/>
      <c r="QKS4" s="1114"/>
      <c r="QKT4" s="1114"/>
      <c r="QKU4" s="1114"/>
      <c r="QKV4" s="1114"/>
      <c r="QKW4" s="1114"/>
      <c r="QKX4" s="1114"/>
      <c r="QKY4" s="1114"/>
      <c r="QKZ4" s="1114"/>
      <c r="QLA4" s="1114"/>
      <c r="QLB4" s="1114"/>
      <c r="QLC4" s="1114"/>
      <c r="QLD4" s="1114"/>
      <c r="QLE4" s="1114"/>
      <c r="QLF4" s="1114"/>
      <c r="QLG4" s="1114"/>
      <c r="QLH4" s="1114"/>
      <c r="QLI4" s="1114"/>
      <c r="QLJ4" s="1114"/>
      <c r="QLK4" s="1114"/>
      <c r="QLL4" s="1114"/>
      <c r="QLM4" s="1114"/>
      <c r="QLN4" s="1114"/>
      <c r="QLO4" s="1114"/>
      <c r="QLP4" s="1114"/>
      <c r="QLQ4" s="1114"/>
      <c r="QLR4" s="1114"/>
      <c r="QLS4" s="1114"/>
      <c r="QLT4" s="1114"/>
      <c r="QLU4" s="1114"/>
      <c r="QLV4" s="1114"/>
      <c r="QLW4" s="1114"/>
      <c r="QLX4" s="1114"/>
      <c r="QLY4" s="1114"/>
      <c r="QLZ4" s="1114"/>
      <c r="QMA4" s="1114"/>
      <c r="QMB4" s="1114"/>
      <c r="QMC4" s="1114"/>
      <c r="QMD4" s="1114"/>
      <c r="QME4" s="1114"/>
      <c r="QMF4" s="1114"/>
      <c r="QMG4" s="1114"/>
      <c r="QMH4" s="1114"/>
      <c r="QMI4" s="1114"/>
      <c r="QMJ4" s="1114"/>
      <c r="QMK4" s="1114"/>
      <c r="QML4" s="1114"/>
      <c r="QMM4" s="1114"/>
      <c r="QMN4" s="1114"/>
      <c r="QMO4" s="1114"/>
      <c r="QMP4" s="1114"/>
      <c r="QMQ4" s="1114"/>
      <c r="QMR4" s="1114"/>
      <c r="QMS4" s="1114"/>
      <c r="QMT4" s="1114"/>
      <c r="QMU4" s="1114"/>
      <c r="QMV4" s="1114"/>
      <c r="QMW4" s="1114"/>
      <c r="QMX4" s="1114"/>
      <c r="QMY4" s="1114"/>
      <c r="QMZ4" s="1114"/>
      <c r="QNA4" s="1114"/>
      <c r="QNB4" s="1114"/>
      <c r="QNC4" s="1114"/>
      <c r="QND4" s="1114"/>
      <c r="QNE4" s="1114"/>
      <c r="QNF4" s="1114"/>
      <c r="QNG4" s="1114"/>
      <c r="QNH4" s="1114"/>
      <c r="QNI4" s="1114"/>
      <c r="QNJ4" s="1114"/>
      <c r="QNK4" s="1114"/>
      <c r="QNL4" s="1114"/>
      <c r="QNM4" s="1114"/>
      <c r="QNN4" s="1114"/>
      <c r="QNO4" s="1114"/>
      <c r="QNP4" s="1114"/>
      <c r="QNQ4" s="1114"/>
      <c r="QNR4" s="1114"/>
      <c r="QNS4" s="1114"/>
      <c r="QNT4" s="1114"/>
      <c r="QNU4" s="1114"/>
      <c r="QNV4" s="1114"/>
      <c r="QNW4" s="1114"/>
      <c r="QNX4" s="1114"/>
      <c r="QNY4" s="1114"/>
      <c r="QNZ4" s="1114"/>
      <c r="QOA4" s="1114"/>
      <c r="QOB4" s="1114"/>
      <c r="QOC4" s="1114"/>
      <c r="QOD4" s="1114"/>
      <c r="QOE4" s="1114"/>
      <c r="QOF4" s="1114"/>
      <c r="QOG4" s="1114"/>
      <c r="QOH4" s="1114"/>
      <c r="QOI4" s="1114"/>
      <c r="QOJ4" s="1114"/>
      <c r="QOK4" s="1114"/>
      <c r="QOL4" s="1114"/>
      <c r="QOM4" s="1114"/>
      <c r="QON4" s="1114"/>
      <c r="QOO4" s="1114"/>
      <c r="QOP4" s="1114"/>
      <c r="QOQ4" s="1114"/>
      <c r="QOR4" s="1114"/>
      <c r="QOS4" s="1114"/>
      <c r="QOT4" s="1114"/>
      <c r="QOU4" s="1114"/>
      <c r="QOV4" s="1114"/>
      <c r="QOW4" s="1114"/>
      <c r="QOX4" s="1114"/>
      <c r="QOY4" s="1114"/>
      <c r="QOZ4" s="1114"/>
      <c r="QPA4" s="1114"/>
      <c r="QPB4" s="1114"/>
      <c r="QPC4" s="1114"/>
      <c r="QPD4" s="1114"/>
      <c r="QPE4" s="1114"/>
      <c r="QPF4" s="1114"/>
      <c r="QPG4" s="1114"/>
      <c r="QPH4" s="1114"/>
      <c r="QPI4" s="1114"/>
      <c r="QPJ4" s="1114"/>
      <c r="QPK4" s="1114"/>
      <c r="QPL4" s="1114"/>
      <c r="QPM4" s="1114"/>
      <c r="QPN4" s="1114"/>
      <c r="QPO4" s="1114"/>
      <c r="QPP4" s="1114"/>
      <c r="QPQ4" s="1114"/>
      <c r="QPR4" s="1114"/>
      <c r="QPS4" s="1114"/>
      <c r="QPT4" s="1114"/>
      <c r="QPU4" s="1114"/>
      <c r="QPV4" s="1114"/>
      <c r="QPW4" s="1114"/>
      <c r="QPX4" s="1114"/>
      <c r="QPY4" s="1114"/>
      <c r="QPZ4" s="1114"/>
      <c r="QQA4" s="1114"/>
      <c r="QQB4" s="1114"/>
      <c r="QQC4" s="1114"/>
      <c r="QQD4" s="1114"/>
      <c r="QQE4" s="1114"/>
      <c r="QQF4" s="1114"/>
      <c r="QQG4" s="1114"/>
      <c r="QQH4" s="1114"/>
      <c r="QQI4" s="1114"/>
      <c r="QQJ4" s="1114"/>
      <c r="QQK4" s="1114"/>
      <c r="QQL4" s="1114"/>
      <c r="QQM4" s="1114"/>
      <c r="QQN4" s="1114"/>
      <c r="QQO4" s="1114"/>
      <c r="QQP4" s="1114"/>
      <c r="QQQ4" s="1114"/>
      <c r="QQR4" s="1114"/>
      <c r="QQS4" s="1114"/>
      <c r="QQT4" s="1114"/>
      <c r="QQU4" s="1114"/>
      <c r="QQV4" s="1114"/>
      <c r="QQW4" s="1114"/>
      <c r="QQX4" s="1114"/>
      <c r="QQY4" s="1114"/>
      <c r="QQZ4" s="1114"/>
      <c r="QRA4" s="1114"/>
      <c r="QRB4" s="1114"/>
      <c r="QRC4" s="1114"/>
      <c r="QRD4" s="1114"/>
      <c r="QRE4" s="1114"/>
      <c r="QRF4" s="1114"/>
      <c r="QRG4" s="1114"/>
      <c r="QRH4" s="1114"/>
      <c r="QRI4" s="1114"/>
      <c r="QRJ4" s="1114"/>
      <c r="QRK4" s="1114"/>
      <c r="QRL4" s="1114"/>
      <c r="QRM4" s="1114"/>
      <c r="QRN4" s="1114"/>
      <c r="QRO4" s="1114"/>
      <c r="QRP4" s="1114"/>
      <c r="QRQ4" s="1114"/>
      <c r="QRR4" s="1114"/>
      <c r="QRS4" s="1114"/>
      <c r="QRT4" s="1114"/>
      <c r="QRU4" s="1114"/>
      <c r="QRV4" s="1114"/>
      <c r="QRW4" s="1114"/>
      <c r="QRX4" s="1114"/>
      <c r="QRY4" s="1114"/>
      <c r="QRZ4" s="1114"/>
      <c r="QSA4" s="1114"/>
      <c r="QSB4" s="1114"/>
      <c r="QSC4" s="1114"/>
      <c r="QSD4" s="1114"/>
      <c r="QSE4" s="1114"/>
      <c r="QSF4" s="1114"/>
      <c r="QSG4" s="1114"/>
      <c r="QSH4" s="1114"/>
      <c r="QSI4" s="1114"/>
      <c r="QSJ4" s="1114"/>
      <c r="QSK4" s="1114"/>
      <c r="QSL4" s="1114"/>
      <c r="QSM4" s="1114"/>
      <c r="QSN4" s="1114"/>
      <c r="QSO4" s="1114"/>
      <c r="QSP4" s="1114"/>
      <c r="QSQ4" s="1114"/>
      <c r="QSR4" s="1114"/>
      <c r="QSS4" s="1114"/>
      <c r="QST4" s="1114"/>
      <c r="QSU4" s="1114"/>
      <c r="QSV4" s="1114"/>
      <c r="QSW4" s="1114"/>
      <c r="QSX4" s="1114"/>
      <c r="QSY4" s="1114"/>
      <c r="QSZ4" s="1114"/>
      <c r="QTA4" s="1114"/>
      <c r="QTB4" s="1114"/>
      <c r="QTC4" s="1114"/>
      <c r="QTD4" s="1114"/>
      <c r="QTE4" s="1114"/>
      <c r="QTF4" s="1114"/>
      <c r="QTG4" s="1114"/>
      <c r="QTH4" s="1114"/>
      <c r="QTI4" s="1114"/>
      <c r="QTJ4" s="1114"/>
      <c r="QTK4" s="1114"/>
      <c r="QTL4" s="1114"/>
      <c r="QTM4" s="1114"/>
      <c r="QTN4" s="1114"/>
      <c r="QTO4" s="1114"/>
      <c r="QTP4" s="1114"/>
      <c r="QTQ4" s="1114"/>
      <c r="QTR4" s="1114"/>
      <c r="QTS4" s="1114"/>
      <c r="QTT4" s="1114"/>
      <c r="QTU4" s="1114"/>
      <c r="QTV4" s="1114"/>
      <c r="QTW4" s="1114"/>
      <c r="QTX4" s="1114"/>
      <c r="QTY4" s="1114"/>
      <c r="QTZ4" s="1114"/>
      <c r="QUA4" s="1114"/>
      <c r="QUB4" s="1114"/>
      <c r="QUC4" s="1114"/>
      <c r="QUD4" s="1114"/>
      <c r="QUE4" s="1114"/>
      <c r="QUF4" s="1114"/>
      <c r="QUG4" s="1114"/>
      <c r="QUH4" s="1114"/>
      <c r="QUI4" s="1114"/>
      <c r="QUJ4" s="1114"/>
      <c r="QUK4" s="1114"/>
      <c r="QUL4" s="1114"/>
      <c r="QUM4" s="1114"/>
      <c r="QUN4" s="1114"/>
      <c r="QUO4" s="1114"/>
      <c r="QUP4" s="1114"/>
      <c r="QUQ4" s="1114"/>
      <c r="QUR4" s="1114"/>
      <c r="QUS4" s="1114"/>
      <c r="QUT4" s="1114"/>
      <c r="QUU4" s="1114"/>
      <c r="QUV4" s="1114"/>
      <c r="QUW4" s="1114"/>
      <c r="QUX4" s="1114"/>
      <c r="QUY4" s="1114"/>
      <c r="QUZ4" s="1114"/>
      <c r="QVA4" s="1114"/>
      <c r="QVB4" s="1114"/>
      <c r="QVC4" s="1114"/>
      <c r="QVD4" s="1114"/>
      <c r="QVE4" s="1114"/>
      <c r="QVF4" s="1114"/>
      <c r="QVG4" s="1114"/>
      <c r="QVH4" s="1114"/>
      <c r="QVI4" s="1114"/>
      <c r="QVJ4" s="1114"/>
      <c r="QVK4" s="1114"/>
      <c r="QVL4" s="1114"/>
      <c r="QVM4" s="1114"/>
      <c r="QVN4" s="1114"/>
      <c r="QVO4" s="1114"/>
      <c r="QVP4" s="1114"/>
      <c r="QVQ4" s="1114"/>
      <c r="QVR4" s="1114"/>
      <c r="QVS4" s="1114"/>
      <c r="QVT4" s="1114"/>
      <c r="QVU4" s="1114"/>
      <c r="QVV4" s="1114"/>
      <c r="QVW4" s="1114"/>
      <c r="QVX4" s="1114"/>
      <c r="QVY4" s="1114"/>
      <c r="QVZ4" s="1114"/>
      <c r="QWA4" s="1114"/>
      <c r="QWB4" s="1114"/>
      <c r="QWC4" s="1114"/>
      <c r="QWD4" s="1114"/>
      <c r="QWE4" s="1114"/>
      <c r="QWF4" s="1114"/>
      <c r="QWG4" s="1114"/>
      <c r="QWH4" s="1114"/>
      <c r="QWI4" s="1114"/>
      <c r="QWJ4" s="1114"/>
      <c r="QWK4" s="1114"/>
      <c r="QWL4" s="1114"/>
      <c r="QWM4" s="1114"/>
      <c r="QWN4" s="1114"/>
      <c r="QWO4" s="1114"/>
      <c r="QWP4" s="1114"/>
      <c r="QWQ4" s="1114"/>
      <c r="QWR4" s="1114"/>
      <c r="QWS4" s="1114"/>
      <c r="QWT4" s="1114"/>
      <c r="QWU4" s="1114"/>
      <c r="QWV4" s="1114"/>
      <c r="QWW4" s="1114"/>
      <c r="QWX4" s="1114"/>
      <c r="QWY4" s="1114"/>
      <c r="QWZ4" s="1114"/>
      <c r="QXA4" s="1114"/>
      <c r="QXB4" s="1114"/>
      <c r="QXC4" s="1114"/>
      <c r="QXD4" s="1114"/>
      <c r="QXE4" s="1114"/>
      <c r="QXF4" s="1114"/>
      <c r="QXG4" s="1114"/>
      <c r="QXH4" s="1114"/>
      <c r="QXI4" s="1114"/>
      <c r="QXJ4" s="1114"/>
      <c r="QXK4" s="1114"/>
      <c r="QXL4" s="1114"/>
      <c r="QXM4" s="1114"/>
      <c r="QXN4" s="1114"/>
      <c r="QXO4" s="1114"/>
      <c r="QXP4" s="1114"/>
      <c r="QXQ4" s="1114"/>
      <c r="QXR4" s="1114"/>
      <c r="QXS4" s="1114"/>
      <c r="QXT4" s="1114"/>
      <c r="QXU4" s="1114"/>
      <c r="QXV4" s="1114"/>
      <c r="QXW4" s="1114"/>
      <c r="QXX4" s="1114"/>
      <c r="QXY4" s="1114"/>
      <c r="QXZ4" s="1114"/>
      <c r="QYA4" s="1114"/>
      <c r="QYB4" s="1114"/>
      <c r="QYC4" s="1114"/>
      <c r="QYD4" s="1114"/>
      <c r="QYE4" s="1114"/>
      <c r="QYF4" s="1114"/>
      <c r="QYG4" s="1114"/>
      <c r="QYH4" s="1114"/>
      <c r="QYI4" s="1114"/>
      <c r="QYJ4" s="1114"/>
      <c r="QYK4" s="1114"/>
      <c r="QYL4" s="1114"/>
      <c r="QYM4" s="1114"/>
      <c r="QYN4" s="1114"/>
      <c r="QYO4" s="1114"/>
      <c r="QYP4" s="1114"/>
      <c r="QYQ4" s="1114"/>
      <c r="QYR4" s="1114"/>
      <c r="QYS4" s="1114"/>
      <c r="QYT4" s="1114"/>
      <c r="QYU4" s="1114"/>
      <c r="QYV4" s="1114"/>
      <c r="QYW4" s="1114"/>
      <c r="QYX4" s="1114"/>
      <c r="QYY4" s="1114"/>
      <c r="QYZ4" s="1114"/>
      <c r="QZA4" s="1114"/>
      <c r="QZB4" s="1114"/>
      <c r="QZC4" s="1114"/>
      <c r="QZD4" s="1114"/>
      <c r="QZE4" s="1114"/>
      <c r="QZF4" s="1114"/>
      <c r="QZG4" s="1114"/>
      <c r="QZH4" s="1114"/>
      <c r="QZI4" s="1114"/>
      <c r="QZJ4" s="1114"/>
      <c r="QZK4" s="1114"/>
      <c r="QZL4" s="1114"/>
      <c r="QZM4" s="1114"/>
      <c r="QZN4" s="1114"/>
      <c r="QZO4" s="1114"/>
      <c r="QZP4" s="1114"/>
      <c r="QZQ4" s="1114"/>
      <c r="QZR4" s="1114"/>
      <c r="QZS4" s="1114"/>
      <c r="QZT4" s="1114"/>
      <c r="QZU4" s="1114"/>
      <c r="QZV4" s="1114"/>
      <c r="QZW4" s="1114"/>
      <c r="QZX4" s="1114"/>
      <c r="QZY4" s="1114"/>
      <c r="QZZ4" s="1114"/>
      <c r="RAA4" s="1114"/>
      <c r="RAB4" s="1114"/>
      <c r="RAC4" s="1114"/>
      <c r="RAD4" s="1114"/>
      <c r="RAE4" s="1114"/>
      <c r="RAF4" s="1114"/>
      <c r="RAG4" s="1114"/>
      <c r="RAH4" s="1114"/>
      <c r="RAI4" s="1114"/>
      <c r="RAJ4" s="1114"/>
      <c r="RAK4" s="1114"/>
      <c r="RAL4" s="1114"/>
      <c r="RAM4" s="1114"/>
      <c r="RAN4" s="1114"/>
      <c r="RAO4" s="1114"/>
      <c r="RAP4" s="1114"/>
      <c r="RAQ4" s="1114"/>
      <c r="RAR4" s="1114"/>
      <c r="RAS4" s="1114"/>
      <c r="RAT4" s="1114"/>
      <c r="RAU4" s="1114"/>
      <c r="RAV4" s="1114"/>
      <c r="RAW4" s="1114"/>
      <c r="RAX4" s="1114"/>
      <c r="RAY4" s="1114"/>
      <c r="RAZ4" s="1114"/>
      <c r="RBA4" s="1114"/>
      <c r="RBB4" s="1114"/>
      <c r="RBC4" s="1114"/>
      <c r="RBD4" s="1114"/>
      <c r="RBE4" s="1114"/>
      <c r="RBF4" s="1114"/>
      <c r="RBG4" s="1114"/>
      <c r="RBH4" s="1114"/>
      <c r="RBI4" s="1114"/>
      <c r="RBJ4" s="1114"/>
      <c r="RBK4" s="1114"/>
      <c r="RBL4" s="1114"/>
      <c r="RBM4" s="1114"/>
      <c r="RBN4" s="1114"/>
      <c r="RBO4" s="1114"/>
      <c r="RBP4" s="1114"/>
      <c r="RBQ4" s="1114"/>
      <c r="RBR4" s="1114"/>
      <c r="RBS4" s="1114"/>
      <c r="RBT4" s="1114"/>
      <c r="RBU4" s="1114"/>
      <c r="RBV4" s="1114"/>
      <c r="RBW4" s="1114"/>
      <c r="RBX4" s="1114"/>
      <c r="RBY4" s="1114"/>
      <c r="RBZ4" s="1114"/>
      <c r="RCA4" s="1114"/>
      <c r="RCB4" s="1114"/>
      <c r="RCC4" s="1114"/>
      <c r="RCD4" s="1114"/>
      <c r="RCE4" s="1114"/>
      <c r="RCF4" s="1114"/>
      <c r="RCG4" s="1114"/>
      <c r="RCH4" s="1114"/>
      <c r="RCI4" s="1114"/>
      <c r="RCJ4" s="1114"/>
      <c r="RCK4" s="1114"/>
      <c r="RCL4" s="1114"/>
      <c r="RCM4" s="1114"/>
      <c r="RCN4" s="1114"/>
      <c r="RCO4" s="1114"/>
      <c r="RCP4" s="1114"/>
      <c r="RCQ4" s="1114"/>
      <c r="RCR4" s="1114"/>
      <c r="RCS4" s="1114"/>
      <c r="RCT4" s="1114"/>
      <c r="RCU4" s="1114"/>
      <c r="RCV4" s="1114"/>
      <c r="RCW4" s="1114"/>
      <c r="RCX4" s="1114"/>
      <c r="RCY4" s="1114"/>
      <c r="RCZ4" s="1114"/>
      <c r="RDA4" s="1114"/>
      <c r="RDB4" s="1114"/>
      <c r="RDC4" s="1114"/>
      <c r="RDD4" s="1114"/>
      <c r="RDE4" s="1114"/>
      <c r="RDF4" s="1114"/>
      <c r="RDG4" s="1114"/>
      <c r="RDH4" s="1114"/>
      <c r="RDI4" s="1114"/>
      <c r="RDJ4" s="1114"/>
      <c r="RDK4" s="1114"/>
      <c r="RDL4" s="1114"/>
      <c r="RDM4" s="1114"/>
      <c r="RDN4" s="1114"/>
      <c r="RDO4" s="1114"/>
      <c r="RDP4" s="1114"/>
      <c r="RDQ4" s="1114"/>
      <c r="RDR4" s="1114"/>
      <c r="RDS4" s="1114"/>
      <c r="RDT4" s="1114"/>
      <c r="RDU4" s="1114"/>
      <c r="RDV4" s="1114"/>
      <c r="RDW4" s="1114"/>
      <c r="RDX4" s="1114"/>
      <c r="RDY4" s="1114"/>
      <c r="RDZ4" s="1114"/>
      <c r="REA4" s="1114"/>
      <c r="REB4" s="1114"/>
      <c r="REC4" s="1114"/>
      <c r="RED4" s="1114"/>
      <c r="REE4" s="1114"/>
      <c r="REF4" s="1114"/>
      <c r="REG4" s="1114"/>
      <c r="REH4" s="1114"/>
      <c r="REI4" s="1114"/>
      <c r="REJ4" s="1114"/>
      <c r="REK4" s="1114"/>
      <c r="REL4" s="1114"/>
      <c r="REM4" s="1114"/>
      <c r="REN4" s="1114"/>
      <c r="REO4" s="1114"/>
      <c r="REP4" s="1114"/>
      <c r="REQ4" s="1114"/>
      <c r="RER4" s="1114"/>
      <c r="RES4" s="1114"/>
      <c r="RET4" s="1114"/>
      <c r="REU4" s="1114"/>
      <c r="REV4" s="1114"/>
      <c r="REW4" s="1114"/>
      <c r="REX4" s="1114"/>
      <c r="REY4" s="1114"/>
      <c r="REZ4" s="1114"/>
      <c r="RFA4" s="1114"/>
      <c r="RFB4" s="1114"/>
      <c r="RFC4" s="1114"/>
      <c r="RFD4" s="1114"/>
      <c r="RFE4" s="1114"/>
      <c r="RFF4" s="1114"/>
      <c r="RFG4" s="1114"/>
      <c r="RFH4" s="1114"/>
      <c r="RFI4" s="1114"/>
      <c r="RFJ4" s="1114"/>
      <c r="RFK4" s="1114"/>
      <c r="RFL4" s="1114"/>
      <c r="RFM4" s="1114"/>
      <c r="RFN4" s="1114"/>
      <c r="RFO4" s="1114"/>
      <c r="RFP4" s="1114"/>
      <c r="RFQ4" s="1114"/>
      <c r="RFR4" s="1114"/>
      <c r="RFS4" s="1114"/>
      <c r="RFT4" s="1114"/>
      <c r="RFU4" s="1114"/>
      <c r="RFV4" s="1114"/>
      <c r="RFW4" s="1114"/>
      <c r="RFX4" s="1114"/>
      <c r="RFY4" s="1114"/>
      <c r="RFZ4" s="1114"/>
      <c r="RGA4" s="1114"/>
      <c r="RGB4" s="1114"/>
      <c r="RGC4" s="1114"/>
      <c r="RGD4" s="1114"/>
      <c r="RGE4" s="1114"/>
      <c r="RGF4" s="1114"/>
      <c r="RGG4" s="1114"/>
      <c r="RGH4" s="1114"/>
      <c r="RGI4" s="1114"/>
      <c r="RGJ4" s="1114"/>
      <c r="RGK4" s="1114"/>
      <c r="RGL4" s="1114"/>
      <c r="RGM4" s="1114"/>
      <c r="RGN4" s="1114"/>
      <c r="RGO4" s="1114"/>
      <c r="RGP4" s="1114"/>
      <c r="RGQ4" s="1114"/>
      <c r="RGR4" s="1114"/>
      <c r="RGS4" s="1114"/>
      <c r="RGT4" s="1114"/>
      <c r="RGU4" s="1114"/>
      <c r="RGV4" s="1114"/>
      <c r="RGW4" s="1114"/>
      <c r="RGX4" s="1114"/>
      <c r="RGY4" s="1114"/>
      <c r="RGZ4" s="1114"/>
      <c r="RHA4" s="1114"/>
      <c r="RHB4" s="1114"/>
      <c r="RHC4" s="1114"/>
      <c r="RHD4" s="1114"/>
      <c r="RHE4" s="1114"/>
      <c r="RHF4" s="1114"/>
      <c r="RHG4" s="1114"/>
      <c r="RHH4" s="1114"/>
      <c r="RHI4" s="1114"/>
      <c r="RHJ4" s="1114"/>
      <c r="RHK4" s="1114"/>
      <c r="RHL4" s="1114"/>
      <c r="RHM4" s="1114"/>
      <c r="RHN4" s="1114"/>
      <c r="RHO4" s="1114"/>
      <c r="RHP4" s="1114"/>
      <c r="RHQ4" s="1114"/>
      <c r="RHR4" s="1114"/>
      <c r="RHS4" s="1114"/>
      <c r="RHT4" s="1114"/>
      <c r="RHU4" s="1114"/>
      <c r="RHV4" s="1114"/>
      <c r="RHW4" s="1114"/>
      <c r="RHX4" s="1114"/>
      <c r="RHY4" s="1114"/>
      <c r="RHZ4" s="1114"/>
      <c r="RIA4" s="1114"/>
      <c r="RIB4" s="1114"/>
      <c r="RIC4" s="1114"/>
      <c r="RID4" s="1114"/>
      <c r="RIE4" s="1114"/>
      <c r="RIF4" s="1114"/>
      <c r="RIG4" s="1114"/>
      <c r="RIH4" s="1114"/>
      <c r="RII4" s="1114"/>
      <c r="RIJ4" s="1114"/>
      <c r="RIK4" s="1114"/>
      <c r="RIL4" s="1114"/>
      <c r="RIM4" s="1114"/>
      <c r="RIN4" s="1114"/>
      <c r="RIO4" s="1114"/>
      <c r="RIP4" s="1114"/>
      <c r="RIQ4" s="1114"/>
      <c r="RIR4" s="1114"/>
      <c r="RIS4" s="1114"/>
      <c r="RIT4" s="1114"/>
      <c r="RIU4" s="1114"/>
      <c r="RIV4" s="1114"/>
      <c r="RIW4" s="1114"/>
      <c r="RIX4" s="1114"/>
      <c r="RIY4" s="1114"/>
      <c r="RIZ4" s="1114"/>
      <c r="RJA4" s="1114"/>
      <c r="RJB4" s="1114"/>
      <c r="RJC4" s="1114"/>
      <c r="RJD4" s="1114"/>
      <c r="RJE4" s="1114"/>
      <c r="RJF4" s="1114"/>
      <c r="RJG4" s="1114"/>
      <c r="RJH4" s="1114"/>
      <c r="RJI4" s="1114"/>
      <c r="RJJ4" s="1114"/>
      <c r="RJK4" s="1114"/>
      <c r="RJL4" s="1114"/>
      <c r="RJM4" s="1114"/>
      <c r="RJN4" s="1114"/>
      <c r="RJO4" s="1114"/>
      <c r="RJP4" s="1114"/>
      <c r="RJQ4" s="1114"/>
      <c r="RJR4" s="1114"/>
      <c r="RJS4" s="1114"/>
      <c r="RJT4" s="1114"/>
      <c r="RJU4" s="1114"/>
      <c r="RJV4" s="1114"/>
      <c r="RJW4" s="1114"/>
      <c r="RJX4" s="1114"/>
      <c r="RJY4" s="1114"/>
      <c r="RJZ4" s="1114"/>
      <c r="RKA4" s="1114"/>
      <c r="RKB4" s="1114"/>
      <c r="RKC4" s="1114"/>
      <c r="RKD4" s="1114"/>
      <c r="RKE4" s="1114"/>
      <c r="RKF4" s="1114"/>
      <c r="RKG4" s="1114"/>
      <c r="RKH4" s="1114"/>
      <c r="RKI4" s="1114"/>
      <c r="RKJ4" s="1114"/>
      <c r="RKK4" s="1114"/>
      <c r="RKL4" s="1114"/>
      <c r="RKM4" s="1114"/>
      <c r="RKN4" s="1114"/>
      <c r="RKO4" s="1114"/>
      <c r="RKP4" s="1114"/>
      <c r="RKQ4" s="1114"/>
      <c r="RKR4" s="1114"/>
      <c r="RKS4" s="1114"/>
      <c r="RKT4" s="1114"/>
      <c r="RKU4" s="1114"/>
      <c r="RKV4" s="1114"/>
      <c r="RKW4" s="1114"/>
      <c r="RKX4" s="1114"/>
      <c r="RKY4" s="1114"/>
      <c r="RKZ4" s="1114"/>
      <c r="RLA4" s="1114"/>
      <c r="RLB4" s="1114"/>
      <c r="RLC4" s="1114"/>
      <c r="RLD4" s="1114"/>
      <c r="RLE4" s="1114"/>
      <c r="RLF4" s="1114"/>
      <c r="RLG4" s="1114"/>
      <c r="RLH4" s="1114"/>
      <c r="RLI4" s="1114"/>
      <c r="RLJ4" s="1114"/>
      <c r="RLK4" s="1114"/>
      <c r="RLL4" s="1114"/>
      <c r="RLM4" s="1114"/>
      <c r="RLN4" s="1114"/>
      <c r="RLO4" s="1114"/>
      <c r="RLP4" s="1114"/>
      <c r="RLQ4" s="1114"/>
      <c r="RLR4" s="1114"/>
      <c r="RLS4" s="1114"/>
      <c r="RLT4" s="1114"/>
      <c r="RLU4" s="1114"/>
      <c r="RLV4" s="1114"/>
      <c r="RLW4" s="1114"/>
      <c r="RLX4" s="1114"/>
      <c r="RLY4" s="1114"/>
      <c r="RLZ4" s="1114"/>
      <c r="RMA4" s="1114"/>
      <c r="RMB4" s="1114"/>
      <c r="RMC4" s="1114"/>
      <c r="RMD4" s="1114"/>
      <c r="RME4" s="1114"/>
      <c r="RMF4" s="1114"/>
      <c r="RMG4" s="1114"/>
      <c r="RMH4" s="1114"/>
      <c r="RMI4" s="1114"/>
      <c r="RMJ4" s="1114"/>
      <c r="RMK4" s="1114"/>
      <c r="RML4" s="1114"/>
      <c r="RMM4" s="1114"/>
      <c r="RMN4" s="1114"/>
      <c r="RMO4" s="1114"/>
      <c r="RMP4" s="1114"/>
      <c r="RMQ4" s="1114"/>
      <c r="RMR4" s="1114"/>
      <c r="RMS4" s="1114"/>
      <c r="RMT4" s="1114"/>
      <c r="RMU4" s="1114"/>
      <c r="RMV4" s="1114"/>
      <c r="RMW4" s="1114"/>
      <c r="RMX4" s="1114"/>
      <c r="RMY4" s="1114"/>
      <c r="RMZ4" s="1114"/>
      <c r="RNA4" s="1114"/>
      <c r="RNB4" s="1114"/>
      <c r="RNC4" s="1114"/>
      <c r="RND4" s="1114"/>
      <c r="RNE4" s="1114"/>
      <c r="RNF4" s="1114"/>
      <c r="RNG4" s="1114"/>
      <c r="RNH4" s="1114"/>
      <c r="RNI4" s="1114"/>
      <c r="RNJ4" s="1114"/>
      <c r="RNK4" s="1114"/>
      <c r="RNL4" s="1114"/>
      <c r="RNM4" s="1114"/>
      <c r="RNN4" s="1114"/>
      <c r="RNO4" s="1114"/>
      <c r="RNP4" s="1114"/>
      <c r="RNQ4" s="1114"/>
      <c r="RNR4" s="1114"/>
      <c r="RNS4" s="1114"/>
      <c r="RNT4" s="1114"/>
      <c r="RNU4" s="1114"/>
      <c r="RNV4" s="1114"/>
      <c r="RNW4" s="1114"/>
      <c r="RNX4" s="1114"/>
      <c r="RNY4" s="1114"/>
      <c r="RNZ4" s="1114"/>
      <c r="ROA4" s="1114"/>
      <c r="ROB4" s="1114"/>
      <c r="ROC4" s="1114"/>
      <c r="ROD4" s="1114"/>
      <c r="ROE4" s="1114"/>
      <c r="ROF4" s="1114"/>
      <c r="ROG4" s="1114"/>
      <c r="ROH4" s="1114"/>
      <c r="ROI4" s="1114"/>
      <c r="ROJ4" s="1114"/>
      <c r="ROK4" s="1114"/>
      <c r="ROL4" s="1114"/>
      <c r="ROM4" s="1114"/>
      <c r="RON4" s="1114"/>
      <c r="ROO4" s="1114"/>
      <c r="ROP4" s="1114"/>
      <c r="ROQ4" s="1114"/>
      <c r="ROR4" s="1114"/>
      <c r="ROS4" s="1114"/>
      <c r="ROT4" s="1114"/>
      <c r="ROU4" s="1114"/>
      <c r="ROV4" s="1114"/>
      <c r="ROW4" s="1114"/>
      <c r="ROX4" s="1114"/>
      <c r="ROY4" s="1114"/>
      <c r="ROZ4" s="1114"/>
      <c r="RPA4" s="1114"/>
      <c r="RPB4" s="1114"/>
      <c r="RPC4" s="1114"/>
      <c r="RPD4" s="1114"/>
      <c r="RPE4" s="1114"/>
      <c r="RPF4" s="1114"/>
      <c r="RPG4" s="1114"/>
      <c r="RPH4" s="1114"/>
      <c r="RPI4" s="1114"/>
      <c r="RPJ4" s="1114"/>
      <c r="RPK4" s="1114"/>
      <c r="RPL4" s="1114"/>
      <c r="RPM4" s="1114"/>
      <c r="RPN4" s="1114"/>
      <c r="RPO4" s="1114"/>
      <c r="RPP4" s="1114"/>
      <c r="RPQ4" s="1114"/>
      <c r="RPR4" s="1114"/>
      <c r="RPS4" s="1114"/>
      <c r="RPT4" s="1114"/>
      <c r="RPU4" s="1114"/>
      <c r="RPV4" s="1114"/>
      <c r="RPW4" s="1114"/>
      <c r="RPX4" s="1114"/>
      <c r="RPY4" s="1114"/>
      <c r="RPZ4" s="1114"/>
      <c r="RQA4" s="1114"/>
      <c r="RQB4" s="1114"/>
      <c r="RQC4" s="1114"/>
      <c r="RQD4" s="1114"/>
      <c r="RQE4" s="1114"/>
      <c r="RQF4" s="1114"/>
      <c r="RQG4" s="1114"/>
      <c r="RQH4" s="1114"/>
      <c r="RQI4" s="1114"/>
      <c r="RQJ4" s="1114"/>
      <c r="RQK4" s="1114"/>
      <c r="RQL4" s="1114"/>
      <c r="RQM4" s="1114"/>
      <c r="RQN4" s="1114"/>
      <c r="RQO4" s="1114"/>
      <c r="RQP4" s="1114"/>
      <c r="RQQ4" s="1114"/>
      <c r="RQR4" s="1114"/>
      <c r="RQS4" s="1114"/>
      <c r="RQT4" s="1114"/>
      <c r="RQU4" s="1114"/>
      <c r="RQV4" s="1114"/>
      <c r="RQW4" s="1114"/>
      <c r="RQX4" s="1114"/>
      <c r="RQY4" s="1114"/>
      <c r="RQZ4" s="1114"/>
      <c r="RRA4" s="1114"/>
      <c r="RRB4" s="1114"/>
      <c r="RRC4" s="1114"/>
      <c r="RRD4" s="1114"/>
      <c r="RRE4" s="1114"/>
      <c r="RRF4" s="1114"/>
      <c r="RRG4" s="1114"/>
      <c r="RRH4" s="1114"/>
      <c r="RRI4" s="1114"/>
      <c r="RRJ4" s="1114"/>
      <c r="RRK4" s="1114"/>
      <c r="RRL4" s="1114"/>
      <c r="RRM4" s="1114"/>
      <c r="RRN4" s="1114"/>
      <c r="RRO4" s="1114"/>
      <c r="RRP4" s="1114"/>
      <c r="RRQ4" s="1114"/>
      <c r="RRR4" s="1114"/>
      <c r="RRS4" s="1114"/>
      <c r="RRT4" s="1114"/>
      <c r="RRU4" s="1114"/>
      <c r="RRV4" s="1114"/>
      <c r="RRW4" s="1114"/>
      <c r="RRX4" s="1114"/>
      <c r="RRY4" s="1114"/>
      <c r="RRZ4" s="1114"/>
      <c r="RSA4" s="1114"/>
      <c r="RSB4" s="1114"/>
      <c r="RSC4" s="1114"/>
      <c r="RSD4" s="1114"/>
      <c r="RSE4" s="1114"/>
      <c r="RSF4" s="1114"/>
      <c r="RSG4" s="1114"/>
      <c r="RSH4" s="1114"/>
      <c r="RSI4" s="1114"/>
      <c r="RSJ4" s="1114"/>
      <c r="RSK4" s="1114"/>
      <c r="RSL4" s="1114"/>
      <c r="RSM4" s="1114"/>
      <c r="RSN4" s="1114"/>
      <c r="RSO4" s="1114"/>
      <c r="RSP4" s="1114"/>
      <c r="RSQ4" s="1114"/>
      <c r="RSR4" s="1114"/>
      <c r="RSS4" s="1114"/>
      <c r="RST4" s="1114"/>
      <c r="RSU4" s="1114"/>
      <c r="RSV4" s="1114"/>
      <c r="RSW4" s="1114"/>
      <c r="RSX4" s="1114"/>
      <c r="RSY4" s="1114"/>
      <c r="RSZ4" s="1114"/>
      <c r="RTA4" s="1114"/>
      <c r="RTB4" s="1114"/>
      <c r="RTC4" s="1114"/>
      <c r="RTD4" s="1114"/>
      <c r="RTE4" s="1114"/>
      <c r="RTF4" s="1114"/>
      <c r="RTG4" s="1114"/>
      <c r="RTH4" s="1114"/>
      <c r="RTI4" s="1114"/>
      <c r="RTJ4" s="1114"/>
      <c r="RTK4" s="1114"/>
      <c r="RTL4" s="1114"/>
      <c r="RTM4" s="1114"/>
      <c r="RTN4" s="1114"/>
      <c r="RTO4" s="1114"/>
      <c r="RTP4" s="1114"/>
      <c r="RTQ4" s="1114"/>
      <c r="RTR4" s="1114"/>
      <c r="RTS4" s="1114"/>
      <c r="RTT4" s="1114"/>
      <c r="RTU4" s="1114"/>
      <c r="RTV4" s="1114"/>
      <c r="RTW4" s="1114"/>
      <c r="RTX4" s="1114"/>
      <c r="RTY4" s="1114"/>
      <c r="RTZ4" s="1114"/>
      <c r="RUA4" s="1114"/>
      <c r="RUB4" s="1114"/>
      <c r="RUC4" s="1114"/>
      <c r="RUD4" s="1114"/>
      <c r="RUE4" s="1114"/>
      <c r="RUF4" s="1114"/>
      <c r="RUG4" s="1114"/>
      <c r="RUH4" s="1114"/>
      <c r="RUI4" s="1114"/>
      <c r="RUJ4" s="1114"/>
      <c r="RUK4" s="1114"/>
      <c r="RUL4" s="1114"/>
      <c r="RUM4" s="1114"/>
      <c r="RUN4" s="1114"/>
      <c r="RUO4" s="1114"/>
      <c r="RUP4" s="1114"/>
      <c r="RUQ4" s="1114"/>
      <c r="RUR4" s="1114"/>
      <c r="RUS4" s="1114"/>
      <c r="RUT4" s="1114"/>
      <c r="RUU4" s="1114"/>
      <c r="RUV4" s="1114"/>
      <c r="RUW4" s="1114"/>
      <c r="RUX4" s="1114"/>
      <c r="RUY4" s="1114"/>
      <c r="RUZ4" s="1114"/>
      <c r="RVA4" s="1114"/>
      <c r="RVB4" s="1114"/>
      <c r="RVC4" s="1114"/>
      <c r="RVD4" s="1114"/>
      <c r="RVE4" s="1114"/>
      <c r="RVF4" s="1114"/>
      <c r="RVG4" s="1114"/>
      <c r="RVH4" s="1114"/>
      <c r="RVI4" s="1114"/>
      <c r="RVJ4" s="1114"/>
      <c r="RVK4" s="1114"/>
      <c r="RVL4" s="1114"/>
      <c r="RVM4" s="1114"/>
      <c r="RVN4" s="1114"/>
      <c r="RVO4" s="1114"/>
      <c r="RVP4" s="1114"/>
      <c r="RVQ4" s="1114"/>
      <c r="RVR4" s="1114"/>
      <c r="RVS4" s="1114"/>
      <c r="RVT4" s="1114"/>
      <c r="RVU4" s="1114"/>
      <c r="RVV4" s="1114"/>
      <c r="RVW4" s="1114"/>
      <c r="RVX4" s="1114"/>
      <c r="RVY4" s="1114"/>
      <c r="RVZ4" s="1114"/>
      <c r="RWA4" s="1114"/>
      <c r="RWB4" s="1114"/>
      <c r="RWC4" s="1114"/>
      <c r="RWD4" s="1114"/>
      <c r="RWE4" s="1114"/>
      <c r="RWF4" s="1114"/>
      <c r="RWG4" s="1114"/>
      <c r="RWH4" s="1114"/>
      <c r="RWI4" s="1114"/>
      <c r="RWJ4" s="1114"/>
      <c r="RWK4" s="1114"/>
      <c r="RWL4" s="1114"/>
      <c r="RWM4" s="1114"/>
      <c r="RWN4" s="1114"/>
      <c r="RWO4" s="1114"/>
      <c r="RWP4" s="1114"/>
      <c r="RWQ4" s="1114"/>
      <c r="RWR4" s="1114"/>
      <c r="RWS4" s="1114"/>
      <c r="RWT4" s="1114"/>
      <c r="RWU4" s="1114"/>
      <c r="RWV4" s="1114"/>
      <c r="RWW4" s="1114"/>
      <c r="RWX4" s="1114"/>
      <c r="RWY4" s="1114"/>
      <c r="RWZ4" s="1114"/>
      <c r="RXA4" s="1114"/>
      <c r="RXB4" s="1114"/>
      <c r="RXC4" s="1114"/>
      <c r="RXD4" s="1114"/>
      <c r="RXE4" s="1114"/>
      <c r="RXF4" s="1114"/>
      <c r="RXG4" s="1114"/>
      <c r="RXH4" s="1114"/>
      <c r="RXI4" s="1114"/>
      <c r="RXJ4" s="1114"/>
      <c r="RXK4" s="1114"/>
      <c r="RXL4" s="1114"/>
      <c r="RXM4" s="1114"/>
      <c r="RXN4" s="1114"/>
      <c r="RXO4" s="1114"/>
      <c r="RXP4" s="1114"/>
      <c r="RXQ4" s="1114"/>
      <c r="RXR4" s="1114"/>
      <c r="RXS4" s="1114"/>
      <c r="RXT4" s="1114"/>
      <c r="RXU4" s="1114"/>
      <c r="RXV4" s="1114"/>
      <c r="RXW4" s="1114"/>
      <c r="RXX4" s="1114"/>
      <c r="RXY4" s="1114"/>
      <c r="RXZ4" s="1114"/>
      <c r="RYA4" s="1114"/>
      <c r="RYB4" s="1114"/>
      <c r="RYC4" s="1114"/>
      <c r="RYD4" s="1114"/>
      <c r="RYE4" s="1114"/>
      <c r="RYF4" s="1114"/>
      <c r="RYG4" s="1114"/>
      <c r="RYH4" s="1114"/>
      <c r="RYI4" s="1114"/>
      <c r="RYJ4" s="1114"/>
      <c r="RYK4" s="1114"/>
      <c r="RYL4" s="1114"/>
      <c r="RYM4" s="1114"/>
      <c r="RYN4" s="1114"/>
      <c r="RYO4" s="1114"/>
      <c r="RYP4" s="1114"/>
      <c r="RYQ4" s="1114"/>
      <c r="RYR4" s="1114"/>
      <c r="RYS4" s="1114"/>
      <c r="RYT4" s="1114"/>
      <c r="RYU4" s="1114"/>
      <c r="RYV4" s="1114"/>
      <c r="RYW4" s="1114"/>
      <c r="RYX4" s="1114"/>
      <c r="RYY4" s="1114"/>
      <c r="RYZ4" s="1114"/>
      <c r="RZA4" s="1114"/>
      <c r="RZB4" s="1114"/>
      <c r="RZC4" s="1114"/>
      <c r="RZD4" s="1114"/>
      <c r="RZE4" s="1114"/>
      <c r="RZF4" s="1114"/>
      <c r="RZG4" s="1114"/>
      <c r="RZH4" s="1114"/>
      <c r="RZI4" s="1114"/>
      <c r="RZJ4" s="1114"/>
      <c r="RZK4" s="1114"/>
      <c r="RZL4" s="1114"/>
      <c r="RZM4" s="1114"/>
      <c r="RZN4" s="1114"/>
      <c r="RZO4" s="1114"/>
      <c r="RZP4" s="1114"/>
      <c r="RZQ4" s="1114"/>
      <c r="RZR4" s="1114"/>
      <c r="RZS4" s="1114"/>
      <c r="RZT4" s="1114"/>
      <c r="RZU4" s="1114"/>
      <c r="RZV4" s="1114"/>
      <c r="RZW4" s="1114"/>
      <c r="RZX4" s="1114"/>
      <c r="RZY4" s="1114"/>
      <c r="RZZ4" s="1114"/>
      <c r="SAA4" s="1114"/>
      <c r="SAB4" s="1114"/>
      <c r="SAC4" s="1114"/>
      <c r="SAD4" s="1114"/>
      <c r="SAE4" s="1114"/>
      <c r="SAF4" s="1114"/>
      <c r="SAG4" s="1114"/>
      <c r="SAH4" s="1114"/>
      <c r="SAI4" s="1114"/>
      <c r="SAJ4" s="1114"/>
      <c r="SAK4" s="1114"/>
      <c r="SAL4" s="1114"/>
      <c r="SAM4" s="1114"/>
      <c r="SAN4" s="1114"/>
      <c r="SAO4" s="1114"/>
      <c r="SAP4" s="1114"/>
      <c r="SAQ4" s="1114"/>
      <c r="SAR4" s="1114"/>
      <c r="SAS4" s="1114"/>
      <c r="SAT4" s="1114"/>
      <c r="SAU4" s="1114"/>
      <c r="SAV4" s="1114"/>
      <c r="SAW4" s="1114"/>
      <c r="SAX4" s="1114"/>
      <c r="SAY4" s="1114"/>
      <c r="SAZ4" s="1114"/>
      <c r="SBA4" s="1114"/>
      <c r="SBB4" s="1114"/>
      <c r="SBC4" s="1114"/>
      <c r="SBD4" s="1114"/>
      <c r="SBE4" s="1114"/>
      <c r="SBF4" s="1114"/>
      <c r="SBG4" s="1114"/>
      <c r="SBH4" s="1114"/>
      <c r="SBI4" s="1114"/>
      <c r="SBJ4" s="1114"/>
      <c r="SBK4" s="1114"/>
      <c r="SBL4" s="1114"/>
      <c r="SBM4" s="1114"/>
      <c r="SBN4" s="1114"/>
      <c r="SBO4" s="1114"/>
      <c r="SBP4" s="1114"/>
      <c r="SBQ4" s="1114"/>
      <c r="SBR4" s="1114"/>
      <c r="SBS4" s="1114"/>
      <c r="SBT4" s="1114"/>
      <c r="SBU4" s="1114"/>
      <c r="SBV4" s="1114"/>
      <c r="SBW4" s="1114"/>
      <c r="SBX4" s="1114"/>
      <c r="SBY4" s="1114"/>
      <c r="SBZ4" s="1114"/>
      <c r="SCA4" s="1114"/>
      <c r="SCB4" s="1114"/>
      <c r="SCC4" s="1114"/>
      <c r="SCD4" s="1114"/>
      <c r="SCE4" s="1114"/>
      <c r="SCF4" s="1114"/>
      <c r="SCG4" s="1114"/>
      <c r="SCH4" s="1114"/>
      <c r="SCI4" s="1114"/>
      <c r="SCJ4" s="1114"/>
      <c r="SCK4" s="1114"/>
      <c r="SCL4" s="1114"/>
      <c r="SCM4" s="1114"/>
      <c r="SCN4" s="1114"/>
      <c r="SCO4" s="1114"/>
      <c r="SCP4" s="1114"/>
      <c r="SCQ4" s="1114"/>
      <c r="SCR4" s="1114"/>
      <c r="SCS4" s="1114"/>
      <c r="SCT4" s="1114"/>
      <c r="SCU4" s="1114"/>
      <c r="SCV4" s="1114"/>
      <c r="SCW4" s="1114"/>
      <c r="SCX4" s="1114"/>
      <c r="SCY4" s="1114"/>
      <c r="SCZ4" s="1114"/>
      <c r="SDA4" s="1114"/>
      <c r="SDB4" s="1114"/>
      <c r="SDC4" s="1114"/>
      <c r="SDD4" s="1114"/>
      <c r="SDE4" s="1114"/>
      <c r="SDF4" s="1114"/>
      <c r="SDG4" s="1114"/>
      <c r="SDH4" s="1114"/>
      <c r="SDI4" s="1114"/>
      <c r="SDJ4" s="1114"/>
      <c r="SDK4" s="1114"/>
      <c r="SDL4" s="1114"/>
      <c r="SDM4" s="1114"/>
      <c r="SDN4" s="1114"/>
      <c r="SDO4" s="1114"/>
      <c r="SDP4" s="1114"/>
      <c r="SDQ4" s="1114"/>
      <c r="SDR4" s="1114"/>
      <c r="SDS4" s="1114"/>
      <c r="SDT4" s="1114"/>
      <c r="SDU4" s="1114"/>
      <c r="SDV4" s="1114"/>
      <c r="SDW4" s="1114"/>
      <c r="SDX4" s="1114"/>
      <c r="SDY4" s="1114"/>
      <c r="SDZ4" s="1114"/>
      <c r="SEA4" s="1114"/>
      <c r="SEB4" s="1114"/>
      <c r="SEC4" s="1114"/>
      <c r="SED4" s="1114"/>
      <c r="SEE4" s="1114"/>
      <c r="SEF4" s="1114"/>
      <c r="SEG4" s="1114"/>
      <c r="SEH4" s="1114"/>
      <c r="SEI4" s="1114"/>
      <c r="SEJ4" s="1114"/>
      <c r="SEK4" s="1114"/>
      <c r="SEL4" s="1114"/>
      <c r="SEM4" s="1114"/>
      <c r="SEN4" s="1114"/>
      <c r="SEO4" s="1114"/>
      <c r="SEP4" s="1114"/>
      <c r="SEQ4" s="1114"/>
      <c r="SER4" s="1114"/>
      <c r="SES4" s="1114"/>
      <c r="SET4" s="1114"/>
      <c r="SEU4" s="1114"/>
      <c r="SEV4" s="1114"/>
      <c r="SEW4" s="1114"/>
      <c r="SEX4" s="1114"/>
      <c r="SEY4" s="1114"/>
      <c r="SEZ4" s="1114"/>
      <c r="SFA4" s="1114"/>
      <c r="SFB4" s="1114"/>
      <c r="SFC4" s="1114"/>
      <c r="SFD4" s="1114"/>
      <c r="SFE4" s="1114"/>
      <c r="SFF4" s="1114"/>
      <c r="SFG4" s="1114"/>
      <c r="SFH4" s="1114"/>
      <c r="SFI4" s="1114"/>
      <c r="SFJ4" s="1114"/>
      <c r="SFK4" s="1114"/>
      <c r="SFL4" s="1114"/>
      <c r="SFM4" s="1114"/>
      <c r="SFN4" s="1114"/>
      <c r="SFO4" s="1114"/>
      <c r="SFP4" s="1114"/>
      <c r="SFQ4" s="1114"/>
      <c r="SFR4" s="1114"/>
      <c r="SFS4" s="1114"/>
      <c r="SFT4" s="1114"/>
      <c r="SFU4" s="1114"/>
      <c r="SFV4" s="1114"/>
      <c r="SFW4" s="1114"/>
      <c r="SFX4" s="1114"/>
      <c r="SFY4" s="1114"/>
      <c r="SFZ4" s="1114"/>
      <c r="SGA4" s="1114"/>
      <c r="SGB4" s="1114"/>
      <c r="SGC4" s="1114"/>
      <c r="SGD4" s="1114"/>
      <c r="SGE4" s="1114"/>
      <c r="SGF4" s="1114"/>
      <c r="SGG4" s="1114"/>
      <c r="SGH4" s="1114"/>
      <c r="SGI4" s="1114"/>
      <c r="SGJ4" s="1114"/>
      <c r="SGK4" s="1114"/>
      <c r="SGL4" s="1114"/>
      <c r="SGM4" s="1114"/>
      <c r="SGN4" s="1114"/>
      <c r="SGO4" s="1114"/>
      <c r="SGP4" s="1114"/>
      <c r="SGQ4" s="1114"/>
      <c r="SGR4" s="1114"/>
      <c r="SGS4" s="1114"/>
      <c r="SGT4" s="1114"/>
      <c r="SGU4" s="1114"/>
      <c r="SGV4" s="1114"/>
      <c r="SGW4" s="1114"/>
      <c r="SGX4" s="1114"/>
      <c r="SGY4" s="1114"/>
      <c r="SGZ4" s="1114"/>
      <c r="SHA4" s="1114"/>
      <c r="SHB4" s="1114"/>
      <c r="SHC4" s="1114"/>
      <c r="SHD4" s="1114"/>
      <c r="SHE4" s="1114"/>
      <c r="SHF4" s="1114"/>
      <c r="SHG4" s="1114"/>
      <c r="SHH4" s="1114"/>
      <c r="SHI4" s="1114"/>
      <c r="SHJ4" s="1114"/>
      <c r="SHK4" s="1114"/>
      <c r="SHL4" s="1114"/>
      <c r="SHM4" s="1114"/>
      <c r="SHN4" s="1114"/>
      <c r="SHO4" s="1114"/>
      <c r="SHP4" s="1114"/>
      <c r="SHQ4" s="1114"/>
      <c r="SHR4" s="1114"/>
      <c r="SHS4" s="1114"/>
      <c r="SHT4" s="1114"/>
      <c r="SHU4" s="1114"/>
      <c r="SHV4" s="1114"/>
      <c r="SHW4" s="1114"/>
      <c r="SHX4" s="1114"/>
      <c r="SHY4" s="1114"/>
      <c r="SHZ4" s="1114"/>
      <c r="SIA4" s="1114"/>
      <c r="SIB4" s="1114"/>
      <c r="SIC4" s="1114"/>
      <c r="SID4" s="1114"/>
      <c r="SIE4" s="1114"/>
      <c r="SIF4" s="1114"/>
      <c r="SIG4" s="1114"/>
      <c r="SIH4" s="1114"/>
      <c r="SII4" s="1114"/>
      <c r="SIJ4" s="1114"/>
      <c r="SIK4" s="1114"/>
      <c r="SIL4" s="1114"/>
      <c r="SIM4" s="1114"/>
      <c r="SIN4" s="1114"/>
      <c r="SIO4" s="1114"/>
      <c r="SIP4" s="1114"/>
      <c r="SIQ4" s="1114"/>
      <c r="SIR4" s="1114"/>
      <c r="SIS4" s="1114"/>
      <c r="SIT4" s="1114"/>
      <c r="SIU4" s="1114"/>
      <c r="SIV4" s="1114"/>
      <c r="SIW4" s="1114"/>
      <c r="SIX4" s="1114"/>
      <c r="SIY4" s="1114"/>
      <c r="SIZ4" s="1114"/>
      <c r="SJA4" s="1114"/>
      <c r="SJB4" s="1114"/>
      <c r="SJC4" s="1114"/>
      <c r="SJD4" s="1114"/>
      <c r="SJE4" s="1114"/>
      <c r="SJF4" s="1114"/>
      <c r="SJG4" s="1114"/>
      <c r="SJH4" s="1114"/>
      <c r="SJI4" s="1114"/>
      <c r="SJJ4" s="1114"/>
      <c r="SJK4" s="1114"/>
      <c r="SJL4" s="1114"/>
      <c r="SJM4" s="1114"/>
      <c r="SJN4" s="1114"/>
      <c r="SJO4" s="1114"/>
      <c r="SJP4" s="1114"/>
      <c r="SJQ4" s="1114"/>
      <c r="SJR4" s="1114"/>
      <c r="SJS4" s="1114"/>
      <c r="SJT4" s="1114"/>
      <c r="SJU4" s="1114"/>
      <c r="SJV4" s="1114"/>
      <c r="SJW4" s="1114"/>
      <c r="SJX4" s="1114"/>
      <c r="SJY4" s="1114"/>
      <c r="SJZ4" s="1114"/>
      <c r="SKA4" s="1114"/>
      <c r="SKB4" s="1114"/>
      <c r="SKC4" s="1114"/>
      <c r="SKD4" s="1114"/>
      <c r="SKE4" s="1114"/>
      <c r="SKF4" s="1114"/>
      <c r="SKG4" s="1114"/>
      <c r="SKH4" s="1114"/>
      <c r="SKI4" s="1114"/>
      <c r="SKJ4" s="1114"/>
      <c r="SKK4" s="1114"/>
      <c r="SKL4" s="1114"/>
      <c r="SKM4" s="1114"/>
      <c r="SKN4" s="1114"/>
      <c r="SKO4" s="1114"/>
      <c r="SKP4" s="1114"/>
      <c r="SKQ4" s="1114"/>
      <c r="SKR4" s="1114"/>
      <c r="SKS4" s="1114"/>
      <c r="SKT4" s="1114"/>
      <c r="SKU4" s="1114"/>
      <c r="SKV4" s="1114"/>
      <c r="SKW4" s="1114"/>
      <c r="SKX4" s="1114"/>
      <c r="SKY4" s="1114"/>
      <c r="SKZ4" s="1114"/>
      <c r="SLA4" s="1114"/>
      <c r="SLB4" s="1114"/>
      <c r="SLC4" s="1114"/>
      <c r="SLD4" s="1114"/>
      <c r="SLE4" s="1114"/>
      <c r="SLF4" s="1114"/>
      <c r="SLG4" s="1114"/>
      <c r="SLH4" s="1114"/>
      <c r="SLI4" s="1114"/>
      <c r="SLJ4" s="1114"/>
      <c r="SLK4" s="1114"/>
      <c r="SLL4" s="1114"/>
      <c r="SLM4" s="1114"/>
      <c r="SLN4" s="1114"/>
      <c r="SLO4" s="1114"/>
      <c r="SLP4" s="1114"/>
      <c r="SLQ4" s="1114"/>
      <c r="SLR4" s="1114"/>
      <c r="SLS4" s="1114"/>
      <c r="SLT4" s="1114"/>
      <c r="SLU4" s="1114"/>
      <c r="SLV4" s="1114"/>
      <c r="SLW4" s="1114"/>
      <c r="SLX4" s="1114"/>
      <c r="SLY4" s="1114"/>
      <c r="SLZ4" s="1114"/>
      <c r="SMA4" s="1114"/>
      <c r="SMB4" s="1114"/>
      <c r="SMC4" s="1114"/>
      <c r="SMD4" s="1114"/>
      <c r="SME4" s="1114"/>
      <c r="SMF4" s="1114"/>
      <c r="SMG4" s="1114"/>
      <c r="SMH4" s="1114"/>
      <c r="SMI4" s="1114"/>
      <c r="SMJ4" s="1114"/>
      <c r="SMK4" s="1114"/>
      <c r="SML4" s="1114"/>
      <c r="SMM4" s="1114"/>
      <c r="SMN4" s="1114"/>
      <c r="SMO4" s="1114"/>
      <c r="SMP4" s="1114"/>
      <c r="SMQ4" s="1114"/>
      <c r="SMR4" s="1114"/>
      <c r="SMS4" s="1114"/>
      <c r="SMT4" s="1114"/>
      <c r="SMU4" s="1114"/>
      <c r="SMV4" s="1114"/>
      <c r="SMW4" s="1114"/>
      <c r="SMX4" s="1114"/>
      <c r="SMY4" s="1114"/>
      <c r="SMZ4" s="1114"/>
      <c r="SNA4" s="1114"/>
      <c r="SNB4" s="1114"/>
      <c r="SNC4" s="1114"/>
      <c r="SND4" s="1114"/>
      <c r="SNE4" s="1114"/>
      <c r="SNF4" s="1114"/>
      <c r="SNG4" s="1114"/>
      <c r="SNH4" s="1114"/>
      <c r="SNI4" s="1114"/>
      <c r="SNJ4" s="1114"/>
      <c r="SNK4" s="1114"/>
      <c r="SNL4" s="1114"/>
      <c r="SNM4" s="1114"/>
      <c r="SNN4" s="1114"/>
      <c r="SNO4" s="1114"/>
      <c r="SNP4" s="1114"/>
      <c r="SNQ4" s="1114"/>
      <c r="SNR4" s="1114"/>
      <c r="SNS4" s="1114"/>
      <c r="SNT4" s="1114"/>
      <c r="SNU4" s="1114"/>
      <c r="SNV4" s="1114"/>
      <c r="SNW4" s="1114"/>
      <c r="SNX4" s="1114"/>
      <c r="SNY4" s="1114"/>
      <c r="SNZ4" s="1114"/>
      <c r="SOA4" s="1114"/>
      <c r="SOB4" s="1114"/>
      <c r="SOC4" s="1114"/>
      <c r="SOD4" s="1114"/>
      <c r="SOE4" s="1114"/>
      <c r="SOF4" s="1114"/>
      <c r="SOG4" s="1114"/>
      <c r="SOH4" s="1114"/>
      <c r="SOI4" s="1114"/>
      <c r="SOJ4" s="1114"/>
      <c r="SOK4" s="1114"/>
      <c r="SOL4" s="1114"/>
      <c r="SOM4" s="1114"/>
      <c r="SON4" s="1114"/>
      <c r="SOO4" s="1114"/>
      <c r="SOP4" s="1114"/>
      <c r="SOQ4" s="1114"/>
      <c r="SOR4" s="1114"/>
      <c r="SOS4" s="1114"/>
      <c r="SOT4" s="1114"/>
      <c r="SOU4" s="1114"/>
      <c r="SOV4" s="1114"/>
      <c r="SOW4" s="1114"/>
      <c r="SOX4" s="1114"/>
      <c r="SOY4" s="1114"/>
      <c r="SOZ4" s="1114"/>
      <c r="SPA4" s="1114"/>
      <c r="SPB4" s="1114"/>
      <c r="SPC4" s="1114"/>
      <c r="SPD4" s="1114"/>
      <c r="SPE4" s="1114"/>
      <c r="SPF4" s="1114"/>
      <c r="SPG4" s="1114"/>
      <c r="SPH4" s="1114"/>
      <c r="SPI4" s="1114"/>
      <c r="SPJ4" s="1114"/>
      <c r="SPK4" s="1114"/>
      <c r="SPL4" s="1114"/>
      <c r="SPM4" s="1114"/>
      <c r="SPN4" s="1114"/>
      <c r="SPO4" s="1114"/>
      <c r="SPP4" s="1114"/>
      <c r="SPQ4" s="1114"/>
      <c r="SPR4" s="1114"/>
      <c r="SPS4" s="1114"/>
      <c r="SPT4" s="1114"/>
      <c r="SPU4" s="1114"/>
      <c r="SPV4" s="1114"/>
      <c r="SPW4" s="1114"/>
      <c r="SPX4" s="1114"/>
      <c r="SPY4" s="1114"/>
      <c r="SPZ4" s="1114"/>
      <c r="SQA4" s="1114"/>
      <c r="SQB4" s="1114"/>
      <c r="SQC4" s="1114"/>
      <c r="SQD4" s="1114"/>
      <c r="SQE4" s="1114"/>
      <c r="SQF4" s="1114"/>
      <c r="SQG4" s="1114"/>
      <c r="SQH4" s="1114"/>
      <c r="SQI4" s="1114"/>
      <c r="SQJ4" s="1114"/>
      <c r="SQK4" s="1114"/>
      <c r="SQL4" s="1114"/>
      <c r="SQM4" s="1114"/>
      <c r="SQN4" s="1114"/>
      <c r="SQO4" s="1114"/>
      <c r="SQP4" s="1114"/>
      <c r="SQQ4" s="1114"/>
      <c r="SQR4" s="1114"/>
      <c r="SQS4" s="1114"/>
      <c r="SQT4" s="1114"/>
      <c r="SQU4" s="1114"/>
      <c r="SQV4" s="1114"/>
      <c r="SQW4" s="1114"/>
      <c r="SQX4" s="1114"/>
      <c r="SQY4" s="1114"/>
      <c r="SQZ4" s="1114"/>
      <c r="SRA4" s="1114"/>
      <c r="SRB4" s="1114"/>
      <c r="SRC4" s="1114"/>
      <c r="SRD4" s="1114"/>
      <c r="SRE4" s="1114"/>
      <c r="SRF4" s="1114"/>
      <c r="SRG4" s="1114"/>
      <c r="SRH4" s="1114"/>
      <c r="SRI4" s="1114"/>
      <c r="SRJ4" s="1114"/>
      <c r="SRK4" s="1114"/>
      <c r="SRL4" s="1114"/>
      <c r="SRM4" s="1114"/>
      <c r="SRN4" s="1114"/>
      <c r="SRO4" s="1114"/>
      <c r="SRP4" s="1114"/>
      <c r="SRQ4" s="1114"/>
      <c r="SRR4" s="1114"/>
      <c r="SRS4" s="1114"/>
      <c r="SRT4" s="1114"/>
      <c r="SRU4" s="1114"/>
      <c r="SRV4" s="1114"/>
      <c r="SRW4" s="1114"/>
      <c r="SRX4" s="1114"/>
      <c r="SRY4" s="1114"/>
      <c r="SRZ4" s="1114"/>
      <c r="SSA4" s="1114"/>
      <c r="SSB4" s="1114"/>
      <c r="SSC4" s="1114"/>
      <c r="SSD4" s="1114"/>
      <c r="SSE4" s="1114"/>
      <c r="SSF4" s="1114"/>
      <c r="SSG4" s="1114"/>
      <c r="SSH4" s="1114"/>
      <c r="SSI4" s="1114"/>
      <c r="SSJ4" s="1114"/>
      <c r="SSK4" s="1114"/>
      <c r="SSL4" s="1114"/>
      <c r="SSM4" s="1114"/>
      <c r="SSN4" s="1114"/>
      <c r="SSO4" s="1114"/>
      <c r="SSP4" s="1114"/>
      <c r="SSQ4" s="1114"/>
      <c r="SSR4" s="1114"/>
      <c r="SSS4" s="1114"/>
      <c r="SST4" s="1114"/>
      <c r="SSU4" s="1114"/>
      <c r="SSV4" s="1114"/>
      <c r="SSW4" s="1114"/>
      <c r="SSX4" s="1114"/>
      <c r="SSY4" s="1114"/>
      <c r="SSZ4" s="1114"/>
      <c r="STA4" s="1114"/>
      <c r="STB4" s="1114"/>
      <c r="STC4" s="1114"/>
      <c r="STD4" s="1114"/>
      <c r="STE4" s="1114"/>
      <c r="STF4" s="1114"/>
      <c r="STG4" s="1114"/>
      <c r="STH4" s="1114"/>
      <c r="STI4" s="1114"/>
      <c r="STJ4" s="1114"/>
      <c r="STK4" s="1114"/>
      <c r="STL4" s="1114"/>
      <c r="STM4" s="1114"/>
      <c r="STN4" s="1114"/>
      <c r="STO4" s="1114"/>
      <c r="STP4" s="1114"/>
      <c r="STQ4" s="1114"/>
      <c r="STR4" s="1114"/>
      <c r="STS4" s="1114"/>
      <c r="STT4" s="1114"/>
      <c r="STU4" s="1114"/>
      <c r="STV4" s="1114"/>
      <c r="STW4" s="1114"/>
      <c r="STX4" s="1114"/>
      <c r="STY4" s="1114"/>
      <c r="STZ4" s="1114"/>
      <c r="SUA4" s="1114"/>
      <c r="SUB4" s="1114"/>
      <c r="SUC4" s="1114"/>
      <c r="SUD4" s="1114"/>
      <c r="SUE4" s="1114"/>
      <c r="SUF4" s="1114"/>
      <c r="SUG4" s="1114"/>
      <c r="SUH4" s="1114"/>
      <c r="SUI4" s="1114"/>
      <c r="SUJ4" s="1114"/>
      <c r="SUK4" s="1114"/>
      <c r="SUL4" s="1114"/>
      <c r="SUM4" s="1114"/>
      <c r="SUN4" s="1114"/>
      <c r="SUO4" s="1114"/>
      <c r="SUP4" s="1114"/>
      <c r="SUQ4" s="1114"/>
      <c r="SUR4" s="1114"/>
      <c r="SUS4" s="1114"/>
      <c r="SUT4" s="1114"/>
      <c r="SUU4" s="1114"/>
      <c r="SUV4" s="1114"/>
      <c r="SUW4" s="1114"/>
      <c r="SUX4" s="1114"/>
      <c r="SUY4" s="1114"/>
      <c r="SUZ4" s="1114"/>
      <c r="SVA4" s="1114"/>
      <c r="SVB4" s="1114"/>
      <c r="SVC4" s="1114"/>
      <c r="SVD4" s="1114"/>
      <c r="SVE4" s="1114"/>
      <c r="SVF4" s="1114"/>
      <c r="SVG4" s="1114"/>
      <c r="SVH4" s="1114"/>
      <c r="SVI4" s="1114"/>
      <c r="SVJ4" s="1114"/>
      <c r="SVK4" s="1114"/>
      <c r="SVL4" s="1114"/>
      <c r="SVM4" s="1114"/>
      <c r="SVN4" s="1114"/>
      <c r="SVO4" s="1114"/>
      <c r="SVP4" s="1114"/>
      <c r="SVQ4" s="1114"/>
      <c r="SVR4" s="1114"/>
      <c r="SVS4" s="1114"/>
      <c r="SVT4" s="1114"/>
      <c r="SVU4" s="1114"/>
      <c r="SVV4" s="1114"/>
      <c r="SVW4" s="1114"/>
      <c r="SVX4" s="1114"/>
      <c r="SVY4" s="1114"/>
      <c r="SVZ4" s="1114"/>
      <c r="SWA4" s="1114"/>
      <c r="SWB4" s="1114"/>
      <c r="SWC4" s="1114"/>
      <c r="SWD4" s="1114"/>
      <c r="SWE4" s="1114"/>
      <c r="SWF4" s="1114"/>
      <c r="SWG4" s="1114"/>
      <c r="SWH4" s="1114"/>
      <c r="SWI4" s="1114"/>
      <c r="SWJ4" s="1114"/>
      <c r="SWK4" s="1114"/>
      <c r="SWL4" s="1114"/>
      <c r="SWM4" s="1114"/>
      <c r="SWN4" s="1114"/>
      <c r="SWO4" s="1114"/>
      <c r="SWP4" s="1114"/>
      <c r="SWQ4" s="1114"/>
      <c r="SWR4" s="1114"/>
      <c r="SWS4" s="1114"/>
      <c r="SWT4" s="1114"/>
      <c r="SWU4" s="1114"/>
      <c r="SWV4" s="1114"/>
      <c r="SWW4" s="1114"/>
      <c r="SWX4" s="1114"/>
      <c r="SWY4" s="1114"/>
      <c r="SWZ4" s="1114"/>
      <c r="SXA4" s="1114"/>
      <c r="SXB4" s="1114"/>
      <c r="SXC4" s="1114"/>
      <c r="SXD4" s="1114"/>
      <c r="SXE4" s="1114"/>
      <c r="SXF4" s="1114"/>
      <c r="SXG4" s="1114"/>
      <c r="SXH4" s="1114"/>
      <c r="SXI4" s="1114"/>
      <c r="SXJ4" s="1114"/>
      <c r="SXK4" s="1114"/>
      <c r="SXL4" s="1114"/>
      <c r="SXM4" s="1114"/>
      <c r="SXN4" s="1114"/>
      <c r="SXO4" s="1114"/>
      <c r="SXP4" s="1114"/>
      <c r="SXQ4" s="1114"/>
      <c r="SXR4" s="1114"/>
      <c r="SXS4" s="1114"/>
      <c r="SXT4" s="1114"/>
      <c r="SXU4" s="1114"/>
      <c r="SXV4" s="1114"/>
      <c r="SXW4" s="1114"/>
      <c r="SXX4" s="1114"/>
      <c r="SXY4" s="1114"/>
      <c r="SXZ4" s="1114"/>
      <c r="SYA4" s="1114"/>
      <c r="SYB4" s="1114"/>
      <c r="SYC4" s="1114"/>
      <c r="SYD4" s="1114"/>
      <c r="SYE4" s="1114"/>
      <c r="SYF4" s="1114"/>
      <c r="SYG4" s="1114"/>
      <c r="SYH4" s="1114"/>
      <c r="SYI4" s="1114"/>
      <c r="SYJ4" s="1114"/>
      <c r="SYK4" s="1114"/>
      <c r="SYL4" s="1114"/>
      <c r="SYM4" s="1114"/>
      <c r="SYN4" s="1114"/>
      <c r="SYO4" s="1114"/>
      <c r="SYP4" s="1114"/>
      <c r="SYQ4" s="1114"/>
      <c r="SYR4" s="1114"/>
      <c r="SYS4" s="1114"/>
      <c r="SYT4" s="1114"/>
      <c r="SYU4" s="1114"/>
      <c r="SYV4" s="1114"/>
      <c r="SYW4" s="1114"/>
      <c r="SYX4" s="1114"/>
      <c r="SYY4" s="1114"/>
      <c r="SYZ4" s="1114"/>
      <c r="SZA4" s="1114"/>
      <c r="SZB4" s="1114"/>
      <c r="SZC4" s="1114"/>
      <c r="SZD4" s="1114"/>
      <c r="SZE4" s="1114"/>
      <c r="SZF4" s="1114"/>
      <c r="SZG4" s="1114"/>
      <c r="SZH4" s="1114"/>
      <c r="SZI4" s="1114"/>
      <c r="SZJ4" s="1114"/>
      <c r="SZK4" s="1114"/>
      <c r="SZL4" s="1114"/>
      <c r="SZM4" s="1114"/>
      <c r="SZN4" s="1114"/>
      <c r="SZO4" s="1114"/>
      <c r="SZP4" s="1114"/>
      <c r="SZQ4" s="1114"/>
      <c r="SZR4" s="1114"/>
      <c r="SZS4" s="1114"/>
      <c r="SZT4" s="1114"/>
      <c r="SZU4" s="1114"/>
      <c r="SZV4" s="1114"/>
      <c r="SZW4" s="1114"/>
      <c r="SZX4" s="1114"/>
      <c r="SZY4" s="1114"/>
      <c r="SZZ4" s="1114"/>
      <c r="TAA4" s="1114"/>
      <c r="TAB4" s="1114"/>
      <c r="TAC4" s="1114"/>
      <c r="TAD4" s="1114"/>
      <c r="TAE4" s="1114"/>
      <c r="TAF4" s="1114"/>
      <c r="TAG4" s="1114"/>
      <c r="TAH4" s="1114"/>
      <c r="TAI4" s="1114"/>
      <c r="TAJ4" s="1114"/>
      <c r="TAK4" s="1114"/>
      <c r="TAL4" s="1114"/>
      <c r="TAM4" s="1114"/>
      <c r="TAN4" s="1114"/>
      <c r="TAO4" s="1114"/>
      <c r="TAP4" s="1114"/>
      <c r="TAQ4" s="1114"/>
      <c r="TAR4" s="1114"/>
      <c r="TAS4" s="1114"/>
      <c r="TAT4" s="1114"/>
      <c r="TAU4" s="1114"/>
      <c r="TAV4" s="1114"/>
      <c r="TAW4" s="1114"/>
      <c r="TAX4" s="1114"/>
      <c r="TAY4" s="1114"/>
      <c r="TAZ4" s="1114"/>
      <c r="TBA4" s="1114"/>
      <c r="TBB4" s="1114"/>
      <c r="TBC4" s="1114"/>
      <c r="TBD4" s="1114"/>
      <c r="TBE4" s="1114"/>
      <c r="TBF4" s="1114"/>
      <c r="TBG4" s="1114"/>
      <c r="TBH4" s="1114"/>
      <c r="TBI4" s="1114"/>
      <c r="TBJ4" s="1114"/>
      <c r="TBK4" s="1114"/>
      <c r="TBL4" s="1114"/>
      <c r="TBM4" s="1114"/>
      <c r="TBN4" s="1114"/>
      <c r="TBO4" s="1114"/>
      <c r="TBP4" s="1114"/>
      <c r="TBQ4" s="1114"/>
      <c r="TBR4" s="1114"/>
      <c r="TBS4" s="1114"/>
      <c r="TBT4" s="1114"/>
      <c r="TBU4" s="1114"/>
      <c r="TBV4" s="1114"/>
      <c r="TBW4" s="1114"/>
      <c r="TBX4" s="1114"/>
      <c r="TBY4" s="1114"/>
      <c r="TBZ4" s="1114"/>
      <c r="TCA4" s="1114"/>
      <c r="TCB4" s="1114"/>
      <c r="TCC4" s="1114"/>
      <c r="TCD4" s="1114"/>
      <c r="TCE4" s="1114"/>
      <c r="TCF4" s="1114"/>
      <c r="TCG4" s="1114"/>
      <c r="TCH4" s="1114"/>
      <c r="TCI4" s="1114"/>
      <c r="TCJ4" s="1114"/>
      <c r="TCK4" s="1114"/>
      <c r="TCL4" s="1114"/>
      <c r="TCM4" s="1114"/>
      <c r="TCN4" s="1114"/>
      <c r="TCO4" s="1114"/>
      <c r="TCP4" s="1114"/>
      <c r="TCQ4" s="1114"/>
      <c r="TCR4" s="1114"/>
      <c r="TCS4" s="1114"/>
      <c r="TCT4" s="1114"/>
      <c r="TCU4" s="1114"/>
      <c r="TCV4" s="1114"/>
      <c r="TCW4" s="1114"/>
      <c r="TCX4" s="1114"/>
      <c r="TCY4" s="1114"/>
      <c r="TCZ4" s="1114"/>
      <c r="TDA4" s="1114"/>
      <c r="TDB4" s="1114"/>
      <c r="TDC4" s="1114"/>
      <c r="TDD4" s="1114"/>
      <c r="TDE4" s="1114"/>
      <c r="TDF4" s="1114"/>
      <c r="TDG4" s="1114"/>
      <c r="TDH4" s="1114"/>
      <c r="TDI4" s="1114"/>
      <c r="TDJ4" s="1114"/>
      <c r="TDK4" s="1114"/>
      <c r="TDL4" s="1114"/>
      <c r="TDM4" s="1114"/>
      <c r="TDN4" s="1114"/>
      <c r="TDO4" s="1114"/>
      <c r="TDP4" s="1114"/>
      <c r="TDQ4" s="1114"/>
      <c r="TDR4" s="1114"/>
      <c r="TDS4" s="1114"/>
      <c r="TDT4" s="1114"/>
      <c r="TDU4" s="1114"/>
      <c r="TDV4" s="1114"/>
      <c r="TDW4" s="1114"/>
      <c r="TDX4" s="1114"/>
      <c r="TDY4" s="1114"/>
      <c r="TDZ4" s="1114"/>
      <c r="TEA4" s="1114"/>
      <c r="TEB4" s="1114"/>
      <c r="TEC4" s="1114"/>
      <c r="TED4" s="1114"/>
      <c r="TEE4" s="1114"/>
      <c r="TEF4" s="1114"/>
      <c r="TEG4" s="1114"/>
      <c r="TEH4" s="1114"/>
      <c r="TEI4" s="1114"/>
      <c r="TEJ4" s="1114"/>
      <c r="TEK4" s="1114"/>
      <c r="TEL4" s="1114"/>
      <c r="TEM4" s="1114"/>
      <c r="TEN4" s="1114"/>
      <c r="TEO4" s="1114"/>
      <c r="TEP4" s="1114"/>
      <c r="TEQ4" s="1114"/>
      <c r="TER4" s="1114"/>
      <c r="TES4" s="1114"/>
      <c r="TET4" s="1114"/>
      <c r="TEU4" s="1114"/>
      <c r="TEV4" s="1114"/>
      <c r="TEW4" s="1114"/>
      <c r="TEX4" s="1114"/>
      <c r="TEY4" s="1114"/>
      <c r="TEZ4" s="1114"/>
      <c r="TFA4" s="1114"/>
      <c r="TFB4" s="1114"/>
      <c r="TFC4" s="1114"/>
      <c r="TFD4" s="1114"/>
      <c r="TFE4" s="1114"/>
      <c r="TFF4" s="1114"/>
      <c r="TFG4" s="1114"/>
      <c r="TFH4" s="1114"/>
      <c r="TFI4" s="1114"/>
      <c r="TFJ4" s="1114"/>
      <c r="TFK4" s="1114"/>
      <c r="TFL4" s="1114"/>
      <c r="TFM4" s="1114"/>
      <c r="TFN4" s="1114"/>
      <c r="TFO4" s="1114"/>
      <c r="TFP4" s="1114"/>
      <c r="TFQ4" s="1114"/>
      <c r="TFR4" s="1114"/>
      <c r="TFS4" s="1114"/>
      <c r="TFT4" s="1114"/>
      <c r="TFU4" s="1114"/>
      <c r="TFV4" s="1114"/>
      <c r="TFW4" s="1114"/>
      <c r="TFX4" s="1114"/>
      <c r="TFY4" s="1114"/>
      <c r="TFZ4" s="1114"/>
      <c r="TGA4" s="1114"/>
      <c r="TGB4" s="1114"/>
      <c r="TGC4" s="1114"/>
      <c r="TGD4" s="1114"/>
      <c r="TGE4" s="1114"/>
      <c r="TGF4" s="1114"/>
      <c r="TGG4" s="1114"/>
      <c r="TGH4" s="1114"/>
      <c r="TGI4" s="1114"/>
      <c r="TGJ4" s="1114"/>
      <c r="TGK4" s="1114"/>
      <c r="TGL4" s="1114"/>
      <c r="TGM4" s="1114"/>
      <c r="TGN4" s="1114"/>
      <c r="TGO4" s="1114"/>
      <c r="TGP4" s="1114"/>
      <c r="TGQ4" s="1114"/>
      <c r="TGR4" s="1114"/>
      <c r="TGS4" s="1114"/>
      <c r="TGT4" s="1114"/>
      <c r="TGU4" s="1114"/>
      <c r="TGV4" s="1114"/>
      <c r="TGW4" s="1114"/>
      <c r="TGX4" s="1114"/>
      <c r="TGY4" s="1114"/>
      <c r="TGZ4" s="1114"/>
      <c r="THA4" s="1114"/>
      <c r="THB4" s="1114"/>
      <c r="THC4" s="1114"/>
      <c r="THD4" s="1114"/>
      <c r="THE4" s="1114"/>
      <c r="THF4" s="1114"/>
      <c r="THG4" s="1114"/>
      <c r="THH4" s="1114"/>
      <c r="THI4" s="1114"/>
      <c r="THJ4" s="1114"/>
      <c r="THK4" s="1114"/>
      <c r="THL4" s="1114"/>
      <c r="THM4" s="1114"/>
      <c r="THN4" s="1114"/>
      <c r="THO4" s="1114"/>
      <c r="THP4" s="1114"/>
      <c r="THQ4" s="1114"/>
      <c r="THR4" s="1114"/>
      <c r="THS4" s="1114"/>
      <c r="THT4" s="1114"/>
      <c r="THU4" s="1114"/>
      <c r="THV4" s="1114"/>
      <c r="THW4" s="1114"/>
      <c r="THX4" s="1114"/>
      <c r="THY4" s="1114"/>
      <c r="THZ4" s="1114"/>
      <c r="TIA4" s="1114"/>
      <c r="TIB4" s="1114"/>
      <c r="TIC4" s="1114"/>
      <c r="TID4" s="1114"/>
      <c r="TIE4" s="1114"/>
      <c r="TIF4" s="1114"/>
      <c r="TIG4" s="1114"/>
      <c r="TIH4" s="1114"/>
      <c r="TII4" s="1114"/>
      <c r="TIJ4" s="1114"/>
      <c r="TIK4" s="1114"/>
      <c r="TIL4" s="1114"/>
      <c r="TIM4" s="1114"/>
      <c r="TIN4" s="1114"/>
      <c r="TIO4" s="1114"/>
      <c r="TIP4" s="1114"/>
      <c r="TIQ4" s="1114"/>
      <c r="TIR4" s="1114"/>
      <c r="TIS4" s="1114"/>
      <c r="TIT4" s="1114"/>
      <c r="TIU4" s="1114"/>
      <c r="TIV4" s="1114"/>
      <c r="TIW4" s="1114"/>
      <c r="TIX4" s="1114"/>
      <c r="TIY4" s="1114"/>
      <c r="TIZ4" s="1114"/>
      <c r="TJA4" s="1114"/>
      <c r="TJB4" s="1114"/>
      <c r="TJC4" s="1114"/>
      <c r="TJD4" s="1114"/>
      <c r="TJE4" s="1114"/>
      <c r="TJF4" s="1114"/>
      <c r="TJG4" s="1114"/>
      <c r="TJH4" s="1114"/>
      <c r="TJI4" s="1114"/>
      <c r="TJJ4" s="1114"/>
      <c r="TJK4" s="1114"/>
      <c r="TJL4" s="1114"/>
      <c r="TJM4" s="1114"/>
      <c r="TJN4" s="1114"/>
      <c r="TJO4" s="1114"/>
      <c r="TJP4" s="1114"/>
      <c r="TJQ4" s="1114"/>
      <c r="TJR4" s="1114"/>
      <c r="TJS4" s="1114"/>
      <c r="TJT4" s="1114"/>
      <c r="TJU4" s="1114"/>
      <c r="TJV4" s="1114"/>
      <c r="TJW4" s="1114"/>
      <c r="TJX4" s="1114"/>
      <c r="TJY4" s="1114"/>
      <c r="TJZ4" s="1114"/>
      <c r="TKA4" s="1114"/>
      <c r="TKB4" s="1114"/>
      <c r="TKC4" s="1114"/>
      <c r="TKD4" s="1114"/>
      <c r="TKE4" s="1114"/>
      <c r="TKF4" s="1114"/>
      <c r="TKG4" s="1114"/>
      <c r="TKH4" s="1114"/>
      <c r="TKI4" s="1114"/>
      <c r="TKJ4" s="1114"/>
      <c r="TKK4" s="1114"/>
      <c r="TKL4" s="1114"/>
      <c r="TKM4" s="1114"/>
      <c r="TKN4" s="1114"/>
      <c r="TKO4" s="1114"/>
      <c r="TKP4" s="1114"/>
      <c r="TKQ4" s="1114"/>
      <c r="TKR4" s="1114"/>
      <c r="TKS4" s="1114"/>
      <c r="TKT4" s="1114"/>
      <c r="TKU4" s="1114"/>
      <c r="TKV4" s="1114"/>
      <c r="TKW4" s="1114"/>
      <c r="TKX4" s="1114"/>
      <c r="TKY4" s="1114"/>
      <c r="TKZ4" s="1114"/>
      <c r="TLA4" s="1114"/>
      <c r="TLB4" s="1114"/>
      <c r="TLC4" s="1114"/>
      <c r="TLD4" s="1114"/>
      <c r="TLE4" s="1114"/>
      <c r="TLF4" s="1114"/>
      <c r="TLG4" s="1114"/>
      <c r="TLH4" s="1114"/>
      <c r="TLI4" s="1114"/>
      <c r="TLJ4" s="1114"/>
      <c r="TLK4" s="1114"/>
      <c r="TLL4" s="1114"/>
      <c r="TLM4" s="1114"/>
      <c r="TLN4" s="1114"/>
      <c r="TLO4" s="1114"/>
      <c r="TLP4" s="1114"/>
      <c r="TLQ4" s="1114"/>
      <c r="TLR4" s="1114"/>
      <c r="TLS4" s="1114"/>
      <c r="TLT4" s="1114"/>
      <c r="TLU4" s="1114"/>
      <c r="TLV4" s="1114"/>
      <c r="TLW4" s="1114"/>
      <c r="TLX4" s="1114"/>
      <c r="TLY4" s="1114"/>
      <c r="TLZ4" s="1114"/>
      <c r="TMA4" s="1114"/>
      <c r="TMB4" s="1114"/>
      <c r="TMC4" s="1114"/>
      <c r="TMD4" s="1114"/>
      <c r="TME4" s="1114"/>
      <c r="TMF4" s="1114"/>
      <c r="TMG4" s="1114"/>
      <c r="TMH4" s="1114"/>
      <c r="TMI4" s="1114"/>
      <c r="TMJ4" s="1114"/>
      <c r="TMK4" s="1114"/>
      <c r="TML4" s="1114"/>
      <c r="TMM4" s="1114"/>
      <c r="TMN4" s="1114"/>
      <c r="TMO4" s="1114"/>
      <c r="TMP4" s="1114"/>
      <c r="TMQ4" s="1114"/>
      <c r="TMR4" s="1114"/>
      <c r="TMS4" s="1114"/>
      <c r="TMT4" s="1114"/>
      <c r="TMU4" s="1114"/>
      <c r="TMV4" s="1114"/>
      <c r="TMW4" s="1114"/>
      <c r="TMX4" s="1114"/>
      <c r="TMY4" s="1114"/>
      <c r="TMZ4" s="1114"/>
      <c r="TNA4" s="1114"/>
      <c r="TNB4" s="1114"/>
      <c r="TNC4" s="1114"/>
      <c r="TND4" s="1114"/>
      <c r="TNE4" s="1114"/>
      <c r="TNF4" s="1114"/>
      <c r="TNG4" s="1114"/>
      <c r="TNH4" s="1114"/>
      <c r="TNI4" s="1114"/>
      <c r="TNJ4" s="1114"/>
      <c r="TNK4" s="1114"/>
      <c r="TNL4" s="1114"/>
      <c r="TNM4" s="1114"/>
      <c r="TNN4" s="1114"/>
      <c r="TNO4" s="1114"/>
      <c r="TNP4" s="1114"/>
      <c r="TNQ4" s="1114"/>
      <c r="TNR4" s="1114"/>
      <c r="TNS4" s="1114"/>
      <c r="TNT4" s="1114"/>
      <c r="TNU4" s="1114"/>
      <c r="TNV4" s="1114"/>
      <c r="TNW4" s="1114"/>
      <c r="TNX4" s="1114"/>
      <c r="TNY4" s="1114"/>
      <c r="TNZ4" s="1114"/>
      <c r="TOA4" s="1114"/>
      <c r="TOB4" s="1114"/>
      <c r="TOC4" s="1114"/>
      <c r="TOD4" s="1114"/>
      <c r="TOE4" s="1114"/>
      <c r="TOF4" s="1114"/>
      <c r="TOG4" s="1114"/>
      <c r="TOH4" s="1114"/>
      <c r="TOI4" s="1114"/>
      <c r="TOJ4" s="1114"/>
      <c r="TOK4" s="1114"/>
      <c r="TOL4" s="1114"/>
      <c r="TOM4" s="1114"/>
      <c r="TON4" s="1114"/>
      <c r="TOO4" s="1114"/>
      <c r="TOP4" s="1114"/>
      <c r="TOQ4" s="1114"/>
      <c r="TOR4" s="1114"/>
      <c r="TOS4" s="1114"/>
      <c r="TOT4" s="1114"/>
      <c r="TOU4" s="1114"/>
      <c r="TOV4" s="1114"/>
      <c r="TOW4" s="1114"/>
      <c r="TOX4" s="1114"/>
      <c r="TOY4" s="1114"/>
      <c r="TOZ4" s="1114"/>
      <c r="TPA4" s="1114"/>
      <c r="TPB4" s="1114"/>
      <c r="TPC4" s="1114"/>
      <c r="TPD4" s="1114"/>
      <c r="TPE4" s="1114"/>
      <c r="TPF4" s="1114"/>
      <c r="TPG4" s="1114"/>
      <c r="TPH4" s="1114"/>
      <c r="TPI4" s="1114"/>
      <c r="TPJ4" s="1114"/>
      <c r="TPK4" s="1114"/>
      <c r="TPL4" s="1114"/>
      <c r="TPM4" s="1114"/>
      <c r="TPN4" s="1114"/>
      <c r="TPO4" s="1114"/>
      <c r="TPP4" s="1114"/>
      <c r="TPQ4" s="1114"/>
      <c r="TPR4" s="1114"/>
      <c r="TPS4" s="1114"/>
      <c r="TPT4" s="1114"/>
      <c r="TPU4" s="1114"/>
      <c r="TPV4" s="1114"/>
      <c r="TPW4" s="1114"/>
      <c r="TPX4" s="1114"/>
      <c r="TPY4" s="1114"/>
      <c r="TPZ4" s="1114"/>
      <c r="TQA4" s="1114"/>
      <c r="TQB4" s="1114"/>
      <c r="TQC4" s="1114"/>
      <c r="TQD4" s="1114"/>
      <c r="TQE4" s="1114"/>
      <c r="TQF4" s="1114"/>
      <c r="TQG4" s="1114"/>
      <c r="TQH4" s="1114"/>
      <c r="TQI4" s="1114"/>
      <c r="TQJ4" s="1114"/>
      <c r="TQK4" s="1114"/>
      <c r="TQL4" s="1114"/>
      <c r="TQM4" s="1114"/>
      <c r="TQN4" s="1114"/>
      <c r="TQO4" s="1114"/>
      <c r="TQP4" s="1114"/>
      <c r="TQQ4" s="1114"/>
      <c r="TQR4" s="1114"/>
      <c r="TQS4" s="1114"/>
      <c r="TQT4" s="1114"/>
      <c r="TQU4" s="1114"/>
      <c r="TQV4" s="1114"/>
      <c r="TQW4" s="1114"/>
      <c r="TQX4" s="1114"/>
      <c r="TQY4" s="1114"/>
      <c r="TQZ4" s="1114"/>
      <c r="TRA4" s="1114"/>
      <c r="TRB4" s="1114"/>
      <c r="TRC4" s="1114"/>
      <c r="TRD4" s="1114"/>
      <c r="TRE4" s="1114"/>
      <c r="TRF4" s="1114"/>
      <c r="TRG4" s="1114"/>
      <c r="TRH4" s="1114"/>
      <c r="TRI4" s="1114"/>
      <c r="TRJ4" s="1114"/>
      <c r="TRK4" s="1114"/>
      <c r="TRL4" s="1114"/>
      <c r="TRM4" s="1114"/>
      <c r="TRN4" s="1114"/>
      <c r="TRO4" s="1114"/>
      <c r="TRP4" s="1114"/>
      <c r="TRQ4" s="1114"/>
      <c r="TRR4" s="1114"/>
      <c r="TRS4" s="1114"/>
      <c r="TRT4" s="1114"/>
      <c r="TRU4" s="1114"/>
      <c r="TRV4" s="1114"/>
      <c r="TRW4" s="1114"/>
      <c r="TRX4" s="1114"/>
      <c r="TRY4" s="1114"/>
      <c r="TRZ4" s="1114"/>
      <c r="TSA4" s="1114"/>
      <c r="TSB4" s="1114"/>
      <c r="TSC4" s="1114"/>
      <c r="TSD4" s="1114"/>
      <c r="TSE4" s="1114"/>
      <c r="TSF4" s="1114"/>
      <c r="TSG4" s="1114"/>
      <c r="TSH4" s="1114"/>
      <c r="TSI4" s="1114"/>
      <c r="TSJ4" s="1114"/>
      <c r="TSK4" s="1114"/>
      <c r="TSL4" s="1114"/>
      <c r="TSM4" s="1114"/>
      <c r="TSN4" s="1114"/>
      <c r="TSO4" s="1114"/>
      <c r="TSP4" s="1114"/>
      <c r="TSQ4" s="1114"/>
      <c r="TSR4" s="1114"/>
      <c r="TSS4" s="1114"/>
      <c r="TST4" s="1114"/>
      <c r="TSU4" s="1114"/>
      <c r="TSV4" s="1114"/>
      <c r="TSW4" s="1114"/>
      <c r="TSX4" s="1114"/>
      <c r="TSY4" s="1114"/>
      <c r="TSZ4" s="1114"/>
      <c r="TTA4" s="1114"/>
      <c r="TTB4" s="1114"/>
      <c r="TTC4" s="1114"/>
      <c r="TTD4" s="1114"/>
      <c r="TTE4" s="1114"/>
      <c r="TTF4" s="1114"/>
      <c r="TTG4" s="1114"/>
      <c r="TTH4" s="1114"/>
      <c r="TTI4" s="1114"/>
      <c r="TTJ4" s="1114"/>
      <c r="TTK4" s="1114"/>
      <c r="TTL4" s="1114"/>
      <c r="TTM4" s="1114"/>
      <c r="TTN4" s="1114"/>
      <c r="TTO4" s="1114"/>
      <c r="TTP4" s="1114"/>
      <c r="TTQ4" s="1114"/>
      <c r="TTR4" s="1114"/>
      <c r="TTS4" s="1114"/>
      <c r="TTT4" s="1114"/>
      <c r="TTU4" s="1114"/>
      <c r="TTV4" s="1114"/>
      <c r="TTW4" s="1114"/>
      <c r="TTX4" s="1114"/>
      <c r="TTY4" s="1114"/>
      <c r="TTZ4" s="1114"/>
      <c r="TUA4" s="1114"/>
      <c r="TUB4" s="1114"/>
      <c r="TUC4" s="1114"/>
      <c r="TUD4" s="1114"/>
      <c r="TUE4" s="1114"/>
      <c r="TUF4" s="1114"/>
      <c r="TUG4" s="1114"/>
      <c r="TUH4" s="1114"/>
      <c r="TUI4" s="1114"/>
      <c r="TUJ4" s="1114"/>
      <c r="TUK4" s="1114"/>
      <c r="TUL4" s="1114"/>
      <c r="TUM4" s="1114"/>
      <c r="TUN4" s="1114"/>
      <c r="TUO4" s="1114"/>
      <c r="TUP4" s="1114"/>
      <c r="TUQ4" s="1114"/>
      <c r="TUR4" s="1114"/>
      <c r="TUS4" s="1114"/>
      <c r="TUT4" s="1114"/>
      <c r="TUU4" s="1114"/>
      <c r="TUV4" s="1114"/>
      <c r="TUW4" s="1114"/>
      <c r="TUX4" s="1114"/>
      <c r="TUY4" s="1114"/>
      <c r="TUZ4" s="1114"/>
      <c r="TVA4" s="1114"/>
      <c r="TVB4" s="1114"/>
      <c r="TVC4" s="1114"/>
      <c r="TVD4" s="1114"/>
      <c r="TVE4" s="1114"/>
      <c r="TVF4" s="1114"/>
      <c r="TVG4" s="1114"/>
      <c r="TVH4" s="1114"/>
      <c r="TVI4" s="1114"/>
      <c r="TVJ4" s="1114"/>
      <c r="TVK4" s="1114"/>
      <c r="TVL4" s="1114"/>
      <c r="TVM4" s="1114"/>
      <c r="TVN4" s="1114"/>
      <c r="TVO4" s="1114"/>
      <c r="TVP4" s="1114"/>
      <c r="TVQ4" s="1114"/>
      <c r="TVR4" s="1114"/>
      <c r="TVS4" s="1114"/>
      <c r="TVT4" s="1114"/>
      <c r="TVU4" s="1114"/>
      <c r="TVV4" s="1114"/>
      <c r="TVW4" s="1114"/>
      <c r="TVX4" s="1114"/>
      <c r="TVY4" s="1114"/>
      <c r="TVZ4" s="1114"/>
      <c r="TWA4" s="1114"/>
      <c r="TWB4" s="1114"/>
      <c r="TWC4" s="1114"/>
      <c r="TWD4" s="1114"/>
      <c r="TWE4" s="1114"/>
      <c r="TWF4" s="1114"/>
      <c r="TWG4" s="1114"/>
      <c r="TWH4" s="1114"/>
      <c r="TWI4" s="1114"/>
      <c r="TWJ4" s="1114"/>
      <c r="TWK4" s="1114"/>
      <c r="TWL4" s="1114"/>
      <c r="TWM4" s="1114"/>
      <c r="TWN4" s="1114"/>
      <c r="TWO4" s="1114"/>
      <c r="TWP4" s="1114"/>
      <c r="TWQ4" s="1114"/>
      <c r="TWR4" s="1114"/>
      <c r="TWS4" s="1114"/>
      <c r="TWT4" s="1114"/>
      <c r="TWU4" s="1114"/>
      <c r="TWV4" s="1114"/>
      <c r="TWW4" s="1114"/>
      <c r="TWX4" s="1114"/>
      <c r="TWY4" s="1114"/>
      <c r="TWZ4" s="1114"/>
      <c r="TXA4" s="1114"/>
      <c r="TXB4" s="1114"/>
      <c r="TXC4" s="1114"/>
      <c r="TXD4" s="1114"/>
      <c r="TXE4" s="1114"/>
      <c r="TXF4" s="1114"/>
      <c r="TXG4" s="1114"/>
      <c r="TXH4" s="1114"/>
      <c r="TXI4" s="1114"/>
      <c r="TXJ4" s="1114"/>
      <c r="TXK4" s="1114"/>
      <c r="TXL4" s="1114"/>
      <c r="TXM4" s="1114"/>
      <c r="TXN4" s="1114"/>
      <c r="TXO4" s="1114"/>
      <c r="TXP4" s="1114"/>
      <c r="TXQ4" s="1114"/>
      <c r="TXR4" s="1114"/>
      <c r="TXS4" s="1114"/>
      <c r="TXT4" s="1114"/>
      <c r="TXU4" s="1114"/>
      <c r="TXV4" s="1114"/>
      <c r="TXW4" s="1114"/>
      <c r="TXX4" s="1114"/>
      <c r="TXY4" s="1114"/>
      <c r="TXZ4" s="1114"/>
      <c r="TYA4" s="1114"/>
      <c r="TYB4" s="1114"/>
      <c r="TYC4" s="1114"/>
      <c r="TYD4" s="1114"/>
      <c r="TYE4" s="1114"/>
      <c r="TYF4" s="1114"/>
      <c r="TYG4" s="1114"/>
      <c r="TYH4" s="1114"/>
      <c r="TYI4" s="1114"/>
      <c r="TYJ4" s="1114"/>
      <c r="TYK4" s="1114"/>
      <c r="TYL4" s="1114"/>
      <c r="TYM4" s="1114"/>
      <c r="TYN4" s="1114"/>
      <c r="TYO4" s="1114"/>
      <c r="TYP4" s="1114"/>
      <c r="TYQ4" s="1114"/>
      <c r="TYR4" s="1114"/>
      <c r="TYS4" s="1114"/>
      <c r="TYT4" s="1114"/>
      <c r="TYU4" s="1114"/>
      <c r="TYV4" s="1114"/>
      <c r="TYW4" s="1114"/>
      <c r="TYX4" s="1114"/>
      <c r="TYY4" s="1114"/>
      <c r="TYZ4" s="1114"/>
      <c r="TZA4" s="1114"/>
      <c r="TZB4" s="1114"/>
      <c r="TZC4" s="1114"/>
      <c r="TZD4" s="1114"/>
      <c r="TZE4" s="1114"/>
      <c r="TZF4" s="1114"/>
      <c r="TZG4" s="1114"/>
      <c r="TZH4" s="1114"/>
      <c r="TZI4" s="1114"/>
      <c r="TZJ4" s="1114"/>
      <c r="TZK4" s="1114"/>
      <c r="TZL4" s="1114"/>
      <c r="TZM4" s="1114"/>
      <c r="TZN4" s="1114"/>
      <c r="TZO4" s="1114"/>
      <c r="TZP4" s="1114"/>
      <c r="TZQ4" s="1114"/>
      <c r="TZR4" s="1114"/>
      <c r="TZS4" s="1114"/>
      <c r="TZT4" s="1114"/>
      <c r="TZU4" s="1114"/>
      <c r="TZV4" s="1114"/>
      <c r="TZW4" s="1114"/>
      <c r="TZX4" s="1114"/>
      <c r="TZY4" s="1114"/>
      <c r="TZZ4" s="1114"/>
      <c r="UAA4" s="1114"/>
      <c r="UAB4" s="1114"/>
      <c r="UAC4" s="1114"/>
      <c r="UAD4" s="1114"/>
      <c r="UAE4" s="1114"/>
      <c r="UAF4" s="1114"/>
      <c r="UAG4" s="1114"/>
      <c r="UAH4" s="1114"/>
      <c r="UAI4" s="1114"/>
      <c r="UAJ4" s="1114"/>
      <c r="UAK4" s="1114"/>
      <c r="UAL4" s="1114"/>
      <c r="UAM4" s="1114"/>
      <c r="UAN4" s="1114"/>
      <c r="UAO4" s="1114"/>
      <c r="UAP4" s="1114"/>
      <c r="UAQ4" s="1114"/>
      <c r="UAR4" s="1114"/>
      <c r="UAS4" s="1114"/>
      <c r="UAT4" s="1114"/>
      <c r="UAU4" s="1114"/>
      <c r="UAV4" s="1114"/>
      <c r="UAW4" s="1114"/>
      <c r="UAX4" s="1114"/>
      <c r="UAY4" s="1114"/>
      <c r="UAZ4" s="1114"/>
      <c r="UBA4" s="1114"/>
      <c r="UBB4" s="1114"/>
      <c r="UBC4" s="1114"/>
      <c r="UBD4" s="1114"/>
      <c r="UBE4" s="1114"/>
      <c r="UBF4" s="1114"/>
      <c r="UBG4" s="1114"/>
      <c r="UBH4" s="1114"/>
      <c r="UBI4" s="1114"/>
      <c r="UBJ4" s="1114"/>
      <c r="UBK4" s="1114"/>
      <c r="UBL4" s="1114"/>
      <c r="UBM4" s="1114"/>
      <c r="UBN4" s="1114"/>
      <c r="UBO4" s="1114"/>
      <c r="UBP4" s="1114"/>
      <c r="UBQ4" s="1114"/>
      <c r="UBR4" s="1114"/>
      <c r="UBS4" s="1114"/>
      <c r="UBT4" s="1114"/>
      <c r="UBU4" s="1114"/>
      <c r="UBV4" s="1114"/>
      <c r="UBW4" s="1114"/>
      <c r="UBX4" s="1114"/>
      <c r="UBY4" s="1114"/>
      <c r="UBZ4" s="1114"/>
      <c r="UCA4" s="1114"/>
      <c r="UCB4" s="1114"/>
      <c r="UCC4" s="1114"/>
      <c r="UCD4" s="1114"/>
      <c r="UCE4" s="1114"/>
      <c r="UCF4" s="1114"/>
      <c r="UCG4" s="1114"/>
      <c r="UCH4" s="1114"/>
      <c r="UCI4" s="1114"/>
      <c r="UCJ4" s="1114"/>
      <c r="UCK4" s="1114"/>
      <c r="UCL4" s="1114"/>
      <c r="UCM4" s="1114"/>
      <c r="UCN4" s="1114"/>
      <c r="UCO4" s="1114"/>
      <c r="UCP4" s="1114"/>
      <c r="UCQ4" s="1114"/>
      <c r="UCR4" s="1114"/>
      <c r="UCS4" s="1114"/>
      <c r="UCT4" s="1114"/>
      <c r="UCU4" s="1114"/>
      <c r="UCV4" s="1114"/>
      <c r="UCW4" s="1114"/>
      <c r="UCX4" s="1114"/>
      <c r="UCY4" s="1114"/>
      <c r="UCZ4" s="1114"/>
      <c r="UDA4" s="1114"/>
      <c r="UDB4" s="1114"/>
      <c r="UDC4" s="1114"/>
      <c r="UDD4" s="1114"/>
      <c r="UDE4" s="1114"/>
      <c r="UDF4" s="1114"/>
      <c r="UDG4" s="1114"/>
      <c r="UDH4" s="1114"/>
      <c r="UDI4" s="1114"/>
      <c r="UDJ4" s="1114"/>
      <c r="UDK4" s="1114"/>
      <c r="UDL4" s="1114"/>
      <c r="UDM4" s="1114"/>
      <c r="UDN4" s="1114"/>
      <c r="UDO4" s="1114"/>
      <c r="UDP4" s="1114"/>
      <c r="UDQ4" s="1114"/>
      <c r="UDR4" s="1114"/>
      <c r="UDS4" s="1114"/>
      <c r="UDT4" s="1114"/>
      <c r="UDU4" s="1114"/>
      <c r="UDV4" s="1114"/>
      <c r="UDW4" s="1114"/>
      <c r="UDX4" s="1114"/>
      <c r="UDY4" s="1114"/>
      <c r="UDZ4" s="1114"/>
      <c r="UEA4" s="1114"/>
      <c r="UEB4" s="1114"/>
      <c r="UEC4" s="1114"/>
      <c r="UED4" s="1114"/>
      <c r="UEE4" s="1114"/>
      <c r="UEF4" s="1114"/>
      <c r="UEG4" s="1114"/>
      <c r="UEH4" s="1114"/>
      <c r="UEI4" s="1114"/>
      <c r="UEJ4" s="1114"/>
      <c r="UEK4" s="1114"/>
      <c r="UEL4" s="1114"/>
      <c r="UEM4" s="1114"/>
      <c r="UEN4" s="1114"/>
      <c r="UEO4" s="1114"/>
      <c r="UEP4" s="1114"/>
      <c r="UEQ4" s="1114"/>
      <c r="UER4" s="1114"/>
      <c r="UES4" s="1114"/>
      <c r="UET4" s="1114"/>
      <c r="UEU4" s="1114"/>
      <c r="UEV4" s="1114"/>
      <c r="UEW4" s="1114"/>
      <c r="UEX4" s="1114"/>
      <c r="UEY4" s="1114"/>
      <c r="UEZ4" s="1114"/>
      <c r="UFA4" s="1114"/>
      <c r="UFB4" s="1114"/>
      <c r="UFC4" s="1114"/>
      <c r="UFD4" s="1114"/>
      <c r="UFE4" s="1114"/>
      <c r="UFF4" s="1114"/>
      <c r="UFG4" s="1114"/>
      <c r="UFH4" s="1114"/>
      <c r="UFI4" s="1114"/>
      <c r="UFJ4" s="1114"/>
      <c r="UFK4" s="1114"/>
      <c r="UFL4" s="1114"/>
      <c r="UFM4" s="1114"/>
      <c r="UFN4" s="1114"/>
      <c r="UFO4" s="1114"/>
      <c r="UFP4" s="1114"/>
      <c r="UFQ4" s="1114"/>
      <c r="UFR4" s="1114"/>
      <c r="UFS4" s="1114"/>
      <c r="UFT4" s="1114"/>
      <c r="UFU4" s="1114"/>
      <c r="UFV4" s="1114"/>
      <c r="UFW4" s="1114"/>
      <c r="UFX4" s="1114"/>
      <c r="UFY4" s="1114"/>
      <c r="UFZ4" s="1114"/>
      <c r="UGA4" s="1114"/>
      <c r="UGB4" s="1114"/>
      <c r="UGC4" s="1114"/>
      <c r="UGD4" s="1114"/>
      <c r="UGE4" s="1114"/>
      <c r="UGF4" s="1114"/>
      <c r="UGG4" s="1114"/>
      <c r="UGH4" s="1114"/>
      <c r="UGI4" s="1114"/>
      <c r="UGJ4" s="1114"/>
      <c r="UGK4" s="1114"/>
      <c r="UGL4" s="1114"/>
      <c r="UGM4" s="1114"/>
      <c r="UGN4" s="1114"/>
      <c r="UGO4" s="1114"/>
      <c r="UGP4" s="1114"/>
      <c r="UGQ4" s="1114"/>
      <c r="UGR4" s="1114"/>
      <c r="UGS4" s="1114"/>
      <c r="UGT4" s="1114"/>
      <c r="UGU4" s="1114"/>
      <c r="UGV4" s="1114"/>
      <c r="UGW4" s="1114"/>
      <c r="UGX4" s="1114"/>
      <c r="UGY4" s="1114"/>
      <c r="UGZ4" s="1114"/>
      <c r="UHA4" s="1114"/>
      <c r="UHB4" s="1114"/>
      <c r="UHC4" s="1114"/>
      <c r="UHD4" s="1114"/>
      <c r="UHE4" s="1114"/>
      <c r="UHF4" s="1114"/>
      <c r="UHG4" s="1114"/>
      <c r="UHH4" s="1114"/>
      <c r="UHI4" s="1114"/>
      <c r="UHJ4" s="1114"/>
      <c r="UHK4" s="1114"/>
      <c r="UHL4" s="1114"/>
      <c r="UHM4" s="1114"/>
      <c r="UHN4" s="1114"/>
      <c r="UHO4" s="1114"/>
      <c r="UHP4" s="1114"/>
      <c r="UHQ4" s="1114"/>
      <c r="UHR4" s="1114"/>
      <c r="UHS4" s="1114"/>
      <c r="UHT4" s="1114"/>
      <c r="UHU4" s="1114"/>
      <c r="UHV4" s="1114"/>
      <c r="UHW4" s="1114"/>
      <c r="UHX4" s="1114"/>
      <c r="UHY4" s="1114"/>
      <c r="UHZ4" s="1114"/>
      <c r="UIA4" s="1114"/>
      <c r="UIB4" s="1114"/>
      <c r="UIC4" s="1114"/>
      <c r="UID4" s="1114"/>
      <c r="UIE4" s="1114"/>
      <c r="UIF4" s="1114"/>
      <c r="UIG4" s="1114"/>
      <c r="UIH4" s="1114"/>
      <c r="UII4" s="1114"/>
      <c r="UIJ4" s="1114"/>
      <c r="UIK4" s="1114"/>
      <c r="UIL4" s="1114"/>
      <c r="UIM4" s="1114"/>
      <c r="UIN4" s="1114"/>
      <c r="UIO4" s="1114"/>
      <c r="UIP4" s="1114"/>
      <c r="UIQ4" s="1114"/>
      <c r="UIR4" s="1114"/>
      <c r="UIS4" s="1114"/>
      <c r="UIT4" s="1114"/>
      <c r="UIU4" s="1114"/>
      <c r="UIV4" s="1114"/>
      <c r="UIW4" s="1114"/>
      <c r="UIX4" s="1114"/>
      <c r="UIY4" s="1114"/>
      <c r="UIZ4" s="1114"/>
      <c r="UJA4" s="1114"/>
      <c r="UJB4" s="1114"/>
      <c r="UJC4" s="1114"/>
      <c r="UJD4" s="1114"/>
      <c r="UJE4" s="1114"/>
      <c r="UJF4" s="1114"/>
      <c r="UJG4" s="1114"/>
      <c r="UJH4" s="1114"/>
      <c r="UJI4" s="1114"/>
      <c r="UJJ4" s="1114"/>
      <c r="UJK4" s="1114"/>
      <c r="UJL4" s="1114"/>
      <c r="UJM4" s="1114"/>
      <c r="UJN4" s="1114"/>
      <c r="UJO4" s="1114"/>
      <c r="UJP4" s="1114"/>
      <c r="UJQ4" s="1114"/>
      <c r="UJR4" s="1114"/>
      <c r="UJS4" s="1114"/>
      <c r="UJT4" s="1114"/>
      <c r="UJU4" s="1114"/>
      <c r="UJV4" s="1114"/>
      <c r="UJW4" s="1114"/>
      <c r="UJX4" s="1114"/>
      <c r="UJY4" s="1114"/>
      <c r="UJZ4" s="1114"/>
      <c r="UKA4" s="1114"/>
      <c r="UKB4" s="1114"/>
      <c r="UKC4" s="1114"/>
      <c r="UKD4" s="1114"/>
      <c r="UKE4" s="1114"/>
      <c r="UKF4" s="1114"/>
      <c r="UKG4" s="1114"/>
      <c r="UKH4" s="1114"/>
      <c r="UKI4" s="1114"/>
      <c r="UKJ4" s="1114"/>
      <c r="UKK4" s="1114"/>
      <c r="UKL4" s="1114"/>
      <c r="UKM4" s="1114"/>
      <c r="UKN4" s="1114"/>
      <c r="UKO4" s="1114"/>
      <c r="UKP4" s="1114"/>
      <c r="UKQ4" s="1114"/>
      <c r="UKR4" s="1114"/>
      <c r="UKS4" s="1114"/>
      <c r="UKT4" s="1114"/>
      <c r="UKU4" s="1114"/>
      <c r="UKV4" s="1114"/>
      <c r="UKW4" s="1114"/>
      <c r="UKX4" s="1114"/>
      <c r="UKY4" s="1114"/>
      <c r="UKZ4" s="1114"/>
      <c r="ULA4" s="1114"/>
      <c r="ULB4" s="1114"/>
      <c r="ULC4" s="1114"/>
      <c r="ULD4" s="1114"/>
      <c r="ULE4" s="1114"/>
      <c r="ULF4" s="1114"/>
      <c r="ULG4" s="1114"/>
      <c r="ULH4" s="1114"/>
      <c r="ULI4" s="1114"/>
      <c r="ULJ4" s="1114"/>
      <c r="ULK4" s="1114"/>
      <c r="ULL4" s="1114"/>
      <c r="ULM4" s="1114"/>
      <c r="ULN4" s="1114"/>
      <c r="ULO4" s="1114"/>
      <c r="ULP4" s="1114"/>
      <c r="ULQ4" s="1114"/>
      <c r="ULR4" s="1114"/>
      <c r="ULS4" s="1114"/>
      <c r="ULT4" s="1114"/>
      <c r="ULU4" s="1114"/>
      <c r="ULV4" s="1114"/>
      <c r="ULW4" s="1114"/>
      <c r="ULX4" s="1114"/>
      <c r="ULY4" s="1114"/>
      <c r="ULZ4" s="1114"/>
      <c r="UMA4" s="1114"/>
      <c r="UMB4" s="1114"/>
      <c r="UMC4" s="1114"/>
      <c r="UMD4" s="1114"/>
      <c r="UME4" s="1114"/>
      <c r="UMF4" s="1114"/>
      <c r="UMG4" s="1114"/>
      <c r="UMH4" s="1114"/>
      <c r="UMI4" s="1114"/>
      <c r="UMJ4" s="1114"/>
      <c r="UMK4" s="1114"/>
      <c r="UML4" s="1114"/>
      <c r="UMM4" s="1114"/>
      <c r="UMN4" s="1114"/>
      <c r="UMO4" s="1114"/>
      <c r="UMP4" s="1114"/>
      <c r="UMQ4" s="1114"/>
      <c r="UMR4" s="1114"/>
      <c r="UMS4" s="1114"/>
      <c r="UMT4" s="1114"/>
      <c r="UMU4" s="1114"/>
      <c r="UMV4" s="1114"/>
      <c r="UMW4" s="1114"/>
      <c r="UMX4" s="1114"/>
      <c r="UMY4" s="1114"/>
      <c r="UMZ4" s="1114"/>
      <c r="UNA4" s="1114"/>
      <c r="UNB4" s="1114"/>
      <c r="UNC4" s="1114"/>
      <c r="UND4" s="1114"/>
      <c r="UNE4" s="1114"/>
      <c r="UNF4" s="1114"/>
      <c r="UNG4" s="1114"/>
      <c r="UNH4" s="1114"/>
      <c r="UNI4" s="1114"/>
      <c r="UNJ4" s="1114"/>
      <c r="UNK4" s="1114"/>
      <c r="UNL4" s="1114"/>
      <c r="UNM4" s="1114"/>
      <c r="UNN4" s="1114"/>
      <c r="UNO4" s="1114"/>
      <c r="UNP4" s="1114"/>
      <c r="UNQ4" s="1114"/>
      <c r="UNR4" s="1114"/>
      <c r="UNS4" s="1114"/>
      <c r="UNT4" s="1114"/>
      <c r="UNU4" s="1114"/>
      <c r="UNV4" s="1114"/>
      <c r="UNW4" s="1114"/>
      <c r="UNX4" s="1114"/>
      <c r="UNY4" s="1114"/>
      <c r="UNZ4" s="1114"/>
      <c r="UOA4" s="1114"/>
      <c r="UOB4" s="1114"/>
      <c r="UOC4" s="1114"/>
      <c r="UOD4" s="1114"/>
      <c r="UOE4" s="1114"/>
      <c r="UOF4" s="1114"/>
      <c r="UOG4" s="1114"/>
      <c r="UOH4" s="1114"/>
      <c r="UOI4" s="1114"/>
      <c r="UOJ4" s="1114"/>
      <c r="UOK4" s="1114"/>
      <c r="UOL4" s="1114"/>
      <c r="UOM4" s="1114"/>
      <c r="UON4" s="1114"/>
      <c r="UOO4" s="1114"/>
      <c r="UOP4" s="1114"/>
      <c r="UOQ4" s="1114"/>
      <c r="UOR4" s="1114"/>
      <c r="UOS4" s="1114"/>
      <c r="UOT4" s="1114"/>
      <c r="UOU4" s="1114"/>
      <c r="UOV4" s="1114"/>
      <c r="UOW4" s="1114"/>
      <c r="UOX4" s="1114"/>
      <c r="UOY4" s="1114"/>
      <c r="UOZ4" s="1114"/>
      <c r="UPA4" s="1114"/>
      <c r="UPB4" s="1114"/>
      <c r="UPC4" s="1114"/>
      <c r="UPD4" s="1114"/>
      <c r="UPE4" s="1114"/>
      <c r="UPF4" s="1114"/>
      <c r="UPG4" s="1114"/>
      <c r="UPH4" s="1114"/>
      <c r="UPI4" s="1114"/>
      <c r="UPJ4" s="1114"/>
      <c r="UPK4" s="1114"/>
      <c r="UPL4" s="1114"/>
      <c r="UPM4" s="1114"/>
      <c r="UPN4" s="1114"/>
      <c r="UPO4" s="1114"/>
      <c r="UPP4" s="1114"/>
      <c r="UPQ4" s="1114"/>
      <c r="UPR4" s="1114"/>
      <c r="UPS4" s="1114"/>
      <c r="UPT4" s="1114"/>
      <c r="UPU4" s="1114"/>
      <c r="UPV4" s="1114"/>
      <c r="UPW4" s="1114"/>
      <c r="UPX4" s="1114"/>
      <c r="UPY4" s="1114"/>
      <c r="UPZ4" s="1114"/>
      <c r="UQA4" s="1114"/>
      <c r="UQB4" s="1114"/>
      <c r="UQC4" s="1114"/>
      <c r="UQD4" s="1114"/>
      <c r="UQE4" s="1114"/>
      <c r="UQF4" s="1114"/>
      <c r="UQG4" s="1114"/>
      <c r="UQH4" s="1114"/>
      <c r="UQI4" s="1114"/>
      <c r="UQJ4" s="1114"/>
      <c r="UQK4" s="1114"/>
      <c r="UQL4" s="1114"/>
      <c r="UQM4" s="1114"/>
      <c r="UQN4" s="1114"/>
      <c r="UQO4" s="1114"/>
      <c r="UQP4" s="1114"/>
      <c r="UQQ4" s="1114"/>
      <c r="UQR4" s="1114"/>
      <c r="UQS4" s="1114"/>
      <c r="UQT4" s="1114"/>
      <c r="UQU4" s="1114"/>
      <c r="UQV4" s="1114"/>
      <c r="UQW4" s="1114"/>
      <c r="UQX4" s="1114"/>
      <c r="UQY4" s="1114"/>
      <c r="UQZ4" s="1114"/>
      <c r="URA4" s="1114"/>
      <c r="URB4" s="1114"/>
      <c r="URC4" s="1114"/>
      <c r="URD4" s="1114"/>
      <c r="URE4" s="1114"/>
      <c r="URF4" s="1114"/>
      <c r="URG4" s="1114"/>
      <c r="URH4" s="1114"/>
      <c r="URI4" s="1114"/>
      <c r="URJ4" s="1114"/>
      <c r="URK4" s="1114"/>
      <c r="URL4" s="1114"/>
      <c r="URM4" s="1114"/>
      <c r="URN4" s="1114"/>
      <c r="URO4" s="1114"/>
      <c r="URP4" s="1114"/>
      <c r="URQ4" s="1114"/>
      <c r="URR4" s="1114"/>
      <c r="URS4" s="1114"/>
      <c r="URT4" s="1114"/>
      <c r="URU4" s="1114"/>
      <c r="URV4" s="1114"/>
      <c r="URW4" s="1114"/>
      <c r="URX4" s="1114"/>
      <c r="URY4" s="1114"/>
      <c r="URZ4" s="1114"/>
      <c r="USA4" s="1114"/>
      <c r="USB4" s="1114"/>
      <c r="USC4" s="1114"/>
      <c r="USD4" s="1114"/>
      <c r="USE4" s="1114"/>
      <c r="USF4" s="1114"/>
      <c r="USG4" s="1114"/>
      <c r="USH4" s="1114"/>
      <c r="USI4" s="1114"/>
      <c r="USJ4" s="1114"/>
      <c r="USK4" s="1114"/>
      <c r="USL4" s="1114"/>
      <c r="USM4" s="1114"/>
      <c r="USN4" s="1114"/>
      <c r="USO4" s="1114"/>
      <c r="USP4" s="1114"/>
      <c r="USQ4" s="1114"/>
      <c r="USR4" s="1114"/>
      <c r="USS4" s="1114"/>
      <c r="UST4" s="1114"/>
      <c r="USU4" s="1114"/>
      <c r="USV4" s="1114"/>
      <c r="USW4" s="1114"/>
      <c r="USX4" s="1114"/>
      <c r="USY4" s="1114"/>
      <c r="USZ4" s="1114"/>
      <c r="UTA4" s="1114"/>
      <c r="UTB4" s="1114"/>
      <c r="UTC4" s="1114"/>
      <c r="UTD4" s="1114"/>
      <c r="UTE4" s="1114"/>
      <c r="UTF4" s="1114"/>
      <c r="UTG4" s="1114"/>
      <c r="UTH4" s="1114"/>
      <c r="UTI4" s="1114"/>
      <c r="UTJ4" s="1114"/>
      <c r="UTK4" s="1114"/>
      <c r="UTL4" s="1114"/>
      <c r="UTM4" s="1114"/>
      <c r="UTN4" s="1114"/>
      <c r="UTO4" s="1114"/>
      <c r="UTP4" s="1114"/>
      <c r="UTQ4" s="1114"/>
      <c r="UTR4" s="1114"/>
      <c r="UTS4" s="1114"/>
      <c r="UTT4" s="1114"/>
      <c r="UTU4" s="1114"/>
      <c r="UTV4" s="1114"/>
      <c r="UTW4" s="1114"/>
      <c r="UTX4" s="1114"/>
      <c r="UTY4" s="1114"/>
      <c r="UTZ4" s="1114"/>
      <c r="UUA4" s="1114"/>
      <c r="UUB4" s="1114"/>
      <c r="UUC4" s="1114"/>
      <c r="UUD4" s="1114"/>
      <c r="UUE4" s="1114"/>
      <c r="UUF4" s="1114"/>
      <c r="UUG4" s="1114"/>
      <c r="UUH4" s="1114"/>
      <c r="UUI4" s="1114"/>
      <c r="UUJ4" s="1114"/>
      <c r="UUK4" s="1114"/>
      <c r="UUL4" s="1114"/>
      <c r="UUM4" s="1114"/>
      <c r="UUN4" s="1114"/>
      <c r="UUO4" s="1114"/>
      <c r="UUP4" s="1114"/>
      <c r="UUQ4" s="1114"/>
      <c r="UUR4" s="1114"/>
      <c r="UUS4" s="1114"/>
      <c r="UUT4" s="1114"/>
      <c r="UUU4" s="1114"/>
      <c r="UUV4" s="1114"/>
      <c r="UUW4" s="1114"/>
      <c r="UUX4" s="1114"/>
      <c r="UUY4" s="1114"/>
      <c r="UUZ4" s="1114"/>
      <c r="UVA4" s="1114"/>
      <c r="UVB4" s="1114"/>
      <c r="UVC4" s="1114"/>
      <c r="UVD4" s="1114"/>
      <c r="UVE4" s="1114"/>
      <c r="UVF4" s="1114"/>
      <c r="UVG4" s="1114"/>
      <c r="UVH4" s="1114"/>
      <c r="UVI4" s="1114"/>
      <c r="UVJ4" s="1114"/>
      <c r="UVK4" s="1114"/>
      <c r="UVL4" s="1114"/>
      <c r="UVM4" s="1114"/>
      <c r="UVN4" s="1114"/>
      <c r="UVO4" s="1114"/>
      <c r="UVP4" s="1114"/>
      <c r="UVQ4" s="1114"/>
      <c r="UVR4" s="1114"/>
      <c r="UVS4" s="1114"/>
      <c r="UVT4" s="1114"/>
      <c r="UVU4" s="1114"/>
      <c r="UVV4" s="1114"/>
      <c r="UVW4" s="1114"/>
      <c r="UVX4" s="1114"/>
      <c r="UVY4" s="1114"/>
      <c r="UVZ4" s="1114"/>
      <c r="UWA4" s="1114"/>
      <c r="UWB4" s="1114"/>
      <c r="UWC4" s="1114"/>
      <c r="UWD4" s="1114"/>
      <c r="UWE4" s="1114"/>
      <c r="UWF4" s="1114"/>
      <c r="UWG4" s="1114"/>
      <c r="UWH4" s="1114"/>
      <c r="UWI4" s="1114"/>
      <c r="UWJ4" s="1114"/>
      <c r="UWK4" s="1114"/>
      <c r="UWL4" s="1114"/>
      <c r="UWM4" s="1114"/>
      <c r="UWN4" s="1114"/>
      <c r="UWO4" s="1114"/>
      <c r="UWP4" s="1114"/>
      <c r="UWQ4" s="1114"/>
      <c r="UWR4" s="1114"/>
      <c r="UWS4" s="1114"/>
      <c r="UWT4" s="1114"/>
      <c r="UWU4" s="1114"/>
      <c r="UWV4" s="1114"/>
      <c r="UWW4" s="1114"/>
      <c r="UWX4" s="1114"/>
      <c r="UWY4" s="1114"/>
      <c r="UWZ4" s="1114"/>
      <c r="UXA4" s="1114"/>
      <c r="UXB4" s="1114"/>
      <c r="UXC4" s="1114"/>
      <c r="UXD4" s="1114"/>
      <c r="UXE4" s="1114"/>
      <c r="UXF4" s="1114"/>
      <c r="UXG4" s="1114"/>
      <c r="UXH4" s="1114"/>
      <c r="UXI4" s="1114"/>
      <c r="UXJ4" s="1114"/>
      <c r="UXK4" s="1114"/>
      <c r="UXL4" s="1114"/>
      <c r="UXM4" s="1114"/>
      <c r="UXN4" s="1114"/>
      <c r="UXO4" s="1114"/>
      <c r="UXP4" s="1114"/>
      <c r="UXQ4" s="1114"/>
      <c r="UXR4" s="1114"/>
      <c r="UXS4" s="1114"/>
      <c r="UXT4" s="1114"/>
      <c r="UXU4" s="1114"/>
      <c r="UXV4" s="1114"/>
      <c r="UXW4" s="1114"/>
      <c r="UXX4" s="1114"/>
      <c r="UXY4" s="1114"/>
      <c r="UXZ4" s="1114"/>
      <c r="UYA4" s="1114"/>
      <c r="UYB4" s="1114"/>
      <c r="UYC4" s="1114"/>
      <c r="UYD4" s="1114"/>
      <c r="UYE4" s="1114"/>
      <c r="UYF4" s="1114"/>
      <c r="UYG4" s="1114"/>
      <c r="UYH4" s="1114"/>
      <c r="UYI4" s="1114"/>
      <c r="UYJ4" s="1114"/>
      <c r="UYK4" s="1114"/>
      <c r="UYL4" s="1114"/>
      <c r="UYM4" s="1114"/>
      <c r="UYN4" s="1114"/>
      <c r="UYO4" s="1114"/>
      <c r="UYP4" s="1114"/>
      <c r="UYQ4" s="1114"/>
      <c r="UYR4" s="1114"/>
      <c r="UYS4" s="1114"/>
      <c r="UYT4" s="1114"/>
      <c r="UYU4" s="1114"/>
      <c r="UYV4" s="1114"/>
      <c r="UYW4" s="1114"/>
      <c r="UYX4" s="1114"/>
      <c r="UYY4" s="1114"/>
      <c r="UYZ4" s="1114"/>
      <c r="UZA4" s="1114"/>
      <c r="UZB4" s="1114"/>
      <c r="UZC4" s="1114"/>
      <c r="UZD4" s="1114"/>
      <c r="UZE4" s="1114"/>
      <c r="UZF4" s="1114"/>
      <c r="UZG4" s="1114"/>
      <c r="UZH4" s="1114"/>
      <c r="UZI4" s="1114"/>
      <c r="UZJ4" s="1114"/>
      <c r="UZK4" s="1114"/>
      <c r="UZL4" s="1114"/>
      <c r="UZM4" s="1114"/>
      <c r="UZN4" s="1114"/>
      <c r="UZO4" s="1114"/>
      <c r="UZP4" s="1114"/>
      <c r="UZQ4" s="1114"/>
      <c r="UZR4" s="1114"/>
      <c r="UZS4" s="1114"/>
      <c r="UZT4" s="1114"/>
      <c r="UZU4" s="1114"/>
      <c r="UZV4" s="1114"/>
      <c r="UZW4" s="1114"/>
      <c r="UZX4" s="1114"/>
      <c r="UZY4" s="1114"/>
      <c r="UZZ4" s="1114"/>
      <c r="VAA4" s="1114"/>
      <c r="VAB4" s="1114"/>
      <c r="VAC4" s="1114"/>
      <c r="VAD4" s="1114"/>
      <c r="VAE4" s="1114"/>
      <c r="VAF4" s="1114"/>
      <c r="VAG4" s="1114"/>
      <c r="VAH4" s="1114"/>
      <c r="VAI4" s="1114"/>
      <c r="VAJ4" s="1114"/>
      <c r="VAK4" s="1114"/>
      <c r="VAL4" s="1114"/>
      <c r="VAM4" s="1114"/>
      <c r="VAN4" s="1114"/>
      <c r="VAO4" s="1114"/>
      <c r="VAP4" s="1114"/>
      <c r="VAQ4" s="1114"/>
      <c r="VAR4" s="1114"/>
      <c r="VAS4" s="1114"/>
      <c r="VAT4" s="1114"/>
      <c r="VAU4" s="1114"/>
      <c r="VAV4" s="1114"/>
      <c r="VAW4" s="1114"/>
      <c r="VAX4" s="1114"/>
      <c r="VAY4" s="1114"/>
      <c r="VAZ4" s="1114"/>
      <c r="VBA4" s="1114"/>
      <c r="VBB4" s="1114"/>
      <c r="VBC4" s="1114"/>
      <c r="VBD4" s="1114"/>
      <c r="VBE4" s="1114"/>
      <c r="VBF4" s="1114"/>
      <c r="VBG4" s="1114"/>
      <c r="VBH4" s="1114"/>
      <c r="VBI4" s="1114"/>
      <c r="VBJ4" s="1114"/>
      <c r="VBK4" s="1114"/>
      <c r="VBL4" s="1114"/>
      <c r="VBM4" s="1114"/>
      <c r="VBN4" s="1114"/>
      <c r="VBO4" s="1114"/>
      <c r="VBP4" s="1114"/>
      <c r="VBQ4" s="1114"/>
      <c r="VBR4" s="1114"/>
      <c r="VBS4" s="1114"/>
      <c r="VBT4" s="1114"/>
      <c r="VBU4" s="1114"/>
      <c r="VBV4" s="1114"/>
      <c r="VBW4" s="1114"/>
      <c r="VBX4" s="1114"/>
      <c r="VBY4" s="1114"/>
      <c r="VBZ4" s="1114"/>
      <c r="VCA4" s="1114"/>
      <c r="VCB4" s="1114"/>
      <c r="VCC4" s="1114"/>
      <c r="VCD4" s="1114"/>
      <c r="VCE4" s="1114"/>
      <c r="VCF4" s="1114"/>
      <c r="VCG4" s="1114"/>
      <c r="VCH4" s="1114"/>
      <c r="VCI4" s="1114"/>
      <c r="VCJ4" s="1114"/>
      <c r="VCK4" s="1114"/>
      <c r="VCL4" s="1114"/>
      <c r="VCM4" s="1114"/>
      <c r="VCN4" s="1114"/>
      <c r="VCO4" s="1114"/>
      <c r="VCP4" s="1114"/>
      <c r="VCQ4" s="1114"/>
      <c r="VCR4" s="1114"/>
      <c r="VCS4" s="1114"/>
      <c r="VCT4" s="1114"/>
      <c r="VCU4" s="1114"/>
      <c r="VCV4" s="1114"/>
      <c r="VCW4" s="1114"/>
      <c r="VCX4" s="1114"/>
      <c r="VCY4" s="1114"/>
      <c r="VCZ4" s="1114"/>
      <c r="VDA4" s="1114"/>
      <c r="VDB4" s="1114"/>
      <c r="VDC4" s="1114"/>
      <c r="VDD4" s="1114"/>
      <c r="VDE4" s="1114"/>
      <c r="VDF4" s="1114"/>
      <c r="VDG4" s="1114"/>
      <c r="VDH4" s="1114"/>
      <c r="VDI4" s="1114"/>
      <c r="VDJ4" s="1114"/>
      <c r="VDK4" s="1114"/>
      <c r="VDL4" s="1114"/>
      <c r="VDM4" s="1114"/>
      <c r="VDN4" s="1114"/>
      <c r="VDO4" s="1114"/>
      <c r="VDP4" s="1114"/>
      <c r="VDQ4" s="1114"/>
      <c r="VDR4" s="1114"/>
      <c r="VDS4" s="1114"/>
      <c r="VDT4" s="1114"/>
      <c r="VDU4" s="1114"/>
      <c r="VDV4" s="1114"/>
      <c r="VDW4" s="1114"/>
      <c r="VDX4" s="1114"/>
      <c r="VDY4" s="1114"/>
      <c r="VDZ4" s="1114"/>
      <c r="VEA4" s="1114"/>
      <c r="VEB4" s="1114"/>
      <c r="VEC4" s="1114"/>
      <c r="VED4" s="1114"/>
      <c r="VEE4" s="1114"/>
      <c r="VEF4" s="1114"/>
      <c r="VEG4" s="1114"/>
      <c r="VEH4" s="1114"/>
      <c r="VEI4" s="1114"/>
      <c r="VEJ4" s="1114"/>
      <c r="VEK4" s="1114"/>
      <c r="VEL4" s="1114"/>
      <c r="VEM4" s="1114"/>
      <c r="VEN4" s="1114"/>
      <c r="VEO4" s="1114"/>
      <c r="VEP4" s="1114"/>
      <c r="VEQ4" s="1114"/>
      <c r="VER4" s="1114"/>
      <c r="VES4" s="1114"/>
      <c r="VET4" s="1114"/>
      <c r="VEU4" s="1114"/>
      <c r="VEV4" s="1114"/>
      <c r="VEW4" s="1114"/>
      <c r="VEX4" s="1114"/>
      <c r="VEY4" s="1114"/>
      <c r="VEZ4" s="1114"/>
      <c r="VFA4" s="1114"/>
      <c r="VFB4" s="1114"/>
      <c r="VFC4" s="1114"/>
      <c r="VFD4" s="1114"/>
      <c r="VFE4" s="1114"/>
      <c r="VFF4" s="1114"/>
      <c r="VFG4" s="1114"/>
      <c r="VFH4" s="1114"/>
      <c r="VFI4" s="1114"/>
      <c r="VFJ4" s="1114"/>
      <c r="VFK4" s="1114"/>
      <c r="VFL4" s="1114"/>
      <c r="VFM4" s="1114"/>
      <c r="VFN4" s="1114"/>
      <c r="VFO4" s="1114"/>
      <c r="VFP4" s="1114"/>
      <c r="VFQ4" s="1114"/>
      <c r="VFR4" s="1114"/>
      <c r="VFS4" s="1114"/>
      <c r="VFT4" s="1114"/>
      <c r="VFU4" s="1114"/>
      <c r="VFV4" s="1114"/>
      <c r="VFW4" s="1114"/>
      <c r="VFX4" s="1114"/>
      <c r="VFY4" s="1114"/>
      <c r="VFZ4" s="1114"/>
      <c r="VGA4" s="1114"/>
      <c r="VGB4" s="1114"/>
      <c r="VGC4" s="1114"/>
      <c r="VGD4" s="1114"/>
      <c r="VGE4" s="1114"/>
      <c r="VGF4" s="1114"/>
      <c r="VGG4" s="1114"/>
      <c r="VGH4" s="1114"/>
      <c r="VGI4" s="1114"/>
      <c r="VGJ4" s="1114"/>
      <c r="VGK4" s="1114"/>
      <c r="VGL4" s="1114"/>
      <c r="VGM4" s="1114"/>
      <c r="VGN4" s="1114"/>
      <c r="VGO4" s="1114"/>
      <c r="VGP4" s="1114"/>
      <c r="VGQ4" s="1114"/>
      <c r="VGR4" s="1114"/>
      <c r="VGS4" s="1114"/>
      <c r="VGT4" s="1114"/>
      <c r="VGU4" s="1114"/>
      <c r="VGV4" s="1114"/>
      <c r="VGW4" s="1114"/>
      <c r="VGX4" s="1114"/>
      <c r="VGY4" s="1114"/>
      <c r="VGZ4" s="1114"/>
      <c r="VHA4" s="1114"/>
      <c r="VHB4" s="1114"/>
      <c r="VHC4" s="1114"/>
      <c r="VHD4" s="1114"/>
      <c r="VHE4" s="1114"/>
      <c r="VHF4" s="1114"/>
      <c r="VHG4" s="1114"/>
      <c r="VHH4" s="1114"/>
      <c r="VHI4" s="1114"/>
      <c r="VHJ4" s="1114"/>
      <c r="VHK4" s="1114"/>
      <c r="VHL4" s="1114"/>
      <c r="VHM4" s="1114"/>
      <c r="VHN4" s="1114"/>
      <c r="VHO4" s="1114"/>
      <c r="VHP4" s="1114"/>
      <c r="VHQ4" s="1114"/>
      <c r="VHR4" s="1114"/>
      <c r="VHS4" s="1114"/>
      <c r="VHT4" s="1114"/>
      <c r="VHU4" s="1114"/>
      <c r="VHV4" s="1114"/>
      <c r="VHW4" s="1114"/>
      <c r="VHX4" s="1114"/>
      <c r="VHY4" s="1114"/>
      <c r="VHZ4" s="1114"/>
      <c r="VIA4" s="1114"/>
      <c r="VIB4" s="1114"/>
      <c r="VIC4" s="1114"/>
      <c r="VID4" s="1114"/>
      <c r="VIE4" s="1114"/>
      <c r="VIF4" s="1114"/>
      <c r="VIG4" s="1114"/>
      <c r="VIH4" s="1114"/>
      <c r="VII4" s="1114"/>
      <c r="VIJ4" s="1114"/>
      <c r="VIK4" s="1114"/>
      <c r="VIL4" s="1114"/>
      <c r="VIM4" s="1114"/>
      <c r="VIN4" s="1114"/>
      <c r="VIO4" s="1114"/>
      <c r="VIP4" s="1114"/>
      <c r="VIQ4" s="1114"/>
      <c r="VIR4" s="1114"/>
      <c r="VIS4" s="1114"/>
      <c r="VIT4" s="1114"/>
      <c r="VIU4" s="1114"/>
      <c r="VIV4" s="1114"/>
      <c r="VIW4" s="1114"/>
      <c r="VIX4" s="1114"/>
      <c r="VIY4" s="1114"/>
      <c r="VIZ4" s="1114"/>
      <c r="VJA4" s="1114"/>
      <c r="VJB4" s="1114"/>
      <c r="VJC4" s="1114"/>
      <c r="VJD4" s="1114"/>
      <c r="VJE4" s="1114"/>
      <c r="VJF4" s="1114"/>
      <c r="VJG4" s="1114"/>
      <c r="VJH4" s="1114"/>
      <c r="VJI4" s="1114"/>
      <c r="VJJ4" s="1114"/>
      <c r="VJK4" s="1114"/>
      <c r="VJL4" s="1114"/>
      <c r="VJM4" s="1114"/>
      <c r="VJN4" s="1114"/>
      <c r="VJO4" s="1114"/>
      <c r="VJP4" s="1114"/>
      <c r="VJQ4" s="1114"/>
      <c r="VJR4" s="1114"/>
      <c r="VJS4" s="1114"/>
      <c r="VJT4" s="1114"/>
      <c r="VJU4" s="1114"/>
      <c r="VJV4" s="1114"/>
      <c r="VJW4" s="1114"/>
      <c r="VJX4" s="1114"/>
      <c r="VJY4" s="1114"/>
      <c r="VJZ4" s="1114"/>
      <c r="VKA4" s="1114"/>
      <c r="VKB4" s="1114"/>
      <c r="VKC4" s="1114"/>
      <c r="VKD4" s="1114"/>
      <c r="VKE4" s="1114"/>
      <c r="VKF4" s="1114"/>
      <c r="VKG4" s="1114"/>
      <c r="VKH4" s="1114"/>
      <c r="VKI4" s="1114"/>
      <c r="VKJ4" s="1114"/>
      <c r="VKK4" s="1114"/>
      <c r="VKL4" s="1114"/>
      <c r="VKM4" s="1114"/>
      <c r="VKN4" s="1114"/>
      <c r="VKO4" s="1114"/>
      <c r="VKP4" s="1114"/>
      <c r="VKQ4" s="1114"/>
      <c r="VKR4" s="1114"/>
      <c r="VKS4" s="1114"/>
      <c r="VKT4" s="1114"/>
      <c r="VKU4" s="1114"/>
      <c r="VKV4" s="1114"/>
      <c r="VKW4" s="1114"/>
      <c r="VKX4" s="1114"/>
      <c r="VKY4" s="1114"/>
      <c r="VKZ4" s="1114"/>
      <c r="VLA4" s="1114"/>
      <c r="VLB4" s="1114"/>
      <c r="VLC4" s="1114"/>
      <c r="VLD4" s="1114"/>
      <c r="VLE4" s="1114"/>
      <c r="VLF4" s="1114"/>
      <c r="VLG4" s="1114"/>
      <c r="VLH4" s="1114"/>
      <c r="VLI4" s="1114"/>
      <c r="VLJ4" s="1114"/>
      <c r="VLK4" s="1114"/>
      <c r="VLL4" s="1114"/>
      <c r="VLM4" s="1114"/>
      <c r="VLN4" s="1114"/>
      <c r="VLO4" s="1114"/>
      <c r="VLP4" s="1114"/>
      <c r="VLQ4" s="1114"/>
      <c r="VLR4" s="1114"/>
      <c r="VLS4" s="1114"/>
      <c r="VLT4" s="1114"/>
      <c r="VLU4" s="1114"/>
      <c r="VLV4" s="1114"/>
      <c r="VLW4" s="1114"/>
      <c r="VLX4" s="1114"/>
      <c r="VLY4" s="1114"/>
      <c r="VLZ4" s="1114"/>
      <c r="VMA4" s="1114"/>
      <c r="VMB4" s="1114"/>
      <c r="VMC4" s="1114"/>
      <c r="VMD4" s="1114"/>
      <c r="VME4" s="1114"/>
      <c r="VMF4" s="1114"/>
      <c r="VMG4" s="1114"/>
      <c r="VMH4" s="1114"/>
      <c r="VMI4" s="1114"/>
      <c r="VMJ4" s="1114"/>
      <c r="VMK4" s="1114"/>
      <c r="VML4" s="1114"/>
      <c r="VMM4" s="1114"/>
      <c r="VMN4" s="1114"/>
      <c r="VMO4" s="1114"/>
      <c r="VMP4" s="1114"/>
      <c r="VMQ4" s="1114"/>
      <c r="VMR4" s="1114"/>
      <c r="VMS4" s="1114"/>
      <c r="VMT4" s="1114"/>
      <c r="VMU4" s="1114"/>
      <c r="VMV4" s="1114"/>
      <c r="VMW4" s="1114"/>
      <c r="VMX4" s="1114"/>
      <c r="VMY4" s="1114"/>
      <c r="VMZ4" s="1114"/>
      <c r="VNA4" s="1114"/>
      <c r="VNB4" s="1114"/>
      <c r="VNC4" s="1114"/>
      <c r="VND4" s="1114"/>
      <c r="VNE4" s="1114"/>
      <c r="VNF4" s="1114"/>
      <c r="VNG4" s="1114"/>
      <c r="VNH4" s="1114"/>
      <c r="VNI4" s="1114"/>
      <c r="VNJ4" s="1114"/>
      <c r="VNK4" s="1114"/>
      <c r="VNL4" s="1114"/>
      <c r="VNM4" s="1114"/>
      <c r="VNN4" s="1114"/>
      <c r="VNO4" s="1114"/>
      <c r="VNP4" s="1114"/>
      <c r="VNQ4" s="1114"/>
      <c r="VNR4" s="1114"/>
      <c r="VNS4" s="1114"/>
      <c r="VNT4" s="1114"/>
      <c r="VNU4" s="1114"/>
      <c r="VNV4" s="1114"/>
      <c r="VNW4" s="1114"/>
      <c r="VNX4" s="1114"/>
      <c r="VNY4" s="1114"/>
      <c r="VNZ4" s="1114"/>
      <c r="VOA4" s="1114"/>
      <c r="VOB4" s="1114"/>
      <c r="VOC4" s="1114"/>
      <c r="VOD4" s="1114"/>
      <c r="VOE4" s="1114"/>
      <c r="VOF4" s="1114"/>
      <c r="VOG4" s="1114"/>
      <c r="VOH4" s="1114"/>
      <c r="VOI4" s="1114"/>
      <c r="VOJ4" s="1114"/>
      <c r="VOK4" s="1114"/>
      <c r="VOL4" s="1114"/>
      <c r="VOM4" s="1114"/>
      <c r="VON4" s="1114"/>
      <c r="VOO4" s="1114"/>
      <c r="VOP4" s="1114"/>
      <c r="VOQ4" s="1114"/>
      <c r="VOR4" s="1114"/>
      <c r="VOS4" s="1114"/>
      <c r="VOT4" s="1114"/>
      <c r="VOU4" s="1114"/>
      <c r="VOV4" s="1114"/>
      <c r="VOW4" s="1114"/>
      <c r="VOX4" s="1114"/>
      <c r="VOY4" s="1114"/>
      <c r="VOZ4" s="1114"/>
      <c r="VPA4" s="1114"/>
      <c r="VPB4" s="1114"/>
      <c r="VPC4" s="1114"/>
      <c r="VPD4" s="1114"/>
      <c r="VPE4" s="1114"/>
      <c r="VPF4" s="1114"/>
      <c r="VPG4" s="1114"/>
      <c r="VPH4" s="1114"/>
      <c r="VPI4" s="1114"/>
      <c r="VPJ4" s="1114"/>
      <c r="VPK4" s="1114"/>
      <c r="VPL4" s="1114"/>
      <c r="VPM4" s="1114"/>
      <c r="VPN4" s="1114"/>
      <c r="VPO4" s="1114"/>
      <c r="VPP4" s="1114"/>
      <c r="VPQ4" s="1114"/>
      <c r="VPR4" s="1114"/>
      <c r="VPS4" s="1114"/>
      <c r="VPT4" s="1114"/>
      <c r="VPU4" s="1114"/>
      <c r="VPV4" s="1114"/>
      <c r="VPW4" s="1114"/>
      <c r="VPX4" s="1114"/>
      <c r="VPY4" s="1114"/>
      <c r="VPZ4" s="1114"/>
      <c r="VQA4" s="1114"/>
      <c r="VQB4" s="1114"/>
      <c r="VQC4" s="1114"/>
      <c r="VQD4" s="1114"/>
      <c r="VQE4" s="1114"/>
      <c r="VQF4" s="1114"/>
      <c r="VQG4" s="1114"/>
      <c r="VQH4" s="1114"/>
      <c r="VQI4" s="1114"/>
      <c r="VQJ4" s="1114"/>
      <c r="VQK4" s="1114"/>
      <c r="VQL4" s="1114"/>
      <c r="VQM4" s="1114"/>
      <c r="VQN4" s="1114"/>
      <c r="VQO4" s="1114"/>
      <c r="VQP4" s="1114"/>
      <c r="VQQ4" s="1114"/>
      <c r="VQR4" s="1114"/>
      <c r="VQS4" s="1114"/>
      <c r="VQT4" s="1114"/>
      <c r="VQU4" s="1114"/>
      <c r="VQV4" s="1114"/>
      <c r="VQW4" s="1114"/>
      <c r="VQX4" s="1114"/>
      <c r="VQY4" s="1114"/>
      <c r="VQZ4" s="1114"/>
      <c r="VRA4" s="1114"/>
      <c r="VRB4" s="1114"/>
      <c r="VRC4" s="1114"/>
      <c r="VRD4" s="1114"/>
      <c r="VRE4" s="1114"/>
      <c r="VRF4" s="1114"/>
      <c r="VRG4" s="1114"/>
      <c r="VRH4" s="1114"/>
      <c r="VRI4" s="1114"/>
      <c r="VRJ4" s="1114"/>
      <c r="VRK4" s="1114"/>
      <c r="VRL4" s="1114"/>
      <c r="VRM4" s="1114"/>
      <c r="VRN4" s="1114"/>
      <c r="VRO4" s="1114"/>
      <c r="VRP4" s="1114"/>
      <c r="VRQ4" s="1114"/>
      <c r="VRR4" s="1114"/>
      <c r="VRS4" s="1114"/>
      <c r="VRT4" s="1114"/>
      <c r="VRU4" s="1114"/>
      <c r="VRV4" s="1114"/>
      <c r="VRW4" s="1114"/>
      <c r="VRX4" s="1114"/>
      <c r="VRY4" s="1114"/>
      <c r="VRZ4" s="1114"/>
      <c r="VSA4" s="1114"/>
      <c r="VSB4" s="1114"/>
      <c r="VSC4" s="1114"/>
      <c r="VSD4" s="1114"/>
      <c r="VSE4" s="1114"/>
      <c r="VSF4" s="1114"/>
      <c r="VSG4" s="1114"/>
      <c r="VSH4" s="1114"/>
      <c r="VSI4" s="1114"/>
      <c r="VSJ4" s="1114"/>
      <c r="VSK4" s="1114"/>
      <c r="VSL4" s="1114"/>
      <c r="VSM4" s="1114"/>
      <c r="VSN4" s="1114"/>
      <c r="VSO4" s="1114"/>
      <c r="VSP4" s="1114"/>
      <c r="VSQ4" s="1114"/>
      <c r="VSR4" s="1114"/>
      <c r="VSS4" s="1114"/>
      <c r="VST4" s="1114"/>
      <c r="VSU4" s="1114"/>
      <c r="VSV4" s="1114"/>
      <c r="VSW4" s="1114"/>
      <c r="VSX4" s="1114"/>
      <c r="VSY4" s="1114"/>
      <c r="VSZ4" s="1114"/>
      <c r="VTA4" s="1114"/>
      <c r="VTB4" s="1114"/>
      <c r="VTC4" s="1114"/>
      <c r="VTD4" s="1114"/>
      <c r="VTE4" s="1114"/>
      <c r="VTF4" s="1114"/>
      <c r="VTG4" s="1114"/>
      <c r="VTH4" s="1114"/>
      <c r="VTI4" s="1114"/>
      <c r="VTJ4" s="1114"/>
      <c r="VTK4" s="1114"/>
      <c r="VTL4" s="1114"/>
      <c r="VTM4" s="1114"/>
      <c r="VTN4" s="1114"/>
      <c r="VTO4" s="1114"/>
      <c r="VTP4" s="1114"/>
      <c r="VTQ4" s="1114"/>
      <c r="VTR4" s="1114"/>
      <c r="VTS4" s="1114"/>
      <c r="VTT4" s="1114"/>
      <c r="VTU4" s="1114"/>
      <c r="VTV4" s="1114"/>
      <c r="VTW4" s="1114"/>
      <c r="VTX4" s="1114"/>
      <c r="VTY4" s="1114"/>
      <c r="VTZ4" s="1114"/>
      <c r="VUA4" s="1114"/>
      <c r="VUB4" s="1114"/>
      <c r="VUC4" s="1114"/>
      <c r="VUD4" s="1114"/>
      <c r="VUE4" s="1114"/>
      <c r="VUF4" s="1114"/>
      <c r="VUG4" s="1114"/>
      <c r="VUH4" s="1114"/>
      <c r="VUI4" s="1114"/>
      <c r="VUJ4" s="1114"/>
      <c r="VUK4" s="1114"/>
      <c r="VUL4" s="1114"/>
      <c r="VUM4" s="1114"/>
      <c r="VUN4" s="1114"/>
      <c r="VUO4" s="1114"/>
      <c r="VUP4" s="1114"/>
      <c r="VUQ4" s="1114"/>
      <c r="VUR4" s="1114"/>
      <c r="VUS4" s="1114"/>
      <c r="VUT4" s="1114"/>
      <c r="VUU4" s="1114"/>
      <c r="VUV4" s="1114"/>
      <c r="VUW4" s="1114"/>
      <c r="VUX4" s="1114"/>
      <c r="VUY4" s="1114"/>
      <c r="VUZ4" s="1114"/>
      <c r="VVA4" s="1114"/>
      <c r="VVB4" s="1114"/>
      <c r="VVC4" s="1114"/>
      <c r="VVD4" s="1114"/>
      <c r="VVE4" s="1114"/>
      <c r="VVF4" s="1114"/>
      <c r="VVG4" s="1114"/>
      <c r="VVH4" s="1114"/>
      <c r="VVI4" s="1114"/>
      <c r="VVJ4" s="1114"/>
      <c r="VVK4" s="1114"/>
      <c r="VVL4" s="1114"/>
      <c r="VVM4" s="1114"/>
      <c r="VVN4" s="1114"/>
      <c r="VVO4" s="1114"/>
      <c r="VVP4" s="1114"/>
      <c r="VVQ4" s="1114"/>
      <c r="VVR4" s="1114"/>
      <c r="VVS4" s="1114"/>
      <c r="VVT4" s="1114"/>
      <c r="VVU4" s="1114"/>
      <c r="VVV4" s="1114"/>
      <c r="VVW4" s="1114"/>
      <c r="VVX4" s="1114"/>
      <c r="VVY4" s="1114"/>
      <c r="VVZ4" s="1114"/>
      <c r="VWA4" s="1114"/>
      <c r="VWB4" s="1114"/>
      <c r="VWC4" s="1114"/>
      <c r="VWD4" s="1114"/>
      <c r="VWE4" s="1114"/>
      <c r="VWF4" s="1114"/>
      <c r="VWG4" s="1114"/>
      <c r="VWH4" s="1114"/>
      <c r="VWI4" s="1114"/>
      <c r="VWJ4" s="1114"/>
      <c r="VWK4" s="1114"/>
      <c r="VWL4" s="1114"/>
      <c r="VWM4" s="1114"/>
      <c r="VWN4" s="1114"/>
      <c r="VWO4" s="1114"/>
      <c r="VWP4" s="1114"/>
      <c r="VWQ4" s="1114"/>
      <c r="VWR4" s="1114"/>
      <c r="VWS4" s="1114"/>
      <c r="VWT4" s="1114"/>
      <c r="VWU4" s="1114"/>
      <c r="VWV4" s="1114"/>
      <c r="VWW4" s="1114"/>
      <c r="VWX4" s="1114"/>
      <c r="VWY4" s="1114"/>
      <c r="VWZ4" s="1114"/>
      <c r="VXA4" s="1114"/>
      <c r="VXB4" s="1114"/>
      <c r="VXC4" s="1114"/>
      <c r="VXD4" s="1114"/>
      <c r="VXE4" s="1114"/>
      <c r="VXF4" s="1114"/>
      <c r="VXG4" s="1114"/>
      <c r="VXH4" s="1114"/>
      <c r="VXI4" s="1114"/>
      <c r="VXJ4" s="1114"/>
      <c r="VXK4" s="1114"/>
      <c r="VXL4" s="1114"/>
      <c r="VXM4" s="1114"/>
      <c r="VXN4" s="1114"/>
      <c r="VXO4" s="1114"/>
      <c r="VXP4" s="1114"/>
      <c r="VXQ4" s="1114"/>
      <c r="VXR4" s="1114"/>
      <c r="VXS4" s="1114"/>
      <c r="VXT4" s="1114"/>
      <c r="VXU4" s="1114"/>
      <c r="VXV4" s="1114"/>
      <c r="VXW4" s="1114"/>
      <c r="VXX4" s="1114"/>
      <c r="VXY4" s="1114"/>
      <c r="VXZ4" s="1114"/>
      <c r="VYA4" s="1114"/>
      <c r="VYB4" s="1114"/>
      <c r="VYC4" s="1114"/>
      <c r="VYD4" s="1114"/>
      <c r="VYE4" s="1114"/>
      <c r="VYF4" s="1114"/>
      <c r="VYG4" s="1114"/>
      <c r="VYH4" s="1114"/>
      <c r="VYI4" s="1114"/>
      <c r="VYJ4" s="1114"/>
      <c r="VYK4" s="1114"/>
      <c r="VYL4" s="1114"/>
      <c r="VYM4" s="1114"/>
      <c r="VYN4" s="1114"/>
      <c r="VYO4" s="1114"/>
      <c r="VYP4" s="1114"/>
      <c r="VYQ4" s="1114"/>
      <c r="VYR4" s="1114"/>
      <c r="VYS4" s="1114"/>
      <c r="VYT4" s="1114"/>
      <c r="VYU4" s="1114"/>
      <c r="VYV4" s="1114"/>
      <c r="VYW4" s="1114"/>
      <c r="VYX4" s="1114"/>
      <c r="VYY4" s="1114"/>
      <c r="VYZ4" s="1114"/>
      <c r="VZA4" s="1114"/>
      <c r="VZB4" s="1114"/>
      <c r="VZC4" s="1114"/>
      <c r="VZD4" s="1114"/>
      <c r="VZE4" s="1114"/>
      <c r="VZF4" s="1114"/>
      <c r="VZG4" s="1114"/>
      <c r="VZH4" s="1114"/>
      <c r="VZI4" s="1114"/>
      <c r="VZJ4" s="1114"/>
      <c r="VZK4" s="1114"/>
      <c r="VZL4" s="1114"/>
      <c r="VZM4" s="1114"/>
      <c r="VZN4" s="1114"/>
      <c r="VZO4" s="1114"/>
      <c r="VZP4" s="1114"/>
      <c r="VZQ4" s="1114"/>
      <c r="VZR4" s="1114"/>
      <c r="VZS4" s="1114"/>
      <c r="VZT4" s="1114"/>
      <c r="VZU4" s="1114"/>
      <c r="VZV4" s="1114"/>
      <c r="VZW4" s="1114"/>
      <c r="VZX4" s="1114"/>
      <c r="VZY4" s="1114"/>
      <c r="VZZ4" s="1114"/>
      <c r="WAA4" s="1114"/>
      <c r="WAB4" s="1114"/>
      <c r="WAC4" s="1114"/>
      <c r="WAD4" s="1114"/>
      <c r="WAE4" s="1114"/>
      <c r="WAF4" s="1114"/>
      <c r="WAG4" s="1114"/>
      <c r="WAH4" s="1114"/>
      <c r="WAI4" s="1114"/>
      <c r="WAJ4" s="1114"/>
      <c r="WAK4" s="1114"/>
      <c r="WAL4" s="1114"/>
      <c r="WAM4" s="1114"/>
      <c r="WAN4" s="1114"/>
      <c r="WAO4" s="1114"/>
      <c r="WAP4" s="1114"/>
      <c r="WAQ4" s="1114"/>
      <c r="WAR4" s="1114"/>
      <c r="WAS4" s="1114"/>
      <c r="WAT4" s="1114"/>
      <c r="WAU4" s="1114"/>
      <c r="WAV4" s="1114"/>
      <c r="WAW4" s="1114"/>
      <c r="WAX4" s="1114"/>
      <c r="WAY4" s="1114"/>
      <c r="WAZ4" s="1114"/>
      <c r="WBA4" s="1114"/>
      <c r="WBB4" s="1114"/>
      <c r="WBC4" s="1114"/>
      <c r="WBD4" s="1114"/>
      <c r="WBE4" s="1114"/>
      <c r="WBF4" s="1114"/>
      <c r="WBG4" s="1114"/>
      <c r="WBH4" s="1114"/>
      <c r="WBI4" s="1114"/>
      <c r="WBJ4" s="1114"/>
      <c r="WBK4" s="1114"/>
      <c r="WBL4" s="1114"/>
      <c r="WBM4" s="1114"/>
      <c r="WBN4" s="1114"/>
      <c r="WBO4" s="1114"/>
      <c r="WBP4" s="1114"/>
      <c r="WBQ4" s="1114"/>
      <c r="WBR4" s="1114"/>
      <c r="WBS4" s="1114"/>
      <c r="WBT4" s="1114"/>
      <c r="WBU4" s="1114"/>
      <c r="WBV4" s="1114"/>
      <c r="WBW4" s="1114"/>
      <c r="WBX4" s="1114"/>
      <c r="WBY4" s="1114"/>
      <c r="WBZ4" s="1114"/>
      <c r="WCA4" s="1114"/>
      <c r="WCB4" s="1114"/>
      <c r="WCC4" s="1114"/>
      <c r="WCD4" s="1114"/>
      <c r="WCE4" s="1114"/>
      <c r="WCF4" s="1114"/>
      <c r="WCG4" s="1114"/>
      <c r="WCH4" s="1114"/>
      <c r="WCI4" s="1114"/>
      <c r="WCJ4" s="1114"/>
      <c r="WCK4" s="1114"/>
      <c r="WCL4" s="1114"/>
      <c r="WCM4" s="1114"/>
      <c r="WCN4" s="1114"/>
      <c r="WCO4" s="1114"/>
      <c r="WCP4" s="1114"/>
      <c r="WCQ4" s="1114"/>
      <c r="WCR4" s="1114"/>
      <c r="WCS4" s="1114"/>
      <c r="WCT4" s="1114"/>
      <c r="WCU4" s="1114"/>
      <c r="WCV4" s="1114"/>
      <c r="WCW4" s="1114"/>
      <c r="WCX4" s="1114"/>
      <c r="WCY4" s="1114"/>
      <c r="WCZ4" s="1114"/>
      <c r="WDA4" s="1114"/>
      <c r="WDB4" s="1114"/>
      <c r="WDC4" s="1114"/>
      <c r="WDD4" s="1114"/>
      <c r="WDE4" s="1114"/>
      <c r="WDF4" s="1114"/>
      <c r="WDG4" s="1114"/>
      <c r="WDH4" s="1114"/>
      <c r="WDI4" s="1114"/>
      <c r="WDJ4" s="1114"/>
      <c r="WDK4" s="1114"/>
      <c r="WDL4" s="1114"/>
      <c r="WDM4" s="1114"/>
      <c r="WDN4" s="1114"/>
      <c r="WDO4" s="1114"/>
      <c r="WDP4" s="1114"/>
      <c r="WDQ4" s="1114"/>
      <c r="WDR4" s="1114"/>
      <c r="WDS4" s="1114"/>
      <c r="WDT4" s="1114"/>
      <c r="WDU4" s="1114"/>
      <c r="WDV4" s="1114"/>
      <c r="WDW4" s="1114"/>
      <c r="WDX4" s="1114"/>
      <c r="WDY4" s="1114"/>
      <c r="WDZ4" s="1114"/>
      <c r="WEA4" s="1114"/>
      <c r="WEB4" s="1114"/>
      <c r="WEC4" s="1114"/>
      <c r="WED4" s="1114"/>
      <c r="WEE4" s="1114"/>
      <c r="WEF4" s="1114"/>
      <c r="WEG4" s="1114"/>
      <c r="WEH4" s="1114"/>
      <c r="WEI4" s="1114"/>
      <c r="WEJ4" s="1114"/>
      <c r="WEK4" s="1114"/>
      <c r="WEL4" s="1114"/>
      <c r="WEM4" s="1114"/>
      <c r="WEN4" s="1114"/>
      <c r="WEO4" s="1114"/>
      <c r="WEP4" s="1114"/>
      <c r="WEQ4" s="1114"/>
      <c r="WER4" s="1114"/>
      <c r="WES4" s="1114"/>
      <c r="WET4" s="1114"/>
      <c r="WEU4" s="1114"/>
      <c r="WEV4" s="1114"/>
      <c r="WEW4" s="1114"/>
      <c r="WEX4" s="1114"/>
      <c r="WEY4" s="1114"/>
      <c r="WEZ4" s="1114"/>
      <c r="WFA4" s="1114"/>
      <c r="WFB4" s="1114"/>
      <c r="WFC4" s="1114"/>
      <c r="WFD4" s="1114"/>
      <c r="WFE4" s="1114"/>
      <c r="WFF4" s="1114"/>
      <c r="WFG4" s="1114"/>
      <c r="WFH4" s="1114"/>
      <c r="WFI4" s="1114"/>
      <c r="WFJ4" s="1114"/>
      <c r="WFK4" s="1114"/>
      <c r="WFL4" s="1114"/>
      <c r="WFM4" s="1114"/>
      <c r="WFN4" s="1114"/>
      <c r="WFO4" s="1114"/>
      <c r="WFP4" s="1114"/>
      <c r="WFQ4" s="1114"/>
      <c r="WFR4" s="1114"/>
      <c r="WFS4" s="1114"/>
      <c r="WFT4" s="1114"/>
      <c r="WFU4" s="1114"/>
      <c r="WFV4" s="1114"/>
      <c r="WFW4" s="1114"/>
      <c r="WFX4" s="1114"/>
      <c r="WFY4" s="1114"/>
      <c r="WFZ4" s="1114"/>
      <c r="WGA4" s="1114"/>
      <c r="WGB4" s="1114"/>
      <c r="WGC4" s="1114"/>
      <c r="WGD4" s="1114"/>
      <c r="WGE4" s="1114"/>
      <c r="WGF4" s="1114"/>
      <c r="WGG4" s="1114"/>
      <c r="WGH4" s="1114"/>
      <c r="WGI4" s="1114"/>
      <c r="WGJ4" s="1114"/>
      <c r="WGK4" s="1114"/>
      <c r="WGL4" s="1114"/>
      <c r="WGM4" s="1114"/>
      <c r="WGN4" s="1114"/>
      <c r="WGO4" s="1114"/>
      <c r="WGP4" s="1114"/>
      <c r="WGQ4" s="1114"/>
      <c r="WGR4" s="1114"/>
      <c r="WGS4" s="1114"/>
      <c r="WGT4" s="1114"/>
      <c r="WGU4" s="1114"/>
      <c r="WGV4" s="1114"/>
      <c r="WGW4" s="1114"/>
      <c r="WGX4" s="1114"/>
      <c r="WGY4" s="1114"/>
      <c r="WGZ4" s="1114"/>
      <c r="WHA4" s="1114"/>
      <c r="WHB4" s="1114"/>
      <c r="WHC4" s="1114"/>
      <c r="WHD4" s="1114"/>
      <c r="WHE4" s="1114"/>
      <c r="WHF4" s="1114"/>
      <c r="WHG4" s="1114"/>
      <c r="WHH4" s="1114"/>
      <c r="WHI4" s="1114"/>
      <c r="WHJ4" s="1114"/>
      <c r="WHK4" s="1114"/>
      <c r="WHL4" s="1114"/>
      <c r="WHM4" s="1114"/>
      <c r="WHN4" s="1114"/>
      <c r="WHO4" s="1114"/>
      <c r="WHP4" s="1114"/>
      <c r="WHQ4" s="1114"/>
      <c r="WHR4" s="1114"/>
      <c r="WHS4" s="1114"/>
      <c r="WHT4" s="1114"/>
      <c r="WHU4" s="1114"/>
      <c r="WHV4" s="1114"/>
      <c r="WHW4" s="1114"/>
      <c r="WHX4" s="1114"/>
      <c r="WHY4" s="1114"/>
      <c r="WHZ4" s="1114"/>
      <c r="WIA4" s="1114"/>
      <c r="WIB4" s="1114"/>
      <c r="WIC4" s="1114"/>
      <c r="WID4" s="1114"/>
      <c r="WIE4" s="1114"/>
      <c r="WIF4" s="1114"/>
      <c r="WIG4" s="1114"/>
      <c r="WIH4" s="1114"/>
      <c r="WII4" s="1114"/>
      <c r="WIJ4" s="1114"/>
      <c r="WIK4" s="1114"/>
      <c r="WIL4" s="1114"/>
      <c r="WIM4" s="1114"/>
      <c r="WIN4" s="1114"/>
      <c r="WIO4" s="1114"/>
      <c r="WIP4" s="1114"/>
      <c r="WIQ4" s="1114"/>
      <c r="WIR4" s="1114"/>
      <c r="WIS4" s="1114"/>
      <c r="WIT4" s="1114"/>
      <c r="WIU4" s="1114"/>
      <c r="WIV4" s="1114"/>
      <c r="WIW4" s="1114"/>
      <c r="WIX4" s="1114"/>
      <c r="WIY4" s="1114"/>
      <c r="WIZ4" s="1114"/>
      <c r="WJA4" s="1114"/>
      <c r="WJB4" s="1114"/>
      <c r="WJC4" s="1114"/>
      <c r="WJD4" s="1114"/>
      <c r="WJE4" s="1114"/>
      <c r="WJF4" s="1114"/>
      <c r="WJG4" s="1114"/>
      <c r="WJH4" s="1114"/>
      <c r="WJI4" s="1114"/>
      <c r="WJJ4" s="1114"/>
      <c r="WJK4" s="1114"/>
      <c r="WJL4" s="1114"/>
      <c r="WJM4" s="1114"/>
      <c r="WJN4" s="1114"/>
      <c r="WJO4" s="1114"/>
      <c r="WJP4" s="1114"/>
      <c r="WJQ4" s="1114"/>
      <c r="WJR4" s="1114"/>
      <c r="WJS4" s="1114"/>
      <c r="WJT4" s="1114"/>
      <c r="WJU4" s="1114"/>
      <c r="WJV4" s="1114"/>
      <c r="WJW4" s="1114"/>
      <c r="WJX4" s="1114"/>
      <c r="WJY4" s="1114"/>
      <c r="WJZ4" s="1114"/>
      <c r="WKA4" s="1114"/>
      <c r="WKB4" s="1114"/>
      <c r="WKC4" s="1114"/>
      <c r="WKD4" s="1114"/>
      <c r="WKE4" s="1114"/>
      <c r="WKF4" s="1114"/>
      <c r="WKG4" s="1114"/>
      <c r="WKH4" s="1114"/>
      <c r="WKI4" s="1114"/>
      <c r="WKJ4" s="1114"/>
      <c r="WKK4" s="1114"/>
      <c r="WKL4" s="1114"/>
      <c r="WKM4" s="1114"/>
      <c r="WKN4" s="1114"/>
      <c r="WKO4" s="1114"/>
      <c r="WKP4" s="1114"/>
      <c r="WKQ4" s="1114"/>
      <c r="WKR4" s="1114"/>
      <c r="WKS4" s="1114"/>
      <c r="WKT4" s="1114"/>
      <c r="WKU4" s="1114"/>
      <c r="WKV4" s="1114"/>
      <c r="WKW4" s="1114"/>
      <c r="WKX4" s="1114"/>
      <c r="WKY4" s="1114"/>
      <c r="WKZ4" s="1114"/>
      <c r="WLA4" s="1114"/>
      <c r="WLB4" s="1114"/>
      <c r="WLC4" s="1114"/>
      <c r="WLD4" s="1114"/>
      <c r="WLE4" s="1114"/>
      <c r="WLF4" s="1114"/>
      <c r="WLG4" s="1114"/>
      <c r="WLH4" s="1114"/>
      <c r="WLI4" s="1114"/>
      <c r="WLJ4" s="1114"/>
      <c r="WLK4" s="1114"/>
      <c r="WLL4" s="1114"/>
      <c r="WLM4" s="1114"/>
      <c r="WLN4" s="1114"/>
      <c r="WLO4" s="1114"/>
      <c r="WLP4" s="1114"/>
      <c r="WLQ4" s="1114"/>
      <c r="WLR4" s="1114"/>
      <c r="WLS4" s="1114"/>
      <c r="WLT4" s="1114"/>
      <c r="WLU4" s="1114"/>
      <c r="WLV4" s="1114"/>
      <c r="WLW4" s="1114"/>
      <c r="WLX4" s="1114"/>
      <c r="WLY4" s="1114"/>
      <c r="WLZ4" s="1114"/>
      <c r="WMA4" s="1114"/>
      <c r="WMB4" s="1114"/>
      <c r="WMC4" s="1114"/>
      <c r="WMD4" s="1114"/>
      <c r="WME4" s="1114"/>
      <c r="WMF4" s="1114"/>
      <c r="WMG4" s="1114"/>
      <c r="WMH4" s="1114"/>
      <c r="WMI4" s="1114"/>
      <c r="WMJ4" s="1114"/>
      <c r="WMK4" s="1114"/>
      <c r="WML4" s="1114"/>
      <c r="WMM4" s="1114"/>
      <c r="WMN4" s="1114"/>
      <c r="WMO4" s="1114"/>
      <c r="WMP4" s="1114"/>
      <c r="WMQ4" s="1114"/>
      <c r="WMR4" s="1114"/>
      <c r="WMS4" s="1114"/>
      <c r="WMT4" s="1114"/>
      <c r="WMU4" s="1114"/>
      <c r="WMV4" s="1114"/>
      <c r="WMW4" s="1114"/>
      <c r="WMX4" s="1114"/>
      <c r="WMY4" s="1114"/>
      <c r="WMZ4" s="1114"/>
      <c r="WNA4" s="1114"/>
      <c r="WNB4" s="1114"/>
      <c r="WNC4" s="1114"/>
      <c r="WND4" s="1114"/>
      <c r="WNE4" s="1114"/>
      <c r="WNF4" s="1114"/>
      <c r="WNG4" s="1114"/>
      <c r="WNH4" s="1114"/>
      <c r="WNI4" s="1114"/>
      <c r="WNJ4" s="1114"/>
      <c r="WNK4" s="1114"/>
      <c r="WNL4" s="1114"/>
      <c r="WNM4" s="1114"/>
      <c r="WNN4" s="1114"/>
      <c r="WNO4" s="1114"/>
      <c r="WNP4" s="1114"/>
      <c r="WNQ4" s="1114"/>
      <c r="WNR4" s="1114"/>
      <c r="WNS4" s="1114"/>
      <c r="WNT4" s="1114"/>
      <c r="WNU4" s="1114"/>
      <c r="WNV4" s="1114"/>
      <c r="WNW4" s="1114"/>
      <c r="WNX4" s="1114"/>
      <c r="WNY4" s="1114"/>
      <c r="WNZ4" s="1114"/>
      <c r="WOA4" s="1114"/>
      <c r="WOB4" s="1114"/>
      <c r="WOC4" s="1114"/>
      <c r="WOD4" s="1114"/>
      <c r="WOE4" s="1114"/>
      <c r="WOF4" s="1114"/>
      <c r="WOG4" s="1114"/>
      <c r="WOH4" s="1114"/>
      <c r="WOI4" s="1114"/>
      <c r="WOJ4" s="1114"/>
      <c r="WOK4" s="1114"/>
      <c r="WOL4" s="1114"/>
      <c r="WOM4" s="1114"/>
      <c r="WON4" s="1114"/>
      <c r="WOO4" s="1114"/>
      <c r="WOP4" s="1114"/>
      <c r="WOQ4" s="1114"/>
      <c r="WOR4" s="1114"/>
      <c r="WOS4" s="1114"/>
      <c r="WOT4" s="1114"/>
      <c r="WOU4" s="1114"/>
      <c r="WOV4" s="1114"/>
      <c r="WOW4" s="1114"/>
      <c r="WOX4" s="1114"/>
      <c r="WOY4" s="1114"/>
      <c r="WOZ4" s="1114"/>
      <c r="WPA4" s="1114"/>
      <c r="WPB4" s="1114"/>
      <c r="WPC4" s="1114"/>
      <c r="WPD4" s="1114"/>
      <c r="WPE4" s="1114"/>
      <c r="WPF4" s="1114"/>
      <c r="WPG4" s="1114"/>
      <c r="WPH4" s="1114"/>
      <c r="WPI4" s="1114"/>
      <c r="WPJ4" s="1114"/>
      <c r="WPK4" s="1114"/>
      <c r="WPL4" s="1114"/>
      <c r="WPM4" s="1114"/>
      <c r="WPN4" s="1114"/>
      <c r="WPO4" s="1114"/>
      <c r="WPP4" s="1114"/>
      <c r="WPQ4" s="1114"/>
      <c r="WPR4" s="1114"/>
      <c r="WPS4" s="1114"/>
      <c r="WPT4" s="1114"/>
      <c r="WPU4" s="1114"/>
      <c r="WPV4" s="1114"/>
      <c r="WPW4" s="1114"/>
      <c r="WPX4" s="1114"/>
      <c r="WPY4" s="1114"/>
      <c r="WPZ4" s="1114"/>
      <c r="WQA4" s="1114"/>
      <c r="WQB4" s="1114"/>
      <c r="WQC4" s="1114"/>
      <c r="WQD4" s="1114"/>
      <c r="WQE4" s="1114"/>
      <c r="WQF4" s="1114"/>
      <c r="WQG4" s="1114"/>
      <c r="WQH4" s="1114"/>
      <c r="WQI4" s="1114"/>
      <c r="WQJ4" s="1114"/>
      <c r="WQK4" s="1114"/>
      <c r="WQL4" s="1114"/>
      <c r="WQM4" s="1114"/>
      <c r="WQN4" s="1114"/>
      <c r="WQO4" s="1114"/>
      <c r="WQP4" s="1114"/>
      <c r="WQQ4" s="1114"/>
      <c r="WQR4" s="1114"/>
      <c r="WQS4" s="1114"/>
      <c r="WQT4" s="1114"/>
      <c r="WQU4" s="1114"/>
      <c r="WQV4" s="1114"/>
      <c r="WQW4" s="1114"/>
      <c r="WQX4" s="1114"/>
      <c r="WQY4" s="1114"/>
      <c r="WQZ4" s="1114"/>
      <c r="WRA4" s="1114"/>
      <c r="WRB4" s="1114"/>
      <c r="WRC4" s="1114"/>
      <c r="WRD4" s="1114"/>
      <c r="WRE4" s="1114"/>
      <c r="WRF4" s="1114"/>
      <c r="WRG4" s="1114"/>
      <c r="WRH4" s="1114"/>
      <c r="WRI4" s="1114"/>
      <c r="WRJ4" s="1114"/>
      <c r="WRK4" s="1114"/>
      <c r="WRL4" s="1114"/>
      <c r="WRM4" s="1114"/>
      <c r="WRN4" s="1114"/>
      <c r="WRO4" s="1114"/>
      <c r="WRP4" s="1114"/>
      <c r="WRQ4" s="1114"/>
      <c r="WRR4" s="1114"/>
      <c r="WRS4" s="1114"/>
      <c r="WRT4" s="1114"/>
      <c r="WRU4" s="1114"/>
      <c r="WRV4" s="1114"/>
      <c r="WRW4" s="1114"/>
      <c r="WRX4" s="1114"/>
      <c r="WRY4" s="1114"/>
      <c r="WRZ4" s="1114"/>
      <c r="WSA4" s="1114"/>
      <c r="WSB4" s="1114"/>
      <c r="WSC4" s="1114"/>
      <c r="WSD4" s="1114"/>
      <c r="WSE4" s="1114"/>
      <c r="WSF4" s="1114"/>
      <c r="WSG4" s="1114"/>
      <c r="WSH4" s="1114"/>
      <c r="WSI4" s="1114"/>
      <c r="WSJ4" s="1114"/>
      <c r="WSK4" s="1114"/>
      <c r="WSL4" s="1114"/>
      <c r="WSM4" s="1114"/>
      <c r="WSN4" s="1114"/>
      <c r="WSO4" s="1114"/>
      <c r="WSP4" s="1114"/>
      <c r="WSQ4" s="1114"/>
      <c r="WSR4" s="1114"/>
      <c r="WSS4" s="1114"/>
      <c r="WST4" s="1114"/>
      <c r="WSU4" s="1114"/>
      <c r="WSV4" s="1114"/>
      <c r="WSW4" s="1114"/>
      <c r="WSX4" s="1114"/>
      <c r="WSY4" s="1114"/>
      <c r="WSZ4" s="1114"/>
      <c r="WTA4" s="1114"/>
      <c r="WTB4" s="1114"/>
      <c r="WTC4" s="1114"/>
      <c r="WTD4" s="1114"/>
      <c r="WTE4" s="1114"/>
      <c r="WTF4" s="1114"/>
      <c r="WTG4" s="1114"/>
      <c r="WTH4" s="1114"/>
      <c r="WTI4" s="1114"/>
      <c r="WTJ4" s="1114"/>
      <c r="WTK4" s="1114"/>
      <c r="WTL4" s="1114"/>
      <c r="WTM4" s="1114"/>
      <c r="WTN4" s="1114"/>
      <c r="WTO4" s="1114"/>
      <c r="WTP4" s="1114"/>
      <c r="WTQ4" s="1114"/>
      <c r="WTR4" s="1114"/>
      <c r="WTS4" s="1114"/>
      <c r="WTT4" s="1114"/>
      <c r="WTU4" s="1114"/>
      <c r="WTV4" s="1114"/>
      <c r="WTW4" s="1114"/>
      <c r="WTX4" s="1114"/>
      <c r="WTY4" s="1114"/>
      <c r="WTZ4" s="1114"/>
      <c r="WUA4" s="1114"/>
      <c r="WUB4" s="1114"/>
      <c r="WUC4" s="1114"/>
      <c r="WUD4" s="1114"/>
      <c r="WUE4" s="1114"/>
      <c r="WUF4" s="1114"/>
      <c r="WUG4" s="1114"/>
      <c r="WUH4" s="1114"/>
      <c r="WUI4" s="1114"/>
      <c r="WUJ4" s="1114"/>
      <c r="WUK4" s="1114"/>
      <c r="WUL4" s="1114"/>
      <c r="WUM4" s="1114"/>
      <c r="WUN4" s="1114"/>
      <c r="WUO4" s="1114"/>
      <c r="WUP4" s="1114"/>
      <c r="WUQ4" s="1114"/>
      <c r="WUR4" s="1114"/>
      <c r="WUS4" s="1114"/>
      <c r="WUT4" s="1114"/>
      <c r="WUU4" s="1114"/>
      <c r="WUV4" s="1114"/>
      <c r="WUW4" s="1114"/>
      <c r="WUX4" s="1114"/>
      <c r="WUY4" s="1114"/>
      <c r="WUZ4" s="1114"/>
      <c r="WVA4" s="1114"/>
      <c r="WVB4" s="1114"/>
      <c r="WVC4" s="1114"/>
      <c r="WVD4" s="1114"/>
      <c r="WVE4" s="1114"/>
      <c r="WVF4" s="1114"/>
      <c r="WVG4" s="1114"/>
      <c r="WVH4" s="1114"/>
      <c r="WVI4" s="1114"/>
      <c r="WVJ4" s="1114"/>
      <c r="WVK4" s="1114"/>
      <c r="WVL4" s="1114"/>
      <c r="WVM4" s="1114"/>
      <c r="WVN4" s="1114"/>
      <c r="WVO4" s="1114"/>
      <c r="WVP4" s="1114"/>
      <c r="WVQ4" s="1114"/>
      <c r="WVR4" s="1114"/>
      <c r="WVS4" s="1114"/>
      <c r="WVT4" s="1114"/>
      <c r="WVU4" s="1114"/>
      <c r="WVV4" s="1114"/>
      <c r="WVW4" s="1114"/>
      <c r="WVX4" s="1114"/>
      <c r="WVY4" s="1114"/>
      <c r="WVZ4" s="1114"/>
      <c r="WWA4" s="1114"/>
      <c r="WWB4" s="1114"/>
      <c r="WWC4" s="1114"/>
      <c r="WWD4" s="1114"/>
      <c r="WWE4" s="1114"/>
      <c r="WWF4" s="1114"/>
      <c r="WWG4" s="1114"/>
      <c r="WWH4" s="1114"/>
      <c r="WWI4" s="1114"/>
      <c r="WWJ4" s="1114"/>
      <c r="WWK4" s="1114"/>
      <c r="WWL4" s="1114"/>
      <c r="WWM4" s="1114"/>
      <c r="WWN4" s="1114"/>
      <c r="WWO4" s="1114"/>
      <c r="WWP4" s="1114"/>
      <c r="WWQ4" s="1114"/>
      <c r="WWR4" s="1114"/>
      <c r="WWS4" s="1114"/>
      <c r="WWT4" s="1114"/>
      <c r="WWU4" s="1114"/>
      <c r="WWV4" s="1114"/>
      <c r="WWW4" s="1114"/>
      <c r="WWX4" s="1114"/>
      <c r="WWY4" s="1114"/>
      <c r="WWZ4" s="1114"/>
      <c r="WXA4" s="1114"/>
      <c r="WXB4" s="1114"/>
      <c r="WXC4" s="1114"/>
      <c r="WXD4" s="1114"/>
      <c r="WXE4" s="1114"/>
      <c r="WXF4" s="1114"/>
      <c r="WXG4" s="1114"/>
      <c r="WXH4" s="1114"/>
      <c r="WXI4" s="1114"/>
      <c r="WXJ4" s="1114"/>
      <c r="WXK4" s="1114"/>
      <c r="WXL4" s="1114"/>
      <c r="WXM4" s="1114"/>
      <c r="WXN4" s="1114"/>
      <c r="WXO4" s="1114"/>
      <c r="WXP4" s="1114"/>
      <c r="WXQ4" s="1114"/>
      <c r="WXR4" s="1114"/>
      <c r="WXS4" s="1114"/>
      <c r="WXT4" s="1114"/>
      <c r="WXU4" s="1114"/>
      <c r="WXV4" s="1114"/>
      <c r="WXW4" s="1114"/>
      <c r="WXX4" s="1114"/>
      <c r="WXY4" s="1114"/>
      <c r="WXZ4" s="1114"/>
      <c r="WYA4" s="1114"/>
      <c r="WYB4" s="1114"/>
      <c r="WYC4" s="1114"/>
      <c r="WYD4" s="1114"/>
      <c r="WYE4" s="1114"/>
      <c r="WYF4" s="1114"/>
      <c r="WYG4" s="1114"/>
      <c r="WYH4" s="1114"/>
      <c r="WYI4" s="1114"/>
      <c r="WYJ4" s="1114"/>
      <c r="WYK4" s="1114"/>
      <c r="WYL4" s="1114"/>
      <c r="WYM4" s="1114"/>
      <c r="WYN4" s="1114"/>
      <c r="WYO4" s="1114"/>
      <c r="WYP4" s="1114"/>
      <c r="WYQ4" s="1114"/>
      <c r="WYR4" s="1114"/>
      <c r="WYS4" s="1114"/>
      <c r="WYT4" s="1114"/>
      <c r="WYU4" s="1114"/>
      <c r="WYV4" s="1114"/>
      <c r="WYW4" s="1114"/>
      <c r="WYX4" s="1114"/>
      <c r="WYY4" s="1114"/>
      <c r="WYZ4" s="1114"/>
      <c r="WZA4" s="1114"/>
      <c r="WZB4" s="1114"/>
      <c r="WZC4" s="1114"/>
      <c r="WZD4" s="1114"/>
      <c r="WZE4" s="1114"/>
      <c r="WZF4" s="1114"/>
      <c r="WZG4" s="1114"/>
      <c r="WZH4" s="1114"/>
      <c r="WZI4" s="1114"/>
      <c r="WZJ4" s="1114"/>
      <c r="WZK4" s="1114"/>
      <c r="WZL4" s="1114"/>
      <c r="WZM4" s="1114"/>
      <c r="WZN4" s="1114"/>
      <c r="WZO4" s="1114"/>
      <c r="WZP4" s="1114"/>
      <c r="WZQ4" s="1114"/>
      <c r="WZR4" s="1114"/>
      <c r="WZS4" s="1114"/>
      <c r="WZT4" s="1114"/>
      <c r="WZU4" s="1114"/>
      <c r="WZV4" s="1114"/>
      <c r="WZW4" s="1114"/>
      <c r="WZX4" s="1114"/>
      <c r="WZY4" s="1114"/>
      <c r="WZZ4" s="1114"/>
      <c r="XAA4" s="1114"/>
      <c r="XAB4" s="1114"/>
      <c r="XAC4" s="1114"/>
      <c r="XAD4" s="1114"/>
      <c r="XAE4" s="1114"/>
      <c r="XAF4" s="1114"/>
      <c r="XAG4" s="1114"/>
      <c r="XAH4" s="1114"/>
      <c r="XAI4" s="1114"/>
      <c r="XAJ4" s="1114"/>
      <c r="XAK4" s="1114"/>
      <c r="XAL4" s="1114"/>
      <c r="XAM4" s="1114"/>
      <c r="XAN4" s="1114"/>
      <c r="XAO4" s="1114"/>
      <c r="XAP4" s="1114"/>
      <c r="XAQ4" s="1114"/>
      <c r="XAR4" s="1114"/>
      <c r="XAS4" s="1114"/>
      <c r="XAT4" s="1114"/>
      <c r="XAU4" s="1114"/>
      <c r="XAV4" s="1114"/>
      <c r="XAW4" s="1114"/>
      <c r="XAX4" s="1114"/>
      <c r="XAY4" s="1114"/>
      <c r="XAZ4" s="1114"/>
      <c r="XBA4" s="1114"/>
      <c r="XBB4" s="1114"/>
      <c r="XBC4" s="1114"/>
      <c r="XBD4" s="1114"/>
      <c r="XBE4" s="1114"/>
      <c r="XBF4" s="1114"/>
      <c r="XBG4" s="1114"/>
      <c r="XBH4" s="1114"/>
      <c r="XBI4" s="1114"/>
      <c r="XBJ4" s="1114"/>
      <c r="XBK4" s="1114"/>
      <c r="XBL4" s="1114"/>
      <c r="XBM4" s="1114"/>
      <c r="XBN4" s="1114"/>
      <c r="XBO4" s="1114"/>
      <c r="XBP4" s="1114"/>
      <c r="XBQ4" s="1114"/>
      <c r="XBR4" s="1114"/>
      <c r="XBS4" s="1114"/>
      <c r="XBT4" s="1114"/>
      <c r="XBU4" s="1114"/>
      <c r="XBV4" s="1114"/>
      <c r="XBW4" s="1114"/>
      <c r="XBX4" s="1114"/>
      <c r="XBY4" s="1114"/>
      <c r="XBZ4" s="1114"/>
      <c r="XCA4" s="1114"/>
      <c r="XCB4" s="1114"/>
      <c r="XCC4" s="1114"/>
      <c r="XCD4" s="1114"/>
      <c r="XCE4" s="1114"/>
      <c r="XCF4" s="1114"/>
      <c r="XCG4" s="1114"/>
      <c r="XCH4" s="1114"/>
      <c r="XCI4" s="1114"/>
      <c r="XCJ4" s="1114"/>
      <c r="XCK4" s="1114"/>
      <c r="XCL4" s="1114"/>
      <c r="XCM4" s="1114"/>
      <c r="XCN4" s="1114"/>
      <c r="XCO4" s="1114"/>
      <c r="XCP4" s="1114"/>
      <c r="XCQ4" s="1114"/>
      <c r="XCR4" s="1114"/>
      <c r="XCS4" s="1114"/>
      <c r="XCT4" s="1114"/>
      <c r="XCU4" s="1114"/>
      <c r="XCV4" s="1114"/>
      <c r="XCW4" s="1114"/>
      <c r="XCX4" s="1114"/>
      <c r="XCY4" s="1114"/>
      <c r="XCZ4" s="1114"/>
      <c r="XDA4" s="1114"/>
      <c r="XDB4" s="1114"/>
      <c r="XDC4" s="1114"/>
      <c r="XDD4" s="1114"/>
      <c r="XDE4" s="1114"/>
      <c r="XDF4" s="1114"/>
      <c r="XDG4" s="1114"/>
      <c r="XDH4" s="1114"/>
      <c r="XDI4" s="1114"/>
      <c r="XDJ4" s="1114"/>
      <c r="XDK4" s="1114"/>
      <c r="XDL4" s="1114"/>
      <c r="XDM4" s="1114"/>
      <c r="XDN4" s="1114"/>
      <c r="XDO4" s="1114"/>
      <c r="XDP4" s="1114"/>
      <c r="XDQ4" s="1114"/>
      <c r="XDR4" s="1114"/>
      <c r="XDS4" s="1114"/>
      <c r="XDT4" s="1114"/>
      <c r="XDU4" s="1114"/>
      <c r="XDV4" s="1114"/>
      <c r="XDW4" s="1114"/>
      <c r="XDX4" s="1114"/>
      <c r="XDY4" s="1114"/>
      <c r="XDZ4" s="1114"/>
      <c r="XEA4" s="1114"/>
      <c r="XEB4" s="1114"/>
      <c r="XEC4" s="1114"/>
      <c r="XED4" s="1114"/>
      <c r="XEE4" s="1114"/>
      <c r="XEF4" s="1114"/>
      <c r="XEG4" s="1114"/>
      <c r="XEH4" s="1114"/>
      <c r="XEI4" s="1114"/>
      <c r="XEJ4" s="1114"/>
      <c r="XEK4" s="1114"/>
      <c r="XEL4" s="1114"/>
      <c r="XEM4" s="1114"/>
      <c r="XEN4" s="1114"/>
      <c r="XEO4" s="1114"/>
      <c r="XEP4" s="1114"/>
      <c r="XEQ4" s="1114"/>
      <c r="XER4" s="1114"/>
      <c r="XES4" s="1114"/>
      <c r="XET4" s="1114"/>
      <c r="XEU4" s="1114"/>
      <c r="XEV4" s="1114"/>
      <c r="XEW4" s="1114"/>
      <c r="XEX4" s="1114"/>
      <c r="XEY4" s="1114"/>
      <c r="XEZ4" s="1114"/>
      <c r="XFA4" s="1114"/>
      <c r="XFB4" s="1114"/>
      <c r="XFC4" s="1114"/>
      <c r="XFD4" s="1114"/>
    </row>
    <row r="5" spans="1:16384" ht="28.5" x14ac:dyDescent="0.35">
      <c r="B5" s="1119" t="s">
        <v>2863</v>
      </c>
      <c r="D5" s="1256" t="s">
        <v>2851</v>
      </c>
      <c r="E5" s="1085"/>
      <c r="F5" s="1085"/>
    </row>
    <row r="6" spans="1:16384" ht="18.5" x14ac:dyDescent="0.35">
      <c r="B6" s="1257" t="s">
        <v>2850</v>
      </c>
      <c r="D6" s="1114"/>
      <c r="E6" s="1114"/>
      <c r="F6" s="1114"/>
      <c r="G6" s="1114"/>
      <c r="H6" s="1114"/>
      <c r="I6" s="1114"/>
      <c r="J6" s="1114"/>
      <c r="K6" s="1114"/>
      <c r="L6" s="1114"/>
      <c r="M6" s="1114"/>
    </row>
    <row r="7" spans="1:16384" x14ac:dyDescent="0.35">
      <c r="B7" s="1258"/>
      <c r="D7" s="1344" t="s">
        <v>2856</v>
      </c>
      <c r="E7" s="1344"/>
      <c r="F7" s="1344"/>
      <c r="G7" s="1344"/>
      <c r="H7" s="1344"/>
      <c r="I7" s="1344"/>
      <c r="J7" s="1344"/>
      <c r="K7" s="1344"/>
      <c r="L7" s="1344"/>
    </row>
    <row r="8" spans="1:16384" ht="15.5" x14ac:dyDescent="0.35">
      <c r="B8" s="1274" t="str">
        <f>HYPERLINK("#D5",D5)</f>
        <v>1. INTRODUCTION</v>
      </c>
      <c r="D8" s="1344"/>
      <c r="E8" s="1344"/>
      <c r="F8" s="1344"/>
      <c r="G8" s="1344"/>
      <c r="H8" s="1344"/>
      <c r="I8" s="1344"/>
      <c r="J8" s="1344"/>
      <c r="K8" s="1344"/>
      <c r="L8" s="1344"/>
    </row>
    <row r="9" spans="1:16384" ht="15.5" x14ac:dyDescent="0.35">
      <c r="B9" s="1274" t="str">
        <f>HYPERLINK("#D19",D19)</f>
        <v>2. CONTENTS</v>
      </c>
      <c r="D9" s="1344"/>
      <c r="E9" s="1344"/>
      <c r="F9" s="1344"/>
      <c r="G9" s="1344"/>
      <c r="H9" s="1344"/>
      <c r="I9" s="1344"/>
      <c r="J9" s="1344"/>
      <c r="K9" s="1344"/>
      <c r="L9" s="1344"/>
    </row>
    <row r="10" spans="1:16384" ht="15.5" x14ac:dyDescent="0.35">
      <c r="B10" s="1274" t="str">
        <f>HYPERLINK("#D45",D45)</f>
        <v>3. GLOBAL VARIABLES &amp; REFERENCES</v>
      </c>
      <c r="D10" s="1344"/>
      <c r="E10" s="1344"/>
      <c r="F10" s="1344"/>
      <c r="G10" s="1344"/>
      <c r="H10" s="1344"/>
      <c r="I10" s="1344"/>
      <c r="J10" s="1344"/>
      <c r="K10" s="1344"/>
      <c r="L10" s="1344"/>
    </row>
    <row r="11" spans="1:16384" ht="15.5" x14ac:dyDescent="0.35">
      <c r="A11" s="1122"/>
      <c r="B11" s="1274" t="str">
        <f>HYPERLINK("#D77",D77)</f>
        <v>4. MEASURE PROTOCOLS</v>
      </c>
      <c r="D11" s="1344"/>
      <c r="E11" s="1344"/>
      <c r="F11" s="1344"/>
      <c r="G11" s="1344"/>
      <c r="H11" s="1344"/>
      <c r="I11" s="1344"/>
      <c r="J11" s="1344"/>
      <c r="K11" s="1344"/>
      <c r="L11" s="1344"/>
      <c r="M11" s="1116"/>
      <c r="N11" s="1116"/>
      <c r="O11" s="1116"/>
      <c r="P11" s="1116"/>
      <c r="Q11" s="1116"/>
      <c r="R11" s="1116"/>
      <c r="S11" s="1116"/>
      <c r="T11" s="1116"/>
      <c r="U11" s="1116"/>
      <c r="V11" s="1116"/>
      <c r="W11" s="1116"/>
      <c r="X11" s="1116"/>
      <c r="Y11" s="1116"/>
      <c r="Z11" s="1116"/>
      <c r="AA11" s="1116"/>
      <c r="AB11" s="1116"/>
      <c r="AC11" s="1116"/>
      <c r="AD11" s="1116"/>
      <c r="AE11" s="1116"/>
      <c r="AF11" s="1116"/>
      <c r="AG11" s="1116"/>
      <c r="AH11" s="1116"/>
      <c r="AI11" s="1116"/>
      <c r="AJ11" s="1116"/>
      <c r="AK11" s="1116"/>
      <c r="AL11" s="1116"/>
      <c r="AM11" s="1116"/>
      <c r="AN11" s="1116"/>
      <c r="AO11" s="1116"/>
      <c r="AP11" s="1116"/>
      <c r="AQ11" s="1116"/>
      <c r="AR11" s="1116"/>
      <c r="AS11" s="1116"/>
      <c r="AT11" s="1116"/>
      <c r="AU11" s="1116"/>
      <c r="AV11" s="1116"/>
      <c r="AW11" s="1116"/>
      <c r="AX11" s="1116"/>
      <c r="AY11" s="1116"/>
      <c r="AZ11" s="1116"/>
      <c r="BA11" s="1116"/>
      <c r="BB11" s="1116"/>
      <c r="BC11" s="1116"/>
      <c r="BD11" s="1116"/>
      <c r="BE11" s="1116"/>
      <c r="BF11" s="1116"/>
      <c r="BG11" s="1116"/>
      <c r="BH11" s="1116"/>
      <c r="BI11" s="1116"/>
      <c r="BJ11" s="1116"/>
      <c r="BK11" s="1116"/>
      <c r="BL11" s="1116"/>
      <c r="BM11" s="1116"/>
      <c r="BN11" s="1116"/>
      <c r="BO11" s="1116"/>
      <c r="BP11" s="1116"/>
      <c r="BQ11" s="1116"/>
      <c r="BR11" s="1116"/>
      <c r="BS11" s="1116"/>
      <c r="BT11" s="1116"/>
      <c r="BU11" s="1116"/>
      <c r="BV11" s="1116"/>
      <c r="BW11" s="1116"/>
      <c r="BX11" s="1116"/>
      <c r="BY11" s="1116"/>
      <c r="BZ11" s="1116"/>
      <c r="CA11" s="1116"/>
      <c r="CB11" s="1116"/>
      <c r="CC11" s="1116"/>
      <c r="CD11" s="1116"/>
      <c r="CE11" s="1116"/>
      <c r="CF11" s="1116"/>
      <c r="CG11" s="1116"/>
      <c r="CH11" s="1116"/>
      <c r="CI11" s="1116"/>
      <c r="CJ11" s="1116"/>
      <c r="CK11" s="1116"/>
      <c r="CL11" s="1116"/>
      <c r="CM11" s="1116"/>
      <c r="CN11" s="1116"/>
      <c r="CO11" s="1116"/>
      <c r="CP11" s="1116"/>
      <c r="CQ11" s="1116"/>
      <c r="CR11" s="1116"/>
      <c r="CS11" s="1116"/>
      <c r="CT11" s="1116"/>
      <c r="CU11" s="1116"/>
      <c r="CV11" s="1116"/>
      <c r="CW11" s="1116"/>
      <c r="CX11" s="1116"/>
      <c r="CY11" s="1116"/>
      <c r="CZ11" s="1116"/>
      <c r="DA11" s="1116"/>
      <c r="DB11" s="1116"/>
      <c r="DC11" s="1116"/>
      <c r="DD11" s="1116"/>
      <c r="DE11" s="1116"/>
      <c r="DF11" s="1116"/>
      <c r="DG11" s="1116"/>
      <c r="DH11" s="1116"/>
      <c r="DI11" s="1116"/>
      <c r="DJ11" s="1116"/>
      <c r="DK11" s="1116"/>
      <c r="DL11" s="1116"/>
      <c r="DM11" s="1116"/>
      <c r="DN11" s="1116"/>
      <c r="DO11" s="1116"/>
      <c r="DP11" s="1116"/>
      <c r="DQ11" s="1116"/>
      <c r="DR11" s="1116"/>
      <c r="DS11" s="1116"/>
      <c r="DT11" s="1116"/>
      <c r="DU11" s="1116"/>
      <c r="DV11" s="1116"/>
      <c r="DW11" s="1116"/>
      <c r="DX11" s="1116"/>
      <c r="DY11" s="1116"/>
      <c r="DZ11" s="1116"/>
      <c r="EA11" s="1116"/>
      <c r="EB11" s="1116"/>
      <c r="EC11" s="1116"/>
      <c r="ED11" s="1116"/>
      <c r="EE11" s="1116"/>
      <c r="EF11" s="1116"/>
      <c r="EG11" s="1116"/>
      <c r="EH11" s="1116"/>
      <c r="EI11" s="1116"/>
      <c r="EJ11" s="1116"/>
      <c r="EK11" s="1116"/>
      <c r="EL11" s="1116"/>
      <c r="EM11" s="1116"/>
      <c r="EN11" s="1116"/>
      <c r="EO11" s="1116"/>
      <c r="EP11" s="1116"/>
      <c r="EQ11" s="1116"/>
      <c r="ER11" s="1116"/>
      <c r="ES11" s="1116"/>
      <c r="ET11" s="1116"/>
      <c r="EU11" s="1116"/>
      <c r="EV11" s="1116"/>
      <c r="EW11" s="1116"/>
      <c r="EX11" s="1116"/>
      <c r="EY11" s="1116"/>
      <c r="EZ11" s="1116"/>
      <c r="FA11" s="1116"/>
      <c r="FB11" s="1116"/>
      <c r="FC11" s="1116"/>
      <c r="FD11" s="1116"/>
      <c r="FE11" s="1116"/>
      <c r="FF11" s="1116"/>
      <c r="FG11" s="1116"/>
      <c r="FH11" s="1116"/>
      <c r="FI11" s="1116"/>
      <c r="FJ11" s="1116"/>
      <c r="FK11" s="1116"/>
      <c r="FL11" s="1116"/>
      <c r="FM11" s="1116"/>
      <c r="FN11" s="1116"/>
      <c r="FO11" s="1116"/>
      <c r="FP11" s="1116"/>
      <c r="FQ11" s="1116"/>
      <c r="FR11" s="1116"/>
      <c r="FS11" s="1116"/>
      <c r="FT11" s="1116"/>
      <c r="FU11" s="1116"/>
      <c r="FV11" s="1116"/>
      <c r="FW11" s="1116"/>
      <c r="FX11" s="1116"/>
      <c r="FY11" s="1116"/>
      <c r="FZ11" s="1116"/>
      <c r="GA11" s="1116"/>
      <c r="GB11" s="1116"/>
      <c r="GC11" s="1116"/>
      <c r="GD11" s="1116"/>
      <c r="GE11" s="1116"/>
      <c r="GF11" s="1116"/>
      <c r="GG11" s="1116"/>
      <c r="GH11" s="1116"/>
      <c r="GI11" s="1116"/>
      <c r="GJ11" s="1116"/>
      <c r="GK11" s="1116"/>
      <c r="GL11" s="1116"/>
      <c r="GM11" s="1116"/>
      <c r="GN11" s="1116"/>
      <c r="GO11" s="1116"/>
      <c r="GP11" s="1116"/>
      <c r="GQ11" s="1116"/>
      <c r="GR11" s="1116"/>
      <c r="GS11" s="1116"/>
      <c r="GT11" s="1116"/>
      <c r="GU11" s="1116"/>
      <c r="GV11" s="1116"/>
      <c r="GW11" s="1116"/>
      <c r="GX11" s="1116"/>
      <c r="GY11" s="1116"/>
      <c r="GZ11" s="1116"/>
      <c r="HA11" s="1116"/>
      <c r="HB11" s="1116"/>
      <c r="HC11" s="1116"/>
      <c r="HD11" s="1116"/>
      <c r="HE11" s="1116"/>
      <c r="HF11" s="1116"/>
      <c r="HG11" s="1116"/>
      <c r="HH11" s="1116"/>
      <c r="HI11" s="1116"/>
      <c r="HJ11" s="1116"/>
      <c r="HK11" s="1116"/>
      <c r="HL11" s="1116"/>
      <c r="HM11" s="1116"/>
      <c r="HN11" s="1116"/>
      <c r="HO11" s="1116"/>
      <c r="HP11" s="1116"/>
      <c r="HQ11" s="1116"/>
      <c r="HR11" s="1116"/>
      <c r="HS11" s="1116"/>
      <c r="HT11" s="1116"/>
      <c r="HU11" s="1116"/>
      <c r="HV11" s="1116"/>
      <c r="HW11" s="1116"/>
      <c r="HX11" s="1116"/>
      <c r="HY11" s="1116"/>
      <c r="HZ11" s="1116"/>
      <c r="IA11" s="1116"/>
      <c r="IB11" s="1116"/>
      <c r="IC11" s="1116"/>
      <c r="ID11" s="1116"/>
      <c r="IE11" s="1116"/>
      <c r="IF11" s="1116"/>
      <c r="IG11" s="1116"/>
      <c r="IH11" s="1116"/>
      <c r="II11" s="1116"/>
      <c r="IJ11" s="1116"/>
      <c r="IK11" s="1116"/>
      <c r="IL11" s="1116"/>
      <c r="IM11" s="1116"/>
      <c r="IN11" s="1116"/>
      <c r="IO11" s="1116"/>
      <c r="IP11" s="1116"/>
      <c r="IQ11" s="1116"/>
      <c r="IR11" s="1116"/>
      <c r="IS11" s="1116"/>
      <c r="IT11" s="1116"/>
      <c r="IU11" s="1116"/>
      <c r="IV11" s="1116"/>
      <c r="IW11" s="1116"/>
      <c r="IX11" s="1116"/>
      <c r="IY11" s="1116"/>
      <c r="IZ11" s="1116"/>
      <c r="JA11" s="1116"/>
      <c r="JB11" s="1116"/>
      <c r="JC11" s="1116"/>
      <c r="JD11" s="1116"/>
      <c r="JE11" s="1116"/>
      <c r="JF11" s="1116"/>
      <c r="JG11" s="1116"/>
      <c r="JH11" s="1116"/>
      <c r="JI11" s="1116"/>
      <c r="JJ11" s="1116"/>
      <c r="JK11" s="1116"/>
      <c r="JL11" s="1116"/>
      <c r="JM11" s="1116"/>
      <c r="JN11" s="1116"/>
      <c r="JO11" s="1116"/>
      <c r="JP11" s="1116"/>
      <c r="JQ11" s="1116"/>
      <c r="JR11" s="1116"/>
      <c r="JS11" s="1116"/>
      <c r="JT11" s="1116"/>
      <c r="JU11" s="1116"/>
      <c r="JV11" s="1116"/>
      <c r="JW11" s="1116"/>
      <c r="JX11" s="1116"/>
      <c r="JY11" s="1116"/>
      <c r="JZ11" s="1116"/>
      <c r="KA11" s="1116"/>
      <c r="KB11" s="1116"/>
      <c r="KC11" s="1116"/>
      <c r="KD11" s="1116"/>
      <c r="KE11" s="1116"/>
      <c r="KF11" s="1116"/>
      <c r="KG11" s="1116"/>
      <c r="KH11" s="1116"/>
      <c r="KI11" s="1116"/>
      <c r="KJ11" s="1116"/>
      <c r="KK11" s="1116"/>
      <c r="KL11" s="1116"/>
      <c r="KM11" s="1116"/>
      <c r="KN11" s="1116"/>
      <c r="KO11" s="1116"/>
      <c r="KP11" s="1116"/>
      <c r="KQ11" s="1116"/>
      <c r="KR11" s="1116"/>
      <c r="KS11" s="1116"/>
      <c r="KT11" s="1116"/>
      <c r="KU11" s="1116"/>
      <c r="KV11" s="1116"/>
      <c r="KW11" s="1116"/>
      <c r="KX11" s="1116"/>
      <c r="KY11" s="1116"/>
      <c r="KZ11" s="1116"/>
      <c r="LA11" s="1116"/>
      <c r="LB11" s="1116"/>
      <c r="LC11" s="1116"/>
      <c r="LD11" s="1116"/>
      <c r="LE11" s="1116"/>
      <c r="LF11" s="1116"/>
      <c r="LG11" s="1116"/>
      <c r="LH11" s="1116"/>
      <c r="LI11" s="1116"/>
      <c r="LJ11" s="1116"/>
      <c r="LK11" s="1116"/>
      <c r="LL11" s="1116"/>
      <c r="LM11" s="1116"/>
      <c r="LN11" s="1116"/>
      <c r="LO11" s="1116"/>
      <c r="LP11" s="1116"/>
      <c r="LQ11" s="1116"/>
      <c r="LR11" s="1116"/>
      <c r="LS11" s="1116"/>
      <c r="LT11" s="1116"/>
      <c r="LU11" s="1116"/>
      <c r="LV11" s="1116"/>
      <c r="LW11" s="1116"/>
      <c r="LX11" s="1116"/>
      <c r="LY11" s="1116"/>
      <c r="LZ11" s="1116"/>
      <c r="MA11" s="1116"/>
      <c r="MB11" s="1116"/>
      <c r="MC11" s="1116"/>
      <c r="MD11" s="1116"/>
      <c r="ME11" s="1116"/>
      <c r="MF11" s="1116"/>
      <c r="MG11" s="1116"/>
      <c r="MH11" s="1116"/>
      <c r="MI11" s="1116"/>
      <c r="MJ11" s="1116"/>
      <c r="MK11" s="1116"/>
      <c r="ML11" s="1116"/>
      <c r="MM11" s="1116"/>
      <c r="MN11" s="1116"/>
      <c r="MO11" s="1116"/>
      <c r="MP11" s="1116"/>
      <c r="MQ11" s="1116"/>
      <c r="MR11" s="1116"/>
      <c r="MS11" s="1116"/>
      <c r="MT11" s="1116"/>
      <c r="MU11" s="1116"/>
      <c r="MV11" s="1116"/>
      <c r="MW11" s="1116"/>
      <c r="MX11" s="1116"/>
      <c r="MY11" s="1116"/>
      <c r="MZ11" s="1116"/>
      <c r="NA11" s="1116"/>
      <c r="NB11" s="1116"/>
      <c r="NC11" s="1116"/>
      <c r="ND11" s="1116"/>
      <c r="NE11" s="1116"/>
      <c r="NF11" s="1116"/>
      <c r="NG11" s="1116"/>
      <c r="NH11" s="1116"/>
      <c r="NI11" s="1116"/>
      <c r="NJ11" s="1116"/>
      <c r="NK11" s="1116"/>
      <c r="NL11" s="1116"/>
      <c r="NM11" s="1116"/>
      <c r="NN11" s="1116"/>
      <c r="NO11" s="1116"/>
      <c r="NP11" s="1116"/>
      <c r="NQ11" s="1116"/>
      <c r="NR11" s="1116"/>
      <c r="NS11" s="1116"/>
      <c r="NT11" s="1116"/>
      <c r="NU11" s="1116"/>
      <c r="NV11" s="1116"/>
      <c r="NW11" s="1116"/>
      <c r="NX11" s="1116"/>
      <c r="NY11" s="1116"/>
      <c r="NZ11" s="1116"/>
      <c r="OA11" s="1116"/>
      <c r="OB11" s="1116"/>
      <c r="OC11" s="1116"/>
      <c r="OD11" s="1116"/>
      <c r="OE11" s="1116"/>
      <c r="OF11" s="1116"/>
      <c r="OG11" s="1116"/>
      <c r="OH11" s="1116"/>
      <c r="OI11" s="1116"/>
      <c r="OJ11" s="1116"/>
      <c r="OK11" s="1116"/>
      <c r="OL11" s="1116"/>
      <c r="OM11" s="1116"/>
      <c r="ON11" s="1116"/>
      <c r="OO11" s="1116"/>
      <c r="OP11" s="1116"/>
      <c r="OQ11" s="1116"/>
      <c r="OR11" s="1116"/>
      <c r="OS11" s="1116"/>
      <c r="OT11" s="1116"/>
      <c r="OU11" s="1116"/>
      <c r="OV11" s="1116"/>
      <c r="OW11" s="1116"/>
      <c r="OX11" s="1116"/>
      <c r="OY11" s="1116"/>
      <c r="OZ11" s="1116"/>
      <c r="PA11" s="1116"/>
      <c r="PB11" s="1116"/>
      <c r="PC11" s="1116"/>
      <c r="PD11" s="1116"/>
      <c r="PE11" s="1116"/>
      <c r="PF11" s="1116"/>
      <c r="PG11" s="1116"/>
      <c r="PH11" s="1116"/>
      <c r="PI11" s="1116"/>
      <c r="PJ11" s="1116"/>
      <c r="PK11" s="1116"/>
      <c r="PL11" s="1116"/>
      <c r="PM11" s="1116"/>
      <c r="PN11" s="1116"/>
      <c r="PO11" s="1116"/>
      <c r="PP11" s="1116"/>
      <c r="PQ11" s="1116"/>
      <c r="PR11" s="1116"/>
      <c r="PS11" s="1116"/>
      <c r="PT11" s="1116"/>
      <c r="PU11" s="1116"/>
      <c r="PV11" s="1116"/>
      <c r="PW11" s="1116"/>
      <c r="PX11" s="1116"/>
      <c r="PY11" s="1116"/>
      <c r="PZ11" s="1116"/>
      <c r="QA11" s="1116"/>
      <c r="QB11" s="1116"/>
      <c r="QC11" s="1116"/>
      <c r="QD11" s="1116"/>
      <c r="QE11" s="1116"/>
      <c r="QF11" s="1116"/>
      <c r="QG11" s="1116"/>
      <c r="QH11" s="1116"/>
      <c r="QI11" s="1116"/>
      <c r="QJ11" s="1116"/>
      <c r="QK11" s="1116"/>
      <c r="QL11" s="1116"/>
      <c r="QM11" s="1116"/>
      <c r="QN11" s="1116"/>
      <c r="QO11" s="1116"/>
      <c r="QP11" s="1116"/>
      <c r="QQ11" s="1116"/>
      <c r="QR11" s="1116"/>
      <c r="QS11" s="1116"/>
      <c r="QT11" s="1116"/>
      <c r="QU11" s="1116"/>
      <c r="QV11" s="1116"/>
      <c r="QW11" s="1116"/>
      <c r="QX11" s="1116"/>
      <c r="QY11" s="1116"/>
      <c r="QZ11" s="1116"/>
      <c r="RA11" s="1116"/>
      <c r="RB11" s="1116"/>
      <c r="RC11" s="1116"/>
      <c r="RD11" s="1116"/>
      <c r="RE11" s="1116"/>
      <c r="RF11" s="1116"/>
      <c r="RG11" s="1116"/>
      <c r="RH11" s="1116"/>
      <c r="RI11" s="1116"/>
      <c r="RJ11" s="1116"/>
      <c r="RK11" s="1116"/>
      <c r="RL11" s="1116"/>
      <c r="RM11" s="1116"/>
      <c r="RN11" s="1116"/>
      <c r="RO11" s="1116"/>
      <c r="RP11" s="1116"/>
      <c r="RQ11" s="1116"/>
      <c r="RR11" s="1116"/>
      <c r="RS11" s="1116"/>
      <c r="RT11" s="1116"/>
      <c r="RU11" s="1116"/>
      <c r="RV11" s="1116"/>
      <c r="RW11" s="1116"/>
      <c r="RX11" s="1116"/>
      <c r="RY11" s="1116"/>
      <c r="RZ11" s="1116"/>
      <c r="SA11" s="1116"/>
      <c r="SB11" s="1116"/>
      <c r="SC11" s="1116"/>
      <c r="SD11" s="1116"/>
      <c r="SE11" s="1116"/>
      <c r="SF11" s="1116"/>
      <c r="SG11" s="1116"/>
      <c r="SH11" s="1116"/>
      <c r="SI11" s="1116"/>
      <c r="SJ11" s="1116"/>
      <c r="SK11" s="1116"/>
      <c r="SL11" s="1116"/>
      <c r="SM11" s="1116"/>
      <c r="SN11" s="1116"/>
      <c r="SO11" s="1116"/>
      <c r="SP11" s="1116"/>
      <c r="SQ11" s="1116"/>
      <c r="SR11" s="1116"/>
      <c r="SS11" s="1116"/>
      <c r="ST11" s="1116"/>
      <c r="SU11" s="1116"/>
      <c r="SV11" s="1116"/>
      <c r="SW11" s="1116"/>
      <c r="SX11" s="1116"/>
      <c r="SY11" s="1116"/>
      <c r="SZ11" s="1116"/>
      <c r="TA11" s="1116"/>
      <c r="TB11" s="1116"/>
      <c r="TC11" s="1116"/>
      <c r="TD11" s="1116"/>
      <c r="TE11" s="1116"/>
      <c r="TF11" s="1116"/>
      <c r="TG11" s="1116"/>
      <c r="TH11" s="1116"/>
      <c r="TI11" s="1116"/>
      <c r="TJ11" s="1116"/>
      <c r="TK11" s="1116"/>
      <c r="TL11" s="1116"/>
      <c r="TM11" s="1116"/>
      <c r="TN11" s="1116"/>
      <c r="TO11" s="1116"/>
      <c r="TP11" s="1116"/>
      <c r="TQ11" s="1116"/>
      <c r="TR11" s="1116"/>
      <c r="TS11" s="1116"/>
      <c r="TT11" s="1116"/>
      <c r="TU11" s="1116"/>
      <c r="TV11" s="1116"/>
      <c r="TW11" s="1116"/>
      <c r="TX11" s="1116"/>
      <c r="TY11" s="1116"/>
      <c r="TZ11" s="1116"/>
      <c r="UA11" s="1116"/>
      <c r="UB11" s="1116"/>
      <c r="UC11" s="1116"/>
      <c r="UD11" s="1116"/>
      <c r="UE11" s="1116"/>
      <c r="UF11" s="1116"/>
      <c r="UG11" s="1116"/>
      <c r="UH11" s="1116"/>
      <c r="UI11" s="1116"/>
      <c r="UJ11" s="1116"/>
      <c r="UK11" s="1116"/>
      <c r="UL11" s="1116"/>
      <c r="UM11" s="1116"/>
      <c r="UN11" s="1116"/>
      <c r="UO11" s="1116"/>
      <c r="UP11" s="1116"/>
      <c r="UQ11" s="1116"/>
      <c r="UR11" s="1116"/>
      <c r="US11" s="1116"/>
      <c r="UT11" s="1116"/>
      <c r="UU11" s="1116"/>
      <c r="UV11" s="1116"/>
      <c r="UW11" s="1116"/>
      <c r="UX11" s="1116"/>
      <c r="UY11" s="1116"/>
      <c r="UZ11" s="1116"/>
      <c r="VA11" s="1116"/>
      <c r="VB11" s="1116"/>
      <c r="VC11" s="1116"/>
      <c r="VD11" s="1116"/>
      <c r="VE11" s="1116"/>
      <c r="VF11" s="1116"/>
      <c r="VG11" s="1116"/>
      <c r="VH11" s="1116"/>
      <c r="VI11" s="1116"/>
      <c r="VJ11" s="1116"/>
      <c r="VK11" s="1116"/>
      <c r="VL11" s="1116"/>
      <c r="VM11" s="1116"/>
      <c r="VN11" s="1116"/>
      <c r="VO11" s="1116"/>
      <c r="VP11" s="1116"/>
      <c r="VQ11" s="1116"/>
      <c r="VR11" s="1116"/>
      <c r="VS11" s="1116"/>
      <c r="VT11" s="1116"/>
      <c r="VU11" s="1116"/>
      <c r="VV11" s="1116"/>
      <c r="VW11" s="1116"/>
      <c r="VX11" s="1116"/>
      <c r="VY11" s="1116"/>
      <c r="VZ11" s="1116"/>
      <c r="WA11" s="1116"/>
      <c r="WB11" s="1116"/>
      <c r="WC11" s="1116"/>
      <c r="WD11" s="1116"/>
      <c r="WE11" s="1116"/>
      <c r="WF11" s="1116"/>
      <c r="WG11" s="1116"/>
      <c r="WH11" s="1116"/>
      <c r="WI11" s="1116"/>
      <c r="WJ11" s="1116"/>
      <c r="WK11" s="1116"/>
      <c r="WL11" s="1116"/>
      <c r="WM11" s="1116"/>
      <c r="WN11" s="1116"/>
      <c r="WO11" s="1116"/>
      <c r="WP11" s="1116"/>
      <c r="WQ11" s="1116"/>
      <c r="WR11" s="1116"/>
      <c r="WS11" s="1116"/>
      <c r="WT11" s="1116"/>
      <c r="WU11" s="1116"/>
      <c r="WV11" s="1116"/>
      <c r="WW11" s="1116"/>
      <c r="WX11" s="1116"/>
      <c r="WY11" s="1116"/>
      <c r="WZ11" s="1116"/>
      <c r="XA11" s="1116"/>
      <c r="XB11" s="1116"/>
      <c r="XC11" s="1116"/>
      <c r="XD11" s="1116"/>
      <c r="XE11" s="1116"/>
      <c r="XF11" s="1116"/>
      <c r="XG11" s="1116"/>
      <c r="XH11" s="1116"/>
      <c r="XI11" s="1116"/>
      <c r="XJ11" s="1116"/>
      <c r="XK11" s="1116"/>
      <c r="XL11" s="1116"/>
      <c r="XM11" s="1116"/>
      <c r="XN11" s="1116"/>
      <c r="XO11" s="1116"/>
      <c r="XP11" s="1116"/>
      <c r="XQ11" s="1116"/>
      <c r="XR11" s="1116"/>
      <c r="XS11" s="1116"/>
      <c r="XT11" s="1116"/>
      <c r="XU11" s="1116"/>
      <c r="XV11" s="1116"/>
      <c r="XW11" s="1116"/>
      <c r="XX11" s="1116"/>
      <c r="XY11" s="1116"/>
      <c r="XZ11" s="1116"/>
      <c r="YA11" s="1116"/>
      <c r="YB11" s="1116"/>
      <c r="YC11" s="1116"/>
      <c r="YD11" s="1116"/>
      <c r="YE11" s="1116"/>
      <c r="YF11" s="1116"/>
      <c r="YG11" s="1116"/>
      <c r="YH11" s="1116"/>
      <c r="YI11" s="1116"/>
      <c r="YJ11" s="1116"/>
      <c r="YK11" s="1116"/>
      <c r="YL11" s="1116"/>
      <c r="YM11" s="1116"/>
      <c r="YN11" s="1116"/>
      <c r="YO11" s="1116"/>
      <c r="YP11" s="1116"/>
      <c r="YQ11" s="1116"/>
      <c r="YR11" s="1116"/>
      <c r="YS11" s="1116"/>
      <c r="YT11" s="1116"/>
      <c r="YU11" s="1116"/>
      <c r="YV11" s="1116"/>
      <c r="YW11" s="1116"/>
      <c r="YX11" s="1116"/>
      <c r="YY11" s="1116"/>
      <c r="YZ11" s="1116"/>
      <c r="ZA11" s="1116"/>
      <c r="ZB11" s="1116"/>
      <c r="ZC11" s="1116"/>
      <c r="ZD11" s="1116"/>
      <c r="ZE11" s="1116"/>
      <c r="ZF11" s="1116"/>
      <c r="ZG11" s="1116"/>
      <c r="ZH11" s="1116"/>
      <c r="ZI11" s="1116"/>
      <c r="ZJ11" s="1116"/>
      <c r="ZK11" s="1116"/>
      <c r="ZL11" s="1116"/>
      <c r="ZM11" s="1116"/>
      <c r="ZN11" s="1116"/>
      <c r="ZO11" s="1116"/>
      <c r="ZP11" s="1116"/>
      <c r="ZQ11" s="1116"/>
      <c r="ZR11" s="1116"/>
      <c r="ZS11" s="1116"/>
      <c r="ZT11" s="1116"/>
      <c r="ZU11" s="1116"/>
      <c r="ZV11" s="1116"/>
      <c r="ZW11" s="1116"/>
      <c r="ZX11" s="1116"/>
      <c r="ZY11" s="1116"/>
      <c r="ZZ11" s="1116"/>
      <c r="AAA11" s="1116"/>
      <c r="AAB11" s="1116"/>
      <c r="AAC11" s="1116"/>
      <c r="AAD11" s="1116"/>
      <c r="AAE11" s="1116"/>
      <c r="AAF11" s="1116"/>
      <c r="AAG11" s="1116"/>
      <c r="AAH11" s="1116"/>
      <c r="AAI11" s="1116"/>
      <c r="AAJ11" s="1116"/>
      <c r="AAK11" s="1116"/>
      <c r="AAL11" s="1116"/>
      <c r="AAM11" s="1116"/>
      <c r="AAN11" s="1116"/>
      <c r="AAO11" s="1116"/>
      <c r="AAP11" s="1116"/>
      <c r="AAQ11" s="1116"/>
      <c r="AAR11" s="1116"/>
      <c r="AAS11" s="1116"/>
      <c r="AAT11" s="1116"/>
      <c r="AAU11" s="1116"/>
      <c r="AAV11" s="1116"/>
      <c r="AAW11" s="1116"/>
      <c r="AAX11" s="1116"/>
      <c r="AAY11" s="1116"/>
      <c r="AAZ11" s="1116"/>
      <c r="ABA11" s="1116"/>
      <c r="ABB11" s="1116"/>
      <c r="ABC11" s="1116"/>
      <c r="ABD11" s="1116"/>
      <c r="ABE11" s="1116"/>
      <c r="ABF11" s="1116"/>
      <c r="ABG11" s="1116"/>
      <c r="ABH11" s="1116"/>
      <c r="ABI11" s="1116"/>
      <c r="ABJ11" s="1116"/>
      <c r="ABK11" s="1116"/>
      <c r="ABL11" s="1116"/>
      <c r="ABM11" s="1116"/>
      <c r="ABN11" s="1116"/>
      <c r="ABO11" s="1116"/>
      <c r="ABP11" s="1116"/>
      <c r="ABQ11" s="1116"/>
      <c r="ABR11" s="1116"/>
      <c r="ABS11" s="1116"/>
      <c r="ABT11" s="1116"/>
      <c r="ABU11" s="1116"/>
      <c r="ABV11" s="1116"/>
      <c r="ABW11" s="1116"/>
      <c r="ABX11" s="1116"/>
      <c r="ABY11" s="1116"/>
      <c r="ABZ11" s="1116"/>
      <c r="ACA11" s="1116"/>
      <c r="ACB11" s="1116"/>
      <c r="ACC11" s="1116"/>
      <c r="ACD11" s="1116"/>
      <c r="ACE11" s="1116"/>
      <c r="ACF11" s="1116"/>
      <c r="ACG11" s="1116"/>
      <c r="ACH11" s="1116"/>
      <c r="ACI11" s="1116"/>
      <c r="ACJ11" s="1116"/>
      <c r="ACK11" s="1116"/>
      <c r="ACL11" s="1116"/>
      <c r="ACM11" s="1116"/>
      <c r="ACN11" s="1116"/>
      <c r="ACO11" s="1116"/>
      <c r="ACP11" s="1116"/>
      <c r="ACQ11" s="1116"/>
      <c r="ACR11" s="1116"/>
      <c r="ACS11" s="1116"/>
      <c r="ACT11" s="1116"/>
      <c r="ACU11" s="1116"/>
      <c r="ACV11" s="1116"/>
      <c r="ACW11" s="1116"/>
      <c r="ACX11" s="1116"/>
      <c r="ACY11" s="1116"/>
      <c r="ACZ11" s="1116"/>
      <c r="ADA11" s="1116"/>
      <c r="ADB11" s="1116"/>
      <c r="ADC11" s="1116"/>
      <c r="ADD11" s="1116"/>
      <c r="ADE11" s="1116"/>
      <c r="ADF11" s="1116"/>
      <c r="ADG11" s="1116"/>
      <c r="ADH11" s="1116"/>
      <c r="ADI11" s="1116"/>
      <c r="ADJ11" s="1116"/>
      <c r="ADK11" s="1116"/>
      <c r="ADL11" s="1116"/>
      <c r="ADM11" s="1116"/>
      <c r="ADN11" s="1116"/>
      <c r="ADO11" s="1116"/>
      <c r="ADP11" s="1116"/>
      <c r="ADQ11" s="1116"/>
      <c r="ADR11" s="1116"/>
      <c r="ADS11" s="1116"/>
      <c r="ADT11" s="1116"/>
      <c r="ADU11" s="1116"/>
      <c r="ADV11" s="1116"/>
      <c r="ADW11" s="1116"/>
      <c r="ADX11" s="1116"/>
      <c r="ADY11" s="1116"/>
      <c r="ADZ11" s="1116"/>
      <c r="AEA11" s="1116"/>
      <c r="AEB11" s="1116"/>
      <c r="AEC11" s="1116"/>
      <c r="AED11" s="1116"/>
      <c r="AEE11" s="1116"/>
      <c r="AEF11" s="1116"/>
      <c r="AEG11" s="1116"/>
      <c r="AEH11" s="1116"/>
      <c r="AEI11" s="1116"/>
      <c r="AEJ11" s="1116"/>
      <c r="AEK11" s="1116"/>
      <c r="AEL11" s="1116"/>
      <c r="AEM11" s="1116"/>
      <c r="AEN11" s="1116"/>
      <c r="AEO11" s="1116"/>
      <c r="AEP11" s="1116"/>
      <c r="AEQ11" s="1116"/>
      <c r="AER11" s="1116"/>
      <c r="AES11" s="1116"/>
      <c r="AET11" s="1116"/>
      <c r="AEU11" s="1116"/>
      <c r="AEV11" s="1116"/>
      <c r="AEW11" s="1116"/>
      <c r="AEX11" s="1116"/>
      <c r="AEY11" s="1116"/>
      <c r="AEZ11" s="1116"/>
      <c r="AFA11" s="1116"/>
      <c r="AFB11" s="1116"/>
      <c r="AFC11" s="1116"/>
      <c r="AFD11" s="1116"/>
      <c r="AFE11" s="1116"/>
      <c r="AFF11" s="1116"/>
      <c r="AFG11" s="1116"/>
      <c r="AFH11" s="1116"/>
      <c r="AFI11" s="1116"/>
      <c r="AFJ11" s="1116"/>
      <c r="AFK11" s="1116"/>
      <c r="AFL11" s="1116"/>
      <c r="AFM11" s="1116"/>
      <c r="AFN11" s="1116"/>
      <c r="AFO11" s="1116"/>
      <c r="AFP11" s="1116"/>
      <c r="AFQ11" s="1116"/>
      <c r="AFR11" s="1116"/>
      <c r="AFS11" s="1116"/>
      <c r="AFT11" s="1116"/>
      <c r="AFU11" s="1116"/>
      <c r="AFV11" s="1116"/>
      <c r="AFW11" s="1116"/>
      <c r="AFX11" s="1116"/>
      <c r="AFY11" s="1116"/>
      <c r="AFZ11" s="1116"/>
      <c r="AGA11" s="1116"/>
      <c r="AGB11" s="1116"/>
      <c r="AGC11" s="1116"/>
      <c r="AGD11" s="1116"/>
      <c r="AGE11" s="1116"/>
      <c r="AGF11" s="1116"/>
      <c r="AGG11" s="1116"/>
      <c r="AGH11" s="1116"/>
      <c r="AGI11" s="1116"/>
      <c r="AGJ11" s="1116"/>
      <c r="AGK11" s="1116"/>
      <c r="AGL11" s="1116"/>
      <c r="AGM11" s="1116"/>
      <c r="AGN11" s="1116"/>
      <c r="AGO11" s="1116"/>
      <c r="AGP11" s="1116"/>
      <c r="AGQ11" s="1116"/>
      <c r="AGR11" s="1116"/>
      <c r="AGS11" s="1116"/>
      <c r="AGT11" s="1116"/>
      <c r="AGU11" s="1116"/>
      <c r="AGV11" s="1116"/>
      <c r="AGW11" s="1116"/>
      <c r="AGX11" s="1116"/>
      <c r="AGY11" s="1116"/>
      <c r="AGZ11" s="1116"/>
      <c r="AHA11" s="1116"/>
      <c r="AHB11" s="1116"/>
      <c r="AHC11" s="1116"/>
      <c r="AHD11" s="1116"/>
      <c r="AHE11" s="1116"/>
      <c r="AHF11" s="1116"/>
      <c r="AHG11" s="1116"/>
      <c r="AHH11" s="1116"/>
      <c r="AHI11" s="1116"/>
      <c r="AHJ11" s="1116"/>
      <c r="AHK11" s="1116"/>
      <c r="AHL11" s="1116"/>
      <c r="AHM11" s="1116"/>
      <c r="AHN11" s="1116"/>
      <c r="AHO11" s="1116"/>
      <c r="AHP11" s="1116"/>
      <c r="AHQ11" s="1116"/>
      <c r="AHR11" s="1116"/>
      <c r="AHS11" s="1116"/>
      <c r="AHT11" s="1116"/>
      <c r="AHU11" s="1116"/>
      <c r="AHV11" s="1116"/>
      <c r="AHW11" s="1116"/>
      <c r="AHX11" s="1116"/>
      <c r="AHY11" s="1116"/>
      <c r="AHZ11" s="1116"/>
      <c r="AIA11" s="1116"/>
      <c r="AIB11" s="1116"/>
      <c r="AIC11" s="1116"/>
      <c r="AID11" s="1116"/>
      <c r="AIE11" s="1116"/>
      <c r="AIF11" s="1116"/>
      <c r="AIG11" s="1116"/>
      <c r="AIH11" s="1116"/>
      <c r="AII11" s="1116"/>
      <c r="AIJ11" s="1116"/>
      <c r="AIK11" s="1116"/>
      <c r="AIL11" s="1116"/>
      <c r="AIM11" s="1116"/>
      <c r="AIN11" s="1116"/>
      <c r="AIO11" s="1116"/>
      <c r="AIP11" s="1116"/>
      <c r="AIQ11" s="1116"/>
      <c r="AIR11" s="1116"/>
      <c r="AIS11" s="1116"/>
      <c r="AIT11" s="1116"/>
      <c r="AIU11" s="1116"/>
      <c r="AIV11" s="1116"/>
      <c r="AIW11" s="1116"/>
      <c r="AIX11" s="1116"/>
      <c r="AIY11" s="1116"/>
      <c r="AIZ11" s="1116"/>
      <c r="AJA11" s="1116"/>
      <c r="AJB11" s="1116"/>
      <c r="AJC11" s="1116"/>
      <c r="AJD11" s="1116"/>
      <c r="AJE11" s="1116"/>
      <c r="AJF11" s="1116"/>
      <c r="AJG11" s="1116"/>
      <c r="AJH11" s="1116"/>
      <c r="AJI11" s="1116"/>
      <c r="AJJ11" s="1116"/>
      <c r="AJK11" s="1116"/>
      <c r="AJL11" s="1116"/>
      <c r="AJM11" s="1116"/>
      <c r="AJN11" s="1116"/>
      <c r="AJO11" s="1116"/>
      <c r="AJP11" s="1116"/>
      <c r="AJQ11" s="1116"/>
      <c r="AJR11" s="1116"/>
      <c r="AJS11" s="1116"/>
      <c r="AJT11" s="1116"/>
      <c r="AJU11" s="1116"/>
      <c r="AJV11" s="1116"/>
      <c r="AJW11" s="1116"/>
      <c r="AJX11" s="1116"/>
      <c r="AJY11" s="1116"/>
      <c r="AJZ11" s="1116"/>
      <c r="AKA11" s="1116"/>
      <c r="AKB11" s="1116"/>
      <c r="AKC11" s="1116"/>
      <c r="AKD11" s="1116"/>
      <c r="AKE11" s="1116"/>
      <c r="AKF11" s="1116"/>
      <c r="AKG11" s="1116"/>
      <c r="AKH11" s="1116"/>
      <c r="AKI11" s="1116"/>
      <c r="AKJ11" s="1116"/>
      <c r="AKK11" s="1116"/>
      <c r="AKL11" s="1116"/>
      <c r="AKM11" s="1116"/>
      <c r="AKN11" s="1116"/>
      <c r="AKO11" s="1116"/>
      <c r="AKP11" s="1116"/>
      <c r="AKQ11" s="1116"/>
      <c r="AKR11" s="1116"/>
      <c r="AKS11" s="1116"/>
      <c r="AKT11" s="1116"/>
      <c r="AKU11" s="1116"/>
      <c r="AKV11" s="1116"/>
      <c r="AKW11" s="1116"/>
      <c r="AKX11" s="1116"/>
      <c r="AKY11" s="1116"/>
      <c r="AKZ11" s="1116"/>
      <c r="ALA11" s="1116"/>
      <c r="ALB11" s="1116"/>
      <c r="ALC11" s="1116"/>
      <c r="ALD11" s="1116"/>
      <c r="ALE11" s="1116"/>
      <c r="ALF11" s="1116"/>
      <c r="ALG11" s="1116"/>
      <c r="ALH11" s="1116"/>
      <c r="ALI11" s="1116"/>
      <c r="ALJ11" s="1116"/>
      <c r="ALK11" s="1116"/>
      <c r="ALL11" s="1116"/>
      <c r="ALM11" s="1116"/>
      <c r="ALN11" s="1116"/>
      <c r="ALO11" s="1116"/>
      <c r="ALP11" s="1116"/>
      <c r="ALQ11" s="1116"/>
      <c r="ALR11" s="1116"/>
      <c r="ALS11" s="1116"/>
      <c r="ALT11" s="1116"/>
      <c r="ALU11" s="1116"/>
      <c r="ALV11" s="1116"/>
      <c r="ALW11" s="1116"/>
      <c r="ALX11" s="1116"/>
      <c r="ALY11" s="1116"/>
      <c r="ALZ11" s="1116"/>
      <c r="AMA11" s="1116"/>
      <c r="AMB11" s="1116"/>
      <c r="AMC11" s="1116"/>
      <c r="AMD11" s="1116"/>
      <c r="AME11" s="1116"/>
      <c r="AMF11" s="1116"/>
      <c r="AMG11" s="1116"/>
      <c r="AMH11" s="1116"/>
      <c r="AMI11" s="1116"/>
      <c r="AMJ11" s="1116"/>
      <c r="AMK11" s="1116"/>
      <c r="AML11" s="1116"/>
      <c r="AMM11" s="1116"/>
      <c r="AMN11" s="1116"/>
      <c r="AMO11" s="1116"/>
      <c r="AMP11" s="1116"/>
      <c r="AMQ11" s="1116"/>
      <c r="AMR11" s="1116"/>
      <c r="AMS11" s="1116"/>
      <c r="AMT11" s="1116"/>
      <c r="AMU11" s="1116"/>
      <c r="AMV11" s="1116"/>
      <c r="AMW11" s="1116"/>
      <c r="AMX11" s="1116"/>
      <c r="AMY11" s="1116"/>
      <c r="AMZ11" s="1116"/>
      <c r="ANA11" s="1116"/>
      <c r="ANB11" s="1116"/>
      <c r="ANC11" s="1116"/>
      <c r="AND11" s="1116"/>
      <c r="ANE11" s="1116"/>
      <c r="ANF11" s="1116"/>
      <c r="ANG11" s="1116"/>
      <c r="ANH11" s="1116"/>
      <c r="ANI11" s="1116"/>
      <c r="ANJ11" s="1116"/>
      <c r="ANK11" s="1116"/>
      <c r="ANL11" s="1116"/>
      <c r="ANM11" s="1116"/>
      <c r="ANN11" s="1116"/>
      <c r="ANO11" s="1116"/>
      <c r="ANP11" s="1116"/>
      <c r="ANQ11" s="1116"/>
      <c r="ANR11" s="1116"/>
      <c r="ANS11" s="1116"/>
      <c r="ANT11" s="1116"/>
      <c r="ANU11" s="1116"/>
      <c r="ANV11" s="1116"/>
      <c r="ANW11" s="1116"/>
      <c r="ANX11" s="1116"/>
      <c r="ANY11" s="1116"/>
      <c r="ANZ11" s="1116"/>
      <c r="AOA11" s="1116"/>
      <c r="AOB11" s="1116"/>
      <c r="AOC11" s="1116"/>
      <c r="AOD11" s="1116"/>
      <c r="AOE11" s="1116"/>
      <c r="AOF11" s="1116"/>
      <c r="AOG11" s="1116"/>
      <c r="AOH11" s="1116"/>
      <c r="AOI11" s="1116"/>
      <c r="AOJ11" s="1116"/>
      <c r="AOK11" s="1116"/>
      <c r="AOL11" s="1116"/>
      <c r="AOM11" s="1116"/>
      <c r="AON11" s="1116"/>
      <c r="AOO11" s="1116"/>
      <c r="AOP11" s="1116"/>
      <c r="AOQ11" s="1116"/>
      <c r="AOR11" s="1116"/>
      <c r="AOS11" s="1116"/>
      <c r="AOT11" s="1116"/>
      <c r="AOU11" s="1116"/>
      <c r="AOV11" s="1116"/>
      <c r="AOW11" s="1116"/>
      <c r="AOX11" s="1116"/>
      <c r="AOY11" s="1116"/>
      <c r="AOZ11" s="1116"/>
      <c r="APA11" s="1116"/>
      <c r="APB11" s="1116"/>
      <c r="APC11" s="1116"/>
      <c r="APD11" s="1116"/>
      <c r="APE11" s="1116"/>
      <c r="APF11" s="1116"/>
      <c r="APG11" s="1116"/>
      <c r="APH11" s="1116"/>
      <c r="API11" s="1116"/>
      <c r="APJ11" s="1116"/>
      <c r="APK11" s="1116"/>
      <c r="APL11" s="1116"/>
      <c r="APM11" s="1116"/>
      <c r="APN11" s="1116"/>
      <c r="APO11" s="1116"/>
      <c r="APP11" s="1116"/>
      <c r="APQ11" s="1116"/>
      <c r="APR11" s="1116"/>
      <c r="APS11" s="1116"/>
      <c r="APT11" s="1116"/>
      <c r="APU11" s="1116"/>
      <c r="APV11" s="1116"/>
      <c r="APW11" s="1116"/>
      <c r="APX11" s="1116"/>
      <c r="APY11" s="1116"/>
      <c r="APZ11" s="1116"/>
      <c r="AQA11" s="1116"/>
      <c r="AQB11" s="1116"/>
      <c r="AQC11" s="1116"/>
      <c r="AQD11" s="1116"/>
      <c r="AQE11" s="1116"/>
      <c r="AQF11" s="1116"/>
      <c r="AQG11" s="1116"/>
      <c r="AQH11" s="1116"/>
      <c r="AQI11" s="1116"/>
      <c r="AQJ11" s="1116"/>
      <c r="AQK11" s="1116"/>
      <c r="AQL11" s="1116"/>
      <c r="AQM11" s="1116"/>
      <c r="AQN11" s="1116"/>
      <c r="AQO11" s="1116"/>
      <c r="AQP11" s="1116"/>
      <c r="AQQ11" s="1116"/>
      <c r="AQR11" s="1116"/>
      <c r="AQS11" s="1116"/>
      <c r="AQT11" s="1116"/>
      <c r="AQU11" s="1116"/>
      <c r="AQV11" s="1116"/>
      <c r="AQW11" s="1116"/>
      <c r="AQX11" s="1116"/>
      <c r="AQY11" s="1116"/>
      <c r="AQZ11" s="1116"/>
      <c r="ARA11" s="1116"/>
      <c r="ARB11" s="1116"/>
      <c r="ARC11" s="1116"/>
      <c r="ARD11" s="1116"/>
      <c r="ARE11" s="1116"/>
      <c r="ARF11" s="1116"/>
      <c r="ARG11" s="1116"/>
      <c r="ARH11" s="1116"/>
      <c r="ARI11" s="1116"/>
      <c r="ARJ11" s="1116"/>
      <c r="ARK11" s="1116"/>
      <c r="ARL11" s="1116"/>
      <c r="ARM11" s="1116"/>
      <c r="ARN11" s="1116"/>
      <c r="ARO11" s="1116"/>
      <c r="ARP11" s="1116"/>
      <c r="ARQ11" s="1116"/>
      <c r="ARR11" s="1116"/>
      <c r="ARS11" s="1116"/>
      <c r="ART11" s="1116"/>
      <c r="ARU11" s="1116"/>
      <c r="ARV11" s="1116"/>
      <c r="ARW11" s="1116"/>
      <c r="ARX11" s="1116"/>
      <c r="ARY11" s="1116"/>
      <c r="ARZ11" s="1116"/>
      <c r="ASA11" s="1116"/>
      <c r="ASB11" s="1116"/>
      <c r="ASC11" s="1116"/>
      <c r="ASD11" s="1116"/>
      <c r="ASE11" s="1116"/>
      <c r="ASF11" s="1116"/>
      <c r="ASG11" s="1116"/>
      <c r="ASH11" s="1116"/>
      <c r="ASI11" s="1116"/>
      <c r="ASJ11" s="1116"/>
      <c r="ASK11" s="1116"/>
      <c r="ASL11" s="1116"/>
      <c r="ASM11" s="1116"/>
      <c r="ASN11" s="1116"/>
      <c r="ASO11" s="1116"/>
      <c r="ASP11" s="1116"/>
      <c r="ASQ11" s="1116"/>
      <c r="ASR11" s="1116"/>
      <c r="ASS11" s="1116"/>
      <c r="AST11" s="1116"/>
      <c r="ASU11" s="1116"/>
      <c r="ASV11" s="1116"/>
      <c r="ASW11" s="1116"/>
      <c r="ASX11" s="1116"/>
      <c r="ASY11" s="1116"/>
      <c r="ASZ11" s="1116"/>
      <c r="ATA11" s="1116"/>
      <c r="ATB11" s="1116"/>
      <c r="ATC11" s="1116"/>
      <c r="ATD11" s="1116"/>
      <c r="ATE11" s="1116"/>
      <c r="ATF11" s="1116"/>
      <c r="ATG11" s="1116"/>
      <c r="ATH11" s="1116"/>
      <c r="ATI11" s="1116"/>
      <c r="ATJ11" s="1116"/>
      <c r="ATK11" s="1116"/>
      <c r="ATL11" s="1116"/>
      <c r="ATM11" s="1116"/>
      <c r="ATN11" s="1116"/>
      <c r="ATO11" s="1116"/>
      <c r="ATP11" s="1116"/>
      <c r="ATQ11" s="1116"/>
      <c r="ATR11" s="1116"/>
      <c r="ATS11" s="1116"/>
      <c r="ATT11" s="1116"/>
      <c r="ATU11" s="1116"/>
      <c r="ATV11" s="1116"/>
      <c r="ATW11" s="1116"/>
      <c r="ATX11" s="1116"/>
      <c r="ATY11" s="1116"/>
      <c r="ATZ11" s="1116"/>
      <c r="AUA11" s="1116"/>
      <c r="AUB11" s="1116"/>
      <c r="AUC11" s="1116"/>
      <c r="AUD11" s="1116"/>
      <c r="AUE11" s="1116"/>
      <c r="AUF11" s="1116"/>
      <c r="AUG11" s="1116"/>
      <c r="AUH11" s="1116"/>
      <c r="AUI11" s="1116"/>
      <c r="AUJ11" s="1116"/>
      <c r="AUK11" s="1116"/>
      <c r="AUL11" s="1116"/>
      <c r="AUM11" s="1116"/>
      <c r="AUN11" s="1116"/>
      <c r="AUO11" s="1116"/>
      <c r="AUP11" s="1116"/>
      <c r="AUQ11" s="1116"/>
      <c r="AUR11" s="1116"/>
      <c r="AUS11" s="1116"/>
      <c r="AUT11" s="1116"/>
      <c r="AUU11" s="1116"/>
      <c r="AUV11" s="1116"/>
      <c r="AUW11" s="1116"/>
      <c r="AUX11" s="1116"/>
      <c r="AUY11" s="1116"/>
      <c r="AUZ11" s="1116"/>
      <c r="AVA11" s="1116"/>
      <c r="AVB11" s="1116"/>
      <c r="AVC11" s="1116"/>
      <c r="AVD11" s="1116"/>
      <c r="AVE11" s="1116"/>
      <c r="AVF11" s="1116"/>
      <c r="AVG11" s="1116"/>
      <c r="AVH11" s="1116"/>
      <c r="AVI11" s="1116"/>
      <c r="AVJ11" s="1116"/>
      <c r="AVK11" s="1116"/>
      <c r="AVL11" s="1116"/>
      <c r="AVM11" s="1116"/>
      <c r="AVN11" s="1116"/>
      <c r="AVO11" s="1116"/>
      <c r="AVP11" s="1116"/>
      <c r="AVQ11" s="1116"/>
      <c r="AVR11" s="1116"/>
      <c r="AVS11" s="1116"/>
      <c r="AVT11" s="1116"/>
      <c r="AVU11" s="1116"/>
      <c r="AVV11" s="1116"/>
      <c r="AVW11" s="1116"/>
      <c r="AVX11" s="1116"/>
      <c r="AVY11" s="1116"/>
      <c r="AVZ11" s="1116"/>
      <c r="AWA11" s="1116"/>
      <c r="AWB11" s="1116"/>
      <c r="AWC11" s="1116"/>
      <c r="AWD11" s="1116"/>
      <c r="AWE11" s="1116"/>
      <c r="AWF11" s="1116"/>
      <c r="AWG11" s="1116"/>
      <c r="AWH11" s="1116"/>
      <c r="AWI11" s="1116"/>
      <c r="AWJ11" s="1116"/>
      <c r="AWK11" s="1116"/>
      <c r="AWL11" s="1116"/>
      <c r="AWM11" s="1116"/>
      <c r="AWN11" s="1116"/>
      <c r="AWO11" s="1116"/>
      <c r="AWP11" s="1116"/>
      <c r="AWQ11" s="1116"/>
      <c r="AWR11" s="1116"/>
      <c r="AWS11" s="1116"/>
      <c r="AWT11" s="1116"/>
      <c r="AWU11" s="1116"/>
      <c r="AWV11" s="1116"/>
      <c r="AWW11" s="1116"/>
      <c r="AWX11" s="1116"/>
      <c r="AWY11" s="1116"/>
      <c r="AWZ11" s="1116"/>
      <c r="AXA11" s="1116"/>
      <c r="AXB11" s="1116"/>
      <c r="AXC11" s="1116"/>
      <c r="AXD11" s="1116"/>
      <c r="AXE11" s="1116"/>
      <c r="AXF11" s="1116"/>
      <c r="AXG11" s="1116"/>
      <c r="AXH11" s="1116"/>
      <c r="AXI11" s="1116"/>
      <c r="AXJ11" s="1116"/>
      <c r="AXK11" s="1116"/>
      <c r="AXL11" s="1116"/>
      <c r="AXM11" s="1116"/>
      <c r="AXN11" s="1116"/>
      <c r="AXO11" s="1116"/>
      <c r="AXP11" s="1116"/>
      <c r="AXQ11" s="1116"/>
      <c r="AXR11" s="1116"/>
      <c r="AXS11" s="1116"/>
      <c r="AXT11" s="1116"/>
      <c r="AXU11" s="1116"/>
      <c r="AXV11" s="1116"/>
      <c r="AXW11" s="1116"/>
      <c r="AXX11" s="1116"/>
      <c r="AXY11" s="1116"/>
      <c r="AXZ11" s="1116"/>
      <c r="AYA11" s="1116"/>
      <c r="AYB11" s="1116"/>
      <c r="AYC11" s="1116"/>
      <c r="AYD11" s="1116"/>
      <c r="AYE11" s="1116"/>
      <c r="AYF11" s="1116"/>
      <c r="AYG11" s="1116"/>
      <c r="AYH11" s="1116"/>
      <c r="AYI11" s="1116"/>
      <c r="AYJ11" s="1116"/>
      <c r="AYK11" s="1116"/>
      <c r="AYL11" s="1116"/>
      <c r="AYM11" s="1116"/>
      <c r="AYN11" s="1116"/>
      <c r="AYO11" s="1116"/>
      <c r="AYP11" s="1116"/>
      <c r="AYQ11" s="1116"/>
      <c r="AYR11" s="1116"/>
      <c r="AYS11" s="1116"/>
      <c r="AYT11" s="1116"/>
      <c r="AYU11" s="1116"/>
      <c r="AYV11" s="1116"/>
      <c r="AYW11" s="1116"/>
      <c r="AYX11" s="1116"/>
      <c r="AYY11" s="1116"/>
      <c r="AYZ11" s="1116"/>
      <c r="AZA11" s="1116"/>
      <c r="AZB11" s="1116"/>
      <c r="AZC11" s="1116"/>
      <c r="AZD11" s="1116"/>
      <c r="AZE11" s="1116"/>
      <c r="AZF11" s="1116"/>
      <c r="AZG11" s="1116"/>
      <c r="AZH11" s="1116"/>
      <c r="AZI11" s="1116"/>
      <c r="AZJ11" s="1116"/>
      <c r="AZK11" s="1116"/>
      <c r="AZL11" s="1116"/>
      <c r="AZM11" s="1116"/>
      <c r="AZN11" s="1116"/>
      <c r="AZO11" s="1116"/>
      <c r="AZP11" s="1116"/>
      <c r="AZQ11" s="1116"/>
      <c r="AZR11" s="1116"/>
      <c r="AZS11" s="1116"/>
      <c r="AZT11" s="1116"/>
      <c r="AZU11" s="1116"/>
      <c r="AZV11" s="1116"/>
      <c r="AZW11" s="1116"/>
      <c r="AZX11" s="1116"/>
      <c r="AZY11" s="1116"/>
      <c r="AZZ11" s="1116"/>
      <c r="BAA11" s="1116"/>
      <c r="BAB11" s="1116"/>
      <c r="BAC11" s="1116"/>
      <c r="BAD11" s="1116"/>
      <c r="BAE11" s="1116"/>
      <c r="BAF11" s="1116"/>
      <c r="BAG11" s="1116"/>
      <c r="BAH11" s="1116"/>
      <c r="BAI11" s="1116"/>
      <c r="BAJ11" s="1116"/>
      <c r="BAK11" s="1116"/>
      <c r="BAL11" s="1116"/>
      <c r="BAM11" s="1116"/>
      <c r="BAN11" s="1116"/>
      <c r="BAO11" s="1116"/>
      <c r="BAP11" s="1116"/>
      <c r="BAQ11" s="1116"/>
      <c r="BAR11" s="1116"/>
      <c r="BAS11" s="1116"/>
      <c r="BAT11" s="1116"/>
      <c r="BAU11" s="1116"/>
      <c r="BAV11" s="1116"/>
      <c r="BAW11" s="1116"/>
      <c r="BAX11" s="1116"/>
      <c r="BAY11" s="1116"/>
      <c r="BAZ11" s="1116"/>
      <c r="BBA11" s="1116"/>
      <c r="BBB11" s="1116"/>
      <c r="BBC11" s="1116"/>
      <c r="BBD11" s="1116"/>
      <c r="BBE11" s="1116"/>
      <c r="BBF11" s="1116"/>
      <c r="BBG11" s="1116"/>
      <c r="BBH11" s="1116"/>
      <c r="BBI11" s="1116"/>
      <c r="BBJ11" s="1116"/>
      <c r="BBK11" s="1116"/>
      <c r="BBL11" s="1116"/>
      <c r="BBM11" s="1116"/>
      <c r="BBN11" s="1116"/>
      <c r="BBO11" s="1116"/>
      <c r="BBP11" s="1116"/>
      <c r="BBQ11" s="1116"/>
      <c r="BBR11" s="1116"/>
      <c r="BBS11" s="1116"/>
      <c r="BBT11" s="1116"/>
      <c r="BBU11" s="1116"/>
      <c r="BBV11" s="1116"/>
      <c r="BBW11" s="1116"/>
      <c r="BBX11" s="1116"/>
      <c r="BBY11" s="1116"/>
      <c r="BBZ11" s="1116"/>
      <c r="BCA11" s="1116"/>
      <c r="BCB11" s="1116"/>
      <c r="BCC11" s="1116"/>
      <c r="BCD11" s="1116"/>
      <c r="BCE11" s="1116"/>
      <c r="BCF11" s="1116"/>
      <c r="BCG11" s="1116"/>
      <c r="BCH11" s="1116"/>
      <c r="BCI11" s="1116"/>
      <c r="BCJ11" s="1116"/>
      <c r="BCK11" s="1116"/>
      <c r="BCL11" s="1116"/>
      <c r="BCM11" s="1116"/>
      <c r="BCN11" s="1116"/>
      <c r="BCO11" s="1116"/>
      <c r="BCP11" s="1116"/>
      <c r="BCQ11" s="1116"/>
      <c r="BCR11" s="1116"/>
      <c r="BCS11" s="1116"/>
      <c r="BCT11" s="1116"/>
      <c r="BCU11" s="1116"/>
      <c r="BCV11" s="1116"/>
      <c r="BCW11" s="1116"/>
      <c r="BCX11" s="1116"/>
      <c r="BCY11" s="1116"/>
      <c r="BCZ11" s="1116"/>
      <c r="BDA11" s="1116"/>
      <c r="BDB11" s="1116"/>
      <c r="BDC11" s="1116"/>
      <c r="BDD11" s="1116"/>
      <c r="BDE11" s="1116"/>
      <c r="BDF11" s="1116"/>
      <c r="BDG11" s="1116"/>
      <c r="BDH11" s="1116"/>
      <c r="BDI11" s="1116"/>
      <c r="BDJ11" s="1116"/>
      <c r="BDK11" s="1116"/>
      <c r="BDL11" s="1116"/>
      <c r="BDM11" s="1116"/>
      <c r="BDN11" s="1116"/>
      <c r="BDO11" s="1116"/>
      <c r="BDP11" s="1116"/>
      <c r="BDQ11" s="1116"/>
      <c r="BDR11" s="1116"/>
      <c r="BDS11" s="1116"/>
      <c r="BDT11" s="1116"/>
      <c r="BDU11" s="1116"/>
      <c r="BDV11" s="1116"/>
      <c r="BDW11" s="1116"/>
      <c r="BDX11" s="1116"/>
      <c r="BDY11" s="1116"/>
      <c r="BDZ11" s="1116"/>
      <c r="BEA11" s="1116"/>
      <c r="BEB11" s="1116"/>
      <c r="BEC11" s="1116"/>
      <c r="BED11" s="1116"/>
      <c r="BEE11" s="1116"/>
      <c r="BEF11" s="1116"/>
      <c r="BEG11" s="1116"/>
      <c r="BEH11" s="1116"/>
      <c r="BEI11" s="1116"/>
      <c r="BEJ11" s="1116"/>
      <c r="BEK11" s="1116"/>
      <c r="BEL11" s="1116"/>
      <c r="BEM11" s="1116"/>
      <c r="BEN11" s="1116"/>
      <c r="BEO11" s="1116"/>
      <c r="BEP11" s="1116"/>
      <c r="BEQ11" s="1116"/>
      <c r="BER11" s="1116"/>
      <c r="BES11" s="1116"/>
      <c r="BET11" s="1116"/>
      <c r="BEU11" s="1116"/>
      <c r="BEV11" s="1116"/>
      <c r="BEW11" s="1116"/>
      <c r="BEX11" s="1116"/>
      <c r="BEY11" s="1116"/>
      <c r="BEZ11" s="1116"/>
      <c r="BFA11" s="1116"/>
      <c r="BFB11" s="1116"/>
      <c r="BFC11" s="1116"/>
      <c r="BFD11" s="1116"/>
      <c r="BFE11" s="1116"/>
      <c r="BFF11" s="1116"/>
      <c r="BFG11" s="1116"/>
      <c r="BFH11" s="1116"/>
      <c r="BFI11" s="1116"/>
      <c r="BFJ11" s="1116"/>
      <c r="BFK11" s="1116"/>
      <c r="BFL11" s="1116"/>
      <c r="BFM11" s="1116"/>
      <c r="BFN11" s="1116"/>
      <c r="BFO11" s="1116"/>
      <c r="BFP11" s="1116"/>
      <c r="BFQ11" s="1116"/>
      <c r="BFR11" s="1116"/>
      <c r="BFS11" s="1116"/>
      <c r="BFT11" s="1116"/>
      <c r="BFU11" s="1116"/>
      <c r="BFV11" s="1116"/>
      <c r="BFW11" s="1116"/>
      <c r="BFX11" s="1116"/>
      <c r="BFY11" s="1116"/>
      <c r="BFZ11" s="1116"/>
      <c r="BGA11" s="1116"/>
      <c r="BGB11" s="1116"/>
      <c r="BGC11" s="1116"/>
      <c r="BGD11" s="1116"/>
      <c r="BGE11" s="1116"/>
      <c r="BGF11" s="1116"/>
      <c r="BGG11" s="1116"/>
      <c r="BGH11" s="1116"/>
      <c r="BGI11" s="1116"/>
      <c r="BGJ11" s="1116"/>
      <c r="BGK11" s="1116"/>
      <c r="BGL11" s="1116"/>
      <c r="BGM11" s="1116"/>
      <c r="BGN11" s="1116"/>
      <c r="BGO11" s="1116"/>
      <c r="BGP11" s="1116"/>
      <c r="BGQ11" s="1116"/>
      <c r="BGR11" s="1116"/>
      <c r="BGS11" s="1116"/>
      <c r="BGT11" s="1116"/>
      <c r="BGU11" s="1116"/>
      <c r="BGV11" s="1116"/>
      <c r="BGW11" s="1116"/>
      <c r="BGX11" s="1116"/>
      <c r="BGY11" s="1116"/>
      <c r="BGZ11" s="1116"/>
      <c r="BHA11" s="1116"/>
      <c r="BHB11" s="1116"/>
      <c r="BHC11" s="1116"/>
      <c r="BHD11" s="1116"/>
      <c r="BHE11" s="1116"/>
      <c r="BHF11" s="1116"/>
      <c r="BHG11" s="1116"/>
      <c r="BHH11" s="1116"/>
      <c r="BHI11" s="1116"/>
      <c r="BHJ11" s="1116"/>
      <c r="BHK11" s="1116"/>
      <c r="BHL11" s="1116"/>
      <c r="BHM11" s="1116"/>
      <c r="BHN11" s="1116"/>
      <c r="BHO11" s="1116"/>
      <c r="BHP11" s="1116"/>
      <c r="BHQ11" s="1116"/>
      <c r="BHR11" s="1116"/>
      <c r="BHS11" s="1116"/>
      <c r="BHT11" s="1116"/>
      <c r="BHU11" s="1116"/>
      <c r="BHV11" s="1116"/>
      <c r="BHW11" s="1116"/>
      <c r="BHX11" s="1116"/>
      <c r="BHY11" s="1116"/>
      <c r="BHZ11" s="1116"/>
      <c r="BIA11" s="1116"/>
      <c r="BIB11" s="1116"/>
      <c r="BIC11" s="1116"/>
      <c r="BID11" s="1116"/>
      <c r="BIE11" s="1116"/>
      <c r="BIF11" s="1116"/>
      <c r="BIG11" s="1116"/>
      <c r="BIH11" s="1116"/>
      <c r="BII11" s="1116"/>
      <c r="BIJ11" s="1116"/>
      <c r="BIK11" s="1116"/>
      <c r="BIL11" s="1116"/>
      <c r="BIM11" s="1116"/>
      <c r="BIN11" s="1116"/>
      <c r="BIO11" s="1116"/>
      <c r="BIP11" s="1116"/>
      <c r="BIQ11" s="1116"/>
      <c r="BIR11" s="1116"/>
      <c r="BIS11" s="1116"/>
      <c r="BIT11" s="1116"/>
      <c r="BIU11" s="1116"/>
      <c r="BIV11" s="1116"/>
      <c r="BIW11" s="1116"/>
      <c r="BIX11" s="1116"/>
      <c r="BIY11" s="1116"/>
      <c r="BIZ11" s="1116"/>
      <c r="BJA11" s="1116"/>
      <c r="BJB11" s="1116"/>
      <c r="BJC11" s="1116"/>
      <c r="BJD11" s="1116"/>
      <c r="BJE11" s="1116"/>
      <c r="BJF11" s="1116"/>
      <c r="BJG11" s="1116"/>
      <c r="BJH11" s="1116"/>
      <c r="BJI11" s="1116"/>
      <c r="BJJ11" s="1116"/>
      <c r="BJK11" s="1116"/>
      <c r="BJL11" s="1116"/>
      <c r="BJM11" s="1116"/>
      <c r="BJN11" s="1116"/>
      <c r="BJO11" s="1116"/>
      <c r="BJP11" s="1116"/>
      <c r="BJQ11" s="1116"/>
      <c r="BJR11" s="1116"/>
      <c r="BJS11" s="1116"/>
      <c r="BJT11" s="1116"/>
      <c r="BJU11" s="1116"/>
      <c r="BJV11" s="1116"/>
      <c r="BJW11" s="1116"/>
      <c r="BJX11" s="1116"/>
      <c r="BJY11" s="1116"/>
      <c r="BJZ11" s="1116"/>
      <c r="BKA11" s="1116"/>
      <c r="BKB11" s="1116"/>
      <c r="BKC11" s="1116"/>
      <c r="BKD11" s="1116"/>
      <c r="BKE11" s="1116"/>
      <c r="BKF11" s="1116"/>
      <c r="BKG11" s="1116"/>
      <c r="BKH11" s="1116"/>
      <c r="BKI11" s="1116"/>
      <c r="BKJ11" s="1116"/>
      <c r="BKK11" s="1116"/>
      <c r="BKL11" s="1116"/>
      <c r="BKM11" s="1116"/>
      <c r="BKN11" s="1116"/>
      <c r="BKO11" s="1116"/>
      <c r="BKP11" s="1116"/>
      <c r="BKQ11" s="1116"/>
      <c r="BKR11" s="1116"/>
      <c r="BKS11" s="1116"/>
      <c r="BKT11" s="1116"/>
      <c r="BKU11" s="1116"/>
      <c r="BKV11" s="1116"/>
      <c r="BKW11" s="1116"/>
      <c r="BKX11" s="1116"/>
      <c r="BKY11" s="1116"/>
      <c r="BKZ11" s="1116"/>
      <c r="BLA11" s="1116"/>
      <c r="BLB11" s="1116"/>
      <c r="BLC11" s="1116"/>
      <c r="BLD11" s="1116"/>
      <c r="BLE11" s="1116"/>
      <c r="BLF11" s="1116"/>
      <c r="BLG11" s="1116"/>
      <c r="BLH11" s="1116"/>
      <c r="BLI11" s="1116"/>
      <c r="BLJ11" s="1116"/>
      <c r="BLK11" s="1116"/>
      <c r="BLL11" s="1116"/>
      <c r="BLM11" s="1116"/>
      <c r="BLN11" s="1116"/>
      <c r="BLO11" s="1116"/>
      <c r="BLP11" s="1116"/>
      <c r="BLQ11" s="1116"/>
      <c r="BLR11" s="1116"/>
      <c r="BLS11" s="1116"/>
      <c r="BLT11" s="1116"/>
      <c r="BLU11" s="1116"/>
      <c r="BLV11" s="1116"/>
      <c r="BLW11" s="1116"/>
      <c r="BLX11" s="1116"/>
      <c r="BLY11" s="1116"/>
      <c r="BLZ11" s="1116"/>
      <c r="BMA11" s="1116"/>
      <c r="BMB11" s="1116"/>
      <c r="BMC11" s="1116"/>
      <c r="BMD11" s="1116"/>
      <c r="BME11" s="1116"/>
      <c r="BMF11" s="1116"/>
      <c r="BMG11" s="1116"/>
      <c r="BMH11" s="1116"/>
      <c r="BMI11" s="1116"/>
      <c r="BMJ11" s="1116"/>
      <c r="BMK11" s="1116"/>
      <c r="BML11" s="1116"/>
      <c r="BMM11" s="1116"/>
      <c r="BMN11" s="1116"/>
      <c r="BMO11" s="1116"/>
      <c r="BMP11" s="1116"/>
      <c r="BMQ11" s="1116"/>
      <c r="BMR11" s="1116"/>
      <c r="BMS11" s="1116"/>
      <c r="BMT11" s="1116"/>
      <c r="BMU11" s="1116"/>
      <c r="BMV11" s="1116"/>
      <c r="BMW11" s="1116"/>
      <c r="BMX11" s="1116"/>
      <c r="BMY11" s="1116"/>
      <c r="BMZ11" s="1116"/>
      <c r="BNA11" s="1116"/>
      <c r="BNB11" s="1116"/>
      <c r="BNC11" s="1116"/>
      <c r="BND11" s="1116"/>
      <c r="BNE11" s="1116"/>
      <c r="BNF11" s="1116"/>
      <c r="BNG11" s="1116"/>
      <c r="BNH11" s="1116"/>
      <c r="BNI11" s="1116"/>
      <c r="BNJ11" s="1116"/>
      <c r="BNK11" s="1116"/>
      <c r="BNL11" s="1116"/>
      <c r="BNM11" s="1116"/>
      <c r="BNN11" s="1116"/>
      <c r="BNO11" s="1116"/>
      <c r="BNP11" s="1116"/>
      <c r="BNQ11" s="1116"/>
      <c r="BNR11" s="1116"/>
      <c r="BNS11" s="1116"/>
      <c r="BNT11" s="1116"/>
      <c r="BNU11" s="1116"/>
      <c r="BNV11" s="1116"/>
      <c r="BNW11" s="1116"/>
      <c r="BNX11" s="1116"/>
      <c r="BNY11" s="1116"/>
      <c r="BNZ11" s="1116"/>
      <c r="BOA11" s="1116"/>
      <c r="BOB11" s="1116"/>
      <c r="BOC11" s="1116"/>
      <c r="BOD11" s="1116"/>
      <c r="BOE11" s="1116"/>
      <c r="BOF11" s="1116"/>
      <c r="BOG11" s="1116"/>
      <c r="BOH11" s="1116"/>
      <c r="BOI11" s="1116"/>
      <c r="BOJ11" s="1116"/>
      <c r="BOK11" s="1116"/>
      <c r="BOL11" s="1116"/>
      <c r="BOM11" s="1116"/>
      <c r="BON11" s="1116"/>
      <c r="BOO11" s="1116"/>
      <c r="BOP11" s="1116"/>
      <c r="BOQ11" s="1116"/>
      <c r="BOR11" s="1116"/>
      <c r="BOS11" s="1116"/>
      <c r="BOT11" s="1116"/>
      <c r="BOU11" s="1116"/>
      <c r="BOV11" s="1116"/>
      <c r="BOW11" s="1116"/>
      <c r="BOX11" s="1116"/>
      <c r="BOY11" s="1116"/>
      <c r="BOZ11" s="1116"/>
      <c r="BPA11" s="1116"/>
      <c r="BPB11" s="1116"/>
      <c r="BPC11" s="1116"/>
      <c r="BPD11" s="1116"/>
      <c r="BPE11" s="1116"/>
      <c r="BPF11" s="1116"/>
      <c r="BPG11" s="1116"/>
      <c r="BPH11" s="1116"/>
      <c r="BPI11" s="1116"/>
      <c r="BPJ11" s="1116"/>
      <c r="BPK11" s="1116"/>
      <c r="BPL11" s="1116"/>
      <c r="BPM11" s="1116"/>
      <c r="BPN11" s="1116"/>
      <c r="BPO11" s="1116"/>
      <c r="BPP11" s="1116"/>
      <c r="BPQ11" s="1116"/>
      <c r="BPR11" s="1116"/>
      <c r="BPS11" s="1116"/>
      <c r="BPT11" s="1116"/>
      <c r="BPU11" s="1116"/>
      <c r="BPV11" s="1116"/>
      <c r="BPW11" s="1116"/>
      <c r="BPX11" s="1116"/>
      <c r="BPY11" s="1116"/>
      <c r="BPZ11" s="1116"/>
      <c r="BQA11" s="1116"/>
      <c r="BQB11" s="1116"/>
      <c r="BQC11" s="1116"/>
      <c r="BQD11" s="1116"/>
      <c r="BQE11" s="1116"/>
      <c r="BQF11" s="1116"/>
      <c r="BQG11" s="1116"/>
      <c r="BQH11" s="1116"/>
      <c r="BQI11" s="1116"/>
      <c r="BQJ11" s="1116"/>
      <c r="BQK11" s="1116"/>
      <c r="BQL11" s="1116"/>
      <c r="BQM11" s="1116"/>
      <c r="BQN11" s="1116"/>
      <c r="BQO11" s="1116"/>
      <c r="BQP11" s="1116"/>
      <c r="BQQ11" s="1116"/>
      <c r="BQR11" s="1116"/>
      <c r="BQS11" s="1116"/>
      <c r="BQT11" s="1116"/>
      <c r="BQU11" s="1116"/>
      <c r="BQV11" s="1116"/>
      <c r="BQW11" s="1116"/>
      <c r="BQX11" s="1116"/>
      <c r="BQY11" s="1116"/>
      <c r="BQZ11" s="1116"/>
      <c r="BRA11" s="1116"/>
      <c r="BRB11" s="1116"/>
      <c r="BRC11" s="1116"/>
      <c r="BRD11" s="1116"/>
      <c r="BRE11" s="1116"/>
      <c r="BRF11" s="1116"/>
      <c r="BRG11" s="1116"/>
      <c r="BRH11" s="1116"/>
      <c r="BRI11" s="1116"/>
      <c r="BRJ11" s="1116"/>
      <c r="BRK11" s="1116"/>
      <c r="BRL11" s="1116"/>
      <c r="BRM11" s="1116"/>
      <c r="BRN11" s="1116"/>
      <c r="BRO11" s="1116"/>
      <c r="BRP11" s="1116"/>
      <c r="BRQ11" s="1116"/>
      <c r="BRR11" s="1116"/>
      <c r="BRS11" s="1116"/>
      <c r="BRT11" s="1116"/>
      <c r="BRU11" s="1116"/>
      <c r="BRV11" s="1116"/>
      <c r="BRW11" s="1116"/>
      <c r="BRX11" s="1116"/>
      <c r="BRY11" s="1116"/>
      <c r="BRZ11" s="1116"/>
      <c r="BSA11" s="1116"/>
      <c r="BSB11" s="1116"/>
      <c r="BSC11" s="1116"/>
      <c r="BSD11" s="1116"/>
      <c r="BSE11" s="1116"/>
      <c r="BSF11" s="1116"/>
      <c r="BSG11" s="1116"/>
      <c r="BSH11" s="1116"/>
      <c r="BSI11" s="1116"/>
      <c r="BSJ11" s="1116"/>
      <c r="BSK11" s="1116"/>
      <c r="BSL11" s="1116"/>
      <c r="BSM11" s="1116"/>
      <c r="BSN11" s="1116"/>
      <c r="BSO11" s="1116"/>
      <c r="BSP11" s="1116"/>
      <c r="BSQ11" s="1116"/>
      <c r="BSR11" s="1116"/>
      <c r="BSS11" s="1116"/>
      <c r="BST11" s="1116"/>
      <c r="BSU11" s="1116"/>
      <c r="BSV11" s="1116"/>
      <c r="BSW11" s="1116"/>
      <c r="BSX11" s="1116"/>
      <c r="BSY11" s="1116"/>
      <c r="BSZ11" s="1116"/>
      <c r="BTA11" s="1116"/>
      <c r="BTB11" s="1116"/>
      <c r="BTC11" s="1116"/>
      <c r="BTD11" s="1116"/>
      <c r="BTE11" s="1116"/>
      <c r="BTF11" s="1116"/>
      <c r="BTG11" s="1116"/>
      <c r="BTH11" s="1116"/>
      <c r="BTI11" s="1116"/>
      <c r="BTJ11" s="1116"/>
      <c r="BTK11" s="1116"/>
      <c r="BTL11" s="1116"/>
      <c r="BTM11" s="1116"/>
      <c r="BTN11" s="1116"/>
      <c r="BTO11" s="1116"/>
      <c r="BTP11" s="1116"/>
      <c r="BTQ11" s="1116"/>
      <c r="BTR11" s="1116"/>
      <c r="BTS11" s="1116"/>
      <c r="BTT11" s="1116"/>
      <c r="BTU11" s="1116"/>
      <c r="BTV11" s="1116"/>
      <c r="BTW11" s="1116"/>
      <c r="BTX11" s="1116"/>
      <c r="BTY11" s="1116"/>
      <c r="BTZ11" s="1116"/>
      <c r="BUA11" s="1116"/>
      <c r="BUB11" s="1116"/>
      <c r="BUC11" s="1116"/>
      <c r="BUD11" s="1116"/>
      <c r="BUE11" s="1116"/>
      <c r="BUF11" s="1116"/>
      <c r="BUG11" s="1116"/>
      <c r="BUH11" s="1116"/>
      <c r="BUI11" s="1116"/>
      <c r="BUJ11" s="1116"/>
      <c r="BUK11" s="1116"/>
      <c r="BUL11" s="1116"/>
      <c r="BUM11" s="1116"/>
      <c r="BUN11" s="1116"/>
      <c r="BUO11" s="1116"/>
      <c r="BUP11" s="1116"/>
      <c r="BUQ11" s="1116"/>
      <c r="BUR11" s="1116"/>
      <c r="BUS11" s="1116"/>
      <c r="BUT11" s="1116"/>
      <c r="BUU11" s="1116"/>
      <c r="BUV11" s="1116"/>
      <c r="BUW11" s="1116"/>
      <c r="BUX11" s="1116"/>
      <c r="BUY11" s="1116"/>
      <c r="BUZ11" s="1116"/>
      <c r="BVA11" s="1116"/>
      <c r="BVB11" s="1116"/>
      <c r="BVC11" s="1116"/>
      <c r="BVD11" s="1116"/>
      <c r="BVE11" s="1116"/>
      <c r="BVF11" s="1116"/>
      <c r="BVG11" s="1116"/>
      <c r="BVH11" s="1116"/>
      <c r="BVI11" s="1116"/>
      <c r="BVJ11" s="1116"/>
      <c r="BVK11" s="1116"/>
      <c r="BVL11" s="1116"/>
      <c r="BVM11" s="1116"/>
      <c r="BVN11" s="1116"/>
      <c r="BVO11" s="1116"/>
      <c r="BVP11" s="1116"/>
      <c r="BVQ11" s="1116"/>
      <c r="BVR11" s="1116"/>
      <c r="BVS11" s="1116"/>
      <c r="BVT11" s="1116"/>
      <c r="BVU11" s="1116"/>
      <c r="BVV11" s="1116"/>
      <c r="BVW11" s="1116"/>
      <c r="BVX11" s="1116"/>
      <c r="BVY11" s="1116"/>
      <c r="BVZ11" s="1116"/>
      <c r="BWA11" s="1116"/>
      <c r="BWB11" s="1116"/>
      <c r="BWC11" s="1116"/>
      <c r="BWD11" s="1116"/>
      <c r="BWE11" s="1116"/>
      <c r="BWF11" s="1116"/>
      <c r="BWG11" s="1116"/>
      <c r="BWH11" s="1116"/>
      <c r="BWI11" s="1116"/>
      <c r="BWJ11" s="1116"/>
      <c r="BWK11" s="1116"/>
      <c r="BWL11" s="1116"/>
      <c r="BWM11" s="1116"/>
      <c r="BWN11" s="1116"/>
      <c r="BWO11" s="1116"/>
      <c r="BWP11" s="1116"/>
      <c r="BWQ11" s="1116"/>
      <c r="BWR11" s="1116"/>
      <c r="BWS11" s="1116"/>
      <c r="BWT11" s="1116"/>
      <c r="BWU11" s="1116"/>
      <c r="BWV11" s="1116"/>
      <c r="BWW11" s="1116"/>
      <c r="BWX11" s="1116"/>
      <c r="BWY11" s="1116"/>
      <c r="BWZ11" s="1116"/>
      <c r="BXA11" s="1116"/>
      <c r="BXB11" s="1116"/>
      <c r="BXC11" s="1116"/>
      <c r="BXD11" s="1116"/>
      <c r="BXE11" s="1116"/>
      <c r="BXF11" s="1116"/>
      <c r="BXG11" s="1116"/>
      <c r="BXH11" s="1116"/>
      <c r="BXI11" s="1116"/>
      <c r="BXJ11" s="1116"/>
      <c r="BXK11" s="1116"/>
      <c r="BXL11" s="1116"/>
      <c r="BXM11" s="1116"/>
      <c r="BXN11" s="1116"/>
      <c r="BXO11" s="1116"/>
      <c r="BXP11" s="1116"/>
      <c r="BXQ11" s="1116"/>
      <c r="BXR11" s="1116"/>
      <c r="BXS11" s="1116"/>
      <c r="BXT11" s="1116"/>
      <c r="BXU11" s="1116"/>
      <c r="BXV11" s="1116"/>
      <c r="BXW11" s="1116"/>
      <c r="BXX11" s="1116"/>
      <c r="BXY11" s="1116"/>
      <c r="BXZ11" s="1116"/>
      <c r="BYA11" s="1116"/>
      <c r="BYB11" s="1116"/>
      <c r="BYC11" s="1116"/>
      <c r="BYD11" s="1116"/>
      <c r="BYE11" s="1116"/>
      <c r="BYF11" s="1116"/>
      <c r="BYG11" s="1116"/>
      <c r="BYH11" s="1116"/>
      <c r="BYI11" s="1116"/>
      <c r="BYJ11" s="1116"/>
      <c r="BYK11" s="1116"/>
      <c r="BYL11" s="1116"/>
      <c r="BYM11" s="1116"/>
      <c r="BYN11" s="1116"/>
      <c r="BYO11" s="1116"/>
      <c r="BYP11" s="1116"/>
      <c r="BYQ11" s="1116"/>
      <c r="BYR11" s="1116"/>
      <c r="BYS11" s="1116"/>
      <c r="BYT11" s="1116"/>
      <c r="BYU11" s="1116"/>
      <c r="BYV11" s="1116"/>
      <c r="BYW11" s="1116"/>
      <c r="BYX11" s="1116"/>
      <c r="BYY11" s="1116"/>
      <c r="BYZ11" s="1116"/>
      <c r="BZA11" s="1116"/>
      <c r="BZB11" s="1116"/>
      <c r="BZC11" s="1116"/>
      <c r="BZD11" s="1116"/>
      <c r="BZE11" s="1116"/>
      <c r="BZF11" s="1116"/>
      <c r="BZG11" s="1116"/>
      <c r="BZH11" s="1116"/>
      <c r="BZI11" s="1116"/>
      <c r="BZJ11" s="1116"/>
      <c r="BZK11" s="1116"/>
      <c r="BZL11" s="1116"/>
      <c r="BZM11" s="1116"/>
      <c r="BZN11" s="1116"/>
      <c r="BZO11" s="1116"/>
      <c r="BZP11" s="1116"/>
      <c r="BZQ11" s="1116"/>
      <c r="BZR11" s="1116"/>
      <c r="BZS11" s="1116"/>
      <c r="BZT11" s="1116"/>
      <c r="BZU11" s="1116"/>
      <c r="BZV11" s="1116"/>
      <c r="BZW11" s="1116"/>
      <c r="BZX11" s="1116"/>
      <c r="BZY11" s="1116"/>
      <c r="BZZ11" s="1116"/>
      <c r="CAA11" s="1116"/>
      <c r="CAB11" s="1116"/>
      <c r="CAC11" s="1116"/>
      <c r="CAD11" s="1116"/>
      <c r="CAE11" s="1116"/>
      <c r="CAF11" s="1116"/>
      <c r="CAG11" s="1116"/>
      <c r="CAH11" s="1116"/>
      <c r="CAI11" s="1116"/>
      <c r="CAJ11" s="1116"/>
      <c r="CAK11" s="1116"/>
      <c r="CAL11" s="1116"/>
      <c r="CAM11" s="1116"/>
      <c r="CAN11" s="1116"/>
      <c r="CAO11" s="1116"/>
      <c r="CAP11" s="1116"/>
      <c r="CAQ11" s="1116"/>
      <c r="CAR11" s="1116"/>
      <c r="CAS11" s="1116"/>
      <c r="CAT11" s="1116"/>
      <c r="CAU11" s="1116"/>
      <c r="CAV11" s="1116"/>
      <c r="CAW11" s="1116"/>
      <c r="CAX11" s="1116"/>
      <c r="CAY11" s="1116"/>
      <c r="CAZ11" s="1116"/>
      <c r="CBA11" s="1116"/>
      <c r="CBB11" s="1116"/>
      <c r="CBC11" s="1116"/>
      <c r="CBD11" s="1116"/>
      <c r="CBE11" s="1116"/>
      <c r="CBF11" s="1116"/>
      <c r="CBG11" s="1116"/>
      <c r="CBH11" s="1116"/>
      <c r="CBI11" s="1116"/>
      <c r="CBJ11" s="1116"/>
      <c r="CBK11" s="1116"/>
      <c r="CBL11" s="1116"/>
      <c r="CBM11" s="1116"/>
      <c r="CBN11" s="1116"/>
      <c r="CBO11" s="1116"/>
      <c r="CBP11" s="1116"/>
      <c r="CBQ11" s="1116"/>
      <c r="CBR11" s="1116"/>
      <c r="CBS11" s="1116"/>
      <c r="CBT11" s="1116"/>
      <c r="CBU11" s="1116"/>
      <c r="CBV11" s="1116"/>
      <c r="CBW11" s="1116"/>
      <c r="CBX11" s="1116"/>
      <c r="CBY11" s="1116"/>
      <c r="CBZ11" s="1116"/>
      <c r="CCA11" s="1116"/>
      <c r="CCB11" s="1116"/>
      <c r="CCC11" s="1116"/>
      <c r="CCD11" s="1116"/>
      <c r="CCE11" s="1116"/>
      <c r="CCF11" s="1116"/>
      <c r="CCG11" s="1116"/>
      <c r="CCH11" s="1116"/>
      <c r="CCI11" s="1116"/>
      <c r="CCJ11" s="1116"/>
      <c r="CCK11" s="1116"/>
      <c r="CCL11" s="1116"/>
      <c r="CCM11" s="1116"/>
      <c r="CCN11" s="1116"/>
      <c r="CCO11" s="1116"/>
      <c r="CCP11" s="1116"/>
      <c r="CCQ11" s="1116"/>
      <c r="CCR11" s="1116"/>
      <c r="CCS11" s="1116"/>
      <c r="CCT11" s="1116"/>
      <c r="CCU11" s="1116"/>
      <c r="CCV11" s="1116"/>
      <c r="CCW11" s="1116"/>
      <c r="CCX11" s="1116"/>
      <c r="CCY11" s="1116"/>
      <c r="CCZ11" s="1116"/>
      <c r="CDA11" s="1116"/>
      <c r="CDB11" s="1116"/>
      <c r="CDC11" s="1116"/>
      <c r="CDD11" s="1116"/>
      <c r="CDE11" s="1116"/>
      <c r="CDF11" s="1116"/>
      <c r="CDG11" s="1116"/>
      <c r="CDH11" s="1116"/>
      <c r="CDI11" s="1116"/>
      <c r="CDJ11" s="1116"/>
      <c r="CDK11" s="1116"/>
      <c r="CDL11" s="1116"/>
      <c r="CDM11" s="1116"/>
      <c r="CDN11" s="1116"/>
      <c r="CDO11" s="1116"/>
      <c r="CDP11" s="1116"/>
      <c r="CDQ11" s="1116"/>
      <c r="CDR11" s="1116"/>
      <c r="CDS11" s="1116"/>
      <c r="CDT11" s="1116"/>
      <c r="CDU11" s="1116"/>
      <c r="CDV11" s="1116"/>
      <c r="CDW11" s="1116"/>
      <c r="CDX11" s="1116"/>
      <c r="CDY11" s="1116"/>
      <c r="CDZ11" s="1116"/>
      <c r="CEA11" s="1116"/>
      <c r="CEB11" s="1116"/>
      <c r="CEC11" s="1116"/>
      <c r="CED11" s="1116"/>
      <c r="CEE11" s="1116"/>
      <c r="CEF11" s="1116"/>
      <c r="CEG11" s="1116"/>
      <c r="CEH11" s="1116"/>
      <c r="CEI11" s="1116"/>
      <c r="CEJ11" s="1116"/>
      <c r="CEK11" s="1116"/>
      <c r="CEL11" s="1116"/>
      <c r="CEM11" s="1116"/>
      <c r="CEN11" s="1116"/>
      <c r="CEO11" s="1116"/>
      <c r="CEP11" s="1116"/>
      <c r="CEQ11" s="1116"/>
      <c r="CER11" s="1116"/>
      <c r="CES11" s="1116"/>
      <c r="CET11" s="1116"/>
      <c r="CEU11" s="1116"/>
      <c r="CEV11" s="1116"/>
      <c r="CEW11" s="1116"/>
      <c r="CEX11" s="1116"/>
      <c r="CEY11" s="1116"/>
      <c r="CEZ11" s="1116"/>
      <c r="CFA11" s="1116"/>
      <c r="CFB11" s="1116"/>
      <c r="CFC11" s="1116"/>
      <c r="CFD11" s="1116"/>
      <c r="CFE11" s="1116"/>
      <c r="CFF11" s="1116"/>
      <c r="CFG11" s="1116"/>
      <c r="CFH11" s="1116"/>
      <c r="CFI11" s="1116"/>
      <c r="CFJ11" s="1116"/>
      <c r="CFK11" s="1116"/>
      <c r="CFL11" s="1116"/>
      <c r="CFM11" s="1116"/>
      <c r="CFN11" s="1116"/>
      <c r="CFO11" s="1116"/>
      <c r="CFP11" s="1116"/>
      <c r="CFQ11" s="1116"/>
      <c r="CFR11" s="1116"/>
      <c r="CFS11" s="1116"/>
      <c r="CFT11" s="1116"/>
      <c r="CFU11" s="1116"/>
      <c r="CFV11" s="1116"/>
      <c r="CFW11" s="1116"/>
      <c r="CFX11" s="1116"/>
      <c r="CFY11" s="1116"/>
      <c r="CFZ11" s="1116"/>
      <c r="CGA11" s="1116"/>
      <c r="CGB11" s="1116"/>
      <c r="CGC11" s="1116"/>
      <c r="CGD11" s="1116"/>
      <c r="CGE11" s="1116"/>
      <c r="CGF11" s="1116"/>
      <c r="CGG11" s="1116"/>
      <c r="CGH11" s="1116"/>
      <c r="CGI11" s="1116"/>
      <c r="CGJ11" s="1116"/>
      <c r="CGK11" s="1116"/>
      <c r="CGL11" s="1116"/>
      <c r="CGM11" s="1116"/>
      <c r="CGN11" s="1116"/>
      <c r="CGO11" s="1116"/>
      <c r="CGP11" s="1116"/>
      <c r="CGQ11" s="1116"/>
      <c r="CGR11" s="1116"/>
      <c r="CGS11" s="1116"/>
      <c r="CGT11" s="1116"/>
      <c r="CGU11" s="1116"/>
      <c r="CGV11" s="1116"/>
      <c r="CGW11" s="1116"/>
      <c r="CGX11" s="1116"/>
      <c r="CGY11" s="1116"/>
      <c r="CGZ11" s="1116"/>
      <c r="CHA11" s="1116"/>
      <c r="CHB11" s="1116"/>
      <c r="CHC11" s="1116"/>
      <c r="CHD11" s="1116"/>
      <c r="CHE11" s="1116"/>
      <c r="CHF11" s="1116"/>
      <c r="CHG11" s="1116"/>
      <c r="CHH11" s="1116"/>
      <c r="CHI11" s="1116"/>
      <c r="CHJ11" s="1116"/>
      <c r="CHK11" s="1116"/>
      <c r="CHL11" s="1116"/>
      <c r="CHM11" s="1116"/>
      <c r="CHN11" s="1116"/>
      <c r="CHO11" s="1116"/>
      <c r="CHP11" s="1116"/>
      <c r="CHQ11" s="1116"/>
      <c r="CHR11" s="1116"/>
      <c r="CHS11" s="1116"/>
      <c r="CHT11" s="1116"/>
      <c r="CHU11" s="1116"/>
      <c r="CHV11" s="1116"/>
      <c r="CHW11" s="1116"/>
      <c r="CHX11" s="1116"/>
      <c r="CHY11" s="1116"/>
      <c r="CHZ11" s="1116"/>
      <c r="CIA11" s="1116"/>
      <c r="CIB11" s="1116"/>
      <c r="CIC11" s="1116"/>
      <c r="CID11" s="1116"/>
      <c r="CIE11" s="1116"/>
      <c r="CIF11" s="1116"/>
      <c r="CIG11" s="1116"/>
      <c r="CIH11" s="1116"/>
      <c r="CII11" s="1116"/>
      <c r="CIJ11" s="1116"/>
      <c r="CIK11" s="1116"/>
      <c r="CIL11" s="1116"/>
      <c r="CIM11" s="1116"/>
      <c r="CIN11" s="1116"/>
      <c r="CIO11" s="1116"/>
      <c r="CIP11" s="1116"/>
      <c r="CIQ11" s="1116"/>
      <c r="CIR11" s="1116"/>
      <c r="CIS11" s="1116"/>
      <c r="CIT11" s="1116"/>
      <c r="CIU11" s="1116"/>
      <c r="CIV11" s="1116"/>
      <c r="CIW11" s="1116"/>
      <c r="CIX11" s="1116"/>
      <c r="CIY11" s="1116"/>
      <c r="CIZ11" s="1116"/>
      <c r="CJA11" s="1116"/>
      <c r="CJB11" s="1116"/>
      <c r="CJC11" s="1116"/>
      <c r="CJD11" s="1116"/>
      <c r="CJE11" s="1116"/>
      <c r="CJF11" s="1116"/>
      <c r="CJG11" s="1116"/>
      <c r="CJH11" s="1116"/>
      <c r="CJI11" s="1116"/>
      <c r="CJJ11" s="1116"/>
      <c r="CJK11" s="1116"/>
      <c r="CJL11" s="1116"/>
      <c r="CJM11" s="1116"/>
      <c r="CJN11" s="1116"/>
      <c r="CJO11" s="1116"/>
      <c r="CJP11" s="1116"/>
      <c r="CJQ11" s="1116"/>
      <c r="CJR11" s="1116"/>
      <c r="CJS11" s="1116"/>
      <c r="CJT11" s="1116"/>
      <c r="CJU11" s="1116"/>
      <c r="CJV11" s="1116"/>
      <c r="CJW11" s="1116"/>
      <c r="CJX11" s="1116"/>
      <c r="CJY11" s="1116"/>
      <c r="CJZ11" s="1116"/>
      <c r="CKA11" s="1116"/>
      <c r="CKB11" s="1116"/>
      <c r="CKC11" s="1116"/>
      <c r="CKD11" s="1116"/>
      <c r="CKE11" s="1116"/>
      <c r="CKF11" s="1116"/>
      <c r="CKG11" s="1116"/>
      <c r="CKH11" s="1116"/>
      <c r="CKI11" s="1116"/>
      <c r="CKJ11" s="1116"/>
      <c r="CKK11" s="1116"/>
      <c r="CKL11" s="1116"/>
      <c r="CKM11" s="1116"/>
      <c r="CKN11" s="1116"/>
      <c r="CKO11" s="1116"/>
      <c r="CKP11" s="1116"/>
      <c r="CKQ11" s="1116"/>
      <c r="CKR11" s="1116"/>
      <c r="CKS11" s="1116"/>
      <c r="CKT11" s="1116"/>
      <c r="CKU11" s="1116"/>
      <c r="CKV11" s="1116"/>
      <c r="CKW11" s="1116"/>
      <c r="CKX11" s="1116"/>
      <c r="CKY11" s="1116"/>
      <c r="CKZ11" s="1116"/>
      <c r="CLA11" s="1116"/>
      <c r="CLB11" s="1116"/>
      <c r="CLC11" s="1116"/>
      <c r="CLD11" s="1116"/>
      <c r="CLE11" s="1116"/>
      <c r="CLF11" s="1116"/>
      <c r="CLG11" s="1116"/>
      <c r="CLH11" s="1116"/>
      <c r="CLI11" s="1116"/>
      <c r="CLJ11" s="1116"/>
      <c r="CLK11" s="1116"/>
      <c r="CLL11" s="1116"/>
      <c r="CLM11" s="1116"/>
      <c r="CLN11" s="1116"/>
      <c r="CLO11" s="1116"/>
      <c r="CLP11" s="1116"/>
      <c r="CLQ11" s="1116"/>
      <c r="CLR11" s="1116"/>
      <c r="CLS11" s="1116"/>
      <c r="CLT11" s="1116"/>
      <c r="CLU11" s="1116"/>
      <c r="CLV11" s="1116"/>
      <c r="CLW11" s="1116"/>
      <c r="CLX11" s="1116"/>
      <c r="CLY11" s="1116"/>
      <c r="CLZ11" s="1116"/>
      <c r="CMA11" s="1116"/>
      <c r="CMB11" s="1116"/>
      <c r="CMC11" s="1116"/>
      <c r="CMD11" s="1116"/>
      <c r="CME11" s="1116"/>
      <c r="CMF11" s="1116"/>
      <c r="CMG11" s="1116"/>
      <c r="CMH11" s="1116"/>
      <c r="CMI11" s="1116"/>
      <c r="CMJ11" s="1116"/>
      <c r="CMK11" s="1116"/>
      <c r="CML11" s="1116"/>
      <c r="CMM11" s="1116"/>
      <c r="CMN11" s="1116"/>
      <c r="CMO11" s="1116"/>
      <c r="CMP11" s="1116"/>
      <c r="CMQ11" s="1116"/>
      <c r="CMR11" s="1116"/>
      <c r="CMS11" s="1116"/>
      <c r="CMT11" s="1116"/>
      <c r="CMU11" s="1116"/>
      <c r="CMV11" s="1116"/>
      <c r="CMW11" s="1116"/>
      <c r="CMX11" s="1116"/>
      <c r="CMY11" s="1116"/>
      <c r="CMZ11" s="1116"/>
      <c r="CNA11" s="1116"/>
      <c r="CNB11" s="1116"/>
      <c r="CNC11" s="1116"/>
      <c r="CND11" s="1116"/>
      <c r="CNE11" s="1116"/>
      <c r="CNF11" s="1116"/>
      <c r="CNG11" s="1116"/>
      <c r="CNH11" s="1116"/>
      <c r="CNI11" s="1116"/>
      <c r="CNJ11" s="1116"/>
      <c r="CNK11" s="1116"/>
      <c r="CNL11" s="1116"/>
      <c r="CNM11" s="1116"/>
      <c r="CNN11" s="1116"/>
      <c r="CNO11" s="1116"/>
      <c r="CNP11" s="1116"/>
      <c r="CNQ11" s="1116"/>
      <c r="CNR11" s="1116"/>
      <c r="CNS11" s="1116"/>
      <c r="CNT11" s="1116"/>
      <c r="CNU11" s="1116"/>
      <c r="CNV11" s="1116"/>
      <c r="CNW11" s="1116"/>
      <c r="CNX11" s="1116"/>
      <c r="CNY11" s="1116"/>
      <c r="CNZ11" s="1116"/>
      <c r="COA11" s="1116"/>
      <c r="COB11" s="1116"/>
      <c r="COC11" s="1116"/>
      <c r="COD11" s="1116"/>
      <c r="COE11" s="1116"/>
      <c r="COF11" s="1116"/>
      <c r="COG11" s="1116"/>
      <c r="COH11" s="1116"/>
      <c r="COI11" s="1116"/>
      <c r="COJ11" s="1116"/>
      <c r="COK11" s="1116"/>
      <c r="COL11" s="1116"/>
      <c r="COM11" s="1116"/>
      <c r="CON11" s="1116"/>
      <c r="COO11" s="1116"/>
      <c r="COP11" s="1116"/>
      <c r="COQ11" s="1116"/>
      <c r="COR11" s="1116"/>
      <c r="COS11" s="1116"/>
      <c r="COT11" s="1116"/>
      <c r="COU11" s="1116"/>
      <c r="COV11" s="1116"/>
      <c r="COW11" s="1116"/>
      <c r="COX11" s="1116"/>
      <c r="COY11" s="1116"/>
      <c r="COZ11" s="1116"/>
      <c r="CPA11" s="1116"/>
      <c r="CPB11" s="1116"/>
      <c r="CPC11" s="1116"/>
      <c r="CPD11" s="1116"/>
      <c r="CPE11" s="1116"/>
      <c r="CPF11" s="1116"/>
      <c r="CPG11" s="1116"/>
      <c r="CPH11" s="1116"/>
      <c r="CPI11" s="1116"/>
      <c r="CPJ11" s="1116"/>
      <c r="CPK11" s="1116"/>
      <c r="CPL11" s="1116"/>
      <c r="CPM11" s="1116"/>
      <c r="CPN11" s="1116"/>
      <c r="CPO11" s="1116"/>
      <c r="CPP11" s="1116"/>
      <c r="CPQ11" s="1116"/>
      <c r="CPR11" s="1116"/>
      <c r="CPS11" s="1116"/>
      <c r="CPT11" s="1116"/>
      <c r="CPU11" s="1116"/>
      <c r="CPV11" s="1116"/>
      <c r="CPW11" s="1116"/>
      <c r="CPX11" s="1116"/>
      <c r="CPY11" s="1116"/>
      <c r="CPZ11" s="1116"/>
      <c r="CQA11" s="1116"/>
      <c r="CQB11" s="1116"/>
      <c r="CQC11" s="1116"/>
      <c r="CQD11" s="1116"/>
      <c r="CQE11" s="1116"/>
      <c r="CQF11" s="1116"/>
      <c r="CQG11" s="1116"/>
      <c r="CQH11" s="1116"/>
      <c r="CQI11" s="1116"/>
      <c r="CQJ11" s="1116"/>
      <c r="CQK11" s="1116"/>
      <c r="CQL11" s="1116"/>
      <c r="CQM11" s="1116"/>
      <c r="CQN11" s="1116"/>
      <c r="CQO11" s="1116"/>
      <c r="CQP11" s="1116"/>
      <c r="CQQ11" s="1116"/>
      <c r="CQR11" s="1116"/>
      <c r="CQS11" s="1116"/>
      <c r="CQT11" s="1116"/>
      <c r="CQU11" s="1116"/>
      <c r="CQV11" s="1116"/>
      <c r="CQW11" s="1116"/>
      <c r="CQX11" s="1116"/>
      <c r="CQY11" s="1116"/>
      <c r="CQZ11" s="1116"/>
      <c r="CRA11" s="1116"/>
      <c r="CRB11" s="1116"/>
      <c r="CRC11" s="1116"/>
      <c r="CRD11" s="1116"/>
      <c r="CRE11" s="1116"/>
      <c r="CRF11" s="1116"/>
      <c r="CRG11" s="1116"/>
      <c r="CRH11" s="1116"/>
      <c r="CRI11" s="1116"/>
      <c r="CRJ11" s="1116"/>
      <c r="CRK11" s="1116"/>
      <c r="CRL11" s="1116"/>
      <c r="CRM11" s="1116"/>
      <c r="CRN11" s="1116"/>
      <c r="CRO11" s="1116"/>
      <c r="CRP11" s="1116"/>
      <c r="CRQ11" s="1116"/>
      <c r="CRR11" s="1116"/>
      <c r="CRS11" s="1116"/>
      <c r="CRT11" s="1116"/>
      <c r="CRU11" s="1116"/>
      <c r="CRV11" s="1116"/>
      <c r="CRW11" s="1116"/>
      <c r="CRX11" s="1116"/>
      <c r="CRY11" s="1116"/>
      <c r="CRZ11" s="1116"/>
      <c r="CSA11" s="1116"/>
      <c r="CSB11" s="1116"/>
      <c r="CSC11" s="1116"/>
      <c r="CSD11" s="1116"/>
      <c r="CSE11" s="1116"/>
      <c r="CSF11" s="1116"/>
      <c r="CSG11" s="1116"/>
      <c r="CSH11" s="1116"/>
      <c r="CSI11" s="1116"/>
      <c r="CSJ11" s="1116"/>
      <c r="CSK11" s="1116"/>
      <c r="CSL11" s="1116"/>
      <c r="CSM11" s="1116"/>
      <c r="CSN11" s="1116"/>
      <c r="CSO11" s="1116"/>
      <c r="CSP11" s="1116"/>
      <c r="CSQ11" s="1116"/>
      <c r="CSR11" s="1116"/>
      <c r="CSS11" s="1116"/>
      <c r="CST11" s="1116"/>
      <c r="CSU11" s="1116"/>
      <c r="CSV11" s="1116"/>
      <c r="CSW11" s="1116"/>
      <c r="CSX11" s="1116"/>
      <c r="CSY11" s="1116"/>
      <c r="CSZ11" s="1116"/>
      <c r="CTA11" s="1116"/>
      <c r="CTB11" s="1116"/>
      <c r="CTC11" s="1116"/>
      <c r="CTD11" s="1116"/>
      <c r="CTE11" s="1116"/>
      <c r="CTF11" s="1116"/>
      <c r="CTG11" s="1116"/>
      <c r="CTH11" s="1116"/>
      <c r="CTI11" s="1116"/>
      <c r="CTJ11" s="1116"/>
      <c r="CTK11" s="1116"/>
      <c r="CTL11" s="1116"/>
      <c r="CTM11" s="1116"/>
      <c r="CTN11" s="1116"/>
      <c r="CTO11" s="1116"/>
      <c r="CTP11" s="1116"/>
      <c r="CTQ11" s="1116"/>
      <c r="CTR11" s="1116"/>
      <c r="CTS11" s="1116"/>
      <c r="CTT11" s="1116"/>
      <c r="CTU11" s="1116"/>
      <c r="CTV11" s="1116"/>
      <c r="CTW11" s="1116"/>
      <c r="CTX11" s="1116"/>
      <c r="CTY11" s="1116"/>
      <c r="CTZ11" s="1116"/>
      <c r="CUA11" s="1116"/>
      <c r="CUB11" s="1116"/>
      <c r="CUC11" s="1116"/>
      <c r="CUD11" s="1116"/>
      <c r="CUE11" s="1116"/>
      <c r="CUF11" s="1116"/>
      <c r="CUG11" s="1116"/>
      <c r="CUH11" s="1116"/>
      <c r="CUI11" s="1116"/>
      <c r="CUJ11" s="1116"/>
      <c r="CUK11" s="1116"/>
      <c r="CUL11" s="1116"/>
      <c r="CUM11" s="1116"/>
      <c r="CUN11" s="1116"/>
      <c r="CUO11" s="1116"/>
      <c r="CUP11" s="1116"/>
      <c r="CUQ11" s="1116"/>
      <c r="CUR11" s="1116"/>
      <c r="CUS11" s="1116"/>
      <c r="CUT11" s="1116"/>
      <c r="CUU11" s="1116"/>
      <c r="CUV11" s="1116"/>
      <c r="CUW11" s="1116"/>
      <c r="CUX11" s="1116"/>
      <c r="CUY11" s="1116"/>
      <c r="CUZ11" s="1116"/>
      <c r="CVA11" s="1116"/>
      <c r="CVB11" s="1116"/>
      <c r="CVC11" s="1116"/>
      <c r="CVD11" s="1116"/>
      <c r="CVE11" s="1116"/>
      <c r="CVF11" s="1116"/>
      <c r="CVG11" s="1116"/>
      <c r="CVH11" s="1116"/>
      <c r="CVI11" s="1116"/>
      <c r="CVJ11" s="1116"/>
      <c r="CVK11" s="1116"/>
      <c r="CVL11" s="1116"/>
      <c r="CVM11" s="1116"/>
      <c r="CVN11" s="1116"/>
      <c r="CVO11" s="1116"/>
      <c r="CVP11" s="1116"/>
      <c r="CVQ11" s="1116"/>
      <c r="CVR11" s="1116"/>
      <c r="CVS11" s="1116"/>
      <c r="CVT11" s="1116"/>
      <c r="CVU11" s="1116"/>
      <c r="CVV11" s="1116"/>
      <c r="CVW11" s="1116"/>
      <c r="CVX11" s="1116"/>
      <c r="CVY11" s="1116"/>
      <c r="CVZ11" s="1116"/>
      <c r="CWA11" s="1116"/>
      <c r="CWB11" s="1116"/>
      <c r="CWC11" s="1116"/>
      <c r="CWD11" s="1116"/>
      <c r="CWE11" s="1116"/>
      <c r="CWF11" s="1116"/>
      <c r="CWG11" s="1116"/>
      <c r="CWH11" s="1116"/>
      <c r="CWI11" s="1116"/>
      <c r="CWJ11" s="1116"/>
      <c r="CWK11" s="1116"/>
      <c r="CWL11" s="1116"/>
      <c r="CWM11" s="1116"/>
      <c r="CWN11" s="1116"/>
      <c r="CWO11" s="1116"/>
      <c r="CWP11" s="1116"/>
      <c r="CWQ11" s="1116"/>
      <c r="CWR11" s="1116"/>
      <c r="CWS11" s="1116"/>
      <c r="CWT11" s="1116"/>
      <c r="CWU11" s="1116"/>
      <c r="CWV11" s="1116"/>
      <c r="CWW11" s="1116"/>
      <c r="CWX11" s="1116"/>
      <c r="CWY11" s="1116"/>
      <c r="CWZ11" s="1116"/>
      <c r="CXA11" s="1116"/>
      <c r="CXB11" s="1116"/>
      <c r="CXC11" s="1116"/>
      <c r="CXD11" s="1116"/>
      <c r="CXE11" s="1116"/>
      <c r="CXF11" s="1116"/>
      <c r="CXG11" s="1116"/>
      <c r="CXH11" s="1116"/>
      <c r="CXI11" s="1116"/>
      <c r="CXJ11" s="1116"/>
      <c r="CXK11" s="1116"/>
      <c r="CXL11" s="1116"/>
      <c r="CXM11" s="1116"/>
      <c r="CXN11" s="1116"/>
      <c r="CXO11" s="1116"/>
      <c r="CXP11" s="1116"/>
      <c r="CXQ11" s="1116"/>
      <c r="CXR11" s="1116"/>
      <c r="CXS11" s="1116"/>
      <c r="CXT11" s="1116"/>
      <c r="CXU11" s="1116"/>
      <c r="CXV11" s="1116"/>
      <c r="CXW11" s="1116"/>
      <c r="CXX11" s="1116"/>
      <c r="CXY11" s="1116"/>
      <c r="CXZ11" s="1116"/>
      <c r="CYA11" s="1116"/>
      <c r="CYB11" s="1116"/>
      <c r="CYC11" s="1116"/>
      <c r="CYD11" s="1116"/>
      <c r="CYE11" s="1116"/>
      <c r="CYF11" s="1116"/>
      <c r="CYG11" s="1116"/>
      <c r="CYH11" s="1116"/>
      <c r="CYI11" s="1116"/>
      <c r="CYJ11" s="1116"/>
      <c r="CYK11" s="1116"/>
      <c r="CYL11" s="1116"/>
      <c r="CYM11" s="1116"/>
      <c r="CYN11" s="1116"/>
      <c r="CYO11" s="1116"/>
      <c r="CYP11" s="1116"/>
      <c r="CYQ11" s="1116"/>
      <c r="CYR11" s="1116"/>
      <c r="CYS11" s="1116"/>
      <c r="CYT11" s="1116"/>
      <c r="CYU11" s="1116"/>
      <c r="CYV11" s="1116"/>
      <c r="CYW11" s="1116"/>
      <c r="CYX11" s="1116"/>
      <c r="CYY11" s="1116"/>
      <c r="CYZ11" s="1116"/>
      <c r="CZA11" s="1116"/>
      <c r="CZB11" s="1116"/>
      <c r="CZC11" s="1116"/>
      <c r="CZD11" s="1116"/>
      <c r="CZE11" s="1116"/>
      <c r="CZF11" s="1116"/>
      <c r="CZG11" s="1116"/>
      <c r="CZH11" s="1116"/>
      <c r="CZI11" s="1116"/>
      <c r="CZJ11" s="1116"/>
      <c r="CZK11" s="1116"/>
      <c r="CZL11" s="1116"/>
      <c r="CZM11" s="1116"/>
      <c r="CZN11" s="1116"/>
      <c r="CZO11" s="1116"/>
      <c r="CZP11" s="1116"/>
      <c r="CZQ11" s="1116"/>
      <c r="CZR11" s="1116"/>
      <c r="CZS11" s="1116"/>
      <c r="CZT11" s="1116"/>
      <c r="CZU11" s="1116"/>
      <c r="CZV11" s="1116"/>
      <c r="CZW11" s="1116"/>
      <c r="CZX11" s="1116"/>
      <c r="CZY11" s="1116"/>
      <c r="CZZ11" s="1116"/>
      <c r="DAA11" s="1116"/>
      <c r="DAB11" s="1116"/>
      <c r="DAC11" s="1116"/>
      <c r="DAD11" s="1116"/>
      <c r="DAE11" s="1116"/>
      <c r="DAF11" s="1116"/>
      <c r="DAG11" s="1116"/>
      <c r="DAH11" s="1116"/>
      <c r="DAI11" s="1116"/>
      <c r="DAJ11" s="1116"/>
      <c r="DAK11" s="1116"/>
      <c r="DAL11" s="1116"/>
      <c r="DAM11" s="1116"/>
      <c r="DAN11" s="1116"/>
      <c r="DAO11" s="1116"/>
      <c r="DAP11" s="1116"/>
      <c r="DAQ11" s="1116"/>
      <c r="DAR11" s="1116"/>
      <c r="DAS11" s="1116"/>
      <c r="DAT11" s="1116"/>
      <c r="DAU11" s="1116"/>
      <c r="DAV11" s="1116"/>
      <c r="DAW11" s="1116"/>
      <c r="DAX11" s="1116"/>
      <c r="DAY11" s="1116"/>
      <c r="DAZ11" s="1116"/>
      <c r="DBA11" s="1116"/>
      <c r="DBB11" s="1116"/>
      <c r="DBC11" s="1116"/>
      <c r="DBD11" s="1116"/>
      <c r="DBE11" s="1116"/>
      <c r="DBF11" s="1116"/>
      <c r="DBG11" s="1116"/>
      <c r="DBH11" s="1116"/>
      <c r="DBI11" s="1116"/>
      <c r="DBJ11" s="1116"/>
      <c r="DBK11" s="1116"/>
      <c r="DBL11" s="1116"/>
      <c r="DBM11" s="1116"/>
      <c r="DBN11" s="1116"/>
      <c r="DBO11" s="1116"/>
      <c r="DBP11" s="1116"/>
      <c r="DBQ11" s="1116"/>
      <c r="DBR11" s="1116"/>
      <c r="DBS11" s="1116"/>
      <c r="DBT11" s="1116"/>
      <c r="DBU11" s="1116"/>
      <c r="DBV11" s="1116"/>
      <c r="DBW11" s="1116"/>
      <c r="DBX11" s="1116"/>
      <c r="DBY11" s="1116"/>
      <c r="DBZ11" s="1116"/>
      <c r="DCA11" s="1116"/>
      <c r="DCB11" s="1116"/>
      <c r="DCC11" s="1116"/>
      <c r="DCD11" s="1116"/>
      <c r="DCE11" s="1116"/>
      <c r="DCF11" s="1116"/>
      <c r="DCG11" s="1116"/>
      <c r="DCH11" s="1116"/>
      <c r="DCI11" s="1116"/>
      <c r="DCJ11" s="1116"/>
      <c r="DCK11" s="1116"/>
      <c r="DCL11" s="1116"/>
      <c r="DCM11" s="1116"/>
      <c r="DCN11" s="1116"/>
      <c r="DCO11" s="1116"/>
      <c r="DCP11" s="1116"/>
      <c r="DCQ11" s="1116"/>
      <c r="DCR11" s="1116"/>
      <c r="DCS11" s="1116"/>
      <c r="DCT11" s="1116"/>
      <c r="DCU11" s="1116"/>
      <c r="DCV11" s="1116"/>
      <c r="DCW11" s="1116"/>
      <c r="DCX11" s="1116"/>
      <c r="DCY11" s="1116"/>
      <c r="DCZ11" s="1116"/>
      <c r="DDA11" s="1116"/>
      <c r="DDB11" s="1116"/>
      <c r="DDC11" s="1116"/>
      <c r="DDD11" s="1116"/>
      <c r="DDE11" s="1116"/>
      <c r="DDF11" s="1116"/>
      <c r="DDG11" s="1116"/>
      <c r="DDH11" s="1116"/>
      <c r="DDI11" s="1116"/>
      <c r="DDJ11" s="1116"/>
      <c r="DDK11" s="1116"/>
      <c r="DDL11" s="1116"/>
      <c r="DDM11" s="1116"/>
      <c r="DDN11" s="1116"/>
      <c r="DDO11" s="1116"/>
      <c r="DDP11" s="1116"/>
      <c r="DDQ11" s="1116"/>
      <c r="DDR11" s="1116"/>
      <c r="DDS11" s="1116"/>
      <c r="DDT11" s="1116"/>
      <c r="DDU11" s="1116"/>
      <c r="DDV11" s="1116"/>
      <c r="DDW11" s="1116"/>
      <c r="DDX11" s="1116"/>
      <c r="DDY11" s="1116"/>
      <c r="DDZ11" s="1116"/>
      <c r="DEA11" s="1116"/>
      <c r="DEB11" s="1116"/>
      <c r="DEC11" s="1116"/>
      <c r="DED11" s="1116"/>
      <c r="DEE11" s="1116"/>
      <c r="DEF11" s="1116"/>
      <c r="DEG11" s="1116"/>
      <c r="DEH11" s="1116"/>
      <c r="DEI11" s="1116"/>
      <c r="DEJ11" s="1116"/>
      <c r="DEK11" s="1116"/>
      <c r="DEL11" s="1116"/>
      <c r="DEM11" s="1116"/>
      <c r="DEN11" s="1116"/>
      <c r="DEO11" s="1116"/>
      <c r="DEP11" s="1116"/>
      <c r="DEQ11" s="1116"/>
      <c r="DER11" s="1116"/>
      <c r="DES11" s="1116"/>
      <c r="DET11" s="1116"/>
      <c r="DEU11" s="1116"/>
      <c r="DEV11" s="1116"/>
      <c r="DEW11" s="1116"/>
      <c r="DEX11" s="1116"/>
      <c r="DEY11" s="1116"/>
      <c r="DEZ11" s="1116"/>
      <c r="DFA11" s="1116"/>
      <c r="DFB11" s="1116"/>
      <c r="DFC11" s="1116"/>
      <c r="DFD11" s="1116"/>
      <c r="DFE11" s="1116"/>
      <c r="DFF11" s="1116"/>
      <c r="DFG11" s="1116"/>
      <c r="DFH11" s="1116"/>
      <c r="DFI11" s="1116"/>
      <c r="DFJ11" s="1116"/>
      <c r="DFK11" s="1116"/>
      <c r="DFL11" s="1116"/>
      <c r="DFM11" s="1116"/>
      <c r="DFN11" s="1116"/>
      <c r="DFO11" s="1116"/>
      <c r="DFP11" s="1116"/>
      <c r="DFQ11" s="1116"/>
      <c r="DFR11" s="1116"/>
      <c r="DFS11" s="1116"/>
      <c r="DFT11" s="1116"/>
      <c r="DFU11" s="1116"/>
      <c r="DFV11" s="1116"/>
      <c r="DFW11" s="1116"/>
      <c r="DFX11" s="1116"/>
      <c r="DFY11" s="1116"/>
      <c r="DFZ11" s="1116"/>
      <c r="DGA11" s="1116"/>
      <c r="DGB11" s="1116"/>
      <c r="DGC11" s="1116"/>
      <c r="DGD11" s="1116"/>
      <c r="DGE11" s="1116"/>
      <c r="DGF11" s="1116"/>
      <c r="DGG11" s="1116"/>
      <c r="DGH11" s="1116"/>
      <c r="DGI11" s="1116"/>
      <c r="DGJ11" s="1116"/>
      <c r="DGK11" s="1116"/>
      <c r="DGL11" s="1116"/>
      <c r="DGM11" s="1116"/>
      <c r="DGN11" s="1116"/>
      <c r="DGO11" s="1116"/>
      <c r="DGP11" s="1116"/>
      <c r="DGQ11" s="1116"/>
      <c r="DGR11" s="1116"/>
      <c r="DGS11" s="1116"/>
      <c r="DGT11" s="1116"/>
      <c r="DGU11" s="1116"/>
      <c r="DGV11" s="1116"/>
      <c r="DGW11" s="1116"/>
      <c r="DGX11" s="1116"/>
      <c r="DGY11" s="1116"/>
      <c r="DGZ11" s="1116"/>
      <c r="DHA11" s="1116"/>
      <c r="DHB11" s="1116"/>
      <c r="DHC11" s="1116"/>
      <c r="DHD11" s="1116"/>
      <c r="DHE11" s="1116"/>
      <c r="DHF11" s="1116"/>
      <c r="DHG11" s="1116"/>
      <c r="DHH11" s="1116"/>
      <c r="DHI11" s="1116"/>
      <c r="DHJ11" s="1116"/>
      <c r="DHK11" s="1116"/>
      <c r="DHL11" s="1116"/>
      <c r="DHM11" s="1116"/>
      <c r="DHN11" s="1116"/>
      <c r="DHO11" s="1116"/>
      <c r="DHP11" s="1116"/>
      <c r="DHQ11" s="1116"/>
      <c r="DHR11" s="1116"/>
      <c r="DHS11" s="1116"/>
      <c r="DHT11" s="1116"/>
      <c r="DHU11" s="1116"/>
      <c r="DHV11" s="1116"/>
      <c r="DHW11" s="1116"/>
      <c r="DHX11" s="1116"/>
      <c r="DHY11" s="1116"/>
      <c r="DHZ11" s="1116"/>
      <c r="DIA11" s="1116"/>
      <c r="DIB11" s="1116"/>
      <c r="DIC11" s="1116"/>
      <c r="DID11" s="1116"/>
      <c r="DIE11" s="1116"/>
      <c r="DIF11" s="1116"/>
      <c r="DIG11" s="1116"/>
      <c r="DIH11" s="1116"/>
      <c r="DII11" s="1116"/>
      <c r="DIJ11" s="1116"/>
      <c r="DIK11" s="1116"/>
      <c r="DIL11" s="1116"/>
      <c r="DIM11" s="1116"/>
      <c r="DIN11" s="1116"/>
      <c r="DIO11" s="1116"/>
      <c r="DIP11" s="1116"/>
      <c r="DIQ11" s="1116"/>
      <c r="DIR11" s="1116"/>
      <c r="DIS11" s="1116"/>
      <c r="DIT11" s="1116"/>
      <c r="DIU11" s="1116"/>
      <c r="DIV11" s="1116"/>
      <c r="DIW11" s="1116"/>
      <c r="DIX11" s="1116"/>
      <c r="DIY11" s="1116"/>
      <c r="DIZ11" s="1116"/>
      <c r="DJA11" s="1116"/>
      <c r="DJB11" s="1116"/>
      <c r="DJC11" s="1116"/>
      <c r="DJD11" s="1116"/>
      <c r="DJE11" s="1116"/>
      <c r="DJF11" s="1116"/>
      <c r="DJG11" s="1116"/>
      <c r="DJH11" s="1116"/>
      <c r="DJI11" s="1116"/>
      <c r="DJJ11" s="1116"/>
      <c r="DJK11" s="1116"/>
      <c r="DJL11" s="1116"/>
      <c r="DJM11" s="1116"/>
      <c r="DJN11" s="1116"/>
      <c r="DJO11" s="1116"/>
      <c r="DJP11" s="1116"/>
      <c r="DJQ11" s="1116"/>
      <c r="DJR11" s="1116"/>
      <c r="DJS11" s="1116"/>
      <c r="DJT11" s="1116"/>
      <c r="DJU11" s="1116"/>
      <c r="DJV11" s="1116"/>
      <c r="DJW11" s="1116"/>
      <c r="DJX11" s="1116"/>
      <c r="DJY11" s="1116"/>
      <c r="DJZ11" s="1116"/>
      <c r="DKA11" s="1116"/>
      <c r="DKB11" s="1116"/>
      <c r="DKC11" s="1116"/>
      <c r="DKD11" s="1116"/>
      <c r="DKE11" s="1116"/>
      <c r="DKF11" s="1116"/>
      <c r="DKG11" s="1116"/>
      <c r="DKH11" s="1116"/>
      <c r="DKI11" s="1116"/>
      <c r="DKJ11" s="1116"/>
      <c r="DKK11" s="1116"/>
      <c r="DKL11" s="1116"/>
      <c r="DKM11" s="1116"/>
      <c r="DKN11" s="1116"/>
      <c r="DKO11" s="1116"/>
      <c r="DKP11" s="1116"/>
      <c r="DKQ11" s="1116"/>
      <c r="DKR11" s="1116"/>
      <c r="DKS11" s="1116"/>
      <c r="DKT11" s="1116"/>
      <c r="DKU11" s="1116"/>
      <c r="DKV11" s="1116"/>
      <c r="DKW11" s="1116"/>
      <c r="DKX11" s="1116"/>
      <c r="DKY11" s="1116"/>
      <c r="DKZ11" s="1116"/>
      <c r="DLA11" s="1116"/>
      <c r="DLB11" s="1116"/>
      <c r="DLC11" s="1116"/>
      <c r="DLD11" s="1116"/>
      <c r="DLE11" s="1116"/>
      <c r="DLF11" s="1116"/>
      <c r="DLG11" s="1116"/>
      <c r="DLH11" s="1116"/>
      <c r="DLI11" s="1116"/>
      <c r="DLJ11" s="1116"/>
      <c r="DLK11" s="1116"/>
      <c r="DLL11" s="1116"/>
      <c r="DLM11" s="1116"/>
      <c r="DLN11" s="1116"/>
      <c r="DLO11" s="1116"/>
      <c r="DLP11" s="1116"/>
      <c r="DLQ11" s="1116"/>
      <c r="DLR11" s="1116"/>
      <c r="DLS11" s="1116"/>
      <c r="DLT11" s="1116"/>
      <c r="DLU11" s="1116"/>
      <c r="DLV11" s="1116"/>
      <c r="DLW11" s="1116"/>
      <c r="DLX11" s="1116"/>
      <c r="DLY11" s="1116"/>
      <c r="DLZ11" s="1116"/>
      <c r="DMA11" s="1116"/>
      <c r="DMB11" s="1116"/>
      <c r="DMC11" s="1116"/>
      <c r="DMD11" s="1116"/>
      <c r="DME11" s="1116"/>
      <c r="DMF11" s="1116"/>
      <c r="DMG11" s="1116"/>
      <c r="DMH11" s="1116"/>
      <c r="DMI11" s="1116"/>
      <c r="DMJ11" s="1116"/>
      <c r="DMK11" s="1116"/>
      <c r="DML11" s="1116"/>
      <c r="DMM11" s="1116"/>
      <c r="DMN11" s="1116"/>
      <c r="DMO11" s="1116"/>
      <c r="DMP11" s="1116"/>
      <c r="DMQ11" s="1116"/>
      <c r="DMR11" s="1116"/>
      <c r="DMS11" s="1116"/>
      <c r="DMT11" s="1116"/>
      <c r="DMU11" s="1116"/>
      <c r="DMV11" s="1116"/>
      <c r="DMW11" s="1116"/>
      <c r="DMX11" s="1116"/>
      <c r="DMY11" s="1116"/>
      <c r="DMZ11" s="1116"/>
      <c r="DNA11" s="1116"/>
      <c r="DNB11" s="1116"/>
      <c r="DNC11" s="1116"/>
      <c r="DND11" s="1116"/>
      <c r="DNE11" s="1116"/>
      <c r="DNF11" s="1116"/>
      <c r="DNG11" s="1116"/>
      <c r="DNH11" s="1116"/>
      <c r="DNI11" s="1116"/>
      <c r="DNJ11" s="1116"/>
      <c r="DNK11" s="1116"/>
      <c r="DNL11" s="1116"/>
      <c r="DNM11" s="1116"/>
      <c r="DNN11" s="1116"/>
      <c r="DNO11" s="1116"/>
      <c r="DNP11" s="1116"/>
      <c r="DNQ11" s="1116"/>
      <c r="DNR11" s="1116"/>
      <c r="DNS11" s="1116"/>
      <c r="DNT11" s="1116"/>
      <c r="DNU11" s="1116"/>
      <c r="DNV11" s="1116"/>
      <c r="DNW11" s="1116"/>
      <c r="DNX11" s="1116"/>
      <c r="DNY11" s="1116"/>
      <c r="DNZ11" s="1116"/>
      <c r="DOA11" s="1116"/>
      <c r="DOB11" s="1116"/>
      <c r="DOC11" s="1116"/>
      <c r="DOD11" s="1116"/>
      <c r="DOE11" s="1116"/>
      <c r="DOF11" s="1116"/>
      <c r="DOG11" s="1116"/>
      <c r="DOH11" s="1116"/>
      <c r="DOI11" s="1116"/>
      <c r="DOJ11" s="1116"/>
      <c r="DOK11" s="1116"/>
      <c r="DOL11" s="1116"/>
      <c r="DOM11" s="1116"/>
      <c r="DON11" s="1116"/>
      <c r="DOO11" s="1116"/>
      <c r="DOP11" s="1116"/>
      <c r="DOQ11" s="1116"/>
      <c r="DOR11" s="1116"/>
      <c r="DOS11" s="1116"/>
      <c r="DOT11" s="1116"/>
      <c r="DOU11" s="1116"/>
      <c r="DOV11" s="1116"/>
      <c r="DOW11" s="1116"/>
      <c r="DOX11" s="1116"/>
      <c r="DOY11" s="1116"/>
      <c r="DOZ11" s="1116"/>
      <c r="DPA11" s="1116"/>
      <c r="DPB11" s="1116"/>
      <c r="DPC11" s="1116"/>
      <c r="DPD11" s="1116"/>
      <c r="DPE11" s="1116"/>
      <c r="DPF11" s="1116"/>
      <c r="DPG11" s="1116"/>
      <c r="DPH11" s="1116"/>
      <c r="DPI11" s="1116"/>
      <c r="DPJ11" s="1116"/>
      <c r="DPK11" s="1116"/>
      <c r="DPL11" s="1116"/>
      <c r="DPM11" s="1116"/>
      <c r="DPN11" s="1116"/>
      <c r="DPO11" s="1116"/>
      <c r="DPP11" s="1116"/>
      <c r="DPQ11" s="1116"/>
      <c r="DPR11" s="1116"/>
      <c r="DPS11" s="1116"/>
      <c r="DPT11" s="1116"/>
      <c r="DPU11" s="1116"/>
      <c r="DPV11" s="1116"/>
      <c r="DPW11" s="1116"/>
      <c r="DPX11" s="1116"/>
      <c r="DPY11" s="1116"/>
      <c r="DPZ11" s="1116"/>
      <c r="DQA11" s="1116"/>
      <c r="DQB11" s="1116"/>
      <c r="DQC11" s="1116"/>
      <c r="DQD11" s="1116"/>
      <c r="DQE11" s="1116"/>
      <c r="DQF11" s="1116"/>
      <c r="DQG11" s="1116"/>
      <c r="DQH11" s="1116"/>
      <c r="DQI11" s="1116"/>
      <c r="DQJ11" s="1116"/>
      <c r="DQK11" s="1116"/>
      <c r="DQL11" s="1116"/>
      <c r="DQM11" s="1116"/>
      <c r="DQN11" s="1116"/>
      <c r="DQO11" s="1116"/>
      <c r="DQP11" s="1116"/>
      <c r="DQQ11" s="1116"/>
      <c r="DQR11" s="1116"/>
      <c r="DQS11" s="1116"/>
      <c r="DQT11" s="1116"/>
      <c r="DQU11" s="1116"/>
      <c r="DQV11" s="1116"/>
      <c r="DQW11" s="1116"/>
      <c r="DQX11" s="1116"/>
      <c r="DQY11" s="1116"/>
      <c r="DQZ11" s="1116"/>
      <c r="DRA11" s="1116"/>
      <c r="DRB11" s="1116"/>
      <c r="DRC11" s="1116"/>
      <c r="DRD11" s="1116"/>
      <c r="DRE11" s="1116"/>
      <c r="DRF11" s="1116"/>
      <c r="DRG11" s="1116"/>
      <c r="DRH11" s="1116"/>
      <c r="DRI11" s="1116"/>
      <c r="DRJ11" s="1116"/>
      <c r="DRK11" s="1116"/>
      <c r="DRL11" s="1116"/>
      <c r="DRM11" s="1116"/>
      <c r="DRN11" s="1116"/>
      <c r="DRO11" s="1116"/>
      <c r="DRP11" s="1116"/>
      <c r="DRQ11" s="1116"/>
      <c r="DRR11" s="1116"/>
      <c r="DRS11" s="1116"/>
      <c r="DRT11" s="1116"/>
      <c r="DRU11" s="1116"/>
      <c r="DRV11" s="1116"/>
      <c r="DRW11" s="1116"/>
      <c r="DRX11" s="1116"/>
      <c r="DRY11" s="1116"/>
      <c r="DRZ11" s="1116"/>
      <c r="DSA11" s="1116"/>
      <c r="DSB11" s="1116"/>
      <c r="DSC11" s="1116"/>
      <c r="DSD11" s="1116"/>
      <c r="DSE11" s="1116"/>
      <c r="DSF11" s="1116"/>
      <c r="DSG11" s="1116"/>
      <c r="DSH11" s="1116"/>
      <c r="DSI11" s="1116"/>
      <c r="DSJ11" s="1116"/>
      <c r="DSK11" s="1116"/>
      <c r="DSL11" s="1116"/>
      <c r="DSM11" s="1116"/>
      <c r="DSN11" s="1116"/>
      <c r="DSO11" s="1116"/>
      <c r="DSP11" s="1116"/>
      <c r="DSQ11" s="1116"/>
      <c r="DSR11" s="1116"/>
      <c r="DSS11" s="1116"/>
      <c r="DST11" s="1116"/>
      <c r="DSU11" s="1116"/>
      <c r="DSV11" s="1116"/>
      <c r="DSW11" s="1116"/>
      <c r="DSX11" s="1116"/>
      <c r="DSY11" s="1116"/>
      <c r="DSZ11" s="1116"/>
      <c r="DTA11" s="1116"/>
      <c r="DTB11" s="1116"/>
      <c r="DTC11" s="1116"/>
      <c r="DTD11" s="1116"/>
      <c r="DTE11" s="1116"/>
      <c r="DTF11" s="1116"/>
      <c r="DTG11" s="1116"/>
      <c r="DTH11" s="1116"/>
      <c r="DTI11" s="1116"/>
      <c r="DTJ11" s="1116"/>
      <c r="DTK11" s="1116"/>
      <c r="DTL11" s="1116"/>
      <c r="DTM11" s="1116"/>
      <c r="DTN11" s="1116"/>
      <c r="DTO11" s="1116"/>
      <c r="DTP11" s="1116"/>
      <c r="DTQ11" s="1116"/>
      <c r="DTR11" s="1116"/>
      <c r="DTS11" s="1116"/>
      <c r="DTT11" s="1116"/>
      <c r="DTU11" s="1116"/>
      <c r="DTV11" s="1116"/>
      <c r="DTW11" s="1116"/>
      <c r="DTX11" s="1116"/>
      <c r="DTY11" s="1116"/>
      <c r="DTZ11" s="1116"/>
      <c r="DUA11" s="1116"/>
      <c r="DUB11" s="1116"/>
      <c r="DUC11" s="1116"/>
      <c r="DUD11" s="1116"/>
      <c r="DUE11" s="1116"/>
      <c r="DUF11" s="1116"/>
      <c r="DUG11" s="1116"/>
      <c r="DUH11" s="1116"/>
      <c r="DUI11" s="1116"/>
      <c r="DUJ11" s="1116"/>
      <c r="DUK11" s="1116"/>
      <c r="DUL11" s="1116"/>
      <c r="DUM11" s="1116"/>
      <c r="DUN11" s="1116"/>
      <c r="DUO11" s="1116"/>
      <c r="DUP11" s="1116"/>
      <c r="DUQ11" s="1116"/>
      <c r="DUR11" s="1116"/>
      <c r="DUS11" s="1116"/>
      <c r="DUT11" s="1116"/>
      <c r="DUU11" s="1116"/>
      <c r="DUV11" s="1116"/>
      <c r="DUW11" s="1116"/>
      <c r="DUX11" s="1116"/>
      <c r="DUY11" s="1116"/>
      <c r="DUZ11" s="1116"/>
      <c r="DVA11" s="1116"/>
      <c r="DVB11" s="1116"/>
      <c r="DVC11" s="1116"/>
      <c r="DVD11" s="1116"/>
      <c r="DVE11" s="1116"/>
      <c r="DVF11" s="1116"/>
      <c r="DVG11" s="1116"/>
      <c r="DVH11" s="1116"/>
      <c r="DVI11" s="1116"/>
      <c r="DVJ11" s="1116"/>
      <c r="DVK11" s="1116"/>
      <c r="DVL11" s="1116"/>
      <c r="DVM11" s="1116"/>
      <c r="DVN11" s="1116"/>
      <c r="DVO11" s="1116"/>
      <c r="DVP11" s="1116"/>
      <c r="DVQ11" s="1116"/>
      <c r="DVR11" s="1116"/>
      <c r="DVS11" s="1116"/>
      <c r="DVT11" s="1116"/>
      <c r="DVU11" s="1116"/>
      <c r="DVV11" s="1116"/>
      <c r="DVW11" s="1116"/>
      <c r="DVX11" s="1116"/>
      <c r="DVY11" s="1116"/>
      <c r="DVZ11" s="1116"/>
      <c r="DWA11" s="1116"/>
      <c r="DWB11" s="1116"/>
      <c r="DWC11" s="1116"/>
      <c r="DWD11" s="1116"/>
      <c r="DWE11" s="1116"/>
      <c r="DWF11" s="1116"/>
      <c r="DWG11" s="1116"/>
      <c r="DWH11" s="1116"/>
      <c r="DWI11" s="1116"/>
      <c r="DWJ11" s="1116"/>
      <c r="DWK11" s="1116"/>
      <c r="DWL11" s="1116"/>
      <c r="DWM11" s="1116"/>
      <c r="DWN11" s="1116"/>
      <c r="DWO11" s="1116"/>
      <c r="DWP11" s="1116"/>
      <c r="DWQ11" s="1116"/>
      <c r="DWR11" s="1116"/>
      <c r="DWS11" s="1116"/>
      <c r="DWT11" s="1116"/>
      <c r="DWU11" s="1116"/>
      <c r="DWV11" s="1116"/>
      <c r="DWW11" s="1116"/>
      <c r="DWX11" s="1116"/>
      <c r="DWY11" s="1116"/>
      <c r="DWZ11" s="1116"/>
      <c r="DXA11" s="1116"/>
      <c r="DXB11" s="1116"/>
      <c r="DXC11" s="1116"/>
      <c r="DXD11" s="1116"/>
      <c r="DXE11" s="1116"/>
      <c r="DXF11" s="1116"/>
      <c r="DXG11" s="1116"/>
      <c r="DXH11" s="1116"/>
      <c r="DXI11" s="1116"/>
      <c r="DXJ11" s="1116"/>
      <c r="DXK11" s="1116"/>
      <c r="DXL11" s="1116"/>
      <c r="DXM11" s="1116"/>
      <c r="DXN11" s="1116"/>
      <c r="DXO11" s="1116"/>
      <c r="DXP11" s="1116"/>
      <c r="DXQ11" s="1116"/>
      <c r="DXR11" s="1116"/>
      <c r="DXS11" s="1116"/>
      <c r="DXT11" s="1116"/>
      <c r="DXU11" s="1116"/>
      <c r="DXV11" s="1116"/>
      <c r="DXW11" s="1116"/>
      <c r="DXX11" s="1116"/>
      <c r="DXY11" s="1116"/>
      <c r="DXZ11" s="1116"/>
      <c r="DYA11" s="1116"/>
      <c r="DYB11" s="1116"/>
      <c r="DYC11" s="1116"/>
      <c r="DYD11" s="1116"/>
      <c r="DYE11" s="1116"/>
      <c r="DYF11" s="1116"/>
      <c r="DYG11" s="1116"/>
      <c r="DYH11" s="1116"/>
      <c r="DYI11" s="1116"/>
      <c r="DYJ11" s="1116"/>
      <c r="DYK11" s="1116"/>
      <c r="DYL11" s="1116"/>
      <c r="DYM11" s="1116"/>
      <c r="DYN11" s="1116"/>
      <c r="DYO11" s="1116"/>
      <c r="DYP11" s="1116"/>
      <c r="DYQ11" s="1116"/>
      <c r="DYR11" s="1116"/>
      <c r="DYS11" s="1116"/>
      <c r="DYT11" s="1116"/>
      <c r="DYU11" s="1116"/>
      <c r="DYV11" s="1116"/>
      <c r="DYW11" s="1116"/>
      <c r="DYX11" s="1116"/>
      <c r="DYY11" s="1116"/>
      <c r="DYZ11" s="1116"/>
      <c r="DZA11" s="1116"/>
      <c r="DZB11" s="1116"/>
      <c r="DZC11" s="1116"/>
      <c r="DZD11" s="1116"/>
      <c r="DZE11" s="1116"/>
      <c r="DZF11" s="1116"/>
      <c r="DZG11" s="1116"/>
      <c r="DZH11" s="1116"/>
      <c r="DZI11" s="1116"/>
      <c r="DZJ11" s="1116"/>
      <c r="DZK11" s="1116"/>
      <c r="DZL11" s="1116"/>
      <c r="DZM11" s="1116"/>
      <c r="DZN11" s="1116"/>
      <c r="DZO11" s="1116"/>
      <c r="DZP11" s="1116"/>
      <c r="DZQ11" s="1116"/>
      <c r="DZR11" s="1116"/>
      <c r="DZS11" s="1116"/>
      <c r="DZT11" s="1116"/>
      <c r="DZU11" s="1116"/>
      <c r="DZV11" s="1116"/>
      <c r="DZW11" s="1116"/>
      <c r="DZX11" s="1116"/>
      <c r="DZY11" s="1116"/>
      <c r="DZZ11" s="1116"/>
      <c r="EAA11" s="1116"/>
      <c r="EAB11" s="1116"/>
      <c r="EAC11" s="1116"/>
      <c r="EAD11" s="1116"/>
      <c r="EAE11" s="1116"/>
      <c r="EAF11" s="1116"/>
      <c r="EAG11" s="1116"/>
      <c r="EAH11" s="1116"/>
      <c r="EAI11" s="1116"/>
      <c r="EAJ11" s="1116"/>
      <c r="EAK11" s="1116"/>
      <c r="EAL11" s="1116"/>
      <c r="EAM11" s="1116"/>
      <c r="EAN11" s="1116"/>
      <c r="EAO11" s="1116"/>
      <c r="EAP11" s="1116"/>
      <c r="EAQ11" s="1116"/>
      <c r="EAR11" s="1116"/>
      <c r="EAS11" s="1116"/>
      <c r="EAT11" s="1116"/>
      <c r="EAU11" s="1116"/>
      <c r="EAV11" s="1116"/>
      <c r="EAW11" s="1116"/>
      <c r="EAX11" s="1116"/>
      <c r="EAY11" s="1116"/>
      <c r="EAZ11" s="1116"/>
      <c r="EBA11" s="1116"/>
      <c r="EBB11" s="1116"/>
      <c r="EBC11" s="1116"/>
      <c r="EBD11" s="1116"/>
      <c r="EBE11" s="1116"/>
      <c r="EBF11" s="1116"/>
      <c r="EBG11" s="1116"/>
      <c r="EBH11" s="1116"/>
      <c r="EBI11" s="1116"/>
      <c r="EBJ11" s="1116"/>
      <c r="EBK11" s="1116"/>
      <c r="EBL11" s="1116"/>
      <c r="EBM11" s="1116"/>
      <c r="EBN11" s="1116"/>
      <c r="EBO11" s="1116"/>
      <c r="EBP11" s="1116"/>
      <c r="EBQ11" s="1116"/>
      <c r="EBR11" s="1116"/>
      <c r="EBS11" s="1116"/>
      <c r="EBT11" s="1116"/>
      <c r="EBU11" s="1116"/>
      <c r="EBV11" s="1116"/>
      <c r="EBW11" s="1116"/>
      <c r="EBX11" s="1116"/>
      <c r="EBY11" s="1116"/>
      <c r="EBZ11" s="1116"/>
      <c r="ECA11" s="1116"/>
      <c r="ECB11" s="1116"/>
      <c r="ECC11" s="1116"/>
      <c r="ECD11" s="1116"/>
      <c r="ECE11" s="1116"/>
      <c r="ECF11" s="1116"/>
      <c r="ECG11" s="1116"/>
      <c r="ECH11" s="1116"/>
      <c r="ECI11" s="1116"/>
      <c r="ECJ11" s="1116"/>
      <c r="ECK11" s="1116"/>
      <c r="ECL11" s="1116"/>
      <c r="ECM11" s="1116"/>
      <c r="ECN11" s="1116"/>
      <c r="ECO11" s="1116"/>
      <c r="ECP11" s="1116"/>
      <c r="ECQ11" s="1116"/>
      <c r="ECR11" s="1116"/>
      <c r="ECS11" s="1116"/>
      <c r="ECT11" s="1116"/>
      <c r="ECU11" s="1116"/>
      <c r="ECV11" s="1116"/>
      <c r="ECW11" s="1116"/>
      <c r="ECX11" s="1116"/>
      <c r="ECY11" s="1116"/>
      <c r="ECZ11" s="1116"/>
      <c r="EDA11" s="1116"/>
      <c r="EDB11" s="1116"/>
      <c r="EDC11" s="1116"/>
      <c r="EDD11" s="1116"/>
      <c r="EDE11" s="1116"/>
      <c r="EDF11" s="1116"/>
      <c r="EDG11" s="1116"/>
      <c r="EDH11" s="1116"/>
      <c r="EDI11" s="1116"/>
      <c r="EDJ11" s="1116"/>
      <c r="EDK11" s="1116"/>
      <c r="EDL11" s="1116"/>
      <c r="EDM11" s="1116"/>
      <c r="EDN11" s="1116"/>
      <c r="EDO11" s="1116"/>
      <c r="EDP11" s="1116"/>
      <c r="EDQ11" s="1116"/>
      <c r="EDR11" s="1116"/>
      <c r="EDS11" s="1116"/>
      <c r="EDT11" s="1116"/>
      <c r="EDU11" s="1116"/>
      <c r="EDV11" s="1116"/>
      <c r="EDW11" s="1116"/>
      <c r="EDX11" s="1116"/>
      <c r="EDY11" s="1116"/>
      <c r="EDZ11" s="1116"/>
      <c r="EEA11" s="1116"/>
      <c r="EEB11" s="1116"/>
      <c r="EEC11" s="1116"/>
      <c r="EED11" s="1116"/>
      <c r="EEE11" s="1116"/>
      <c r="EEF11" s="1116"/>
      <c r="EEG11" s="1116"/>
      <c r="EEH11" s="1116"/>
      <c r="EEI11" s="1116"/>
      <c r="EEJ11" s="1116"/>
      <c r="EEK11" s="1116"/>
      <c r="EEL11" s="1116"/>
      <c r="EEM11" s="1116"/>
      <c r="EEN11" s="1116"/>
      <c r="EEO11" s="1116"/>
      <c r="EEP11" s="1116"/>
      <c r="EEQ11" s="1116"/>
      <c r="EER11" s="1116"/>
      <c r="EES11" s="1116"/>
      <c r="EET11" s="1116"/>
      <c r="EEU11" s="1116"/>
      <c r="EEV11" s="1116"/>
      <c r="EEW11" s="1116"/>
      <c r="EEX11" s="1116"/>
      <c r="EEY11" s="1116"/>
      <c r="EEZ11" s="1116"/>
      <c r="EFA11" s="1116"/>
      <c r="EFB11" s="1116"/>
      <c r="EFC11" s="1116"/>
      <c r="EFD11" s="1116"/>
      <c r="EFE11" s="1116"/>
      <c r="EFF11" s="1116"/>
      <c r="EFG11" s="1116"/>
      <c r="EFH11" s="1116"/>
      <c r="EFI11" s="1116"/>
      <c r="EFJ11" s="1116"/>
      <c r="EFK11" s="1116"/>
      <c r="EFL11" s="1116"/>
      <c r="EFM11" s="1116"/>
      <c r="EFN11" s="1116"/>
      <c r="EFO11" s="1116"/>
      <c r="EFP11" s="1116"/>
      <c r="EFQ11" s="1116"/>
      <c r="EFR11" s="1116"/>
      <c r="EFS11" s="1116"/>
      <c r="EFT11" s="1116"/>
      <c r="EFU11" s="1116"/>
      <c r="EFV11" s="1116"/>
      <c r="EFW11" s="1116"/>
      <c r="EFX11" s="1116"/>
      <c r="EFY11" s="1116"/>
      <c r="EFZ11" s="1116"/>
      <c r="EGA11" s="1116"/>
      <c r="EGB11" s="1116"/>
      <c r="EGC11" s="1116"/>
      <c r="EGD11" s="1116"/>
      <c r="EGE11" s="1116"/>
      <c r="EGF11" s="1116"/>
      <c r="EGG11" s="1116"/>
      <c r="EGH11" s="1116"/>
      <c r="EGI11" s="1116"/>
      <c r="EGJ11" s="1116"/>
      <c r="EGK11" s="1116"/>
      <c r="EGL11" s="1116"/>
      <c r="EGM11" s="1116"/>
      <c r="EGN11" s="1116"/>
      <c r="EGO11" s="1116"/>
      <c r="EGP11" s="1116"/>
      <c r="EGQ11" s="1116"/>
      <c r="EGR11" s="1116"/>
      <c r="EGS11" s="1116"/>
      <c r="EGT11" s="1116"/>
      <c r="EGU11" s="1116"/>
      <c r="EGV11" s="1116"/>
      <c r="EGW11" s="1116"/>
      <c r="EGX11" s="1116"/>
      <c r="EGY11" s="1116"/>
      <c r="EGZ11" s="1116"/>
      <c r="EHA11" s="1116"/>
      <c r="EHB11" s="1116"/>
      <c r="EHC11" s="1116"/>
      <c r="EHD11" s="1116"/>
      <c r="EHE11" s="1116"/>
      <c r="EHF11" s="1116"/>
      <c r="EHG11" s="1116"/>
      <c r="EHH11" s="1116"/>
      <c r="EHI11" s="1116"/>
      <c r="EHJ11" s="1116"/>
      <c r="EHK11" s="1116"/>
      <c r="EHL11" s="1116"/>
      <c r="EHM11" s="1116"/>
      <c r="EHN11" s="1116"/>
      <c r="EHO11" s="1116"/>
      <c r="EHP11" s="1116"/>
      <c r="EHQ11" s="1116"/>
      <c r="EHR11" s="1116"/>
      <c r="EHS11" s="1116"/>
      <c r="EHT11" s="1116"/>
      <c r="EHU11" s="1116"/>
      <c r="EHV11" s="1116"/>
      <c r="EHW11" s="1116"/>
      <c r="EHX11" s="1116"/>
      <c r="EHY11" s="1116"/>
      <c r="EHZ11" s="1116"/>
      <c r="EIA11" s="1116"/>
      <c r="EIB11" s="1116"/>
      <c r="EIC11" s="1116"/>
      <c r="EID11" s="1116"/>
      <c r="EIE11" s="1116"/>
      <c r="EIF11" s="1116"/>
      <c r="EIG11" s="1116"/>
      <c r="EIH11" s="1116"/>
      <c r="EII11" s="1116"/>
      <c r="EIJ11" s="1116"/>
      <c r="EIK11" s="1116"/>
      <c r="EIL11" s="1116"/>
      <c r="EIM11" s="1116"/>
      <c r="EIN11" s="1116"/>
      <c r="EIO11" s="1116"/>
      <c r="EIP11" s="1116"/>
      <c r="EIQ11" s="1116"/>
      <c r="EIR11" s="1116"/>
      <c r="EIS11" s="1116"/>
      <c r="EIT11" s="1116"/>
      <c r="EIU11" s="1116"/>
      <c r="EIV11" s="1116"/>
      <c r="EIW11" s="1116"/>
      <c r="EIX11" s="1116"/>
      <c r="EIY11" s="1116"/>
      <c r="EIZ11" s="1116"/>
      <c r="EJA11" s="1116"/>
      <c r="EJB11" s="1116"/>
      <c r="EJC11" s="1116"/>
      <c r="EJD11" s="1116"/>
      <c r="EJE11" s="1116"/>
      <c r="EJF11" s="1116"/>
      <c r="EJG11" s="1116"/>
      <c r="EJH11" s="1116"/>
      <c r="EJI11" s="1116"/>
      <c r="EJJ11" s="1116"/>
      <c r="EJK11" s="1116"/>
      <c r="EJL11" s="1116"/>
      <c r="EJM11" s="1116"/>
      <c r="EJN11" s="1116"/>
      <c r="EJO11" s="1116"/>
      <c r="EJP11" s="1116"/>
      <c r="EJQ11" s="1116"/>
      <c r="EJR11" s="1116"/>
      <c r="EJS11" s="1116"/>
      <c r="EJT11" s="1116"/>
      <c r="EJU11" s="1116"/>
      <c r="EJV11" s="1116"/>
      <c r="EJW11" s="1116"/>
      <c r="EJX11" s="1116"/>
      <c r="EJY11" s="1116"/>
      <c r="EJZ11" s="1116"/>
      <c r="EKA11" s="1116"/>
      <c r="EKB11" s="1116"/>
      <c r="EKC11" s="1116"/>
      <c r="EKD11" s="1116"/>
      <c r="EKE11" s="1116"/>
      <c r="EKF11" s="1116"/>
      <c r="EKG11" s="1116"/>
      <c r="EKH11" s="1116"/>
      <c r="EKI11" s="1116"/>
      <c r="EKJ11" s="1116"/>
      <c r="EKK11" s="1116"/>
      <c r="EKL11" s="1116"/>
      <c r="EKM11" s="1116"/>
      <c r="EKN11" s="1116"/>
      <c r="EKO11" s="1116"/>
      <c r="EKP11" s="1116"/>
      <c r="EKQ11" s="1116"/>
      <c r="EKR11" s="1116"/>
      <c r="EKS11" s="1116"/>
      <c r="EKT11" s="1116"/>
      <c r="EKU11" s="1116"/>
      <c r="EKV11" s="1116"/>
      <c r="EKW11" s="1116"/>
      <c r="EKX11" s="1116"/>
      <c r="EKY11" s="1116"/>
      <c r="EKZ11" s="1116"/>
      <c r="ELA11" s="1116"/>
      <c r="ELB11" s="1116"/>
      <c r="ELC11" s="1116"/>
      <c r="ELD11" s="1116"/>
      <c r="ELE11" s="1116"/>
      <c r="ELF11" s="1116"/>
      <c r="ELG11" s="1116"/>
      <c r="ELH11" s="1116"/>
      <c r="ELI11" s="1116"/>
      <c r="ELJ11" s="1116"/>
      <c r="ELK11" s="1116"/>
      <c r="ELL11" s="1116"/>
      <c r="ELM11" s="1116"/>
      <c r="ELN11" s="1116"/>
      <c r="ELO11" s="1116"/>
      <c r="ELP11" s="1116"/>
      <c r="ELQ11" s="1116"/>
      <c r="ELR11" s="1116"/>
      <c r="ELS11" s="1116"/>
      <c r="ELT11" s="1116"/>
      <c r="ELU11" s="1116"/>
      <c r="ELV11" s="1116"/>
      <c r="ELW11" s="1116"/>
      <c r="ELX11" s="1116"/>
      <c r="ELY11" s="1116"/>
      <c r="ELZ11" s="1116"/>
      <c r="EMA11" s="1116"/>
      <c r="EMB11" s="1116"/>
      <c r="EMC11" s="1116"/>
      <c r="EMD11" s="1116"/>
      <c r="EME11" s="1116"/>
      <c r="EMF11" s="1116"/>
      <c r="EMG11" s="1116"/>
      <c r="EMH11" s="1116"/>
      <c r="EMI11" s="1116"/>
      <c r="EMJ11" s="1116"/>
      <c r="EMK11" s="1116"/>
      <c r="EML11" s="1116"/>
      <c r="EMM11" s="1116"/>
      <c r="EMN11" s="1116"/>
      <c r="EMO11" s="1116"/>
      <c r="EMP11" s="1116"/>
      <c r="EMQ11" s="1116"/>
      <c r="EMR11" s="1116"/>
      <c r="EMS11" s="1116"/>
      <c r="EMT11" s="1116"/>
      <c r="EMU11" s="1116"/>
      <c r="EMV11" s="1116"/>
      <c r="EMW11" s="1116"/>
      <c r="EMX11" s="1116"/>
      <c r="EMY11" s="1116"/>
      <c r="EMZ11" s="1116"/>
      <c r="ENA11" s="1116"/>
      <c r="ENB11" s="1116"/>
      <c r="ENC11" s="1116"/>
      <c r="END11" s="1116"/>
      <c r="ENE11" s="1116"/>
      <c r="ENF11" s="1116"/>
      <c r="ENG11" s="1116"/>
      <c r="ENH11" s="1116"/>
      <c r="ENI11" s="1116"/>
      <c r="ENJ11" s="1116"/>
      <c r="ENK11" s="1116"/>
      <c r="ENL11" s="1116"/>
      <c r="ENM11" s="1116"/>
      <c r="ENN11" s="1116"/>
      <c r="ENO11" s="1116"/>
      <c r="ENP11" s="1116"/>
      <c r="ENQ11" s="1116"/>
      <c r="ENR11" s="1116"/>
      <c r="ENS11" s="1116"/>
      <c r="ENT11" s="1116"/>
      <c r="ENU11" s="1116"/>
      <c r="ENV11" s="1116"/>
      <c r="ENW11" s="1116"/>
      <c r="ENX11" s="1116"/>
      <c r="ENY11" s="1116"/>
      <c r="ENZ11" s="1116"/>
      <c r="EOA11" s="1116"/>
      <c r="EOB11" s="1116"/>
      <c r="EOC11" s="1116"/>
      <c r="EOD11" s="1116"/>
      <c r="EOE11" s="1116"/>
      <c r="EOF11" s="1116"/>
      <c r="EOG11" s="1116"/>
      <c r="EOH11" s="1116"/>
      <c r="EOI11" s="1116"/>
      <c r="EOJ11" s="1116"/>
      <c r="EOK11" s="1116"/>
      <c r="EOL11" s="1116"/>
      <c r="EOM11" s="1116"/>
      <c r="EON11" s="1116"/>
      <c r="EOO11" s="1116"/>
      <c r="EOP11" s="1116"/>
      <c r="EOQ11" s="1116"/>
      <c r="EOR11" s="1116"/>
      <c r="EOS11" s="1116"/>
      <c r="EOT11" s="1116"/>
      <c r="EOU11" s="1116"/>
      <c r="EOV11" s="1116"/>
      <c r="EOW11" s="1116"/>
      <c r="EOX11" s="1116"/>
      <c r="EOY11" s="1116"/>
      <c r="EOZ11" s="1116"/>
      <c r="EPA11" s="1116"/>
      <c r="EPB11" s="1116"/>
      <c r="EPC11" s="1116"/>
      <c r="EPD11" s="1116"/>
      <c r="EPE11" s="1116"/>
      <c r="EPF11" s="1116"/>
      <c r="EPG11" s="1116"/>
      <c r="EPH11" s="1116"/>
      <c r="EPI11" s="1116"/>
      <c r="EPJ11" s="1116"/>
      <c r="EPK11" s="1116"/>
      <c r="EPL11" s="1116"/>
      <c r="EPM11" s="1116"/>
      <c r="EPN11" s="1116"/>
      <c r="EPO11" s="1116"/>
      <c r="EPP11" s="1116"/>
      <c r="EPQ11" s="1116"/>
      <c r="EPR11" s="1116"/>
      <c r="EPS11" s="1116"/>
      <c r="EPT11" s="1116"/>
      <c r="EPU11" s="1116"/>
      <c r="EPV11" s="1116"/>
      <c r="EPW11" s="1116"/>
      <c r="EPX11" s="1116"/>
      <c r="EPY11" s="1116"/>
      <c r="EPZ11" s="1116"/>
      <c r="EQA11" s="1116"/>
      <c r="EQB11" s="1116"/>
      <c r="EQC11" s="1116"/>
      <c r="EQD11" s="1116"/>
      <c r="EQE11" s="1116"/>
      <c r="EQF11" s="1116"/>
      <c r="EQG11" s="1116"/>
      <c r="EQH11" s="1116"/>
      <c r="EQI11" s="1116"/>
      <c r="EQJ11" s="1116"/>
      <c r="EQK11" s="1116"/>
      <c r="EQL11" s="1116"/>
      <c r="EQM11" s="1116"/>
      <c r="EQN11" s="1116"/>
      <c r="EQO11" s="1116"/>
      <c r="EQP11" s="1116"/>
      <c r="EQQ11" s="1116"/>
      <c r="EQR11" s="1116"/>
      <c r="EQS11" s="1116"/>
      <c r="EQT11" s="1116"/>
      <c r="EQU11" s="1116"/>
      <c r="EQV11" s="1116"/>
      <c r="EQW11" s="1116"/>
      <c r="EQX11" s="1116"/>
      <c r="EQY11" s="1116"/>
      <c r="EQZ11" s="1116"/>
      <c r="ERA11" s="1116"/>
      <c r="ERB11" s="1116"/>
      <c r="ERC11" s="1116"/>
      <c r="ERD11" s="1116"/>
      <c r="ERE11" s="1116"/>
      <c r="ERF11" s="1116"/>
      <c r="ERG11" s="1116"/>
      <c r="ERH11" s="1116"/>
      <c r="ERI11" s="1116"/>
      <c r="ERJ11" s="1116"/>
      <c r="ERK11" s="1116"/>
      <c r="ERL11" s="1116"/>
      <c r="ERM11" s="1116"/>
      <c r="ERN11" s="1116"/>
      <c r="ERO11" s="1116"/>
      <c r="ERP11" s="1116"/>
      <c r="ERQ11" s="1116"/>
      <c r="ERR11" s="1116"/>
      <c r="ERS11" s="1116"/>
      <c r="ERT11" s="1116"/>
      <c r="ERU11" s="1116"/>
      <c r="ERV11" s="1116"/>
      <c r="ERW11" s="1116"/>
      <c r="ERX11" s="1116"/>
      <c r="ERY11" s="1116"/>
      <c r="ERZ11" s="1116"/>
      <c r="ESA11" s="1116"/>
      <c r="ESB11" s="1116"/>
      <c r="ESC11" s="1116"/>
      <c r="ESD11" s="1116"/>
      <c r="ESE11" s="1116"/>
      <c r="ESF11" s="1116"/>
      <c r="ESG11" s="1116"/>
      <c r="ESH11" s="1116"/>
      <c r="ESI11" s="1116"/>
      <c r="ESJ11" s="1116"/>
      <c r="ESK11" s="1116"/>
      <c r="ESL11" s="1116"/>
      <c r="ESM11" s="1116"/>
      <c r="ESN11" s="1116"/>
      <c r="ESO11" s="1116"/>
      <c r="ESP11" s="1116"/>
      <c r="ESQ11" s="1116"/>
      <c r="ESR11" s="1116"/>
      <c r="ESS11" s="1116"/>
      <c r="EST11" s="1116"/>
      <c r="ESU11" s="1116"/>
      <c r="ESV11" s="1116"/>
      <c r="ESW11" s="1116"/>
      <c r="ESX11" s="1116"/>
      <c r="ESY11" s="1116"/>
      <c r="ESZ11" s="1116"/>
      <c r="ETA11" s="1116"/>
      <c r="ETB11" s="1116"/>
      <c r="ETC11" s="1116"/>
      <c r="ETD11" s="1116"/>
      <c r="ETE11" s="1116"/>
      <c r="ETF11" s="1116"/>
      <c r="ETG11" s="1116"/>
      <c r="ETH11" s="1116"/>
      <c r="ETI11" s="1116"/>
      <c r="ETJ11" s="1116"/>
      <c r="ETK11" s="1116"/>
      <c r="ETL11" s="1116"/>
      <c r="ETM11" s="1116"/>
      <c r="ETN11" s="1116"/>
      <c r="ETO11" s="1116"/>
      <c r="ETP11" s="1116"/>
      <c r="ETQ11" s="1116"/>
      <c r="ETR11" s="1116"/>
      <c r="ETS11" s="1116"/>
      <c r="ETT11" s="1116"/>
      <c r="ETU11" s="1116"/>
      <c r="ETV11" s="1116"/>
      <c r="ETW11" s="1116"/>
      <c r="ETX11" s="1116"/>
      <c r="ETY11" s="1116"/>
      <c r="ETZ11" s="1116"/>
      <c r="EUA11" s="1116"/>
      <c r="EUB11" s="1116"/>
      <c r="EUC11" s="1116"/>
      <c r="EUD11" s="1116"/>
      <c r="EUE11" s="1116"/>
      <c r="EUF11" s="1116"/>
      <c r="EUG11" s="1116"/>
      <c r="EUH11" s="1116"/>
      <c r="EUI11" s="1116"/>
      <c r="EUJ11" s="1116"/>
      <c r="EUK11" s="1116"/>
      <c r="EUL11" s="1116"/>
      <c r="EUM11" s="1116"/>
      <c r="EUN11" s="1116"/>
      <c r="EUO11" s="1116"/>
      <c r="EUP11" s="1116"/>
      <c r="EUQ11" s="1116"/>
      <c r="EUR11" s="1116"/>
      <c r="EUS11" s="1116"/>
      <c r="EUT11" s="1116"/>
      <c r="EUU11" s="1116"/>
      <c r="EUV11" s="1116"/>
      <c r="EUW11" s="1116"/>
      <c r="EUX11" s="1116"/>
      <c r="EUY11" s="1116"/>
      <c r="EUZ11" s="1116"/>
      <c r="EVA11" s="1116"/>
      <c r="EVB11" s="1116"/>
      <c r="EVC11" s="1116"/>
      <c r="EVD11" s="1116"/>
      <c r="EVE11" s="1116"/>
      <c r="EVF11" s="1116"/>
      <c r="EVG11" s="1116"/>
      <c r="EVH11" s="1116"/>
      <c r="EVI11" s="1116"/>
      <c r="EVJ11" s="1116"/>
      <c r="EVK11" s="1116"/>
      <c r="EVL11" s="1116"/>
      <c r="EVM11" s="1116"/>
      <c r="EVN11" s="1116"/>
      <c r="EVO11" s="1116"/>
      <c r="EVP11" s="1116"/>
      <c r="EVQ11" s="1116"/>
      <c r="EVR11" s="1116"/>
      <c r="EVS11" s="1116"/>
      <c r="EVT11" s="1116"/>
      <c r="EVU11" s="1116"/>
      <c r="EVV11" s="1116"/>
      <c r="EVW11" s="1116"/>
      <c r="EVX11" s="1116"/>
      <c r="EVY11" s="1116"/>
      <c r="EVZ11" s="1116"/>
      <c r="EWA11" s="1116"/>
      <c r="EWB11" s="1116"/>
      <c r="EWC11" s="1116"/>
      <c r="EWD11" s="1116"/>
      <c r="EWE11" s="1116"/>
      <c r="EWF11" s="1116"/>
      <c r="EWG11" s="1116"/>
      <c r="EWH11" s="1116"/>
      <c r="EWI11" s="1116"/>
      <c r="EWJ11" s="1116"/>
      <c r="EWK11" s="1116"/>
      <c r="EWL11" s="1116"/>
      <c r="EWM11" s="1116"/>
      <c r="EWN11" s="1116"/>
      <c r="EWO11" s="1116"/>
      <c r="EWP11" s="1116"/>
      <c r="EWQ11" s="1116"/>
      <c r="EWR11" s="1116"/>
      <c r="EWS11" s="1116"/>
      <c r="EWT11" s="1116"/>
      <c r="EWU11" s="1116"/>
      <c r="EWV11" s="1116"/>
      <c r="EWW11" s="1116"/>
      <c r="EWX11" s="1116"/>
      <c r="EWY11" s="1116"/>
      <c r="EWZ11" s="1116"/>
      <c r="EXA11" s="1116"/>
      <c r="EXB11" s="1116"/>
      <c r="EXC11" s="1116"/>
      <c r="EXD11" s="1116"/>
      <c r="EXE11" s="1116"/>
      <c r="EXF11" s="1116"/>
      <c r="EXG11" s="1116"/>
      <c r="EXH11" s="1116"/>
      <c r="EXI11" s="1116"/>
      <c r="EXJ11" s="1116"/>
      <c r="EXK11" s="1116"/>
      <c r="EXL11" s="1116"/>
      <c r="EXM11" s="1116"/>
      <c r="EXN11" s="1116"/>
      <c r="EXO11" s="1116"/>
      <c r="EXP11" s="1116"/>
      <c r="EXQ11" s="1116"/>
      <c r="EXR11" s="1116"/>
      <c r="EXS11" s="1116"/>
      <c r="EXT11" s="1116"/>
      <c r="EXU11" s="1116"/>
      <c r="EXV11" s="1116"/>
      <c r="EXW11" s="1116"/>
      <c r="EXX11" s="1116"/>
      <c r="EXY11" s="1116"/>
      <c r="EXZ11" s="1116"/>
      <c r="EYA11" s="1116"/>
      <c r="EYB11" s="1116"/>
      <c r="EYC11" s="1116"/>
      <c r="EYD11" s="1116"/>
      <c r="EYE11" s="1116"/>
      <c r="EYF11" s="1116"/>
      <c r="EYG11" s="1116"/>
      <c r="EYH11" s="1116"/>
      <c r="EYI11" s="1116"/>
      <c r="EYJ11" s="1116"/>
      <c r="EYK11" s="1116"/>
      <c r="EYL11" s="1116"/>
      <c r="EYM11" s="1116"/>
      <c r="EYN11" s="1116"/>
      <c r="EYO11" s="1116"/>
      <c r="EYP11" s="1116"/>
      <c r="EYQ11" s="1116"/>
      <c r="EYR11" s="1116"/>
      <c r="EYS11" s="1116"/>
      <c r="EYT11" s="1116"/>
      <c r="EYU11" s="1116"/>
      <c r="EYV11" s="1116"/>
      <c r="EYW11" s="1116"/>
      <c r="EYX11" s="1116"/>
      <c r="EYY11" s="1116"/>
      <c r="EYZ11" s="1116"/>
      <c r="EZA11" s="1116"/>
      <c r="EZB11" s="1116"/>
      <c r="EZC11" s="1116"/>
      <c r="EZD11" s="1116"/>
      <c r="EZE11" s="1116"/>
      <c r="EZF11" s="1116"/>
      <c r="EZG11" s="1116"/>
      <c r="EZH11" s="1116"/>
      <c r="EZI11" s="1116"/>
      <c r="EZJ11" s="1116"/>
      <c r="EZK11" s="1116"/>
      <c r="EZL11" s="1116"/>
      <c r="EZM11" s="1116"/>
      <c r="EZN11" s="1116"/>
      <c r="EZO11" s="1116"/>
      <c r="EZP11" s="1116"/>
      <c r="EZQ11" s="1116"/>
      <c r="EZR11" s="1116"/>
      <c r="EZS11" s="1116"/>
      <c r="EZT11" s="1116"/>
      <c r="EZU11" s="1116"/>
      <c r="EZV11" s="1116"/>
      <c r="EZW11" s="1116"/>
      <c r="EZX11" s="1116"/>
      <c r="EZY11" s="1116"/>
      <c r="EZZ11" s="1116"/>
      <c r="FAA11" s="1116"/>
      <c r="FAB11" s="1116"/>
      <c r="FAC11" s="1116"/>
      <c r="FAD11" s="1116"/>
      <c r="FAE11" s="1116"/>
      <c r="FAF11" s="1116"/>
      <c r="FAG11" s="1116"/>
      <c r="FAH11" s="1116"/>
      <c r="FAI11" s="1116"/>
      <c r="FAJ11" s="1116"/>
      <c r="FAK11" s="1116"/>
      <c r="FAL11" s="1116"/>
      <c r="FAM11" s="1116"/>
      <c r="FAN11" s="1116"/>
      <c r="FAO11" s="1116"/>
      <c r="FAP11" s="1116"/>
      <c r="FAQ11" s="1116"/>
      <c r="FAR11" s="1116"/>
      <c r="FAS11" s="1116"/>
      <c r="FAT11" s="1116"/>
      <c r="FAU11" s="1116"/>
      <c r="FAV11" s="1116"/>
      <c r="FAW11" s="1116"/>
      <c r="FAX11" s="1116"/>
      <c r="FAY11" s="1116"/>
      <c r="FAZ11" s="1116"/>
      <c r="FBA11" s="1116"/>
      <c r="FBB11" s="1116"/>
      <c r="FBC11" s="1116"/>
      <c r="FBD11" s="1116"/>
      <c r="FBE11" s="1116"/>
      <c r="FBF11" s="1116"/>
      <c r="FBG11" s="1116"/>
      <c r="FBH11" s="1116"/>
      <c r="FBI11" s="1116"/>
      <c r="FBJ11" s="1116"/>
      <c r="FBK11" s="1116"/>
      <c r="FBL11" s="1116"/>
      <c r="FBM11" s="1116"/>
      <c r="FBN11" s="1116"/>
      <c r="FBO11" s="1116"/>
      <c r="FBP11" s="1116"/>
      <c r="FBQ11" s="1116"/>
      <c r="FBR11" s="1116"/>
      <c r="FBS11" s="1116"/>
      <c r="FBT11" s="1116"/>
      <c r="FBU11" s="1116"/>
      <c r="FBV11" s="1116"/>
      <c r="FBW11" s="1116"/>
      <c r="FBX11" s="1116"/>
      <c r="FBY11" s="1116"/>
      <c r="FBZ11" s="1116"/>
      <c r="FCA11" s="1116"/>
      <c r="FCB11" s="1116"/>
      <c r="FCC11" s="1116"/>
      <c r="FCD11" s="1116"/>
      <c r="FCE11" s="1116"/>
      <c r="FCF11" s="1116"/>
      <c r="FCG11" s="1116"/>
      <c r="FCH11" s="1116"/>
      <c r="FCI11" s="1116"/>
      <c r="FCJ11" s="1116"/>
      <c r="FCK11" s="1116"/>
      <c r="FCL11" s="1116"/>
      <c r="FCM11" s="1116"/>
      <c r="FCN11" s="1116"/>
      <c r="FCO11" s="1116"/>
      <c r="FCP11" s="1116"/>
      <c r="FCQ11" s="1116"/>
      <c r="FCR11" s="1116"/>
      <c r="FCS11" s="1116"/>
      <c r="FCT11" s="1116"/>
      <c r="FCU11" s="1116"/>
      <c r="FCV11" s="1116"/>
      <c r="FCW11" s="1116"/>
      <c r="FCX11" s="1116"/>
      <c r="FCY11" s="1116"/>
      <c r="FCZ11" s="1116"/>
      <c r="FDA11" s="1116"/>
      <c r="FDB11" s="1116"/>
      <c r="FDC11" s="1116"/>
      <c r="FDD11" s="1116"/>
      <c r="FDE11" s="1116"/>
      <c r="FDF11" s="1116"/>
      <c r="FDG11" s="1116"/>
      <c r="FDH11" s="1116"/>
      <c r="FDI11" s="1116"/>
      <c r="FDJ11" s="1116"/>
      <c r="FDK11" s="1116"/>
      <c r="FDL11" s="1116"/>
      <c r="FDM11" s="1116"/>
      <c r="FDN11" s="1116"/>
      <c r="FDO11" s="1116"/>
      <c r="FDP11" s="1116"/>
      <c r="FDQ11" s="1116"/>
      <c r="FDR11" s="1116"/>
      <c r="FDS11" s="1116"/>
      <c r="FDT11" s="1116"/>
      <c r="FDU11" s="1116"/>
      <c r="FDV11" s="1116"/>
      <c r="FDW11" s="1116"/>
      <c r="FDX11" s="1116"/>
      <c r="FDY11" s="1116"/>
      <c r="FDZ11" s="1116"/>
      <c r="FEA11" s="1116"/>
      <c r="FEB11" s="1116"/>
      <c r="FEC11" s="1116"/>
      <c r="FED11" s="1116"/>
      <c r="FEE11" s="1116"/>
      <c r="FEF11" s="1116"/>
      <c r="FEG11" s="1116"/>
      <c r="FEH11" s="1116"/>
      <c r="FEI11" s="1116"/>
      <c r="FEJ11" s="1116"/>
      <c r="FEK11" s="1116"/>
      <c r="FEL11" s="1116"/>
      <c r="FEM11" s="1116"/>
      <c r="FEN11" s="1116"/>
      <c r="FEO11" s="1116"/>
      <c r="FEP11" s="1116"/>
      <c r="FEQ11" s="1116"/>
      <c r="FER11" s="1116"/>
      <c r="FES11" s="1116"/>
      <c r="FET11" s="1116"/>
      <c r="FEU11" s="1116"/>
      <c r="FEV11" s="1116"/>
      <c r="FEW11" s="1116"/>
      <c r="FEX11" s="1116"/>
      <c r="FEY11" s="1116"/>
      <c r="FEZ11" s="1116"/>
      <c r="FFA11" s="1116"/>
      <c r="FFB11" s="1116"/>
      <c r="FFC11" s="1116"/>
      <c r="FFD11" s="1116"/>
      <c r="FFE11" s="1116"/>
      <c r="FFF11" s="1116"/>
      <c r="FFG11" s="1116"/>
      <c r="FFH11" s="1116"/>
      <c r="FFI11" s="1116"/>
      <c r="FFJ11" s="1116"/>
      <c r="FFK11" s="1116"/>
      <c r="FFL11" s="1116"/>
      <c r="FFM11" s="1116"/>
      <c r="FFN11" s="1116"/>
      <c r="FFO11" s="1116"/>
      <c r="FFP11" s="1116"/>
      <c r="FFQ11" s="1116"/>
      <c r="FFR11" s="1116"/>
      <c r="FFS11" s="1116"/>
      <c r="FFT11" s="1116"/>
      <c r="FFU11" s="1116"/>
      <c r="FFV11" s="1116"/>
      <c r="FFW11" s="1116"/>
      <c r="FFX11" s="1116"/>
      <c r="FFY11" s="1116"/>
      <c r="FFZ11" s="1116"/>
      <c r="FGA11" s="1116"/>
      <c r="FGB11" s="1116"/>
      <c r="FGC11" s="1116"/>
      <c r="FGD11" s="1116"/>
      <c r="FGE11" s="1116"/>
      <c r="FGF11" s="1116"/>
      <c r="FGG11" s="1116"/>
      <c r="FGH11" s="1116"/>
      <c r="FGI11" s="1116"/>
      <c r="FGJ11" s="1116"/>
      <c r="FGK11" s="1116"/>
      <c r="FGL11" s="1116"/>
      <c r="FGM11" s="1116"/>
      <c r="FGN11" s="1116"/>
      <c r="FGO11" s="1116"/>
      <c r="FGP11" s="1116"/>
      <c r="FGQ11" s="1116"/>
      <c r="FGR11" s="1116"/>
      <c r="FGS11" s="1116"/>
      <c r="FGT11" s="1116"/>
      <c r="FGU11" s="1116"/>
      <c r="FGV11" s="1116"/>
      <c r="FGW11" s="1116"/>
      <c r="FGX11" s="1116"/>
      <c r="FGY11" s="1116"/>
      <c r="FGZ11" s="1116"/>
      <c r="FHA11" s="1116"/>
      <c r="FHB11" s="1116"/>
      <c r="FHC11" s="1116"/>
      <c r="FHD11" s="1116"/>
      <c r="FHE11" s="1116"/>
      <c r="FHF11" s="1116"/>
      <c r="FHG11" s="1116"/>
      <c r="FHH11" s="1116"/>
      <c r="FHI11" s="1116"/>
      <c r="FHJ11" s="1116"/>
      <c r="FHK11" s="1116"/>
      <c r="FHL11" s="1116"/>
      <c r="FHM11" s="1116"/>
      <c r="FHN11" s="1116"/>
      <c r="FHO11" s="1116"/>
      <c r="FHP11" s="1116"/>
      <c r="FHQ11" s="1116"/>
      <c r="FHR11" s="1116"/>
      <c r="FHS11" s="1116"/>
      <c r="FHT11" s="1116"/>
      <c r="FHU11" s="1116"/>
      <c r="FHV11" s="1116"/>
      <c r="FHW11" s="1116"/>
      <c r="FHX11" s="1116"/>
      <c r="FHY11" s="1116"/>
      <c r="FHZ11" s="1116"/>
      <c r="FIA11" s="1116"/>
      <c r="FIB11" s="1116"/>
      <c r="FIC11" s="1116"/>
      <c r="FID11" s="1116"/>
      <c r="FIE11" s="1116"/>
      <c r="FIF11" s="1116"/>
      <c r="FIG11" s="1116"/>
      <c r="FIH11" s="1116"/>
      <c r="FII11" s="1116"/>
      <c r="FIJ11" s="1116"/>
      <c r="FIK11" s="1116"/>
      <c r="FIL11" s="1116"/>
      <c r="FIM11" s="1116"/>
      <c r="FIN11" s="1116"/>
      <c r="FIO11" s="1116"/>
      <c r="FIP11" s="1116"/>
      <c r="FIQ11" s="1116"/>
      <c r="FIR11" s="1116"/>
      <c r="FIS11" s="1116"/>
      <c r="FIT11" s="1116"/>
      <c r="FIU11" s="1116"/>
      <c r="FIV11" s="1116"/>
      <c r="FIW11" s="1116"/>
      <c r="FIX11" s="1116"/>
      <c r="FIY11" s="1116"/>
      <c r="FIZ11" s="1116"/>
      <c r="FJA11" s="1116"/>
      <c r="FJB11" s="1116"/>
      <c r="FJC11" s="1116"/>
      <c r="FJD11" s="1116"/>
      <c r="FJE11" s="1116"/>
      <c r="FJF11" s="1116"/>
      <c r="FJG11" s="1116"/>
      <c r="FJH11" s="1116"/>
      <c r="FJI11" s="1116"/>
      <c r="FJJ11" s="1116"/>
      <c r="FJK11" s="1116"/>
      <c r="FJL11" s="1116"/>
      <c r="FJM11" s="1116"/>
      <c r="FJN11" s="1116"/>
      <c r="FJO11" s="1116"/>
      <c r="FJP11" s="1116"/>
      <c r="FJQ11" s="1116"/>
      <c r="FJR11" s="1116"/>
      <c r="FJS11" s="1116"/>
      <c r="FJT11" s="1116"/>
      <c r="FJU11" s="1116"/>
      <c r="FJV11" s="1116"/>
      <c r="FJW11" s="1116"/>
      <c r="FJX11" s="1116"/>
      <c r="FJY11" s="1116"/>
      <c r="FJZ11" s="1116"/>
      <c r="FKA11" s="1116"/>
      <c r="FKB11" s="1116"/>
      <c r="FKC11" s="1116"/>
      <c r="FKD11" s="1116"/>
      <c r="FKE11" s="1116"/>
      <c r="FKF11" s="1116"/>
      <c r="FKG11" s="1116"/>
      <c r="FKH11" s="1116"/>
      <c r="FKI11" s="1116"/>
      <c r="FKJ11" s="1116"/>
      <c r="FKK11" s="1116"/>
      <c r="FKL11" s="1116"/>
      <c r="FKM11" s="1116"/>
      <c r="FKN11" s="1116"/>
      <c r="FKO11" s="1116"/>
      <c r="FKP11" s="1116"/>
      <c r="FKQ11" s="1116"/>
      <c r="FKR11" s="1116"/>
      <c r="FKS11" s="1116"/>
      <c r="FKT11" s="1116"/>
      <c r="FKU11" s="1116"/>
      <c r="FKV11" s="1116"/>
      <c r="FKW11" s="1116"/>
      <c r="FKX11" s="1116"/>
      <c r="FKY11" s="1116"/>
      <c r="FKZ11" s="1116"/>
      <c r="FLA11" s="1116"/>
      <c r="FLB11" s="1116"/>
      <c r="FLC11" s="1116"/>
      <c r="FLD11" s="1116"/>
      <c r="FLE11" s="1116"/>
      <c r="FLF11" s="1116"/>
      <c r="FLG11" s="1116"/>
      <c r="FLH11" s="1116"/>
      <c r="FLI11" s="1116"/>
      <c r="FLJ11" s="1116"/>
      <c r="FLK11" s="1116"/>
      <c r="FLL11" s="1116"/>
      <c r="FLM11" s="1116"/>
      <c r="FLN11" s="1116"/>
      <c r="FLO11" s="1116"/>
      <c r="FLP11" s="1116"/>
      <c r="FLQ11" s="1116"/>
      <c r="FLR11" s="1116"/>
      <c r="FLS11" s="1116"/>
      <c r="FLT11" s="1116"/>
      <c r="FLU11" s="1116"/>
      <c r="FLV11" s="1116"/>
      <c r="FLW11" s="1116"/>
      <c r="FLX11" s="1116"/>
      <c r="FLY11" s="1116"/>
      <c r="FLZ11" s="1116"/>
      <c r="FMA11" s="1116"/>
      <c r="FMB11" s="1116"/>
      <c r="FMC11" s="1116"/>
      <c r="FMD11" s="1116"/>
      <c r="FME11" s="1116"/>
      <c r="FMF11" s="1116"/>
      <c r="FMG11" s="1116"/>
      <c r="FMH11" s="1116"/>
      <c r="FMI11" s="1116"/>
      <c r="FMJ11" s="1116"/>
      <c r="FMK11" s="1116"/>
      <c r="FML11" s="1116"/>
      <c r="FMM11" s="1116"/>
      <c r="FMN11" s="1116"/>
      <c r="FMO11" s="1116"/>
      <c r="FMP11" s="1116"/>
      <c r="FMQ11" s="1116"/>
      <c r="FMR11" s="1116"/>
      <c r="FMS11" s="1116"/>
      <c r="FMT11" s="1116"/>
      <c r="FMU11" s="1116"/>
      <c r="FMV11" s="1116"/>
      <c r="FMW11" s="1116"/>
      <c r="FMX11" s="1116"/>
      <c r="FMY11" s="1116"/>
      <c r="FMZ11" s="1116"/>
      <c r="FNA11" s="1116"/>
      <c r="FNB11" s="1116"/>
      <c r="FNC11" s="1116"/>
      <c r="FND11" s="1116"/>
      <c r="FNE11" s="1116"/>
      <c r="FNF11" s="1116"/>
      <c r="FNG11" s="1116"/>
      <c r="FNH11" s="1116"/>
      <c r="FNI11" s="1116"/>
      <c r="FNJ11" s="1116"/>
      <c r="FNK11" s="1116"/>
      <c r="FNL11" s="1116"/>
      <c r="FNM11" s="1116"/>
      <c r="FNN11" s="1116"/>
      <c r="FNO11" s="1116"/>
      <c r="FNP11" s="1116"/>
      <c r="FNQ11" s="1116"/>
      <c r="FNR11" s="1116"/>
      <c r="FNS11" s="1116"/>
      <c r="FNT11" s="1116"/>
      <c r="FNU11" s="1116"/>
      <c r="FNV11" s="1116"/>
      <c r="FNW11" s="1116"/>
      <c r="FNX11" s="1116"/>
      <c r="FNY11" s="1116"/>
      <c r="FNZ11" s="1116"/>
      <c r="FOA11" s="1116"/>
      <c r="FOB11" s="1116"/>
      <c r="FOC11" s="1116"/>
      <c r="FOD11" s="1116"/>
      <c r="FOE11" s="1116"/>
      <c r="FOF11" s="1116"/>
      <c r="FOG11" s="1116"/>
      <c r="FOH11" s="1116"/>
      <c r="FOI11" s="1116"/>
      <c r="FOJ11" s="1116"/>
      <c r="FOK11" s="1116"/>
      <c r="FOL11" s="1116"/>
      <c r="FOM11" s="1116"/>
      <c r="FON11" s="1116"/>
      <c r="FOO11" s="1116"/>
      <c r="FOP11" s="1116"/>
      <c r="FOQ11" s="1116"/>
      <c r="FOR11" s="1116"/>
      <c r="FOS11" s="1116"/>
      <c r="FOT11" s="1116"/>
      <c r="FOU11" s="1116"/>
      <c r="FOV11" s="1116"/>
      <c r="FOW11" s="1116"/>
      <c r="FOX11" s="1116"/>
      <c r="FOY11" s="1116"/>
      <c r="FOZ11" s="1116"/>
      <c r="FPA11" s="1116"/>
      <c r="FPB11" s="1116"/>
      <c r="FPC11" s="1116"/>
      <c r="FPD11" s="1116"/>
      <c r="FPE11" s="1116"/>
      <c r="FPF11" s="1116"/>
      <c r="FPG11" s="1116"/>
      <c r="FPH11" s="1116"/>
      <c r="FPI11" s="1116"/>
      <c r="FPJ11" s="1116"/>
      <c r="FPK11" s="1116"/>
      <c r="FPL11" s="1116"/>
      <c r="FPM11" s="1116"/>
      <c r="FPN11" s="1116"/>
      <c r="FPO11" s="1116"/>
      <c r="FPP11" s="1116"/>
      <c r="FPQ11" s="1116"/>
      <c r="FPR11" s="1116"/>
      <c r="FPS11" s="1116"/>
      <c r="FPT11" s="1116"/>
      <c r="FPU11" s="1116"/>
      <c r="FPV11" s="1116"/>
      <c r="FPW11" s="1116"/>
      <c r="FPX11" s="1116"/>
      <c r="FPY11" s="1116"/>
      <c r="FPZ11" s="1116"/>
      <c r="FQA11" s="1116"/>
      <c r="FQB11" s="1116"/>
      <c r="FQC11" s="1116"/>
      <c r="FQD11" s="1116"/>
      <c r="FQE11" s="1116"/>
      <c r="FQF11" s="1116"/>
      <c r="FQG11" s="1116"/>
      <c r="FQH11" s="1116"/>
      <c r="FQI11" s="1116"/>
      <c r="FQJ11" s="1116"/>
      <c r="FQK11" s="1116"/>
      <c r="FQL11" s="1116"/>
      <c r="FQM11" s="1116"/>
      <c r="FQN11" s="1116"/>
      <c r="FQO11" s="1116"/>
      <c r="FQP11" s="1116"/>
      <c r="FQQ11" s="1116"/>
      <c r="FQR11" s="1116"/>
      <c r="FQS11" s="1116"/>
      <c r="FQT11" s="1116"/>
      <c r="FQU11" s="1116"/>
      <c r="FQV11" s="1116"/>
      <c r="FQW11" s="1116"/>
      <c r="FQX11" s="1116"/>
      <c r="FQY11" s="1116"/>
      <c r="FQZ11" s="1116"/>
      <c r="FRA11" s="1116"/>
      <c r="FRB11" s="1116"/>
      <c r="FRC11" s="1116"/>
      <c r="FRD11" s="1116"/>
      <c r="FRE11" s="1116"/>
      <c r="FRF11" s="1116"/>
      <c r="FRG11" s="1116"/>
      <c r="FRH11" s="1116"/>
      <c r="FRI11" s="1116"/>
      <c r="FRJ11" s="1116"/>
      <c r="FRK11" s="1116"/>
      <c r="FRL11" s="1116"/>
      <c r="FRM11" s="1116"/>
      <c r="FRN11" s="1116"/>
      <c r="FRO11" s="1116"/>
      <c r="FRP11" s="1116"/>
      <c r="FRQ11" s="1116"/>
      <c r="FRR11" s="1116"/>
      <c r="FRS11" s="1116"/>
      <c r="FRT11" s="1116"/>
      <c r="FRU11" s="1116"/>
      <c r="FRV11" s="1116"/>
      <c r="FRW11" s="1116"/>
      <c r="FRX11" s="1116"/>
      <c r="FRY11" s="1116"/>
      <c r="FRZ11" s="1116"/>
      <c r="FSA11" s="1116"/>
      <c r="FSB11" s="1116"/>
      <c r="FSC11" s="1116"/>
      <c r="FSD11" s="1116"/>
      <c r="FSE11" s="1116"/>
      <c r="FSF11" s="1116"/>
      <c r="FSG11" s="1116"/>
      <c r="FSH11" s="1116"/>
      <c r="FSI11" s="1116"/>
      <c r="FSJ11" s="1116"/>
      <c r="FSK11" s="1116"/>
      <c r="FSL11" s="1116"/>
      <c r="FSM11" s="1116"/>
      <c r="FSN11" s="1116"/>
      <c r="FSO11" s="1116"/>
      <c r="FSP11" s="1116"/>
      <c r="FSQ11" s="1116"/>
      <c r="FSR11" s="1116"/>
      <c r="FSS11" s="1116"/>
      <c r="FST11" s="1116"/>
      <c r="FSU11" s="1116"/>
      <c r="FSV11" s="1116"/>
      <c r="FSW11" s="1116"/>
      <c r="FSX11" s="1116"/>
      <c r="FSY11" s="1116"/>
      <c r="FSZ11" s="1116"/>
      <c r="FTA11" s="1116"/>
      <c r="FTB11" s="1116"/>
      <c r="FTC11" s="1116"/>
      <c r="FTD11" s="1116"/>
      <c r="FTE11" s="1116"/>
      <c r="FTF11" s="1116"/>
      <c r="FTG11" s="1116"/>
      <c r="FTH11" s="1116"/>
      <c r="FTI11" s="1116"/>
      <c r="FTJ11" s="1116"/>
      <c r="FTK11" s="1116"/>
      <c r="FTL11" s="1116"/>
      <c r="FTM11" s="1116"/>
      <c r="FTN11" s="1116"/>
      <c r="FTO11" s="1116"/>
      <c r="FTP11" s="1116"/>
      <c r="FTQ11" s="1116"/>
      <c r="FTR11" s="1116"/>
      <c r="FTS11" s="1116"/>
      <c r="FTT11" s="1116"/>
      <c r="FTU11" s="1116"/>
      <c r="FTV11" s="1116"/>
      <c r="FTW11" s="1116"/>
      <c r="FTX11" s="1116"/>
      <c r="FTY11" s="1116"/>
      <c r="FTZ11" s="1116"/>
      <c r="FUA11" s="1116"/>
      <c r="FUB11" s="1116"/>
      <c r="FUC11" s="1116"/>
      <c r="FUD11" s="1116"/>
      <c r="FUE11" s="1116"/>
      <c r="FUF11" s="1116"/>
      <c r="FUG11" s="1116"/>
      <c r="FUH11" s="1116"/>
      <c r="FUI11" s="1116"/>
      <c r="FUJ11" s="1116"/>
      <c r="FUK11" s="1116"/>
      <c r="FUL11" s="1116"/>
      <c r="FUM11" s="1116"/>
      <c r="FUN11" s="1116"/>
      <c r="FUO11" s="1116"/>
      <c r="FUP11" s="1116"/>
      <c r="FUQ11" s="1116"/>
      <c r="FUR11" s="1116"/>
      <c r="FUS11" s="1116"/>
      <c r="FUT11" s="1116"/>
      <c r="FUU11" s="1116"/>
      <c r="FUV11" s="1116"/>
      <c r="FUW11" s="1116"/>
      <c r="FUX11" s="1116"/>
      <c r="FUY11" s="1116"/>
      <c r="FUZ11" s="1116"/>
      <c r="FVA11" s="1116"/>
      <c r="FVB11" s="1116"/>
      <c r="FVC11" s="1116"/>
      <c r="FVD11" s="1116"/>
      <c r="FVE11" s="1116"/>
      <c r="FVF11" s="1116"/>
      <c r="FVG11" s="1116"/>
      <c r="FVH11" s="1116"/>
      <c r="FVI11" s="1116"/>
      <c r="FVJ11" s="1116"/>
      <c r="FVK11" s="1116"/>
      <c r="FVL11" s="1116"/>
      <c r="FVM11" s="1116"/>
      <c r="FVN11" s="1116"/>
      <c r="FVO11" s="1116"/>
      <c r="FVP11" s="1116"/>
      <c r="FVQ11" s="1116"/>
      <c r="FVR11" s="1116"/>
      <c r="FVS11" s="1116"/>
      <c r="FVT11" s="1116"/>
      <c r="FVU11" s="1116"/>
      <c r="FVV11" s="1116"/>
      <c r="FVW11" s="1116"/>
      <c r="FVX11" s="1116"/>
      <c r="FVY11" s="1116"/>
      <c r="FVZ11" s="1116"/>
      <c r="FWA11" s="1116"/>
      <c r="FWB11" s="1116"/>
      <c r="FWC11" s="1116"/>
      <c r="FWD11" s="1116"/>
      <c r="FWE11" s="1116"/>
      <c r="FWF11" s="1116"/>
      <c r="FWG11" s="1116"/>
      <c r="FWH11" s="1116"/>
      <c r="FWI11" s="1116"/>
      <c r="FWJ11" s="1116"/>
      <c r="FWK11" s="1116"/>
      <c r="FWL11" s="1116"/>
      <c r="FWM11" s="1116"/>
      <c r="FWN11" s="1116"/>
      <c r="FWO11" s="1116"/>
      <c r="FWP11" s="1116"/>
      <c r="FWQ11" s="1116"/>
      <c r="FWR11" s="1116"/>
      <c r="FWS11" s="1116"/>
      <c r="FWT11" s="1116"/>
      <c r="FWU11" s="1116"/>
      <c r="FWV11" s="1116"/>
      <c r="FWW11" s="1116"/>
      <c r="FWX11" s="1116"/>
      <c r="FWY11" s="1116"/>
      <c r="FWZ11" s="1116"/>
      <c r="FXA11" s="1116"/>
      <c r="FXB11" s="1116"/>
      <c r="FXC11" s="1116"/>
      <c r="FXD11" s="1116"/>
      <c r="FXE11" s="1116"/>
      <c r="FXF11" s="1116"/>
      <c r="FXG11" s="1116"/>
      <c r="FXH11" s="1116"/>
      <c r="FXI11" s="1116"/>
      <c r="FXJ11" s="1116"/>
      <c r="FXK11" s="1116"/>
      <c r="FXL11" s="1116"/>
      <c r="FXM11" s="1116"/>
      <c r="FXN11" s="1116"/>
      <c r="FXO11" s="1116"/>
      <c r="FXP11" s="1116"/>
      <c r="FXQ11" s="1116"/>
      <c r="FXR11" s="1116"/>
      <c r="FXS11" s="1116"/>
      <c r="FXT11" s="1116"/>
      <c r="FXU11" s="1116"/>
      <c r="FXV11" s="1116"/>
      <c r="FXW11" s="1116"/>
      <c r="FXX11" s="1116"/>
      <c r="FXY11" s="1116"/>
      <c r="FXZ11" s="1116"/>
      <c r="FYA11" s="1116"/>
      <c r="FYB11" s="1116"/>
      <c r="FYC11" s="1116"/>
      <c r="FYD11" s="1116"/>
      <c r="FYE11" s="1116"/>
      <c r="FYF11" s="1116"/>
      <c r="FYG11" s="1116"/>
      <c r="FYH11" s="1116"/>
      <c r="FYI11" s="1116"/>
      <c r="FYJ11" s="1116"/>
      <c r="FYK11" s="1116"/>
      <c r="FYL11" s="1116"/>
      <c r="FYM11" s="1116"/>
      <c r="FYN11" s="1116"/>
      <c r="FYO11" s="1116"/>
      <c r="FYP11" s="1116"/>
      <c r="FYQ11" s="1116"/>
      <c r="FYR11" s="1116"/>
      <c r="FYS11" s="1116"/>
      <c r="FYT11" s="1116"/>
      <c r="FYU11" s="1116"/>
      <c r="FYV11" s="1116"/>
      <c r="FYW11" s="1116"/>
      <c r="FYX11" s="1116"/>
      <c r="FYY11" s="1116"/>
      <c r="FYZ11" s="1116"/>
      <c r="FZA11" s="1116"/>
      <c r="FZB11" s="1116"/>
      <c r="FZC11" s="1116"/>
      <c r="FZD11" s="1116"/>
      <c r="FZE11" s="1116"/>
      <c r="FZF11" s="1116"/>
      <c r="FZG11" s="1116"/>
      <c r="FZH11" s="1116"/>
      <c r="FZI11" s="1116"/>
      <c r="FZJ11" s="1116"/>
      <c r="FZK11" s="1116"/>
      <c r="FZL11" s="1116"/>
      <c r="FZM11" s="1116"/>
      <c r="FZN11" s="1116"/>
      <c r="FZO11" s="1116"/>
      <c r="FZP11" s="1116"/>
      <c r="FZQ11" s="1116"/>
      <c r="FZR11" s="1116"/>
      <c r="FZS11" s="1116"/>
      <c r="FZT11" s="1116"/>
      <c r="FZU11" s="1116"/>
      <c r="FZV11" s="1116"/>
      <c r="FZW11" s="1116"/>
      <c r="FZX11" s="1116"/>
      <c r="FZY11" s="1116"/>
      <c r="FZZ11" s="1116"/>
      <c r="GAA11" s="1116"/>
      <c r="GAB11" s="1116"/>
      <c r="GAC11" s="1116"/>
      <c r="GAD11" s="1116"/>
      <c r="GAE11" s="1116"/>
      <c r="GAF11" s="1116"/>
      <c r="GAG11" s="1116"/>
      <c r="GAH11" s="1116"/>
      <c r="GAI11" s="1116"/>
      <c r="GAJ11" s="1116"/>
      <c r="GAK11" s="1116"/>
      <c r="GAL11" s="1116"/>
      <c r="GAM11" s="1116"/>
      <c r="GAN11" s="1116"/>
      <c r="GAO11" s="1116"/>
      <c r="GAP11" s="1116"/>
      <c r="GAQ11" s="1116"/>
      <c r="GAR11" s="1116"/>
      <c r="GAS11" s="1116"/>
      <c r="GAT11" s="1116"/>
      <c r="GAU11" s="1116"/>
      <c r="GAV11" s="1116"/>
      <c r="GAW11" s="1116"/>
      <c r="GAX11" s="1116"/>
      <c r="GAY11" s="1116"/>
      <c r="GAZ11" s="1116"/>
      <c r="GBA11" s="1116"/>
      <c r="GBB11" s="1116"/>
      <c r="GBC11" s="1116"/>
      <c r="GBD11" s="1116"/>
      <c r="GBE11" s="1116"/>
      <c r="GBF11" s="1116"/>
      <c r="GBG11" s="1116"/>
      <c r="GBH11" s="1116"/>
      <c r="GBI11" s="1116"/>
      <c r="GBJ11" s="1116"/>
      <c r="GBK11" s="1116"/>
      <c r="GBL11" s="1116"/>
      <c r="GBM11" s="1116"/>
      <c r="GBN11" s="1116"/>
      <c r="GBO11" s="1116"/>
      <c r="GBP11" s="1116"/>
      <c r="GBQ11" s="1116"/>
      <c r="GBR11" s="1116"/>
      <c r="GBS11" s="1116"/>
      <c r="GBT11" s="1116"/>
      <c r="GBU11" s="1116"/>
      <c r="GBV11" s="1116"/>
      <c r="GBW11" s="1116"/>
      <c r="GBX11" s="1116"/>
      <c r="GBY11" s="1116"/>
      <c r="GBZ11" s="1116"/>
      <c r="GCA11" s="1116"/>
      <c r="GCB11" s="1116"/>
      <c r="GCC11" s="1116"/>
      <c r="GCD11" s="1116"/>
      <c r="GCE11" s="1116"/>
      <c r="GCF11" s="1116"/>
      <c r="GCG11" s="1116"/>
      <c r="GCH11" s="1116"/>
      <c r="GCI11" s="1116"/>
      <c r="GCJ11" s="1116"/>
      <c r="GCK11" s="1116"/>
      <c r="GCL11" s="1116"/>
      <c r="GCM11" s="1116"/>
      <c r="GCN11" s="1116"/>
      <c r="GCO11" s="1116"/>
      <c r="GCP11" s="1116"/>
      <c r="GCQ11" s="1116"/>
      <c r="GCR11" s="1116"/>
      <c r="GCS11" s="1116"/>
      <c r="GCT11" s="1116"/>
      <c r="GCU11" s="1116"/>
      <c r="GCV11" s="1116"/>
      <c r="GCW11" s="1116"/>
      <c r="GCX11" s="1116"/>
      <c r="GCY11" s="1116"/>
      <c r="GCZ11" s="1116"/>
      <c r="GDA11" s="1116"/>
      <c r="GDB11" s="1116"/>
      <c r="GDC11" s="1116"/>
      <c r="GDD11" s="1116"/>
      <c r="GDE11" s="1116"/>
      <c r="GDF11" s="1116"/>
      <c r="GDG11" s="1116"/>
      <c r="GDH11" s="1116"/>
      <c r="GDI11" s="1116"/>
      <c r="GDJ11" s="1116"/>
      <c r="GDK11" s="1116"/>
      <c r="GDL11" s="1116"/>
      <c r="GDM11" s="1116"/>
      <c r="GDN11" s="1116"/>
      <c r="GDO11" s="1116"/>
      <c r="GDP11" s="1116"/>
      <c r="GDQ11" s="1116"/>
      <c r="GDR11" s="1116"/>
      <c r="GDS11" s="1116"/>
      <c r="GDT11" s="1116"/>
      <c r="GDU11" s="1116"/>
      <c r="GDV11" s="1116"/>
      <c r="GDW11" s="1116"/>
      <c r="GDX11" s="1116"/>
      <c r="GDY11" s="1116"/>
      <c r="GDZ11" s="1116"/>
      <c r="GEA11" s="1116"/>
      <c r="GEB11" s="1116"/>
      <c r="GEC11" s="1116"/>
      <c r="GED11" s="1116"/>
      <c r="GEE11" s="1116"/>
      <c r="GEF11" s="1116"/>
      <c r="GEG11" s="1116"/>
      <c r="GEH11" s="1116"/>
      <c r="GEI11" s="1116"/>
      <c r="GEJ11" s="1116"/>
      <c r="GEK11" s="1116"/>
      <c r="GEL11" s="1116"/>
      <c r="GEM11" s="1116"/>
      <c r="GEN11" s="1116"/>
      <c r="GEO11" s="1116"/>
      <c r="GEP11" s="1116"/>
      <c r="GEQ11" s="1116"/>
      <c r="GER11" s="1116"/>
      <c r="GES11" s="1116"/>
      <c r="GET11" s="1116"/>
      <c r="GEU11" s="1116"/>
      <c r="GEV11" s="1116"/>
      <c r="GEW11" s="1116"/>
      <c r="GEX11" s="1116"/>
      <c r="GEY11" s="1116"/>
      <c r="GEZ11" s="1116"/>
      <c r="GFA11" s="1116"/>
      <c r="GFB11" s="1116"/>
      <c r="GFC11" s="1116"/>
      <c r="GFD11" s="1116"/>
      <c r="GFE11" s="1116"/>
      <c r="GFF11" s="1116"/>
      <c r="GFG11" s="1116"/>
      <c r="GFH11" s="1116"/>
      <c r="GFI11" s="1116"/>
      <c r="GFJ11" s="1116"/>
      <c r="GFK11" s="1116"/>
      <c r="GFL11" s="1116"/>
      <c r="GFM11" s="1116"/>
      <c r="GFN11" s="1116"/>
      <c r="GFO11" s="1116"/>
      <c r="GFP11" s="1116"/>
      <c r="GFQ11" s="1116"/>
      <c r="GFR11" s="1116"/>
      <c r="GFS11" s="1116"/>
      <c r="GFT11" s="1116"/>
      <c r="GFU11" s="1116"/>
      <c r="GFV11" s="1116"/>
      <c r="GFW11" s="1116"/>
      <c r="GFX11" s="1116"/>
      <c r="GFY11" s="1116"/>
      <c r="GFZ11" s="1116"/>
      <c r="GGA11" s="1116"/>
      <c r="GGB11" s="1116"/>
      <c r="GGC11" s="1116"/>
      <c r="GGD11" s="1116"/>
      <c r="GGE11" s="1116"/>
      <c r="GGF11" s="1116"/>
      <c r="GGG11" s="1116"/>
      <c r="GGH11" s="1116"/>
      <c r="GGI11" s="1116"/>
      <c r="GGJ11" s="1116"/>
      <c r="GGK11" s="1116"/>
      <c r="GGL11" s="1116"/>
      <c r="GGM11" s="1116"/>
      <c r="GGN11" s="1116"/>
      <c r="GGO11" s="1116"/>
      <c r="GGP11" s="1116"/>
      <c r="GGQ11" s="1116"/>
      <c r="GGR11" s="1116"/>
      <c r="GGS11" s="1116"/>
      <c r="GGT11" s="1116"/>
      <c r="GGU11" s="1116"/>
      <c r="GGV11" s="1116"/>
      <c r="GGW11" s="1116"/>
      <c r="GGX11" s="1116"/>
      <c r="GGY11" s="1116"/>
      <c r="GGZ11" s="1116"/>
      <c r="GHA11" s="1116"/>
      <c r="GHB11" s="1116"/>
      <c r="GHC11" s="1116"/>
      <c r="GHD11" s="1116"/>
      <c r="GHE11" s="1116"/>
      <c r="GHF11" s="1116"/>
      <c r="GHG11" s="1116"/>
      <c r="GHH11" s="1116"/>
      <c r="GHI11" s="1116"/>
      <c r="GHJ11" s="1116"/>
      <c r="GHK11" s="1116"/>
      <c r="GHL11" s="1116"/>
      <c r="GHM11" s="1116"/>
      <c r="GHN11" s="1116"/>
      <c r="GHO11" s="1116"/>
      <c r="GHP11" s="1116"/>
      <c r="GHQ11" s="1116"/>
      <c r="GHR11" s="1116"/>
      <c r="GHS11" s="1116"/>
      <c r="GHT11" s="1116"/>
      <c r="GHU11" s="1116"/>
      <c r="GHV11" s="1116"/>
      <c r="GHW11" s="1116"/>
      <c r="GHX11" s="1116"/>
      <c r="GHY11" s="1116"/>
      <c r="GHZ11" s="1116"/>
      <c r="GIA11" s="1116"/>
      <c r="GIB11" s="1116"/>
      <c r="GIC11" s="1116"/>
      <c r="GID11" s="1116"/>
      <c r="GIE11" s="1116"/>
      <c r="GIF11" s="1116"/>
      <c r="GIG11" s="1116"/>
      <c r="GIH11" s="1116"/>
      <c r="GII11" s="1116"/>
      <c r="GIJ11" s="1116"/>
      <c r="GIK11" s="1116"/>
      <c r="GIL11" s="1116"/>
      <c r="GIM11" s="1116"/>
      <c r="GIN11" s="1116"/>
      <c r="GIO11" s="1116"/>
      <c r="GIP11" s="1116"/>
      <c r="GIQ11" s="1116"/>
      <c r="GIR11" s="1116"/>
      <c r="GIS11" s="1116"/>
      <c r="GIT11" s="1116"/>
      <c r="GIU11" s="1116"/>
      <c r="GIV11" s="1116"/>
      <c r="GIW11" s="1116"/>
      <c r="GIX11" s="1116"/>
      <c r="GIY11" s="1116"/>
      <c r="GIZ11" s="1116"/>
      <c r="GJA11" s="1116"/>
      <c r="GJB11" s="1116"/>
      <c r="GJC11" s="1116"/>
      <c r="GJD11" s="1116"/>
      <c r="GJE11" s="1116"/>
      <c r="GJF11" s="1116"/>
      <c r="GJG11" s="1116"/>
      <c r="GJH11" s="1116"/>
      <c r="GJI11" s="1116"/>
      <c r="GJJ11" s="1116"/>
      <c r="GJK11" s="1116"/>
      <c r="GJL11" s="1116"/>
      <c r="GJM11" s="1116"/>
      <c r="GJN11" s="1116"/>
      <c r="GJO11" s="1116"/>
      <c r="GJP11" s="1116"/>
      <c r="GJQ11" s="1116"/>
      <c r="GJR11" s="1116"/>
      <c r="GJS11" s="1116"/>
      <c r="GJT11" s="1116"/>
      <c r="GJU11" s="1116"/>
      <c r="GJV11" s="1116"/>
      <c r="GJW11" s="1116"/>
      <c r="GJX11" s="1116"/>
      <c r="GJY11" s="1116"/>
      <c r="GJZ11" s="1116"/>
      <c r="GKA11" s="1116"/>
      <c r="GKB11" s="1116"/>
      <c r="GKC11" s="1116"/>
      <c r="GKD11" s="1116"/>
      <c r="GKE11" s="1116"/>
      <c r="GKF11" s="1116"/>
      <c r="GKG11" s="1116"/>
      <c r="GKH11" s="1116"/>
      <c r="GKI11" s="1116"/>
      <c r="GKJ11" s="1116"/>
      <c r="GKK11" s="1116"/>
      <c r="GKL11" s="1116"/>
      <c r="GKM11" s="1116"/>
      <c r="GKN11" s="1116"/>
      <c r="GKO11" s="1116"/>
      <c r="GKP11" s="1116"/>
      <c r="GKQ11" s="1116"/>
      <c r="GKR11" s="1116"/>
      <c r="GKS11" s="1116"/>
      <c r="GKT11" s="1116"/>
      <c r="GKU11" s="1116"/>
      <c r="GKV11" s="1116"/>
      <c r="GKW11" s="1116"/>
      <c r="GKX11" s="1116"/>
      <c r="GKY11" s="1116"/>
      <c r="GKZ11" s="1116"/>
      <c r="GLA11" s="1116"/>
      <c r="GLB11" s="1116"/>
      <c r="GLC11" s="1116"/>
      <c r="GLD11" s="1116"/>
      <c r="GLE11" s="1116"/>
      <c r="GLF11" s="1116"/>
      <c r="GLG11" s="1116"/>
      <c r="GLH11" s="1116"/>
      <c r="GLI11" s="1116"/>
      <c r="GLJ11" s="1116"/>
      <c r="GLK11" s="1116"/>
      <c r="GLL11" s="1116"/>
      <c r="GLM11" s="1116"/>
      <c r="GLN11" s="1116"/>
      <c r="GLO11" s="1116"/>
      <c r="GLP11" s="1116"/>
      <c r="GLQ11" s="1116"/>
      <c r="GLR11" s="1116"/>
      <c r="GLS11" s="1116"/>
      <c r="GLT11" s="1116"/>
      <c r="GLU11" s="1116"/>
      <c r="GLV11" s="1116"/>
      <c r="GLW11" s="1116"/>
      <c r="GLX11" s="1116"/>
      <c r="GLY11" s="1116"/>
      <c r="GLZ11" s="1116"/>
      <c r="GMA11" s="1116"/>
      <c r="GMB11" s="1116"/>
      <c r="GMC11" s="1116"/>
      <c r="GMD11" s="1116"/>
      <c r="GME11" s="1116"/>
      <c r="GMF11" s="1116"/>
      <c r="GMG11" s="1116"/>
      <c r="GMH11" s="1116"/>
      <c r="GMI11" s="1116"/>
      <c r="GMJ11" s="1116"/>
      <c r="GMK11" s="1116"/>
      <c r="GML11" s="1116"/>
      <c r="GMM11" s="1116"/>
      <c r="GMN11" s="1116"/>
      <c r="GMO11" s="1116"/>
      <c r="GMP11" s="1116"/>
      <c r="GMQ11" s="1116"/>
      <c r="GMR11" s="1116"/>
      <c r="GMS11" s="1116"/>
      <c r="GMT11" s="1116"/>
      <c r="GMU11" s="1116"/>
      <c r="GMV11" s="1116"/>
      <c r="GMW11" s="1116"/>
      <c r="GMX11" s="1116"/>
      <c r="GMY11" s="1116"/>
      <c r="GMZ11" s="1116"/>
      <c r="GNA11" s="1116"/>
      <c r="GNB11" s="1116"/>
      <c r="GNC11" s="1116"/>
      <c r="GND11" s="1116"/>
      <c r="GNE11" s="1116"/>
      <c r="GNF11" s="1116"/>
      <c r="GNG11" s="1116"/>
      <c r="GNH11" s="1116"/>
      <c r="GNI11" s="1116"/>
      <c r="GNJ11" s="1116"/>
      <c r="GNK11" s="1116"/>
      <c r="GNL11" s="1116"/>
      <c r="GNM11" s="1116"/>
      <c r="GNN11" s="1116"/>
      <c r="GNO11" s="1116"/>
      <c r="GNP11" s="1116"/>
      <c r="GNQ11" s="1116"/>
      <c r="GNR11" s="1116"/>
      <c r="GNS11" s="1116"/>
      <c r="GNT11" s="1116"/>
      <c r="GNU11" s="1116"/>
      <c r="GNV11" s="1116"/>
      <c r="GNW11" s="1116"/>
      <c r="GNX11" s="1116"/>
      <c r="GNY11" s="1116"/>
      <c r="GNZ11" s="1116"/>
      <c r="GOA11" s="1116"/>
      <c r="GOB11" s="1116"/>
      <c r="GOC11" s="1116"/>
      <c r="GOD11" s="1116"/>
      <c r="GOE11" s="1116"/>
      <c r="GOF11" s="1116"/>
      <c r="GOG11" s="1116"/>
      <c r="GOH11" s="1116"/>
      <c r="GOI11" s="1116"/>
      <c r="GOJ11" s="1116"/>
      <c r="GOK11" s="1116"/>
      <c r="GOL11" s="1116"/>
      <c r="GOM11" s="1116"/>
      <c r="GON11" s="1116"/>
      <c r="GOO11" s="1116"/>
      <c r="GOP11" s="1116"/>
      <c r="GOQ11" s="1116"/>
      <c r="GOR11" s="1116"/>
      <c r="GOS11" s="1116"/>
      <c r="GOT11" s="1116"/>
      <c r="GOU11" s="1116"/>
      <c r="GOV11" s="1116"/>
      <c r="GOW11" s="1116"/>
      <c r="GOX11" s="1116"/>
      <c r="GOY11" s="1116"/>
      <c r="GOZ11" s="1116"/>
      <c r="GPA11" s="1116"/>
      <c r="GPB11" s="1116"/>
      <c r="GPC11" s="1116"/>
      <c r="GPD11" s="1116"/>
      <c r="GPE11" s="1116"/>
      <c r="GPF11" s="1116"/>
      <c r="GPG11" s="1116"/>
      <c r="GPH11" s="1116"/>
      <c r="GPI11" s="1116"/>
      <c r="GPJ11" s="1116"/>
      <c r="GPK11" s="1116"/>
      <c r="GPL11" s="1116"/>
      <c r="GPM11" s="1116"/>
      <c r="GPN11" s="1116"/>
      <c r="GPO11" s="1116"/>
      <c r="GPP11" s="1116"/>
      <c r="GPQ11" s="1116"/>
      <c r="GPR11" s="1116"/>
      <c r="GPS11" s="1116"/>
      <c r="GPT11" s="1116"/>
      <c r="GPU11" s="1116"/>
      <c r="GPV11" s="1116"/>
      <c r="GPW11" s="1116"/>
      <c r="GPX11" s="1116"/>
      <c r="GPY11" s="1116"/>
      <c r="GPZ11" s="1116"/>
      <c r="GQA11" s="1116"/>
      <c r="GQB11" s="1116"/>
      <c r="GQC11" s="1116"/>
      <c r="GQD11" s="1116"/>
      <c r="GQE11" s="1116"/>
      <c r="GQF11" s="1116"/>
      <c r="GQG11" s="1116"/>
      <c r="GQH11" s="1116"/>
      <c r="GQI11" s="1116"/>
      <c r="GQJ11" s="1116"/>
      <c r="GQK11" s="1116"/>
      <c r="GQL11" s="1116"/>
      <c r="GQM11" s="1116"/>
      <c r="GQN11" s="1116"/>
      <c r="GQO11" s="1116"/>
      <c r="GQP11" s="1116"/>
      <c r="GQQ11" s="1116"/>
      <c r="GQR11" s="1116"/>
      <c r="GQS11" s="1116"/>
      <c r="GQT11" s="1116"/>
      <c r="GQU11" s="1116"/>
      <c r="GQV11" s="1116"/>
      <c r="GQW11" s="1116"/>
      <c r="GQX11" s="1116"/>
      <c r="GQY11" s="1116"/>
      <c r="GQZ11" s="1116"/>
      <c r="GRA11" s="1116"/>
      <c r="GRB11" s="1116"/>
      <c r="GRC11" s="1116"/>
      <c r="GRD11" s="1116"/>
      <c r="GRE11" s="1116"/>
      <c r="GRF11" s="1116"/>
      <c r="GRG11" s="1116"/>
      <c r="GRH11" s="1116"/>
      <c r="GRI11" s="1116"/>
      <c r="GRJ11" s="1116"/>
      <c r="GRK11" s="1116"/>
      <c r="GRL11" s="1116"/>
      <c r="GRM11" s="1116"/>
      <c r="GRN11" s="1116"/>
      <c r="GRO11" s="1116"/>
      <c r="GRP11" s="1116"/>
      <c r="GRQ11" s="1116"/>
      <c r="GRR11" s="1116"/>
      <c r="GRS11" s="1116"/>
      <c r="GRT11" s="1116"/>
      <c r="GRU11" s="1116"/>
      <c r="GRV11" s="1116"/>
      <c r="GRW11" s="1116"/>
      <c r="GRX11" s="1116"/>
      <c r="GRY11" s="1116"/>
      <c r="GRZ11" s="1116"/>
      <c r="GSA11" s="1116"/>
      <c r="GSB11" s="1116"/>
      <c r="GSC11" s="1116"/>
      <c r="GSD11" s="1116"/>
      <c r="GSE11" s="1116"/>
      <c r="GSF11" s="1116"/>
      <c r="GSG11" s="1116"/>
      <c r="GSH11" s="1116"/>
      <c r="GSI11" s="1116"/>
      <c r="GSJ11" s="1116"/>
      <c r="GSK11" s="1116"/>
      <c r="GSL11" s="1116"/>
      <c r="GSM11" s="1116"/>
      <c r="GSN11" s="1116"/>
      <c r="GSO11" s="1116"/>
      <c r="GSP11" s="1116"/>
      <c r="GSQ11" s="1116"/>
      <c r="GSR11" s="1116"/>
      <c r="GSS11" s="1116"/>
      <c r="GST11" s="1116"/>
      <c r="GSU11" s="1116"/>
      <c r="GSV11" s="1116"/>
      <c r="GSW11" s="1116"/>
      <c r="GSX11" s="1116"/>
      <c r="GSY11" s="1116"/>
      <c r="GSZ11" s="1116"/>
      <c r="GTA11" s="1116"/>
      <c r="GTB11" s="1116"/>
      <c r="GTC11" s="1116"/>
      <c r="GTD11" s="1116"/>
      <c r="GTE11" s="1116"/>
      <c r="GTF11" s="1116"/>
      <c r="GTG11" s="1116"/>
      <c r="GTH11" s="1116"/>
      <c r="GTI11" s="1116"/>
      <c r="GTJ11" s="1116"/>
      <c r="GTK11" s="1116"/>
      <c r="GTL11" s="1116"/>
      <c r="GTM11" s="1116"/>
      <c r="GTN11" s="1116"/>
      <c r="GTO11" s="1116"/>
      <c r="GTP11" s="1116"/>
      <c r="GTQ11" s="1116"/>
      <c r="GTR11" s="1116"/>
      <c r="GTS11" s="1116"/>
      <c r="GTT11" s="1116"/>
      <c r="GTU11" s="1116"/>
      <c r="GTV11" s="1116"/>
      <c r="GTW11" s="1116"/>
      <c r="GTX11" s="1116"/>
      <c r="GTY11" s="1116"/>
      <c r="GTZ11" s="1116"/>
      <c r="GUA11" s="1116"/>
      <c r="GUB11" s="1116"/>
      <c r="GUC11" s="1116"/>
      <c r="GUD11" s="1116"/>
      <c r="GUE11" s="1116"/>
      <c r="GUF11" s="1116"/>
      <c r="GUG11" s="1116"/>
      <c r="GUH11" s="1116"/>
      <c r="GUI11" s="1116"/>
      <c r="GUJ11" s="1116"/>
      <c r="GUK11" s="1116"/>
      <c r="GUL11" s="1116"/>
      <c r="GUM11" s="1116"/>
      <c r="GUN11" s="1116"/>
      <c r="GUO11" s="1116"/>
      <c r="GUP11" s="1116"/>
      <c r="GUQ11" s="1116"/>
      <c r="GUR11" s="1116"/>
      <c r="GUS11" s="1116"/>
      <c r="GUT11" s="1116"/>
      <c r="GUU11" s="1116"/>
      <c r="GUV11" s="1116"/>
      <c r="GUW11" s="1116"/>
      <c r="GUX11" s="1116"/>
      <c r="GUY11" s="1116"/>
      <c r="GUZ11" s="1116"/>
      <c r="GVA11" s="1116"/>
      <c r="GVB11" s="1116"/>
      <c r="GVC11" s="1116"/>
      <c r="GVD11" s="1116"/>
      <c r="GVE11" s="1116"/>
      <c r="GVF11" s="1116"/>
      <c r="GVG11" s="1116"/>
      <c r="GVH11" s="1116"/>
      <c r="GVI11" s="1116"/>
      <c r="GVJ11" s="1116"/>
      <c r="GVK11" s="1116"/>
      <c r="GVL11" s="1116"/>
      <c r="GVM11" s="1116"/>
      <c r="GVN11" s="1116"/>
      <c r="GVO11" s="1116"/>
      <c r="GVP11" s="1116"/>
      <c r="GVQ11" s="1116"/>
      <c r="GVR11" s="1116"/>
      <c r="GVS11" s="1116"/>
      <c r="GVT11" s="1116"/>
      <c r="GVU11" s="1116"/>
      <c r="GVV11" s="1116"/>
      <c r="GVW11" s="1116"/>
      <c r="GVX11" s="1116"/>
      <c r="GVY11" s="1116"/>
      <c r="GVZ11" s="1116"/>
      <c r="GWA11" s="1116"/>
      <c r="GWB11" s="1116"/>
      <c r="GWC11" s="1116"/>
      <c r="GWD11" s="1116"/>
      <c r="GWE11" s="1116"/>
      <c r="GWF11" s="1116"/>
      <c r="GWG11" s="1116"/>
      <c r="GWH11" s="1116"/>
      <c r="GWI11" s="1116"/>
      <c r="GWJ11" s="1116"/>
      <c r="GWK11" s="1116"/>
      <c r="GWL11" s="1116"/>
      <c r="GWM11" s="1116"/>
      <c r="GWN11" s="1116"/>
      <c r="GWO11" s="1116"/>
      <c r="GWP11" s="1116"/>
      <c r="GWQ11" s="1116"/>
      <c r="GWR11" s="1116"/>
      <c r="GWS11" s="1116"/>
      <c r="GWT11" s="1116"/>
      <c r="GWU11" s="1116"/>
      <c r="GWV11" s="1116"/>
      <c r="GWW11" s="1116"/>
      <c r="GWX11" s="1116"/>
      <c r="GWY11" s="1116"/>
      <c r="GWZ11" s="1116"/>
      <c r="GXA11" s="1116"/>
      <c r="GXB11" s="1116"/>
      <c r="GXC11" s="1116"/>
      <c r="GXD11" s="1116"/>
      <c r="GXE11" s="1116"/>
      <c r="GXF11" s="1116"/>
      <c r="GXG11" s="1116"/>
      <c r="GXH11" s="1116"/>
      <c r="GXI11" s="1116"/>
      <c r="GXJ11" s="1116"/>
      <c r="GXK11" s="1116"/>
      <c r="GXL11" s="1116"/>
      <c r="GXM11" s="1116"/>
      <c r="GXN11" s="1116"/>
      <c r="GXO11" s="1116"/>
      <c r="GXP11" s="1116"/>
      <c r="GXQ11" s="1116"/>
      <c r="GXR11" s="1116"/>
      <c r="GXS11" s="1116"/>
      <c r="GXT11" s="1116"/>
      <c r="GXU11" s="1116"/>
      <c r="GXV11" s="1116"/>
      <c r="GXW11" s="1116"/>
      <c r="GXX11" s="1116"/>
      <c r="GXY11" s="1116"/>
      <c r="GXZ11" s="1116"/>
      <c r="GYA11" s="1116"/>
      <c r="GYB11" s="1116"/>
      <c r="GYC11" s="1116"/>
      <c r="GYD11" s="1116"/>
      <c r="GYE11" s="1116"/>
      <c r="GYF11" s="1116"/>
      <c r="GYG11" s="1116"/>
      <c r="GYH11" s="1116"/>
      <c r="GYI11" s="1116"/>
      <c r="GYJ11" s="1116"/>
      <c r="GYK11" s="1116"/>
      <c r="GYL11" s="1116"/>
      <c r="GYM11" s="1116"/>
      <c r="GYN11" s="1116"/>
      <c r="GYO11" s="1116"/>
      <c r="GYP11" s="1116"/>
      <c r="GYQ11" s="1116"/>
      <c r="GYR11" s="1116"/>
      <c r="GYS11" s="1116"/>
      <c r="GYT11" s="1116"/>
      <c r="GYU11" s="1116"/>
      <c r="GYV11" s="1116"/>
      <c r="GYW11" s="1116"/>
      <c r="GYX11" s="1116"/>
      <c r="GYY11" s="1116"/>
      <c r="GYZ11" s="1116"/>
      <c r="GZA11" s="1116"/>
      <c r="GZB11" s="1116"/>
      <c r="GZC11" s="1116"/>
      <c r="GZD11" s="1116"/>
      <c r="GZE11" s="1116"/>
      <c r="GZF11" s="1116"/>
      <c r="GZG11" s="1116"/>
      <c r="GZH11" s="1116"/>
      <c r="GZI11" s="1116"/>
      <c r="GZJ11" s="1116"/>
      <c r="GZK11" s="1116"/>
      <c r="GZL11" s="1116"/>
      <c r="GZM11" s="1116"/>
      <c r="GZN11" s="1116"/>
      <c r="GZO11" s="1116"/>
      <c r="GZP11" s="1116"/>
      <c r="GZQ11" s="1116"/>
      <c r="GZR11" s="1116"/>
      <c r="GZS11" s="1116"/>
      <c r="GZT11" s="1116"/>
      <c r="GZU11" s="1116"/>
      <c r="GZV11" s="1116"/>
      <c r="GZW11" s="1116"/>
      <c r="GZX11" s="1116"/>
      <c r="GZY11" s="1116"/>
      <c r="GZZ11" s="1116"/>
      <c r="HAA11" s="1116"/>
      <c r="HAB11" s="1116"/>
      <c r="HAC11" s="1116"/>
      <c r="HAD11" s="1116"/>
      <c r="HAE11" s="1116"/>
      <c r="HAF11" s="1116"/>
      <c r="HAG11" s="1116"/>
      <c r="HAH11" s="1116"/>
      <c r="HAI11" s="1116"/>
      <c r="HAJ11" s="1116"/>
      <c r="HAK11" s="1116"/>
      <c r="HAL11" s="1116"/>
      <c r="HAM11" s="1116"/>
      <c r="HAN11" s="1116"/>
      <c r="HAO11" s="1116"/>
      <c r="HAP11" s="1116"/>
      <c r="HAQ11" s="1116"/>
      <c r="HAR11" s="1116"/>
      <c r="HAS11" s="1116"/>
      <c r="HAT11" s="1116"/>
      <c r="HAU11" s="1116"/>
      <c r="HAV11" s="1116"/>
      <c r="HAW11" s="1116"/>
      <c r="HAX11" s="1116"/>
      <c r="HAY11" s="1116"/>
      <c r="HAZ11" s="1116"/>
      <c r="HBA11" s="1116"/>
      <c r="HBB11" s="1116"/>
      <c r="HBC11" s="1116"/>
      <c r="HBD11" s="1116"/>
      <c r="HBE11" s="1116"/>
      <c r="HBF11" s="1116"/>
      <c r="HBG11" s="1116"/>
      <c r="HBH11" s="1116"/>
      <c r="HBI11" s="1116"/>
      <c r="HBJ11" s="1116"/>
      <c r="HBK11" s="1116"/>
      <c r="HBL11" s="1116"/>
      <c r="HBM11" s="1116"/>
      <c r="HBN11" s="1116"/>
      <c r="HBO11" s="1116"/>
      <c r="HBP11" s="1116"/>
      <c r="HBQ11" s="1116"/>
      <c r="HBR11" s="1116"/>
      <c r="HBS11" s="1116"/>
      <c r="HBT11" s="1116"/>
      <c r="HBU11" s="1116"/>
      <c r="HBV11" s="1116"/>
      <c r="HBW11" s="1116"/>
      <c r="HBX11" s="1116"/>
      <c r="HBY11" s="1116"/>
      <c r="HBZ11" s="1116"/>
      <c r="HCA11" s="1116"/>
      <c r="HCB11" s="1116"/>
      <c r="HCC11" s="1116"/>
      <c r="HCD11" s="1116"/>
      <c r="HCE11" s="1116"/>
      <c r="HCF11" s="1116"/>
      <c r="HCG11" s="1116"/>
      <c r="HCH11" s="1116"/>
      <c r="HCI11" s="1116"/>
      <c r="HCJ11" s="1116"/>
      <c r="HCK11" s="1116"/>
      <c r="HCL11" s="1116"/>
      <c r="HCM11" s="1116"/>
      <c r="HCN11" s="1116"/>
      <c r="HCO11" s="1116"/>
      <c r="HCP11" s="1116"/>
      <c r="HCQ11" s="1116"/>
      <c r="HCR11" s="1116"/>
      <c r="HCS11" s="1116"/>
      <c r="HCT11" s="1116"/>
      <c r="HCU11" s="1116"/>
      <c r="HCV11" s="1116"/>
      <c r="HCW11" s="1116"/>
      <c r="HCX11" s="1116"/>
      <c r="HCY11" s="1116"/>
      <c r="HCZ11" s="1116"/>
      <c r="HDA11" s="1116"/>
      <c r="HDB11" s="1116"/>
      <c r="HDC11" s="1116"/>
      <c r="HDD11" s="1116"/>
      <c r="HDE11" s="1116"/>
      <c r="HDF11" s="1116"/>
      <c r="HDG11" s="1116"/>
      <c r="HDH11" s="1116"/>
      <c r="HDI11" s="1116"/>
      <c r="HDJ11" s="1116"/>
      <c r="HDK11" s="1116"/>
      <c r="HDL11" s="1116"/>
      <c r="HDM11" s="1116"/>
      <c r="HDN11" s="1116"/>
      <c r="HDO11" s="1116"/>
      <c r="HDP11" s="1116"/>
      <c r="HDQ11" s="1116"/>
      <c r="HDR11" s="1116"/>
      <c r="HDS11" s="1116"/>
      <c r="HDT11" s="1116"/>
      <c r="HDU11" s="1116"/>
      <c r="HDV11" s="1116"/>
      <c r="HDW11" s="1116"/>
      <c r="HDX11" s="1116"/>
      <c r="HDY11" s="1116"/>
      <c r="HDZ11" s="1116"/>
      <c r="HEA11" s="1116"/>
      <c r="HEB11" s="1116"/>
      <c r="HEC11" s="1116"/>
      <c r="HED11" s="1116"/>
      <c r="HEE11" s="1116"/>
      <c r="HEF11" s="1116"/>
      <c r="HEG11" s="1116"/>
      <c r="HEH11" s="1116"/>
      <c r="HEI11" s="1116"/>
      <c r="HEJ11" s="1116"/>
      <c r="HEK11" s="1116"/>
      <c r="HEL11" s="1116"/>
      <c r="HEM11" s="1116"/>
      <c r="HEN11" s="1116"/>
      <c r="HEO11" s="1116"/>
      <c r="HEP11" s="1116"/>
      <c r="HEQ11" s="1116"/>
      <c r="HER11" s="1116"/>
      <c r="HES11" s="1116"/>
      <c r="HET11" s="1116"/>
      <c r="HEU11" s="1116"/>
      <c r="HEV11" s="1116"/>
      <c r="HEW11" s="1116"/>
      <c r="HEX11" s="1116"/>
      <c r="HEY11" s="1116"/>
      <c r="HEZ11" s="1116"/>
      <c r="HFA11" s="1116"/>
      <c r="HFB11" s="1116"/>
      <c r="HFC11" s="1116"/>
      <c r="HFD11" s="1116"/>
      <c r="HFE11" s="1116"/>
      <c r="HFF11" s="1116"/>
      <c r="HFG11" s="1116"/>
      <c r="HFH11" s="1116"/>
      <c r="HFI11" s="1116"/>
      <c r="HFJ11" s="1116"/>
      <c r="HFK11" s="1116"/>
      <c r="HFL11" s="1116"/>
      <c r="HFM11" s="1116"/>
      <c r="HFN11" s="1116"/>
      <c r="HFO11" s="1116"/>
      <c r="HFP11" s="1116"/>
      <c r="HFQ11" s="1116"/>
      <c r="HFR11" s="1116"/>
      <c r="HFS11" s="1116"/>
      <c r="HFT11" s="1116"/>
      <c r="HFU11" s="1116"/>
      <c r="HFV11" s="1116"/>
      <c r="HFW11" s="1116"/>
      <c r="HFX11" s="1116"/>
      <c r="HFY11" s="1116"/>
      <c r="HFZ11" s="1116"/>
      <c r="HGA11" s="1116"/>
      <c r="HGB11" s="1116"/>
      <c r="HGC11" s="1116"/>
      <c r="HGD11" s="1116"/>
      <c r="HGE11" s="1116"/>
      <c r="HGF11" s="1116"/>
      <c r="HGG11" s="1116"/>
      <c r="HGH11" s="1116"/>
      <c r="HGI11" s="1116"/>
      <c r="HGJ11" s="1116"/>
      <c r="HGK11" s="1116"/>
      <c r="HGL11" s="1116"/>
      <c r="HGM11" s="1116"/>
      <c r="HGN11" s="1116"/>
      <c r="HGO11" s="1116"/>
      <c r="HGP11" s="1116"/>
      <c r="HGQ11" s="1116"/>
      <c r="HGR11" s="1116"/>
      <c r="HGS11" s="1116"/>
      <c r="HGT11" s="1116"/>
      <c r="HGU11" s="1116"/>
      <c r="HGV11" s="1116"/>
      <c r="HGW11" s="1116"/>
      <c r="HGX11" s="1116"/>
      <c r="HGY11" s="1116"/>
      <c r="HGZ11" s="1116"/>
      <c r="HHA11" s="1116"/>
      <c r="HHB11" s="1116"/>
      <c r="HHC11" s="1116"/>
      <c r="HHD11" s="1116"/>
      <c r="HHE11" s="1116"/>
      <c r="HHF11" s="1116"/>
      <c r="HHG11" s="1116"/>
      <c r="HHH11" s="1116"/>
      <c r="HHI11" s="1116"/>
      <c r="HHJ11" s="1116"/>
      <c r="HHK11" s="1116"/>
      <c r="HHL11" s="1116"/>
      <c r="HHM11" s="1116"/>
      <c r="HHN11" s="1116"/>
      <c r="HHO11" s="1116"/>
      <c r="HHP11" s="1116"/>
      <c r="HHQ11" s="1116"/>
      <c r="HHR11" s="1116"/>
      <c r="HHS11" s="1116"/>
      <c r="HHT11" s="1116"/>
      <c r="HHU11" s="1116"/>
      <c r="HHV11" s="1116"/>
      <c r="HHW11" s="1116"/>
      <c r="HHX11" s="1116"/>
      <c r="HHY11" s="1116"/>
      <c r="HHZ11" s="1116"/>
      <c r="HIA11" s="1116"/>
      <c r="HIB11" s="1116"/>
      <c r="HIC11" s="1116"/>
      <c r="HID11" s="1116"/>
      <c r="HIE11" s="1116"/>
      <c r="HIF11" s="1116"/>
      <c r="HIG11" s="1116"/>
      <c r="HIH11" s="1116"/>
      <c r="HII11" s="1116"/>
      <c r="HIJ11" s="1116"/>
      <c r="HIK11" s="1116"/>
      <c r="HIL11" s="1116"/>
      <c r="HIM11" s="1116"/>
      <c r="HIN11" s="1116"/>
      <c r="HIO11" s="1116"/>
      <c r="HIP11" s="1116"/>
      <c r="HIQ11" s="1116"/>
      <c r="HIR11" s="1116"/>
      <c r="HIS11" s="1116"/>
      <c r="HIT11" s="1116"/>
      <c r="HIU11" s="1116"/>
      <c r="HIV11" s="1116"/>
      <c r="HIW11" s="1116"/>
      <c r="HIX11" s="1116"/>
      <c r="HIY11" s="1116"/>
      <c r="HIZ11" s="1116"/>
      <c r="HJA11" s="1116"/>
      <c r="HJB11" s="1116"/>
      <c r="HJC11" s="1116"/>
      <c r="HJD11" s="1116"/>
      <c r="HJE11" s="1116"/>
      <c r="HJF11" s="1116"/>
      <c r="HJG11" s="1116"/>
      <c r="HJH11" s="1116"/>
      <c r="HJI11" s="1116"/>
      <c r="HJJ11" s="1116"/>
      <c r="HJK11" s="1116"/>
      <c r="HJL11" s="1116"/>
      <c r="HJM11" s="1116"/>
      <c r="HJN11" s="1116"/>
      <c r="HJO11" s="1116"/>
      <c r="HJP11" s="1116"/>
      <c r="HJQ11" s="1116"/>
      <c r="HJR11" s="1116"/>
      <c r="HJS11" s="1116"/>
      <c r="HJT11" s="1116"/>
      <c r="HJU11" s="1116"/>
      <c r="HJV11" s="1116"/>
      <c r="HJW11" s="1116"/>
      <c r="HJX11" s="1116"/>
      <c r="HJY11" s="1116"/>
      <c r="HJZ11" s="1116"/>
      <c r="HKA11" s="1116"/>
      <c r="HKB11" s="1116"/>
      <c r="HKC11" s="1116"/>
      <c r="HKD11" s="1116"/>
      <c r="HKE11" s="1116"/>
      <c r="HKF11" s="1116"/>
      <c r="HKG11" s="1116"/>
      <c r="HKH11" s="1116"/>
      <c r="HKI11" s="1116"/>
      <c r="HKJ11" s="1116"/>
      <c r="HKK11" s="1116"/>
      <c r="HKL11" s="1116"/>
      <c r="HKM11" s="1116"/>
      <c r="HKN11" s="1116"/>
      <c r="HKO11" s="1116"/>
      <c r="HKP11" s="1116"/>
      <c r="HKQ11" s="1116"/>
      <c r="HKR11" s="1116"/>
      <c r="HKS11" s="1116"/>
      <c r="HKT11" s="1116"/>
      <c r="HKU11" s="1116"/>
      <c r="HKV11" s="1116"/>
      <c r="HKW11" s="1116"/>
      <c r="HKX11" s="1116"/>
      <c r="HKY11" s="1116"/>
      <c r="HKZ11" s="1116"/>
      <c r="HLA11" s="1116"/>
      <c r="HLB11" s="1116"/>
      <c r="HLC11" s="1116"/>
      <c r="HLD11" s="1116"/>
      <c r="HLE11" s="1116"/>
      <c r="HLF11" s="1116"/>
      <c r="HLG11" s="1116"/>
      <c r="HLH11" s="1116"/>
      <c r="HLI11" s="1116"/>
      <c r="HLJ11" s="1116"/>
      <c r="HLK11" s="1116"/>
      <c r="HLL11" s="1116"/>
      <c r="HLM11" s="1116"/>
      <c r="HLN11" s="1116"/>
      <c r="HLO11" s="1116"/>
      <c r="HLP11" s="1116"/>
      <c r="HLQ11" s="1116"/>
      <c r="HLR11" s="1116"/>
      <c r="HLS11" s="1116"/>
      <c r="HLT11" s="1116"/>
      <c r="HLU11" s="1116"/>
      <c r="HLV11" s="1116"/>
      <c r="HLW11" s="1116"/>
      <c r="HLX11" s="1116"/>
      <c r="HLY11" s="1116"/>
      <c r="HLZ11" s="1116"/>
      <c r="HMA11" s="1116"/>
      <c r="HMB11" s="1116"/>
      <c r="HMC11" s="1116"/>
      <c r="HMD11" s="1116"/>
      <c r="HME11" s="1116"/>
      <c r="HMF11" s="1116"/>
      <c r="HMG11" s="1116"/>
      <c r="HMH11" s="1116"/>
      <c r="HMI11" s="1116"/>
      <c r="HMJ11" s="1116"/>
      <c r="HMK11" s="1116"/>
      <c r="HML11" s="1116"/>
      <c r="HMM11" s="1116"/>
      <c r="HMN11" s="1116"/>
      <c r="HMO11" s="1116"/>
      <c r="HMP11" s="1116"/>
      <c r="HMQ11" s="1116"/>
      <c r="HMR11" s="1116"/>
      <c r="HMS11" s="1116"/>
      <c r="HMT11" s="1116"/>
      <c r="HMU11" s="1116"/>
      <c r="HMV11" s="1116"/>
      <c r="HMW11" s="1116"/>
      <c r="HMX11" s="1116"/>
      <c r="HMY11" s="1116"/>
      <c r="HMZ11" s="1116"/>
      <c r="HNA11" s="1116"/>
      <c r="HNB11" s="1116"/>
      <c r="HNC11" s="1116"/>
      <c r="HND11" s="1116"/>
      <c r="HNE11" s="1116"/>
      <c r="HNF11" s="1116"/>
      <c r="HNG11" s="1116"/>
      <c r="HNH11" s="1116"/>
      <c r="HNI11" s="1116"/>
      <c r="HNJ11" s="1116"/>
      <c r="HNK11" s="1116"/>
      <c r="HNL11" s="1116"/>
      <c r="HNM11" s="1116"/>
      <c r="HNN11" s="1116"/>
      <c r="HNO11" s="1116"/>
      <c r="HNP11" s="1116"/>
      <c r="HNQ11" s="1116"/>
      <c r="HNR11" s="1116"/>
      <c r="HNS11" s="1116"/>
      <c r="HNT11" s="1116"/>
      <c r="HNU11" s="1116"/>
      <c r="HNV11" s="1116"/>
      <c r="HNW11" s="1116"/>
      <c r="HNX11" s="1116"/>
      <c r="HNY11" s="1116"/>
      <c r="HNZ11" s="1116"/>
      <c r="HOA11" s="1116"/>
      <c r="HOB11" s="1116"/>
      <c r="HOC11" s="1116"/>
      <c r="HOD11" s="1116"/>
      <c r="HOE11" s="1116"/>
      <c r="HOF11" s="1116"/>
      <c r="HOG11" s="1116"/>
      <c r="HOH11" s="1116"/>
      <c r="HOI11" s="1116"/>
      <c r="HOJ11" s="1116"/>
      <c r="HOK11" s="1116"/>
      <c r="HOL11" s="1116"/>
      <c r="HOM11" s="1116"/>
      <c r="HON11" s="1116"/>
      <c r="HOO11" s="1116"/>
      <c r="HOP11" s="1116"/>
      <c r="HOQ11" s="1116"/>
      <c r="HOR11" s="1116"/>
      <c r="HOS11" s="1116"/>
      <c r="HOT11" s="1116"/>
      <c r="HOU11" s="1116"/>
      <c r="HOV11" s="1116"/>
      <c r="HOW11" s="1116"/>
      <c r="HOX11" s="1116"/>
      <c r="HOY11" s="1116"/>
      <c r="HOZ11" s="1116"/>
      <c r="HPA11" s="1116"/>
      <c r="HPB11" s="1116"/>
      <c r="HPC11" s="1116"/>
      <c r="HPD11" s="1116"/>
      <c r="HPE11" s="1116"/>
      <c r="HPF11" s="1116"/>
      <c r="HPG11" s="1116"/>
      <c r="HPH11" s="1116"/>
      <c r="HPI11" s="1116"/>
      <c r="HPJ11" s="1116"/>
      <c r="HPK11" s="1116"/>
      <c r="HPL11" s="1116"/>
      <c r="HPM11" s="1116"/>
      <c r="HPN11" s="1116"/>
      <c r="HPO11" s="1116"/>
      <c r="HPP11" s="1116"/>
      <c r="HPQ11" s="1116"/>
      <c r="HPR11" s="1116"/>
      <c r="HPS11" s="1116"/>
      <c r="HPT11" s="1116"/>
      <c r="HPU11" s="1116"/>
      <c r="HPV11" s="1116"/>
      <c r="HPW11" s="1116"/>
      <c r="HPX11" s="1116"/>
      <c r="HPY11" s="1116"/>
      <c r="HPZ11" s="1116"/>
      <c r="HQA11" s="1116"/>
      <c r="HQB11" s="1116"/>
      <c r="HQC11" s="1116"/>
      <c r="HQD11" s="1116"/>
      <c r="HQE11" s="1116"/>
      <c r="HQF11" s="1116"/>
      <c r="HQG11" s="1116"/>
      <c r="HQH11" s="1116"/>
      <c r="HQI11" s="1116"/>
      <c r="HQJ11" s="1116"/>
      <c r="HQK11" s="1116"/>
      <c r="HQL11" s="1116"/>
      <c r="HQM11" s="1116"/>
      <c r="HQN11" s="1116"/>
      <c r="HQO11" s="1116"/>
      <c r="HQP11" s="1116"/>
      <c r="HQQ11" s="1116"/>
      <c r="HQR11" s="1116"/>
      <c r="HQS11" s="1116"/>
      <c r="HQT11" s="1116"/>
      <c r="HQU11" s="1116"/>
      <c r="HQV11" s="1116"/>
      <c r="HQW11" s="1116"/>
      <c r="HQX11" s="1116"/>
      <c r="HQY11" s="1116"/>
      <c r="HQZ11" s="1116"/>
      <c r="HRA11" s="1116"/>
      <c r="HRB11" s="1116"/>
      <c r="HRC11" s="1116"/>
      <c r="HRD11" s="1116"/>
      <c r="HRE11" s="1116"/>
      <c r="HRF11" s="1116"/>
      <c r="HRG11" s="1116"/>
      <c r="HRH11" s="1116"/>
      <c r="HRI11" s="1116"/>
      <c r="HRJ11" s="1116"/>
      <c r="HRK11" s="1116"/>
      <c r="HRL11" s="1116"/>
      <c r="HRM11" s="1116"/>
      <c r="HRN11" s="1116"/>
      <c r="HRO11" s="1116"/>
      <c r="HRP11" s="1116"/>
      <c r="HRQ11" s="1116"/>
      <c r="HRR11" s="1116"/>
      <c r="HRS11" s="1116"/>
      <c r="HRT11" s="1116"/>
      <c r="HRU11" s="1116"/>
      <c r="HRV11" s="1116"/>
      <c r="HRW11" s="1116"/>
      <c r="HRX11" s="1116"/>
      <c r="HRY11" s="1116"/>
      <c r="HRZ11" s="1116"/>
      <c r="HSA11" s="1116"/>
      <c r="HSB11" s="1116"/>
      <c r="HSC11" s="1116"/>
      <c r="HSD11" s="1116"/>
      <c r="HSE11" s="1116"/>
      <c r="HSF11" s="1116"/>
      <c r="HSG11" s="1116"/>
      <c r="HSH11" s="1116"/>
      <c r="HSI11" s="1116"/>
      <c r="HSJ11" s="1116"/>
      <c r="HSK11" s="1116"/>
      <c r="HSL11" s="1116"/>
      <c r="HSM11" s="1116"/>
      <c r="HSN11" s="1116"/>
      <c r="HSO11" s="1116"/>
      <c r="HSP11" s="1116"/>
      <c r="HSQ11" s="1116"/>
      <c r="HSR11" s="1116"/>
      <c r="HSS11" s="1116"/>
      <c r="HST11" s="1116"/>
      <c r="HSU11" s="1116"/>
      <c r="HSV11" s="1116"/>
      <c r="HSW11" s="1116"/>
      <c r="HSX11" s="1116"/>
      <c r="HSY11" s="1116"/>
      <c r="HSZ11" s="1116"/>
      <c r="HTA11" s="1116"/>
      <c r="HTB11" s="1116"/>
      <c r="HTC11" s="1116"/>
      <c r="HTD11" s="1116"/>
      <c r="HTE11" s="1116"/>
      <c r="HTF11" s="1116"/>
      <c r="HTG11" s="1116"/>
      <c r="HTH11" s="1116"/>
      <c r="HTI11" s="1116"/>
      <c r="HTJ11" s="1116"/>
      <c r="HTK11" s="1116"/>
      <c r="HTL11" s="1116"/>
      <c r="HTM11" s="1116"/>
      <c r="HTN11" s="1116"/>
      <c r="HTO11" s="1116"/>
      <c r="HTP11" s="1116"/>
      <c r="HTQ11" s="1116"/>
      <c r="HTR11" s="1116"/>
      <c r="HTS11" s="1116"/>
      <c r="HTT11" s="1116"/>
      <c r="HTU11" s="1116"/>
      <c r="HTV11" s="1116"/>
      <c r="HTW11" s="1116"/>
      <c r="HTX11" s="1116"/>
      <c r="HTY11" s="1116"/>
      <c r="HTZ11" s="1116"/>
      <c r="HUA11" s="1116"/>
      <c r="HUB11" s="1116"/>
      <c r="HUC11" s="1116"/>
      <c r="HUD11" s="1116"/>
      <c r="HUE11" s="1116"/>
      <c r="HUF11" s="1116"/>
      <c r="HUG11" s="1116"/>
      <c r="HUH11" s="1116"/>
      <c r="HUI11" s="1116"/>
      <c r="HUJ11" s="1116"/>
      <c r="HUK11" s="1116"/>
      <c r="HUL11" s="1116"/>
      <c r="HUM11" s="1116"/>
      <c r="HUN11" s="1116"/>
      <c r="HUO11" s="1116"/>
      <c r="HUP11" s="1116"/>
      <c r="HUQ11" s="1116"/>
      <c r="HUR11" s="1116"/>
      <c r="HUS11" s="1116"/>
      <c r="HUT11" s="1116"/>
      <c r="HUU11" s="1116"/>
      <c r="HUV11" s="1116"/>
      <c r="HUW11" s="1116"/>
      <c r="HUX11" s="1116"/>
      <c r="HUY11" s="1116"/>
      <c r="HUZ11" s="1116"/>
      <c r="HVA11" s="1116"/>
      <c r="HVB11" s="1116"/>
      <c r="HVC11" s="1116"/>
      <c r="HVD11" s="1116"/>
      <c r="HVE11" s="1116"/>
      <c r="HVF11" s="1116"/>
      <c r="HVG11" s="1116"/>
      <c r="HVH11" s="1116"/>
      <c r="HVI11" s="1116"/>
      <c r="HVJ11" s="1116"/>
      <c r="HVK11" s="1116"/>
      <c r="HVL11" s="1116"/>
      <c r="HVM11" s="1116"/>
      <c r="HVN11" s="1116"/>
      <c r="HVO11" s="1116"/>
      <c r="HVP11" s="1116"/>
      <c r="HVQ11" s="1116"/>
      <c r="HVR11" s="1116"/>
      <c r="HVS11" s="1116"/>
      <c r="HVT11" s="1116"/>
      <c r="HVU11" s="1116"/>
      <c r="HVV11" s="1116"/>
      <c r="HVW11" s="1116"/>
      <c r="HVX11" s="1116"/>
      <c r="HVY11" s="1116"/>
      <c r="HVZ11" s="1116"/>
      <c r="HWA11" s="1116"/>
      <c r="HWB11" s="1116"/>
      <c r="HWC11" s="1116"/>
      <c r="HWD11" s="1116"/>
      <c r="HWE11" s="1116"/>
      <c r="HWF11" s="1116"/>
      <c r="HWG11" s="1116"/>
      <c r="HWH11" s="1116"/>
      <c r="HWI11" s="1116"/>
      <c r="HWJ11" s="1116"/>
      <c r="HWK11" s="1116"/>
      <c r="HWL11" s="1116"/>
      <c r="HWM11" s="1116"/>
      <c r="HWN11" s="1116"/>
      <c r="HWO11" s="1116"/>
      <c r="HWP11" s="1116"/>
      <c r="HWQ11" s="1116"/>
      <c r="HWR11" s="1116"/>
      <c r="HWS11" s="1116"/>
      <c r="HWT11" s="1116"/>
      <c r="HWU11" s="1116"/>
      <c r="HWV11" s="1116"/>
      <c r="HWW11" s="1116"/>
      <c r="HWX11" s="1116"/>
      <c r="HWY11" s="1116"/>
      <c r="HWZ11" s="1116"/>
      <c r="HXA11" s="1116"/>
      <c r="HXB11" s="1116"/>
      <c r="HXC11" s="1116"/>
      <c r="HXD11" s="1116"/>
      <c r="HXE11" s="1116"/>
      <c r="HXF11" s="1116"/>
      <c r="HXG11" s="1116"/>
      <c r="HXH11" s="1116"/>
      <c r="HXI11" s="1116"/>
      <c r="HXJ11" s="1116"/>
      <c r="HXK11" s="1116"/>
      <c r="HXL11" s="1116"/>
      <c r="HXM11" s="1116"/>
      <c r="HXN11" s="1116"/>
      <c r="HXO11" s="1116"/>
      <c r="HXP11" s="1116"/>
      <c r="HXQ11" s="1116"/>
      <c r="HXR11" s="1116"/>
      <c r="HXS11" s="1116"/>
      <c r="HXT11" s="1116"/>
      <c r="HXU11" s="1116"/>
      <c r="HXV11" s="1116"/>
      <c r="HXW11" s="1116"/>
      <c r="HXX11" s="1116"/>
      <c r="HXY11" s="1116"/>
      <c r="HXZ11" s="1116"/>
      <c r="HYA11" s="1116"/>
      <c r="HYB11" s="1116"/>
      <c r="HYC11" s="1116"/>
      <c r="HYD11" s="1116"/>
      <c r="HYE11" s="1116"/>
      <c r="HYF11" s="1116"/>
      <c r="HYG11" s="1116"/>
      <c r="HYH11" s="1116"/>
      <c r="HYI11" s="1116"/>
      <c r="HYJ11" s="1116"/>
      <c r="HYK11" s="1116"/>
      <c r="HYL11" s="1116"/>
      <c r="HYM11" s="1116"/>
      <c r="HYN11" s="1116"/>
      <c r="HYO11" s="1116"/>
      <c r="HYP11" s="1116"/>
      <c r="HYQ11" s="1116"/>
      <c r="HYR11" s="1116"/>
      <c r="HYS11" s="1116"/>
      <c r="HYT11" s="1116"/>
      <c r="HYU11" s="1116"/>
      <c r="HYV11" s="1116"/>
      <c r="HYW11" s="1116"/>
      <c r="HYX11" s="1116"/>
      <c r="HYY11" s="1116"/>
      <c r="HYZ11" s="1116"/>
      <c r="HZA11" s="1116"/>
      <c r="HZB11" s="1116"/>
      <c r="HZC11" s="1116"/>
      <c r="HZD11" s="1116"/>
      <c r="HZE11" s="1116"/>
      <c r="HZF11" s="1116"/>
      <c r="HZG11" s="1116"/>
      <c r="HZH11" s="1116"/>
      <c r="HZI11" s="1116"/>
      <c r="HZJ11" s="1116"/>
      <c r="HZK11" s="1116"/>
      <c r="HZL11" s="1116"/>
      <c r="HZM11" s="1116"/>
      <c r="HZN11" s="1116"/>
      <c r="HZO11" s="1116"/>
      <c r="HZP11" s="1116"/>
      <c r="HZQ11" s="1116"/>
      <c r="HZR11" s="1116"/>
      <c r="HZS11" s="1116"/>
      <c r="HZT11" s="1116"/>
      <c r="HZU11" s="1116"/>
      <c r="HZV11" s="1116"/>
      <c r="HZW11" s="1116"/>
      <c r="HZX11" s="1116"/>
      <c r="HZY11" s="1116"/>
      <c r="HZZ11" s="1116"/>
      <c r="IAA11" s="1116"/>
      <c r="IAB11" s="1116"/>
      <c r="IAC11" s="1116"/>
      <c r="IAD11" s="1116"/>
      <c r="IAE11" s="1116"/>
      <c r="IAF11" s="1116"/>
      <c r="IAG11" s="1116"/>
      <c r="IAH11" s="1116"/>
      <c r="IAI11" s="1116"/>
      <c r="IAJ11" s="1116"/>
      <c r="IAK11" s="1116"/>
      <c r="IAL11" s="1116"/>
      <c r="IAM11" s="1116"/>
      <c r="IAN11" s="1116"/>
      <c r="IAO11" s="1116"/>
      <c r="IAP11" s="1116"/>
      <c r="IAQ11" s="1116"/>
      <c r="IAR11" s="1116"/>
      <c r="IAS11" s="1116"/>
      <c r="IAT11" s="1116"/>
      <c r="IAU11" s="1116"/>
      <c r="IAV11" s="1116"/>
      <c r="IAW11" s="1116"/>
      <c r="IAX11" s="1116"/>
      <c r="IAY11" s="1116"/>
      <c r="IAZ11" s="1116"/>
      <c r="IBA11" s="1116"/>
      <c r="IBB11" s="1116"/>
      <c r="IBC11" s="1116"/>
      <c r="IBD11" s="1116"/>
      <c r="IBE11" s="1116"/>
      <c r="IBF11" s="1116"/>
      <c r="IBG11" s="1116"/>
      <c r="IBH11" s="1116"/>
      <c r="IBI11" s="1116"/>
      <c r="IBJ11" s="1116"/>
      <c r="IBK11" s="1116"/>
      <c r="IBL11" s="1116"/>
      <c r="IBM11" s="1116"/>
      <c r="IBN11" s="1116"/>
      <c r="IBO11" s="1116"/>
      <c r="IBP11" s="1116"/>
      <c r="IBQ11" s="1116"/>
      <c r="IBR11" s="1116"/>
      <c r="IBS11" s="1116"/>
      <c r="IBT11" s="1116"/>
      <c r="IBU11" s="1116"/>
      <c r="IBV11" s="1116"/>
      <c r="IBW11" s="1116"/>
      <c r="IBX11" s="1116"/>
      <c r="IBY11" s="1116"/>
      <c r="IBZ11" s="1116"/>
      <c r="ICA11" s="1116"/>
      <c r="ICB11" s="1116"/>
      <c r="ICC11" s="1116"/>
      <c r="ICD11" s="1116"/>
      <c r="ICE11" s="1116"/>
      <c r="ICF11" s="1116"/>
      <c r="ICG11" s="1116"/>
      <c r="ICH11" s="1116"/>
      <c r="ICI11" s="1116"/>
      <c r="ICJ11" s="1116"/>
      <c r="ICK11" s="1116"/>
      <c r="ICL11" s="1116"/>
      <c r="ICM11" s="1116"/>
      <c r="ICN11" s="1116"/>
      <c r="ICO11" s="1116"/>
      <c r="ICP11" s="1116"/>
      <c r="ICQ11" s="1116"/>
      <c r="ICR11" s="1116"/>
      <c r="ICS11" s="1116"/>
      <c r="ICT11" s="1116"/>
      <c r="ICU11" s="1116"/>
      <c r="ICV11" s="1116"/>
      <c r="ICW11" s="1116"/>
      <c r="ICX11" s="1116"/>
      <c r="ICY11" s="1116"/>
      <c r="ICZ11" s="1116"/>
      <c r="IDA11" s="1116"/>
      <c r="IDB11" s="1116"/>
      <c r="IDC11" s="1116"/>
      <c r="IDD11" s="1116"/>
      <c r="IDE11" s="1116"/>
      <c r="IDF11" s="1116"/>
      <c r="IDG11" s="1116"/>
      <c r="IDH11" s="1116"/>
      <c r="IDI11" s="1116"/>
      <c r="IDJ11" s="1116"/>
      <c r="IDK11" s="1116"/>
      <c r="IDL11" s="1116"/>
      <c r="IDM11" s="1116"/>
      <c r="IDN11" s="1116"/>
      <c r="IDO11" s="1116"/>
      <c r="IDP11" s="1116"/>
      <c r="IDQ11" s="1116"/>
      <c r="IDR11" s="1116"/>
      <c r="IDS11" s="1116"/>
      <c r="IDT11" s="1116"/>
      <c r="IDU11" s="1116"/>
      <c r="IDV11" s="1116"/>
      <c r="IDW11" s="1116"/>
      <c r="IDX11" s="1116"/>
      <c r="IDY11" s="1116"/>
      <c r="IDZ11" s="1116"/>
      <c r="IEA11" s="1116"/>
      <c r="IEB11" s="1116"/>
      <c r="IEC11" s="1116"/>
      <c r="IED11" s="1116"/>
      <c r="IEE11" s="1116"/>
      <c r="IEF11" s="1116"/>
      <c r="IEG11" s="1116"/>
      <c r="IEH11" s="1116"/>
      <c r="IEI11" s="1116"/>
      <c r="IEJ11" s="1116"/>
      <c r="IEK11" s="1116"/>
      <c r="IEL11" s="1116"/>
      <c r="IEM11" s="1116"/>
      <c r="IEN11" s="1116"/>
      <c r="IEO11" s="1116"/>
      <c r="IEP11" s="1116"/>
      <c r="IEQ11" s="1116"/>
      <c r="IER11" s="1116"/>
      <c r="IES11" s="1116"/>
      <c r="IET11" s="1116"/>
      <c r="IEU11" s="1116"/>
      <c r="IEV11" s="1116"/>
      <c r="IEW11" s="1116"/>
      <c r="IEX11" s="1116"/>
      <c r="IEY11" s="1116"/>
      <c r="IEZ11" s="1116"/>
      <c r="IFA11" s="1116"/>
      <c r="IFB11" s="1116"/>
      <c r="IFC11" s="1116"/>
      <c r="IFD11" s="1116"/>
      <c r="IFE11" s="1116"/>
      <c r="IFF11" s="1116"/>
      <c r="IFG11" s="1116"/>
      <c r="IFH11" s="1116"/>
      <c r="IFI11" s="1116"/>
      <c r="IFJ11" s="1116"/>
      <c r="IFK11" s="1116"/>
      <c r="IFL11" s="1116"/>
      <c r="IFM11" s="1116"/>
      <c r="IFN11" s="1116"/>
      <c r="IFO11" s="1116"/>
      <c r="IFP11" s="1116"/>
      <c r="IFQ11" s="1116"/>
      <c r="IFR11" s="1116"/>
      <c r="IFS11" s="1116"/>
      <c r="IFT11" s="1116"/>
      <c r="IFU11" s="1116"/>
      <c r="IFV11" s="1116"/>
      <c r="IFW11" s="1116"/>
      <c r="IFX11" s="1116"/>
      <c r="IFY11" s="1116"/>
      <c r="IFZ11" s="1116"/>
      <c r="IGA11" s="1116"/>
      <c r="IGB11" s="1116"/>
      <c r="IGC11" s="1116"/>
      <c r="IGD11" s="1116"/>
      <c r="IGE11" s="1116"/>
      <c r="IGF11" s="1116"/>
      <c r="IGG11" s="1116"/>
      <c r="IGH11" s="1116"/>
      <c r="IGI11" s="1116"/>
      <c r="IGJ11" s="1116"/>
      <c r="IGK11" s="1116"/>
      <c r="IGL11" s="1116"/>
      <c r="IGM11" s="1116"/>
      <c r="IGN11" s="1116"/>
      <c r="IGO11" s="1116"/>
      <c r="IGP11" s="1116"/>
      <c r="IGQ11" s="1116"/>
      <c r="IGR11" s="1116"/>
      <c r="IGS11" s="1116"/>
      <c r="IGT11" s="1116"/>
      <c r="IGU11" s="1116"/>
      <c r="IGV11" s="1116"/>
      <c r="IGW11" s="1116"/>
      <c r="IGX11" s="1116"/>
      <c r="IGY11" s="1116"/>
      <c r="IGZ11" s="1116"/>
      <c r="IHA11" s="1116"/>
      <c r="IHB11" s="1116"/>
      <c r="IHC11" s="1116"/>
      <c r="IHD11" s="1116"/>
      <c r="IHE11" s="1116"/>
      <c r="IHF11" s="1116"/>
      <c r="IHG11" s="1116"/>
      <c r="IHH11" s="1116"/>
      <c r="IHI11" s="1116"/>
      <c r="IHJ11" s="1116"/>
      <c r="IHK11" s="1116"/>
      <c r="IHL11" s="1116"/>
      <c r="IHM11" s="1116"/>
      <c r="IHN11" s="1116"/>
      <c r="IHO11" s="1116"/>
      <c r="IHP11" s="1116"/>
      <c r="IHQ11" s="1116"/>
      <c r="IHR11" s="1116"/>
      <c r="IHS11" s="1116"/>
      <c r="IHT11" s="1116"/>
      <c r="IHU11" s="1116"/>
      <c r="IHV11" s="1116"/>
      <c r="IHW11" s="1116"/>
      <c r="IHX11" s="1116"/>
      <c r="IHY11" s="1116"/>
      <c r="IHZ11" s="1116"/>
      <c r="IIA11" s="1116"/>
      <c r="IIB11" s="1116"/>
      <c r="IIC11" s="1116"/>
      <c r="IID11" s="1116"/>
      <c r="IIE11" s="1116"/>
      <c r="IIF11" s="1116"/>
      <c r="IIG11" s="1116"/>
      <c r="IIH11" s="1116"/>
      <c r="III11" s="1116"/>
      <c r="IIJ11" s="1116"/>
      <c r="IIK11" s="1116"/>
      <c r="IIL11" s="1116"/>
      <c r="IIM11" s="1116"/>
      <c r="IIN11" s="1116"/>
      <c r="IIO11" s="1116"/>
      <c r="IIP11" s="1116"/>
      <c r="IIQ11" s="1116"/>
      <c r="IIR11" s="1116"/>
      <c r="IIS11" s="1116"/>
      <c r="IIT11" s="1116"/>
      <c r="IIU11" s="1116"/>
      <c r="IIV11" s="1116"/>
      <c r="IIW11" s="1116"/>
      <c r="IIX11" s="1116"/>
      <c r="IIY11" s="1116"/>
      <c r="IIZ11" s="1116"/>
      <c r="IJA11" s="1116"/>
      <c r="IJB11" s="1116"/>
      <c r="IJC11" s="1116"/>
      <c r="IJD11" s="1116"/>
      <c r="IJE11" s="1116"/>
      <c r="IJF11" s="1116"/>
      <c r="IJG11" s="1116"/>
      <c r="IJH11" s="1116"/>
      <c r="IJI11" s="1116"/>
      <c r="IJJ11" s="1116"/>
      <c r="IJK11" s="1116"/>
      <c r="IJL11" s="1116"/>
      <c r="IJM11" s="1116"/>
      <c r="IJN11" s="1116"/>
      <c r="IJO11" s="1116"/>
      <c r="IJP11" s="1116"/>
      <c r="IJQ11" s="1116"/>
      <c r="IJR11" s="1116"/>
      <c r="IJS11" s="1116"/>
      <c r="IJT11" s="1116"/>
      <c r="IJU11" s="1116"/>
      <c r="IJV11" s="1116"/>
      <c r="IJW11" s="1116"/>
      <c r="IJX11" s="1116"/>
      <c r="IJY11" s="1116"/>
      <c r="IJZ11" s="1116"/>
      <c r="IKA11" s="1116"/>
      <c r="IKB11" s="1116"/>
      <c r="IKC11" s="1116"/>
      <c r="IKD11" s="1116"/>
      <c r="IKE11" s="1116"/>
      <c r="IKF11" s="1116"/>
      <c r="IKG11" s="1116"/>
      <c r="IKH11" s="1116"/>
      <c r="IKI11" s="1116"/>
      <c r="IKJ11" s="1116"/>
      <c r="IKK11" s="1116"/>
      <c r="IKL11" s="1116"/>
      <c r="IKM11" s="1116"/>
      <c r="IKN11" s="1116"/>
      <c r="IKO11" s="1116"/>
      <c r="IKP11" s="1116"/>
      <c r="IKQ11" s="1116"/>
      <c r="IKR11" s="1116"/>
      <c r="IKS11" s="1116"/>
      <c r="IKT11" s="1116"/>
      <c r="IKU11" s="1116"/>
      <c r="IKV11" s="1116"/>
      <c r="IKW11" s="1116"/>
      <c r="IKX11" s="1116"/>
      <c r="IKY11" s="1116"/>
      <c r="IKZ11" s="1116"/>
      <c r="ILA11" s="1116"/>
      <c r="ILB11" s="1116"/>
      <c r="ILC11" s="1116"/>
      <c r="ILD11" s="1116"/>
      <c r="ILE11" s="1116"/>
      <c r="ILF11" s="1116"/>
      <c r="ILG11" s="1116"/>
      <c r="ILH11" s="1116"/>
      <c r="ILI11" s="1116"/>
      <c r="ILJ11" s="1116"/>
      <c r="ILK11" s="1116"/>
      <c r="ILL11" s="1116"/>
      <c r="ILM11" s="1116"/>
      <c r="ILN11" s="1116"/>
      <c r="ILO11" s="1116"/>
      <c r="ILP11" s="1116"/>
      <c r="ILQ11" s="1116"/>
      <c r="ILR11" s="1116"/>
      <c r="ILS11" s="1116"/>
      <c r="ILT11" s="1116"/>
      <c r="ILU11" s="1116"/>
      <c r="ILV11" s="1116"/>
      <c r="ILW11" s="1116"/>
      <c r="ILX11" s="1116"/>
      <c r="ILY11" s="1116"/>
      <c r="ILZ11" s="1116"/>
      <c r="IMA11" s="1116"/>
      <c r="IMB11" s="1116"/>
      <c r="IMC11" s="1116"/>
      <c r="IMD11" s="1116"/>
      <c r="IME11" s="1116"/>
      <c r="IMF11" s="1116"/>
      <c r="IMG11" s="1116"/>
      <c r="IMH11" s="1116"/>
      <c r="IMI11" s="1116"/>
      <c r="IMJ11" s="1116"/>
      <c r="IMK11" s="1116"/>
      <c r="IML11" s="1116"/>
      <c r="IMM11" s="1116"/>
      <c r="IMN11" s="1116"/>
      <c r="IMO11" s="1116"/>
      <c r="IMP11" s="1116"/>
      <c r="IMQ11" s="1116"/>
      <c r="IMR11" s="1116"/>
      <c r="IMS11" s="1116"/>
      <c r="IMT11" s="1116"/>
      <c r="IMU11" s="1116"/>
      <c r="IMV11" s="1116"/>
      <c r="IMW11" s="1116"/>
      <c r="IMX11" s="1116"/>
      <c r="IMY11" s="1116"/>
      <c r="IMZ11" s="1116"/>
      <c r="INA11" s="1116"/>
      <c r="INB11" s="1116"/>
      <c r="INC11" s="1116"/>
      <c r="IND11" s="1116"/>
      <c r="INE11" s="1116"/>
      <c r="INF11" s="1116"/>
      <c r="ING11" s="1116"/>
      <c r="INH11" s="1116"/>
      <c r="INI11" s="1116"/>
      <c r="INJ11" s="1116"/>
      <c r="INK11" s="1116"/>
      <c r="INL11" s="1116"/>
      <c r="INM11" s="1116"/>
      <c r="INN11" s="1116"/>
      <c r="INO11" s="1116"/>
      <c r="INP11" s="1116"/>
      <c r="INQ11" s="1116"/>
      <c r="INR11" s="1116"/>
      <c r="INS11" s="1116"/>
      <c r="INT11" s="1116"/>
      <c r="INU11" s="1116"/>
      <c r="INV11" s="1116"/>
      <c r="INW11" s="1116"/>
      <c r="INX11" s="1116"/>
      <c r="INY11" s="1116"/>
      <c r="INZ11" s="1116"/>
      <c r="IOA11" s="1116"/>
      <c r="IOB11" s="1116"/>
      <c r="IOC11" s="1116"/>
      <c r="IOD11" s="1116"/>
      <c r="IOE11" s="1116"/>
      <c r="IOF11" s="1116"/>
      <c r="IOG11" s="1116"/>
      <c r="IOH11" s="1116"/>
      <c r="IOI11" s="1116"/>
      <c r="IOJ11" s="1116"/>
      <c r="IOK11" s="1116"/>
      <c r="IOL11" s="1116"/>
      <c r="IOM11" s="1116"/>
      <c r="ION11" s="1116"/>
      <c r="IOO11" s="1116"/>
      <c r="IOP11" s="1116"/>
      <c r="IOQ11" s="1116"/>
      <c r="IOR11" s="1116"/>
      <c r="IOS11" s="1116"/>
      <c r="IOT11" s="1116"/>
      <c r="IOU11" s="1116"/>
      <c r="IOV11" s="1116"/>
      <c r="IOW11" s="1116"/>
      <c r="IOX11" s="1116"/>
      <c r="IOY11" s="1116"/>
      <c r="IOZ11" s="1116"/>
      <c r="IPA11" s="1116"/>
      <c r="IPB11" s="1116"/>
      <c r="IPC11" s="1116"/>
      <c r="IPD11" s="1116"/>
      <c r="IPE11" s="1116"/>
      <c r="IPF11" s="1116"/>
      <c r="IPG11" s="1116"/>
      <c r="IPH11" s="1116"/>
      <c r="IPI11" s="1116"/>
      <c r="IPJ11" s="1116"/>
      <c r="IPK11" s="1116"/>
      <c r="IPL11" s="1116"/>
      <c r="IPM11" s="1116"/>
      <c r="IPN11" s="1116"/>
      <c r="IPO11" s="1116"/>
      <c r="IPP11" s="1116"/>
      <c r="IPQ11" s="1116"/>
      <c r="IPR11" s="1116"/>
      <c r="IPS11" s="1116"/>
      <c r="IPT11" s="1116"/>
      <c r="IPU11" s="1116"/>
      <c r="IPV11" s="1116"/>
      <c r="IPW11" s="1116"/>
      <c r="IPX11" s="1116"/>
      <c r="IPY11" s="1116"/>
      <c r="IPZ11" s="1116"/>
      <c r="IQA11" s="1116"/>
      <c r="IQB11" s="1116"/>
      <c r="IQC11" s="1116"/>
      <c r="IQD11" s="1116"/>
      <c r="IQE11" s="1116"/>
      <c r="IQF11" s="1116"/>
      <c r="IQG11" s="1116"/>
      <c r="IQH11" s="1116"/>
      <c r="IQI11" s="1116"/>
      <c r="IQJ11" s="1116"/>
      <c r="IQK11" s="1116"/>
      <c r="IQL11" s="1116"/>
      <c r="IQM11" s="1116"/>
      <c r="IQN11" s="1116"/>
      <c r="IQO11" s="1116"/>
      <c r="IQP11" s="1116"/>
      <c r="IQQ11" s="1116"/>
      <c r="IQR11" s="1116"/>
      <c r="IQS11" s="1116"/>
      <c r="IQT11" s="1116"/>
      <c r="IQU11" s="1116"/>
      <c r="IQV11" s="1116"/>
      <c r="IQW11" s="1116"/>
      <c r="IQX11" s="1116"/>
      <c r="IQY11" s="1116"/>
      <c r="IQZ11" s="1116"/>
      <c r="IRA11" s="1116"/>
      <c r="IRB11" s="1116"/>
      <c r="IRC11" s="1116"/>
      <c r="IRD11" s="1116"/>
      <c r="IRE11" s="1116"/>
      <c r="IRF11" s="1116"/>
      <c r="IRG11" s="1116"/>
      <c r="IRH11" s="1116"/>
      <c r="IRI11" s="1116"/>
      <c r="IRJ11" s="1116"/>
      <c r="IRK11" s="1116"/>
      <c r="IRL11" s="1116"/>
      <c r="IRM11" s="1116"/>
      <c r="IRN11" s="1116"/>
      <c r="IRO11" s="1116"/>
      <c r="IRP11" s="1116"/>
      <c r="IRQ11" s="1116"/>
      <c r="IRR11" s="1116"/>
      <c r="IRS11" s="1116"/>
      <c r="IRT11" s="1116"/>
      <c r="IRU11" s="1116"/>
      <c r="IRV11" s="1116"/>
      <c r="IRW11" s="1116"/>
      <c r="IRX11" s="1116"/>
      <c r="IRY11" s="1116"/>
      <c r="IRZ11" s="1116"/>
      <c r="ISA11" s="1116"/>
      <c r="ISB11" s="1116"/>
      <c r="ISC11" s="1116"/>
      <c r="ISD11" s="1116"/>
      <c r="ISE11" s="1116"/>
      <c r="ISF11" s="1116"/>
      <c r="ISG11" s="1116"/>
      <c r="ISH11" s="1116"/>
      <c r="ISI11" s="1116"/>
      <c r="ISJ11" s="1116"/>
      <c r="ISK11" s="1116"/>
      <c r="ISL11" s="1116"/>
      <c r="ISM11" s="1116"/>
      <c r="ISN11" s="1116"/>
      <c r="ISO11" s="1116"/>
      <c r="ISP11" s="1116"/>
      <c r="ISQ11" s="1116"/>
      <c r="ISR11" s="1116"/>
      <c r="ISS11" s="1116"/>
      <c r="IST11" s="1116"/>
      <c r="ISU11" s="1116"/>
      <c r="ISV11" s="1116"/>
      <c r="ISW11" s="1116"/>
      <c r="ISX11" s="1116"/>
      <c r="ISY11" s="1116"/>
      <c r="ISZ11" s="1116"/>
      <c r="ITA11" s="1116"/>
      <c r="ITB11" s="1116"/>
      <c r="ITC11" s="1116"/>
      <c r="ITD11" s="1116"/>
      <c r="ITE11" s="1116"/>
      <c r="ITF11" s="1116"/>
      <c r="ITG11" s="1116"/>
      <c r="ITH11" s="1116"/>
      <c r="ITI11" s="1116"/>
      <c r="ITJ11" s="1116"/>
      <c r="ITK11" s="1116"/>
      <c r="ITL11" s="1116"/>
      <c r="ITM11" s="1116"/>
      <c r="ITN11" s="1116"/>
      <c r="ITO11" s="1116"/>
      <c r="ITP11" s="1116"/>
      <c r="ITQ11" s="1116"/>
      <c r="ITR11" s="1116"/>
      <c r="ITS11" s="1116"/>
      <c r="ITT11" s="1116"/>
      <c r="ITU11" s="1116"/>
      <c r="ITV11" s="1116"/>
      <c r="ITW11" s="1116"/>
      <c r="ITX11" s="1116"/>
      <c r="ITY11" s="1116"/>
      <c r="ITZ11" s="1116"/>
      <c r="IUA11" s="1116"/>
      <c r="IUB11" s="1116"/>
      <c r="IUC11" s="1116"/>
      <c r="IUD11" s="1116"/>
      <c r="IUE11" s="1116"/>
      <c r="IUF11" s="1116"/>
      <c r="IUG11" s="1116"/>
      <c r="IUH11" s="1116"/>
      <c r="IUI11" s="1116"/>
      <c r="IUJ11" s="1116"/>
      <c r="IUK11" s="1116"/>
      <c r="IUL11" s="1116"/>
      <c r="IUM11" s="1116"/>
      <c r="IUN11" s="1116"/>
      <c r="IUO11" s="1116"/>
      <c r="IUP11" s="1116"/>
      <c r="IUQ11" s="1116"/>
      <c r="IUR11" s="1116"/>
      <c r="IUS11" s="1116"/>
      <c r="IUT11" s="1116"/>
      <c r="IUU11" s="1116"/>
      <c r="IUV11" s="1116"/>
      <c r="IUW11" s="1116"/>
      <c r="IUX11" s="1116"/>
      <c r="IUY11" s="1116"/>
      <c r="IUZ11" s="1116"/>
      <c r="IVA11" s="1116"/>
      <c r="IVB11" s="1116"/>
      <c r="IVC11" s="1116"/>
      <c r="IVD11" s="1116"/>
      <c r="IVE11" s="1116"/>
      <c r="IVF11" s="1116"/>
      <c r="IVG11" s="1116"/>
      <c r="IVH11" s="1116"/>
      <c r="IVI11" s="1116"/>
      <c r="IVJ11" s="1116"/>
      <c r="IVK11" s="1116"/>
      <c r="IVL11" s="1116"/>
      <c r="IVM11" s="1116"/>
      <c r="IVN11" s="1116"/>
      <c r="IVO11" s="1116"/>
      <c r="IVP11" s="1116"/>
      <c r="IVQ11" s="1116"/>
      <c r="IVR11" s="1116"/>
      <c r="IVS11" s="1116"/>
      <c r="IVT11" s="1116"/>
      <c r="IVU11" s="1116"/>
      <c r="IVV11" s="1116"/>
      <c r="IVW11" s="1116"/>
      <c r="IVX11" s="1116"/>
      <c r="IVY11" s="1116"/>
      <c r="IVZ11" s="1116"/>
      <c r="IWA11" s="1116"/>
      <c r="IWB11" s="1116"/>
      <c r="IWC11" s="1116"/>
      <c r="IWD11" s="1116"/>
      <c r="IWE11" s="1116"/>
      <c r="IWF11" s="1116"/>
      <c r="IWG11" s="1116"/>
      <c r="IWH11" s="1116"/>
      <c r="IWI11" s="1116"/>
      <c r="IWJ11" s="1116"/>
      <c r="IWK11" s="1116"/>
      <c r="IWL11" s="1116"/>
      <c r="IWM11" s="1116"/>
      <c r="IWN11" s="1116"/>
      <c r="IWO11" s="1116"/>
      <c r="IWP11" s="1116"/>
      <c r="IWQ11" s="1116"/>
      <c r="IWR11" s="1116"/>
      <c r="IWS11" s="1116"/>
      <c r="IWT11" s="1116"/>
      <c r="IWU11" s="1116"/>
      <c r="IWV11" s="1116"/>
      <c r="IWW11" s="1116"/>
      <c r="IWX11" s="1116"/>
      <c r="IWY11" s="1116"/>
      <c r="IWZ11" s="1116"/>
      <c r="IXA11" s="1116"/>
      <c r="IXB11" s="1116"/>
      <c r="IXC11" s="1116"/>
      <c r="IXD11" s="1116"/>
      <c r="IXE11" s="1116"/>
      <c r="IXF11" s="1116"/>
      <c r="IXG11" s="1116"/>
      <c r="IXH11" s="1116"/>
      <c r="IXI11" s="1116"/>
      <c r="IXJ11" s="1116"/>
      <c r="IXK11" s="1116"/>
      <c r="IXL11" s="1116"/>
      <c r="IXM11" s="1116"/>
      <c r="IXN11" s="1116"/>
      <c r="IXO11" s="1116"/>
      <c r="IXP11" s="1116"/>
      <c r="IXQ11" s="1116"/>
      <c r="IXR11" s="1116"/>
      <c r="IXS11" s="1116"/>
      <c r="IXT11" s="1116"/>
      <c r="IXU11" s="1116"/>
      <c r="IXV11" s="1116"/>
      <c r="IXW11" s="1116"/>
      <c r="IXX11" s="1116"/>
      <c r="IXY11" s="1116"/>
      <c r="IXZ11" s="1116"/>
      <c r="IYA11" s="1116"/>
      <c r="IYB11" s="1116"/>
      <c r="IYC11" s="1116"/>
      <c r="IYD11" s="1116"/>
      <c r="IYE11" s="1116"/>
      <c r="IYF11" s="1116"/>
      <c r="IYG11" s="1116"/>
      <c r="IYH11" s="1116"/>
      <c r="IYI11" s="1116"/>
      <c r="IYJ11" s="1116"/>
      <c r="IYK11" s="1116"/>
      <c r="IYL11" s="1116"/>
      <c r="IYM11" s="1116"/>
      <c r="IYN11" s="1116"/>
      <c r="IYO11" s="1116"/>
      <c r="IYP11" s="1116"/>
      <c r="IYQ11" s="1116"/>
      <c r="IYR11" s="1116"/>
      <c r="IYS11" s="1116"/>
      <c r="IYT11" s="1116"/>
      <c r="IYU11" s="1116"/>
      <c r="IYV11" s="1116"/>
      <c r="IYW11" s="1116"/>
      <c r="IYX11" s="1116"/>
      <c r="IYY11" s="1116"/>
      <c r="IYZ11" s="1116"/>
      <c r="IZA11" s="1116"/>
      <c r="IZB11" s="1116"/>
      <c r="IZC11" s="1116"/>
      <c r="IZD11" s="1116"/>
      <c r="IZE11" s="1116"/>
      <c r="IZF11" s="1116"/>
      <c r="IZG11" s="1116"/>
      <c r="IZH11" s="1116"/>
      <c r="IZI11" s="1116"/>
      <c r="IZJ11" s="1116"/>
      <c r="IZK11" s="1116"/>
      <c r="IZL11" s="1116"/>
      <c r="IZM11" s="1116"/>
      <c r="IZN11" s="1116"/>
      <c r="IZO11" s="1116"/>
      <c r="IZP11" s="1116"/>
      <c r="IZQ11" s="1116"/>
      <c r="IZR11" s="1116"/>
      <c r="IZS11" s="1116"/>
      <c r="IZT11" s="1116"/>
      <c r="IZU11" s="1116"/>
      <c r="IZV11" s="1116"/>
      <c r="IZW11" s="1116"/>
      <c r="IZX11" s="1116"/>
      <c r="IZY11" s="1116"/>
      <c r="IZZ11" s="1116"/>
      <c r="JAA11" s="1116"/>
      <c r="JAB11" s="1116"/>
      <c r="JAC11" s="1116"/>
      <c r="JAD11" s="1116"/>
      <c r="JAE11" s="1116"/>
      <c r="JAF11" s="1116"/>
      <c r="JAG11" s="1116"/>
      <c r="JAH11" s="1116"/>
      <c r="JAI11" s="1116"/>
      <c r="JAJ11" s="1116"/>
      <c r="JAK11" s="1116"/>
      <c r="JAL11" s="1116"/>
      <c r="JAM11" s="1116"/>
      <c r="JAN11" s="1116"/>
      <c r="JAO11" s="1116"/>
      <c r="JAP11" s="1116"/>
      <c r="JAQ11" s="1116"/>
      <c r="JAR11" s="1116"/>
      <c r="JAS11" s="1116"/>
      <c r="JAT11" s="1116"/>
      <c r="JAU11" s="1116"/>
      <c r="JAV11" s="1116"/>
      <c r="JAW11" s="1116"/>
      <c r="JAX11" s="1116"/>
      <c r="JAY11" s="1116"/>
      <c r="JAZ11" s="1116"/>
      <c r="JBA11" s="1116"/>
      <c r="JBB11" s="1116"/>
      <c r="JBC11" s="1116"/>
      <c r="JBD11" s="1116"/>
      <c r="JBE11" s="1116"/>
      <c r="JBF11" s="1116"/>
      <c r="JBG11" s="1116"/>
      <c r="JBH11" s="1116"/>
      <c r="JBI11" s="1116"/>
      <c r="JBJ11" s="1116"/>
      <c r="JBK11" s="1116"/>
      <c r="JBL11" s="1116"/>
      <c r="JBM11" s="1116"/>
      <c r="JBN11" s="1116"/>
      <c r="JBO11" s="1116"/>
      <c r="JBP11" s="1116"/>
      <c r="JBQ11" s="1116"/>
      <c r="JBR11" s="1116"/>
      <c r="JBS11" s="1116"/>
      <c r="JBT11" s="1116"/>
      <c r="JBU11" s="1116"/>
      <c r="JBV11" s="1116"/>
      <c r="JBW11" s="1116"/>
      <c r="JBX11" s="1116"/>
      <c r="JBY11" s="1116"/>
      <c r="JBZ11" s="1116"/>
      <c r="JCA11" s="1116"/>
      <c r="JCB11" s="1116"/>
      <c r="JCC11" s="1116"/>
      <c r="JCD11" s="1116"/>
      <c r="JCE11" s="1116"/>
      <c r="JCF11" s="1116"/>
      <c r="JCG11" s="1116"/>
      <c r="JCH11" s="1116"/>
      <c r="JCI11" s="1116"/>
      <c r="JCJ11" s="1116"/>
      <c r="JCK11" s="1116"/>
      <c r="JCL11" s="1116"/>
      <c r="JCM11" s="1116"/>
      <c r="JCN11" s="1116"/>
      <c r="JCO11" s="1116"/>
      <c r="JCP11" s="1116"/>
      <c r="JCQ11" s="1116"/>
      <c r="JCR11" s="1116"/>
      <c r="JCS11" s="1116"/>
      <c r="JCT11" s="1116"/>
      <c r="JCU11" s="1116"/>
      <c r="JCV11" s="1116"/>
      <c r="JCW11" s="1116"/>
      <c r="JCX11" s="1116"/>
      <c r="JCY11" s="1116"/>
      <c r="JCZ11" s="1116"/>
      <c r="JDA11" s="1116"/>
      <c r="JDB11" s="1116"/>
      <c r="JDC11" s="1116"/>
      <c r="JDD11" s="1116"/>
      <c r="JDE11" s="1116"/>
      <c r="JDF11" s="1116"/>
      <c r="JDG11" s="1116"/>
      <c r="JDH11" s="1116"/>
      <c r="JDI11" s="1116"/>
      <c r="JDJ11" s="1116"/>
      <c r="JDK11" s="1116"/>
      <c r="JDL11" s="1116"/>
      <c r="JDM11" s="1116"/>
      <c r="JDN11" s="1116"/>
      <c r="JDO11" s="1116"/>
      <c r="JDP11" s="1116"/>
      <c r="JDQ11" s="1116"/>
      <c r="JDR11" s="1116"/>
      <c r="JDS11" s="1116"/>
      <c r="JDT11" s="1116"/>
      <c r="JDU11" s="1116"/>
      <c r="JDV11" s="1116"/>
      <c r="JDW11" s="1116"/>
      <c r="JDX11" s="1116"/>
      <c r="JDY11" s="1116"/>
      <c r="JDZ11" s="1116"/>
      <c r="JEA11" s="1116"/>
      <c r="JEB11" s="1116"/>
      <c r="JEC11" s="1116"/>
      <c r="JED11" s="1116"/>
      <c r="JEE11" s="1116"/>
      <c r="JEF11" s="1116"/>
      <c r="JEG11" s="1116"/>
      <c r="JEH11" s="1116"/>
      <c r="JEI11" s="1116"/>
      <c r="JEJ11" s="1116"/>
      <c r="JEK11" s="1116"/>
      <c r="JEL11" s="1116"/>
      <c r="JEM11" s="1116"/>
      <c r="JEN11" s="1116"/>
      <c r="JEO11" s="1116"/>
      <c r="JEP11" s="1116"/>
      <c r="JEQ11" s="1116"/>
      <c r="JER11" s="1116"/>
      <c r="JES11" s="1116"/>
      <c r="JET11" s="1116"/>
      <c r="JEU11" s="1116"/>
      <c r="JEV11" s="1116"/>
      <c r="JEW11" s="1116"/>
      <c r="JEX11" s="1116"/>
      <c r="JEY11" s="1116"/>
      <c r="JEZ11" s="1116"/>
      <c r="JFA11" s="1116"/>
      <c r="JFB11" s="1116"/>
      <c r="JFC11" s="1116"/>
      <c r="JFD11" s="1116"/>
      <c r="JFE11" s="1116"/>
      <c r="JFF11" s="1116"/>
      <c r="JFG11" s="1116"/>
      <c r="JFH11" s="1116"/>
      <c r="JFI11" s="1116"/>
      <c r="JFJ11" s="1116"/>
      <c r="JFK11" s="1116"/>
      <c r="JFL11" s="1116"/>
      <c r="JFM11" s="1116"/>
      <c r="JFN11" s="1116"/>
      <c r="JFO11" s="1116"/>
      <c r="JFP11" s="1116"/>
      <c r="JFQ11" s="1116"/>
      <c r="JFR11" s="1116"/>
      <c r="JFS11" s="1116"/>
      <c r="JFT11" s="1116"/>
      <c r="JFU11" s="1116"/>
      <c r="JFV11" s="1116"/>
      <c r="JFW11" s="1116"/>
      <c r="JFX11" s="1116"/>
      <c r="JFY11" s="1116"/>
      <c r="JFZ11" s="1116"/>
      <c r="JGA11" s="1116"/>
      <c r="JGB11" s="1116"/>
      <c r="JGC11" s="1116"/>
      <c r="JGD11" s="1116"/>
      <c r="JGE11" s="1116"/>
      <c r="JGF11" s="1116"/>
      <c r="JGG11" s="1116"/>
      <c r="JGH11" s="1116"/>
      <c r="JGI11" s="1116"/>
      <c r="JGJ11" s="1116"/>
      <c r="JGK11" s="1116"/>
      <c r="JGL11" s="1116"/>
      <c r="JGM11" s="1116"/>
      <c r="JGN11" s="1116"/>
      <c r="JGO11" s="1116"/>
      <c r="JGP11" s="1116"/>
      <c r="JGQ11" s="1116"/>
      <c r="JGR11" s="1116"/>
      <c r="JGS11" s="1116"/>
      <c r="JGT11" s="1116"/>
      <c r="JGU11" s="1116"/>
      <c r="JGV11" s="1116"/>
      <c r="JGW11" s="1116"/>
      <c r="JGX11" s="1116"/>
      <c r="JGY11" s="1116"/>
      <c r="JGZ11" s="1116"/>
      <c r="JHA11" s="1116"/>
      <c r="JHB11" s="1116"/>
      <c r="JHC11" s="1116"/>
      <c r="JHD11" s="1116"/>
      <c r="JHE11" s="1116"/>
      <c r="JHF11" s="1116"/>
      <c r="JHG11" s="1116"/>
      <c r="JHH11" s="1116"/>
      <c r="JHI11" s="1116"/>
      <c r="JHJ11" s="1116"/>
      <c r="JHK11" s="1116"/>
      <c r="JHL11" s="1116"/>
      <c r="JHM11" s="1116"/>
      <c r="JHN11" s="1116"/>
      <c r="JHO11" s="1116"/>
      <c r="JHP11" s="1116"/>
      <c r="JHQ11" s="1116"/>
      <c r="JHR11" s="1116"/>
      <c r="JHS11" s="1116"/>
      <c r="JHT11" s="1116"/>
      <c r="JHU11" s="1116"/>
      <c r="JHV11" s="1116"/>
      <c r="JHW11" s="1116"/>
      <c r="JHX11" s="1116"/>
      <c r="JHY11" s="1116"/>
      <c r="JHZ11" s="1116"/>
      <c r="JIA11" s="1116"/>
      <c r="JIB11" s="1116"/>
      <c r="JIC11" s="1116"/>
      <c r="JID11" s="1116"/>
      <c r="JIE11" s="1116"/>
      <c r="JIF11" s="1116"/>
      <c r="JIG11" s="1116"/>
      <c r="JIH11" s="1116"/>
      <c r="JII11" s="1116"/>
      <c r="JIJ11" s="1116"/>
      <c r="JIK11" s="1116"/>
      <c r="JIL11" s="1116"/>
      <c r="JIM11" s="1116"/>
      <c r="JIN11" s="1116"/>
      <c r="JIO11" s="1116"/>
      <c r="JIP11" s="1116"/>
      <c r="JIQ11" s="1116"/>
      <c r="JIR11" s="1116"/>
      <c r="JIS11" s="1116"/>
      <c r="JIT11" s="1116"/>
      <c r="JIU11" s="1116"/>
      <c r="JIV11" s="1116"/>
      <c r="JIW11" s="1116"/>
      <c r="JIX11" s="1116"/>
      <c r="JIY11" s="1116"/>
      <c r="JIZ11" s="1116"/>
      <c r="JJA11" s="1116"/>
      <c r="JJB11" s="1116"/>
      <c r="JJC11" s="1116"/>
      <c r="JJD11" s="1116"/>
      <c r="JJE11" s="1116"/>
      <c r="JJF11" s="1116"/>
      <c r="JJG11" s="1116"/>
      <c r="JJH11" s="1116"/>
      <c r="JJI11" s="1116"/>
      <c r="JJJ11" s="1116"/>
      <c r="JJK11" s="1116"/>
      <c r="JJL11" s="1116"/>
      <c r="JJM11" s="1116"/>
      <c r="JJN11" s="1116"/>
      <c r="JJO11" s="1116"/>
      <c r="JJP11" s="1116"/>
      <c r="JJQ11" s="1116"/>
      <c r="JJR11" s="1116"/>
      <c r="JJS11" s="1116"/>
      <c r="JJT11" s="1116"/>
      <c r="JJU11" s="1116"/>
      <c r="JJV11" s="1116"/>
      <c r="JJW11" s="1116"/>
      <c r="JJX11" s="1116"/>
      <c r="JJY11" s="1116"/>
      <c r="JJZ11" s="1116"/>
      <c r="JKA11" s="1116"/>
      <c r="JKB11" s="1116"/>
      <c r="JKC11" s="1116"/>
      <c r="JKD11" s="1116"/>
      <c r="JKE11" s="1116"/>
      <c r="JKF11" s="1116"/>
      <c r="JKG11" s="1116"/>
      <c r="JKH11" s="1116"/>
      <c r="JKI11" s="1116"/>
      <c r="JKJ11" s="1116"/>
      <c r="JKK11" s="1116"/>
      <c r="JKL11" s="1116"/>
      <c r="JKM11" s="1116"/>
      <c r="JKN11" s="1116"/>
      <c r="JKO11" s="1116"/>
      <c r="JKP11" s="1116"/>
      <c r="JKQ11" s="1116"/>
      <c r="JKR11" s="1116"/>
      <c r="JKS11" s="1116"/>
      <c r="JKT11" s="1116"/>
      <c r="JKU11" s="1116"/>
      <c r="JKV11" s="1116"/>
      <c r="JKW11" s="1116"/>
      <c r="JKX11" s="1116"/>
      <c r="JKY11" s="1116"/>
      <c r="JKZ11" s="1116"/>
      <c r="JLA11" s="1116"/>
      <c r="JLB11" s="1116"/>
      <c r="JLC11" s="1116"/>
      <c r="JLD11" s="1116"/>
      <c r="JLE11" s="1116"/>
      <c r="JLF11" s="1116"/>
      <c r="JLG11" s="1116"/>
      <c r="JLH11" s="1116"/>
      <c r="JLI11" s="1116"/>
      <c r="JLJ11" s="1116"/>
      <c r="JLK11" s="1116"/>
      <c r="JLL11" s="1116"/>
      <c r="JLM11" s="1116"/>
      <c r="JLN11" s="1116"/>
      <c r="JLO11" s="1116"/>
      <c r="JLP11" s="1116"/>
      <c r="JLQ11" s="1116"/>
      <c r="JLR11" s="1116"/>
      <c r="JLS11" s="1116"/>
      <c r="JLT11" s="1116"/>
      <c r="JLU11" s="1116"/>
      <c r="JLV11" s="1116"/>
      <c r="JLW11" s="1116"/>
      <c r="JLX11" s="1116"/>
      <c r="JLY11" s="1116"/>
      <c r="JLZ11" s="1116"/>
      <c r="JMA11" s="1116"/>
      <c r="JMB11" s="1116"/>
      <c r="JMC11" s="1116"/>
      <c r="JMD11" s="1116"/>
      <c r="JME11" s="1116"/>
      <c r="JMF11" s="1116"/>
      <c r="JMG11" s="1116"/>
      <c r="JMH11" s="1116"/>
      <c r="JMI11" s="1116"/>
      <c r="JMJ11" s="1116"/>
      <c r="JMK11" s="1116"/>
      <c r="JML11" s="1116"/>
      <c r="JMM11" s="1116"/>
      <c r="JMN11" s="1116"/>
      <c r="JMO11" s="1116"/>
      <c r="JMP11" s="1116"/>
      <c r="JMQ11" s="1116"/>
      <c r="JMR11" s="1116"/>
      <c r="JMS11" s="1116"/>
      <c r="JMT11" s="1116"/>
      <c r="JMU11" s="1116"/>
      <c r="JMV11" s="1116"/>
      <c r="JMW11" s="1116"/>
      <c r="JMX11" s="1116"/>
      <c r="JMY11" s="1116"/>
      <c r="JMZ11" s="1116"/>
      <c r="JNA11" s="1116"/>
      <c r="JNB11" s="1116"/>
      <c r="JNC11" s="1116"/>
      <c r="JND11" s="1116"/>
      <c r="JNE11" s="1116"/>
      <c r="JNF11" s="1116"/>
      <c r="JNG11" s="1116"/>
      <c r="JNH11" s="1116"/>
      <c r="JNI11" s="1116"/>
      <c r="JNJ11" s="1116"/>
      <c r="JNK11" s="1116"/>
      <c r="JNL11" s="1116"/>
      <c r="JNM11" s="1116"/>
      <c r="JNN11" s="1116"/>
      <c r="JNO11" s="1116"/>
      <c r="JNP11" s="1116"/>
      <c r="JNQ11" s="1116"/>
      <c r="JNR11" s="1116"/>
      <c r="JNS11" s="1116"/>
      <c r="JNT11" s="1116"/>
      <c r="JNU11" s="1116"/>
      <c r="JNV11" s="1116"/>
      <c r="JNW11" s="1116"/>
      <c r="JNX11" s="1116"/>
      <c r="JNY11" s="1116"/>
      <c r="JNZ11" s="1116"/>
      <c r="JOA11" s="1116"/>
      <c r="JOB11" s="1116"/>
      <c r="JOC11" s="1116"/>
      <c r="JOD11" s="1116"/>
      <c r="JOE11" s="1116"/>
      <c r="JOF11" s="1116"/>
      <c r="JOG11" s="1116"/>
      <c r="JOH11" s="1116"/>
      <c r="JOI11" s="1116"/>
      <c r="JOJ11" s="1116"/>
      <c r="JOK11" s="1116"/>
      <c r="JOL11" s="1116"/>
      <c r="JOM11" s="1116"/>
      <c r="JON11" s="1116"/>
      <c r="JOO11" s="1116"/>
      <c r="JOP11" s="1116"/>
      <c r="JOQ11" s="1116"/>
      <c r="JOR11" s="1116"/>
      <c r="JOS11" s="1116"/>
      <c r="JOT11" s="1116"/>
      <c r="JOU11" s="1116"/>
      <c r="JOV11" s="1116"/>
      <c r="JOW11" s="1116"/>
      <c r="JOX11" s="1116"/>
      <c r="JOY11" s="1116"/>
      <c r="JOZ11" s="1116"/>
      <c r="JPA11" s="1116"/>
      <c r="JPB11" s="1116"/>
      <c r="JPC11" s="1116"/>
      <c r="JPD11" s="1116"/>
      <c r="JPE11" s="1116"/>
      <c r="JPF11" s="1116"/>
      <c r="JPG11" s="1116"/>
      <c r="JPH11" s="1116"/>
      <c r="JPI11" s="1116"/>
      <c r="JPJ11" s="1116"/>
      <c r="JPK11" s="1116"/>
      <c r="JPL11" s="1116"/>
      <c r="JPM11" s="1116"/>
      <c r="JPN11" s="1116"/>
      <c r="JPO11" s="1116"/>
      <c r="JPP11" s="1116"/>
      <c r="JPQ11" s="1116"/>
      <c r="JPR11" s="1116"/>
      <c r="JPS11" s="1116"/>
      <c r="JPT11" s="1116"/>
      <c r="JPU11" s="1116"/>
      <c r="JPV11" s="1116"/>
      <c r="JPW11" s="1116"/>
      <c r="JPX11" s="1116"/>
      <c r="JPY11" s="1116"/>
      <c r="JPZ11" s="1116"/>
      <c r="JQA11" s="1116"/>
      <c r="JQB11" s="1116"/>
      <c r="JQC11" s="1116"/>
      <c r="JQD11" s="1116"/>
      <c r="JQE11" s="1116"/>
      <c r="JQF11" s="1116"/>
      <c r="JQG11" s="1116"/>
      <c r="JQH11" s="1116"/>
      <c r="JQI11" s="1116"/>
      <c r="JQJ11" s="1116"/>
      <c r="JQK11" s="1116"/>
      <c r="JQL11" s="1116"/>
      <c r="JQM11" s="1116"/>
      <c r="JQN11" s="1116"/>
      <c r="JQO11" s="1116"/>
      <c r="JQP11" s="1116"/>
      <c r="JQQ11" s="1116"/>
      <c r="JQR11" s="1116"/>
      <c r="JQS11" s="1116"/>
      <c r="JQT11" s="1116"/>
      <c r="JQU11" s="1116"/>
      <c r="JQV11" s="1116"/>
      <c r="JQW11" s="1116"/>
      <c r="JQX11" s="1116"/>
      <c r="JQY11" s="1116"/>
      <c r="JQZ11" s="1116"/>
      <c r="JRA11" s="1116"/>
      <c r="JRB11" s="1116"/>
      <c r="JRC11" s="1116"/>
      <c r="JRD11" s="1116"/>
      <c r="JRE11" s="1116"/>
      <c r="JRF11" s="1116"/>
      <c r="JRG11" s="1116"/>
      <c r="JRH11" s="1116"/>
      <c r="JRI11" s="1116"/>
      <c r="JRJ11" s="1116"/>
      <c r="JRK11" s="1116"/>
      <c r="JRL11" s="1116"/>
      <c r="JRM11" s="1116"/>
      <c r="JRN11" s="1116"/>
      <c r="JRO11" s="1116"/>
      <c r="JRP11" s="1116"/>
      <c r="JRQ11" s="1116"/>
      <c r="JRR11" s="1116"/>
      <c r="JRS11" s="1116"/>
      <c r="JRT11" s="1116"/>
      <c r="JRU11" s="1116"/>
      <c r="JRV11" s="1116"/>
      <c r="JRW11" s="1116"/>
      <c r="JRX11" s="1116"/>
      <c r="JRY11" s="1116"/>
      <c r="JRZ11" s="1116"/>
      <c r="JSA11" s="1116"/>
      <c r="JSB11" s="1116"/>
      <c r="JSC11" s="1116"/>
      <c r="JSD11" s="1116"/>
      <c r="JSE11" s="1116"/>
      <c r="JSF11" s="1116"/>
      <c r="JSG11" s="1116"/>
      <c r="JSH11" s="1116"/>
      <c r="JSI11" s="1116"/>
      <c r="JSJ11" s="1116"/>
      <c r="JSK11" s="1116"/>
      <c r="JSL11" s="1116"/>
      <c r="JSM11" s="1116"/>
      <c r="JSN11" s="1116"/>
      <c r="JSO11" s="1116"/>
      <c r="JSP11" s="1116"/>
      <c r="JSQ11" s="1116"/>
      <c r="JSR11" s="1116"/>
      <c r="JSS11" s="1116"/>
      <c r="JST11" s="1116"/>
      <c r="JSU11" s="1116"/>
      <c r="JSV11" s="1116"/>
      <c r="JSW11" s="1116"/>
      <c r="JSX11" s="1116"/>
      <c r="JSY11" s="1116"/>
      <c r="JSZ11" s="1116"/>
      <c r="JTA11" s="1116"/>
      <c r="JTB11" s="1116"/>
      <c r="JTC11" s="1116"/>
      <c r="JTD11" s="1116"/>
      <c r="JTE11" s="1116"/>
      <c r="JTF11" s="1116"/>
      <c r="JTG11" s="1116"/>
      <c r="JTH11" s="1116"/>
      <c r="JTI11" s="1116"/>
      <c r="JTJ11" s="1116"/>
      <c r="JTK11" s="1116"/>
      <c r="JTL11" s="1116"/>
      <c r="JTM11" s="1116"/>
      <c r="JTN11" s="1116"/>
      <c r="JTO11" s="1116"/>
      <c r="JTP11" s="1116"/>
      <c r="JTQ11" s="1116"/>
      <c r="JTR11" s="1116"/>
      <c r="JTS11" s="1116"/>
      <c r="JTT11" s="1116"/>
      <c r="JTU11" s="1116"/>
      <c r="JTV11" s="1116"/>
      <c r="JTW11" s="1116"/>
      <c r="JTX11" s="1116"/>
      <c r="JTY11" s="1116"/>
      <c r="JTZ11" s="1116"/>
      <c r="JUA11" s="1116"/>
      <c r="JUB11" s="1116"/>
      <c r="JUC11" s="1116"/>
      <c r="JUD11" s="1116"/>
      <c r="JUE11" s="1116"/>
      <c r="JUF11" s="1116"/>
      <c r="JUG11" s="1116"/>
      <c r="JUH11" s="1116"/>
      <c r="JUI11" s="1116"/>
      <c r="JUJ11" s="1116"/>
      <c r="JUK11" s="1116"/>
      <c r="JUL11" s="1116"/>
      <c r="JUM11" s="1116"/>
      <c r="JUN11" s="1116"/>
      <c r="JUO11" s="1116"/>
      <c r="JUP11" s="1116"/>
      <c r="JUQ11" s="1116"/>
      <c r="JUR11" s="1116"/>
      <c r="JUS11" s="1116"/>
      <c r="JUT11" s="1116"/>
      <c r="JUU11" s="1116"/>
      <c r="JUV11" s="1116"/>
      <c r="JUW11" s="1116"/>
      <c r="JUX11" s="1116"/>
      <c r="JUY11" s="1116"/>
      <c r="JUZ11" s="1116"/>
      <c r="JVA11" s="1116"/>
      <c r="JVB11" s="1116"/>
      <c r="JVC11" s="1116"/>
      <c r="JVD11" s="1116"/>
      <c r="JVE11" s="1116"/>
      <c r="JVF11" s="1116"/>
      <c r="JVG11" s="1116"/>
      <c r="JVH11" s="1116"/>
      <c r="JVI11" s="1116"/>
      <c r="JVJ11" s="1116"/>
      <c r="JVK11" s="1116"/>
      <c r="JVL11" s="1116"/>
      <c r="JVM11" s="1116"/>
      <c r="JVN11" s="1116"/>
      <c r="JVO11" s="1116"/>
      <c r="JVP11" s="1116"/>
      <c r="JVQ11" s="1116"/>
      <c r="JVR11" s="1116"/>
      <c r="JVS11" s="1116"/>
      <c r="JVT11" s="1116"/>
      <c r="JVU11" s="1116"/>
      <c r="JVV11" s="1116"/>
      <c r="JVW11" s="1116"/>
      <c r="JVX11" s="1116"/>
      <c r="JVY11" s="1116"/>
      <c r="JVZ11" s="1116"/>
      <c r="JWA11" s="1116"/>
      <c r="JWB11" s="1116"/>
      <c r="JWC11" s="1116"/>
      <c r="JWD11" s="1116"/>
      <c r="JWE11" s="1116"/>
      <c r="JWF11" s="1116"/>
      <c r="JWG11" s="1116"/>
      <c r="JWH11" s="1116"/>
      <c r="JWI11" s="1116"/>
      <c r="JWJ11" s="1116"/>
      <c r="JWK11" s="1116"/>
      <c r="JWL11" s="1116"/>
      <c r="JWM11" s="1116"/>
      <c r="JWN11" s="1116"/>
      <c r="JWO11" s="1116"/>
      <c r="JWP11" s="1116"/>
      <c r="JWQ11" s="1116"/>
      <c r="JWR11" s="1116"/>
      <c r="JWS11" s="1116"/>
      <c r="JWT11" s="1116"/>
      <c r="JWU11" s="1116"/>
      <c r="JWV11" s="1116"/>
      <c r="JWW11" s="1116"/>
      <c r="JWX11" s="1116"/>
      <c r="JWY11" s="1116"/>
      <c r="JWZ11" s="1116"/>
      <c r="JXA11" s="1116"/>
      <c r="JXB11" s="1116"/>
      <c r="JXC11" s="1116"/>
      <c r="JXD11" s="1116"/>
      <c r="JXE11" s="1116"/>
      <c r="JXF11" s="1116"/>
      <c r="JXG11" s="1116"/>
      <c r="JXH11" s="1116"/>
      <c r="JXI11" s="1116"/>
      <c r="JXJ11" s="1116"/>
      <c r="JXK11" s="1116"/>
      <c r="JXL11" s="1116"/>
      <c r="JXM11" s="1116"/>
      <c r="JXN11" s="1116"/>
      <c r="JXO11" s="1116"/>
      <c r="JXP11" s="1116"/>
      <c r="JXQ11" s="1116"/>
      <c r="JXR11" s="1116"/>
      <c r="JXS11" s="1116"/>
      <c r="JXT11" s="1116"/>
      <c r="JXU11" s="1116"/>
      <c r="JXV11" s="1116"/>
      <c r="JXW11" s="1116"/>
      <c r="JXX11" s="1116"/>
      <c r="JXY11" s="1116"/>
      <c r="JXZ11" s="1116"/>
      <c r="JYA11" s="1116"/>
      <c r="JYB11" s="1116"/>
      <c r="JYC11" s="1116"/>
      <c r="JYD11" s="1116"/>
      <c r="JYE11" s="1116"/>
      <c r="JYF11" s="1116"/>
      <c r="JYG11" s="1116"/>
      <c r="JYH11" s="1116"/>
      <c r="JYI11" s="1116"/>
      <c r="JYJ11" s="1116"/>
      <c r="JYK11" s="1116"/>
      <c r="JYL11" s="1116"/>
      <c r="JYM11" s="1116"/>
      <c r="JYN11" s="1116"/>
      <c r="JYO11" s="1116"/>
      <c r="JYP11" s="1116"/>
      <c r="JYQ11" s="1116"/>
      <c r="JYR11" s="1116"/>
      <c r="JYS11" s="1116"/>
      <c r="JYT11" s="1116"/>
      <c r="JYU11" s="1116"/>
      <c r="JYV11" s="1116"/>
      <c r="JYW11" s="1116"/>
      <c r="JYX11" s="1116"/>
      <c r="JYY11" s="1116"/>
      <c r="JYZ11" s="1116"/>
      <c r="JZA11" s="1116"/>
      <c r="JZB11" s="1116"/>
      <c r="JZC11" s="1116"/>
      <c r="JZD11" s="1116"/>
      <c r="JZE11" s="1116"/>
      <c r="JZF11" s="1116"/>
      <c r="JZG11" s="1116"/>
      <c r="JZH11" s="1116"/>
      <c r="JZI11" s="1116"/>
      <c r="JZJ11" s="1116"/>
      <c r="JZK11" s="1116"/>
      <c r="JZL11" s="1116"/>
      <c r="JZM11" s="1116"/>
      <c r="JZN11" s="1116"/>
      <c r="JZO11" s="1116"/>
      <c r="JZP11" s="1116"/>
      <c r="JZQ11" s="1116"/>
      <c r="JZR11" s="1116"/>
      <c r="JZS11" s="1116"/>
      <c r="JZT11" s="1116"/>
      <c r="JZU11" s="1116"/>
      <c r="JZV11" s="1116"/>
      <c r="JZW11" s="1116"/>
      <c r="JZX11" s="1116"/>
      <c r="JZY11" s="1116"/>
      <c r="JZZ11" s="1116"/>
      <c r="KAA11" s="1116"/>
      <c r="KAB11" s="1116"/>
      <c r="KAC11" s="1116"/>
      <c r="KAD11" s="1116"/>
      <c r="KAE11" s="1116"/>
      <c r="KAF11" s="1116"/>
      <c r="KAG11" s="1116"/>
      <c r="KAH11" s="1116"/>
      <c r="KAI11" s="1116"/>
      <c r="KAJ11" s="1116"/>
      <c r="KAK11" s="1116"/>
      <c r="KAL11" s="1116"/>
      <c r="KAM11" s="1116"/>
      <c r="KAN11" s="1116"/>
      <c r="KAO11" s="1116"/>
      <c r="KAP11" s="1116"/>
      <c r="KAQ11" s="1116"/>
      <c r="KAR11" s="1116"/>
      <c r="KAS11" s="1116"/>
      <c r="KAT11" s="1116"/>
      <c r="KAU11" s="1116"/>
      <c r="KAV11" s="1116"/>
      <c r="KAW11" s="1116"/>
      <c r="KAX11" s="1116"/>
      <c r="KAY11" s="1116"/>
      <c r="KAZ11" s="1116"/>
      <c r="KBA11" s="1116"/>
      <c r="KBB11" s="1116"/>
      <c r="KBC11" s="1116"/>
      <c r="KBD11" s="1116"/>
      <c r="KBE11" s="1116"/>
      <c r="KBF11" s="1116"/>
      <c r="KBG11" s="1116"/>
      <c r="KBH11" s="1116"/>
      <c r="KBI11" s="1116"/>
      <c r="KBJ11" s="1116"/>
      <c r="KBK11" s="1116"/>
      <c r="KBL11" s="1116"/>
      <c r="KBM11" s="1116"/>
      <c r="KBN11" s="1116"/>
      <c r="KBO11" s="1116"/>
      <c r="KBP11" s="1116"/>
      <c r="KBQ11" s="1116"/>
      <c r="KBR11" s="1116"/>
      <c r="KBS11" s="1116"/>
      <c r="KBT11" s="1116"/>
      <c r="KBU11" s="1116"/>
      <c r="KBV11" s="1116"/>
      <c r="KBW11" s="1116"/>
      <c r="KBX11" s="1116"/>
      <c r="KBY11" s="1116"/>
      <c r="KBZ11" s="1116"/>
      <c r="KCA11" s="1116"/>
      <c r="KCB11" s="1116"/>
      <c r="KCC11" s="1116"/>
      <c r="KCD11" s="1116"/>
      <c r="KCE11" s="1116"/>
      <c r="KCF11" s="1116"/>
      <c r="KCG11" s="1116"/>
      <c r="KCH11" s="1116"/>
      <c r="KCI11" s="1116"/>
      <c r="KCJ11" s="1116"/>
      <c r="KCK11" s="1116"/>
      <c r="KCL11" s="1116"/>
      <c r="KCM11" s="1116"/>
      <c r="KCN11" s="1116"/>
      <c r="KCO11" s="1116"/>
      <c r="KCP11" s="1116"/>
      <c r="KCQ11" s="1116"/>
      <c r="KCR11" s="1116"/>
      <c r="KCS11" s="1116"/>
      <c r="KCT11" s="1116"/>
      <c r="KCU11" s="1116"/>
      <c r="KCV11" s="1116"/>
      <c r="KCW11" s="1116"/>
      <c r="KCX11" s="1116"/>
      <c r="KCY11" s="1116"/>
      <c r="KCZ11" s="1116"/>
      <c r="KDA11" s="1116"/>
      <c r="KDB11" s="1116"/>
      <c r="KDC11" s="1116"/>
      <c r="KDD11" s="1116"/>
      <c r="KDE11" s="1116"/>
      <c r="KDF11" s="1116"/>
      <c r="KDG11" s="1116"/>
      <c r="KDH11" s="1116"/>
      <c r="KDI11" s="1116"/>
      <c r="KDJ11" s="1116"/>
      <c r="KDK11" s="1116"/>
      <c r="KDL11" s="1116"/>
      <c r="KDM11" s="1116"/>
      <c r="KDN11" s="1116"/>
      <c r="KDO11" s="1116"/>
      <c r="KDP11" s="1116"/>
      <c r="KDQ11" s="1116"/>
      <c r="KDR11" s="1116"/>
      <c r="KDS11" s="1116"/>
      <c r="KDT11" s="1116"/>
      <c r="KDU11" s="1116"/>
      <c r="KDV11" s="1116"/>
      <c r="KDW11" s="1116"/>
      <c r="KDX11" s="1116"/>
      <c r="KDY11" s="1116"/>
      <c r="KDZ11" s="1116"/>
      <c r="KEA11" s="1116"/>
      <c r="KEB11" s="1116"/>
      <c r="KEC11" s="1116"/>
      <c r="KED11" s="1116"/>
      <c r="KEE11" s="1116"/>
      <c r="KEF11" s="1116"/>
      <c r="KEG11" s="1116"/>
      <c r="KEH11" s="1116"/>
      <c r="KEI11" s="1116"/>
      <c r="KEJ11" s="1116"/>
      <c r="KEK11" s="1116"/>
      <c r="KEL11" s="1116"/>
      <c r="KEM11" s="1116"/>
      <c r="KEN11" s="1116"/>
      <c r="KEO11" s="1116"/>
      <c r="KEP11" s="1116"/>
      <c r="KEQ11" s="1116"/>
      <c r="KER11" s="1116"/>
      <c r="KES11" s="1116"/>
      <c r="KET11" s="1116"/>
      <c r="KEU11" s="1116"/>
      <c r="KEV11" s="1116"/>
      <c r="KEW11" s="1116"/>
      <c r="KEX11" s="1116"/>
      <c r="KEY11" s="1116"/>
      <c r="KEZ11" s="1116"/>
      <c r="KFA11" s="1116"/>
      <c r="KFB11" s="1116"/>
      <c r="KFC11" s="1116"/>
      <c r="KFD11" s="1116"/>
      <c r="KFE11" s="1116"/>
      <c r="KFF11" s="1116"/>
      <c r="KFG11" s="1116"/>
      <c r="KFH11" s="1116"/>
      <c r="KFI11" s="1116"/>
      <c r="KFJ11" s="1116"/>
      <c r="KFK11" s="1116"/>
      <c r="KFL11" s="1116"/>
      <c r="KFM11" s="1116"/>
      <c r="KFN11" s="1116"/>
      <c r="KFO11" s="1116"/>
      <c r="KFP11" s="1116"/>
      <c r="KFQ11" s="1116"/>
      <c r="KFR11" s="1116"/>
      <c r="KFS11" s="1116"/>
      <c r="KFT11" s="1116"/>
      <c r="KFU11" s="1116"/>
      <c r="KFV11" s="1116"/>
      <c r="KFW11" s="1116"/>
      <c r="KFX11" s="1116"/>
      <c r="KFY11" s="1116"/>
      <c r="KFZ11" s="1116"/>
      <c r="KGA11" s="1116"/>
      <c r="KGB11" s="1116"/>
      <c r="KGC11" s="1116"/>
      <c r="KGD11" s="1116"/>
      <c r="KGE11" s="1116"/>
      <c r="KGF11" s="1116"/>
      <c r="KGG11" s="1116"/>
      <c r="KGH11" s="1116"/>
      <c r="KGI11" s="1116"/>
      <c r="KGJ11" s="1116"/>
      <c r="KGK11" s="1116"/>
      <c r="KGL11" s="1116"/>
      <c r="KGM11" s="1116"/>
      <c r="KGN11" s="1116"/>
      <c r="KGO11" s="1116"/>
      <c r="KGP11" s="1116"/>
      <c r="KGQ11" s="1116"/>
      <c r="KGR11" s="1116"/>
      <c r="KGS11" s="1116"/>
      <c r="KGT11" s="1116"/>
      <c r="KGU11" s="1116"/>
      <c r="KGV11" s="1116"/>
      <c r="KGW11" s="1116"/>
      <c r="KGX11" s="1116"/>
      <c r="KGY11" s="1116"/>
      <c r="KGZ11" s="1116"/>
      <c r="KHA11" s="1116"/>
      <c r="KHB11" s="1116"/>
      <c r="KHC11" s="1116"/>
      <c r="KHD11" s="1116"/>
      <c r="KHE11" s="1116"/>
      <c r="KHF11" s="1116"/>
      <c r="KHG11" s="1116"/>
      <c r="KHH11" s="1116"/>
      <c r="KHI11" s="1116"/>
      <c r="KHJ11" s="1116"/>
      <c r="KHK11" s="1116"/>
      <c r="KHL11" s="1116"/>
      <c r="KHM11" s="1116"/>
      <c r="KHN11" s="1116"/>
      <c r="KHO11" s="1116"/>
      <c r="KHP11" s="1116"/>
      <c r="KHQ11" s="1116"/>
      <c r="KHR11" s="1116"/>
      <c r="KHS11" s="1116"/>
      <c r="KHT11" s="1116"/>
      <c r="KHU11" s="1116"/>
      <c r="KHV11" s="1116"/>
      <c r="KHW11" s="1116"/>
      <c r="KHX11" s="1116"/>
      <c r="KHY11" s="1116"/>
      <c r="KHZ11" s="1116"/>
      <c r="KIA11" s="1116"/>
      <c r="KIB11" s="1116"/>
      <c r="KIC11" s="1116"/>
      <c r="KID11" s="1116"/>
      <c r="KIE11" s="1116"/>
      <c r="KIF11" s="1116"/>
      <c r="KIG11" s="1116"/>
      <c r="KIH11" s="1116"/>
      <c r="KII11" s="1116"/>
      <c r="KIJ11" s="1116"/>
      <c r="KIK11" s="1116"/>
      <c r="KIL11" s="1116"/>
      <c r="KIM11" s="1116"/>
      <c r="KIN11" s="1116"/>
      <c r="KIO11" s="1116"/>
      <c r="KIP11" s="1116"/>
      <c r="KIQ11" s="1116"/>
      <c r="KIR11" s="1116"/>
      <c r="KIS11" s="1116"/>
      <c r="KIT11" s="1116"/>
      <c r="KIU11" s="1116"/>
      <c r="KIV11" s="1116"/>
      <c r="KIW11" s="1116"/>
      <c r="KIX11" s="1116"/>
      <c r="KIY11" s="1116"/>
      <c r="KIZ11" s="1116"/>
      <c r="KJA11" s="1116"/>
      <c r="KJB11" s="1116"/>
      <c r="KJC11" s="1116"/>
      <c r="KJD11" s="1116"/>
      <c r="KJE11" s="1116"/>
      <c r="KJF11" s="1116"/>
      <c r="KJG11" s="1116"/>
      <c r="KJH11" s="1116"/>
      <c r="KJI11" s="1116"/>
      <c r="KJJ11" s="1116"/>
      <c r="KJK11" s="1116"/>
      <c r="KJL11" s="1116"/>
      <c r="KJM11" s="1116"/>
      <c r="KJN11" s="1116"/>
      <c r="KJO11" s="1116"/>
      <c r="KJP11" s="1116"/>
      <c r="KJQ11" s="1116"/>
      <c r="KJR11" s="1116"/>
      <c r="KJS11" s="1116"/>
      <c r="KJT11" s="1116"/>
      <c r="KJU11" s="1116"/>
      <c r="KJV11" s="1116"/>
      <c r="KJW11" s="1116"/>
      <c r="KJX11" s="1116"/>
      <c r="KJY11" s="1116"/>
      <c r="KJZ11" s="1116"/>
      <c r="KKA11" s="1116"/>
      <c r="KKB11" s="1116"/>
      <c r="KKC11" s="1116"/>
      <c r="KKD11" s="1116"/>
      <c r="KKE11" s="1116"/>
      <c r="KKF11" s="1116"/>
      <c r="KKG11" s="1116"/>
      <c r="KKH11" s="1116"/>
      <c r="KKI11" s="1116"/>
      <c r="KKJ11" s="1116"/>
      <c r="KKK11" s="1116"/>
      <c r="KKL11" s="1116"/>
      <c r="KKM11" s="1116"/>
      <c r="KKN11" s="1116"/>
      <c r="KKO11" s="1116"/>
      <c r="KKP11" s="1116"/>
      <c r="KKQ11" s="1116"/>
      <c r="KKR11" s="1116"/>
      <c r="KKS11" s="1116"/>
      <c r="KKT11" s="1116"/>
      <c r="KKU11" s="1116"/>
      <c r="KKV11" s="1116"/>
      <c r="KKW11" s="1116"/>
      <c r="KKX11" s="1116"/>
      <c r="KKY11" s="1116"/>
      <c r="KKZ11" s="1116"/>
      <c r="KLA11" s="1116"/>
      <c r="KLB11" s="1116"/>
      <c r="KLC11" s="1116"/>
      <c r="KLD11" s="1116"/>
      <c r="KLE11" s="1116"/>
      <c r="KLF11" s="1116"/>
      <c r="KLG11" s="1116"/>
      <c r="KLH11" s="1116"/>
      <c r="KLI11" s="1116"/>
      <c r="KLJ11" s="1116"/>
      <c r="KLK11" s="1116"/>
      <c r="KLL11" s="1116"/>
      <c r="KLM11" s="1116"/>
      <c r="KLN11" s="1116"/>
      <c r="KLO11" s="1116"/>
      <c r="KLP11" s="1116"/>
      <c r="KLQ11" s="1116"/>
      <c r="KLR11" s="1116"/>
      <c r="KLS11" s="1116"/>
      <c r="KLT11" s="1116"/>
      <c r="KLU11" s="1116"/>
      <c r="KLV11" s="1116"/>
      <c r="KLW11" s="1116"/>
      <c r="KLX11" s="1116"/>
      <c r="KLY11" s="1116"/>
      <c r="KLZ11" s="1116"/>
      <c r="KMA11" s="1116"/>
      <c r="KMB11" s="1116"/>
      <c r="KMC11" s="1116"/>
      <c r="KMD11" s="1116"/>
      <c r="KME11" s="1116"/>
      <c r="KMF11" s="1116"/>
      <c r="KMG11" s="1116"/>
      <c r="KMH11" s="1116"/>
      <c r="KMI11" s="1116"/>
      <c r="KMJ11" s="1116"/>
      <c r="KMK11" s="1116"/>
      <c r="KML11" s="1116"/>
      <c r="KMM11" s="1116"/>
      <c r="KMN11" s="1116"/>
      <c r="KMO11" s="1116"/>
      <c r="KMP11" s="1116"/>
      <c r="KMQ11" s="1116"/>
      <c r="KMR11" s="1116"/>
      <c r="KMS11" s="1116"/>
      <c r="KMT11" s="1116"/>
      <c r="KMU11" s="1116"/>
      <c r="KMV11" s="1116"/>
      <c r="KMW11" s="1116"/>
      <c r="KMX11" s="1116"/>
      <c r="KMY11" s="1116"/>
      <c r="KMZ11" s="1116"/>
      <c r="KNA11" s="1116"/>
      <c r="KNB11" s="1116"/>
      <c r="KNC11" s="1116"/>
      <c r="KND11" s="1116"/>
      <c r="KNE11" s="1116"/>
      <c r="KNF11" s="1116"/>
      <c r="KNG11" s="1116"/>
      <c r="KNH11" s="1116"/>
      <c r="KNI11" s="1116"/>
      <c r="KNJ11" s="1116"/>
      <c r="KNK11" s="1116"/>
      <c r="KNL11" s="1116"/>
      <c r="KNM11" s="1116"/>
      <c r="KNN11" s="1116"/>
      <c r="KNO11" s="1116"/>
      <c r="KNP11" s="1116"/>
      <c r="KNQ11" s="1116"/>
      <c r="KNR11" s="1116"/>
      <c r="KNS11" s="1116"/>
      <c r="KNT11" s="1116"/>
      <c r="KNU11" s="1116"/>
      <c r="KNV11" s="1116"/>
      <c r="KNW11" s="1116"/>
      <c r="KNX11" s="1116"/>
      <c r="KNY11" s="1116"/>
      <c r="KNZ11" s="1116"/>
      <c r="KOA11" s="1116"/>
      <c r="KOB11" s="1116"/>
      <c r="KOC11" s="1116"/>
      <c r="KOD11" s="1116"/>
      <c r="KOE11" s="1116"/>
      <c r="KOF11" s="1116"/>
      <c r="KOG11" s="1116"/>
      <c r="KOH11" s="1116"/>
      <c r="KOI11" s="1116"/>
      <c r="KOJ11" s="1116"/>
      <c r="KOK11" s="1116"/>
      <c r="KOL11" s="1116"/>
      <c r="KOM11" s="1116"/>
      <c r="KON11" s="1116"/>
      <c r="KOO11" s="1116"/>
      <c r="KOP11" s="1116"/>
      <c r="KOQ11" s="1116"/>
      <c r="KOR11" s="1116"/>
      <c r="KOS11" s="1116"/>
      <c r="KOT11" s="1116"/>
      <c r="KOU11" s="1116"/>
      <c r="KOV11" s="1116"/>
      <c r="KOW11" s="1116"/>
      <c r="KOX11" s="1116"/>
      <c r="KOY11" s="1116"/>
      <c r="KOZ11" s="1116"/>
      <c r="KPA11" s="1116"/>
      <c r="KPB11" s="1116"/>
      <c r="KPC11" s="1116"/>
      <c r="KPD11" s="1116"/>
      <c r="KPE11" s="1116"/>
      <c r="KPF11" s="1116"/>
      <c r="KPG11" s="1116"/>
      <c r="KPH11" s="1116"/>
      <c r="KPI11" s="1116"/>
      <c r="KPJ11" s="1116"/>
      <c r="KPK11" s="1116"/>
      <c r="KPL11" s="1116"/>
      <c r="KPM11" s="1116"/>
      <c r="KPN11" s="1116"/>
      <c r="KPO11" s="1116"/>
      <c r="KPP11" s="1116"/>
      <c r="KPQ11" s="1116"/>
      <c r="KPR11" s="1116"/>
      <c r="KPS11" s="1116"/>
      <c r="KPT11" s="1116"/>
      <c r="KPU11" s="1116"/>
      <c r="KPV11" s="1116"/>
      <c r="KPW11" s="1116"/>
      <c r="KPX11" s="1116"/>
      <c r="KPY11" s="1116"/>
      <c r="KPZ11" s="1116"/>
      <c r="KQA11" s="1116"/>
      <c r="KQB11" s="1116"/>
      <c r="KQC11" s="1116"/>
      <c r="KQD11" s="1116"/>
      <c r="KQE11" s="1116"/>
      <c r="KQF11" s="1116"/>
      <c r="KQG11" s="1116"/>
      <c r="KQH11" s="1116"/>
      <c r="KQI11" s="1116"/>
      <c r="KQJ11" s="1116"/>
      <c r="KQK11" s="1116"/>
      <c r="KQL11" s="1116"/>
      <c r="KQM11" s="1116"/>
      <c r="KQN11" s="1116"/>
      <c r="KQO11" s="1116"/>
      <c r="KQP11" s="1116"/>
      <c r="KQQ11" s="1116"/>
      <c r="KQR11" s="1116"/>
      <c r="KQS11" s="1116"/>
      <c r="KQT11" s="1116"/>
      <c r="KQU11" s="1116"/>
      <c r="KQV11" s="1116"/>
      <c r="KQW11" s="1116"/>
      <c r="KQX11" s="1116"/>
      <c r="KQY11" s="1116"/>
      <c r="KQZ11" s="1116"/>
      <c r="KRA11" s="1116"/>
      <c r="KRB11" s="1116"/>
      <c r="KRC11" s="1116"/>
      <c r="KRD11" s="1116"/>
      <c r="KRE11" s="1116"/>
      <c r="KRF11" s="1116"/>
      <c r="KRG11" s="1116"/>
      <c r="KRH11" s="1116"/>
      <c r="KRI11" s="1116"/>
      <c r="KRJ11" s="1116"/>
      <c r="KRK11" s="1116"/>
      <c r="KRL11" s="1116"/>
      <c r="KRM11" s="1116"/>
      <c r="KRN11" s="1116"/>
      <c r="KRO11" s="1116"/>
      <c r="KRP11" s="1116"/>
      <c r="KRQ11" s="1116"/>
      <c r="KRR11" s="1116"/>
      <c r="KRS11" s="1116"/>
      <c r="KRT11" s="1116"/>
      <c r="KRU11" s="1116"/>
      <c r="KRV11" s="1116"/>
      <c r="KRW11" s="1116"/>
      <c r="KRX11" s="1116"/>
      <c r="KRY11" s="1116"/>
      <c r="KRZ11" s="1116"/>
      <c r="KSA11" s="1116"/>
      <c r="KSB11" s="1116"/>
      <c r="KSC11" s="1116"/>
      <c r="KSD11" s="1116"/>
      <c r="KSE11" s="1116"/>
      <c r="KSF11" s="1116"/>
      <c r="KSG11" s="1116"/>
      <c r="KSH11" s="1116"/>
      <c r="KSI11" s="1116"/>
      <c r="KSJ11" s="1116"/>
      <c r="KSK11" s="1116"/>
      <c r="KSL11" s="1116"/>
      <c r="KSM11" s="1116"/>
      <c r="KSN11" s="1116"/>
      <c r="KSO11" s="1116"/>
      <c r="KSP11" s="1116"/>
      <c r="KSQ11" s="1116"/>
      <c r="KSR11" s="1116"/>
      <c r="KSS11" s="1116"/>
      <c r="KST11" s="1116"/>
      <c r="KSU11" s="1116"/>
      <c r="KSV11" s="1116"/>
      <c r="KSW11" s="1116"/>
      <c r="KSX11" s="1116"/>
      <c r="KSY11" s="1116"/>
      <c r="KSZ11" s="1116"/>
      <c r="KTA11" s="1116"/>
      <c r="KTB11" s="1116"/>
      <c r="KTC11" s="1116"/>
      <c r="KTD11" s="1116"/>
      <c r="KTE11" s="1116"/>
      <c r="KTF11" s="1116"/>
      <c r="KTG11" s="1116"/>
      <c r="KTH11" s="1116"/>
      <c r="KTI11" s="1116"/>
      <c r="KTJ11" s="1116"/>
      <c r="KTK11" s="1116"/>
      <c r="KTL11" s="1116"/>
      <c r="KTM11" s="1116"/>
      <c r="KTN11" s="1116"/>
      <c r="KTO11" s="1116"/>
      <c r="KTP11" s="1116"/>
      <c r="KTQ11" s="1116"/>
      <c r="KTR11" s="1116"/>
      <c r="KTS11" s="1116"/>
      <c r="KTT11" s="1116"/>
      <c r="KTU11" s="1116"/>
      <c r="KTV11" s="1116"/>
      <c r="KTW11" s="1116"/>
      <c r="KTX11" s="1116"/>
      <c r="KTY11" s="1116"/>
      <c r="KTZ11" s="1116"/>
      <c r="KUA11" s="1116"/>
      <c r="KUB11" s="1116"/>
      <c r="KUC11" s="1116"/>
      <c r="KUD11" s="1116"/>
      <c r="KUE11" s="1116"/>
      <c r="KUF11" s="1116"/>
      <c r="KUG11" s="1116"/>
      <c r="KUH11" s="1116"/>
      <c r="KUI11" s="1116"/>
      <c r="KUJ11" s="1116"/>
      <c r="KUK11" s="1116"/>
      <c r="KUL11" s="1116"/>
      <c r="KUM11" s="1116"/>
      <c r="KUN11" s="1116"/>
      <c r="KUO11" s="1116"/>
      <c r="KUP11" s="1116"/>
      <c r="KUQ11" s="1116"/>
      <c r="KUR11" s="1116"/>
      <c r="KUS11" s="1116"/>
      <c r="KUT11" s="1116"/>
      <c r="KUU11" s="1116"/>
      <c r="KUV11" s="1116"/>
      <c r="KUW11" s="1116"/>
      <c r="KUX11" s="1116"/>
      <c r="KUY11" s="1116"/>
      <c r="KUZ11" s="1116"/>
      <c r="KVA11" s="1116"/>
      <c r="KVB11" s="1116"/>
      <c r="KVC11" s="1116"/>
      <c r="KVD11" s="1116"/>
      <c r="KVE11" s="1116"/>
      <c r="KVF11" s="1116"/>
      <c r="KVG11" s="1116"/>
      <c r="KVH11" s="1116"/>
      <c r="KVI11" s="1116"/>
      <c r="KVJ11" s="1116"/>
      <c r="KVK11" s="1116"/>
      <c r="KVL11" s="1116"/>
      <c r="KVM11" s="1116"/>
      <c r="KVN11" s="1116"/>
      <c r="KVO11" s="1116"/>
      <c r="KVP11" s="1116"/>
      <c r="KVQ11" s="1116"/>
      <c r="KVR11" s="1116"/>
      <c r="KVS11" s="1116"/>
      <c r="KVT11" s="1116"/>
      <c r="KVU11" s="1116"/>
      <c r="KVV11" s="1116"/>
      <c r="KVW11" s="1116"/>
      <c r="KVX11" s="1116"/>
      <c r="KVY11" s="1116"/>
      <c r="KVZ11" s="1116"/>
      <c r="KWA11" s="1116"/>
      <c r="KWB11" s="1116"/>
      <c r="KWC11" s="1116"/>
      <c r="KWD11" s="1116"/>
      <c r="KWE11" s="1116"/>
      <c r="KWF11" s="1116"/>
      <c r="KWG11" s="1116"/>
      <c r="KWH11" s="1116"/>
      <c r="KWI11" s="1116"/>
      <c r="KWJ11" s="1116"/>
      <c r="KWK11" s="1116"/>
      <c r="KWL11" s="1116"/>
      <c r="KWM11" s="1116"/>
      <c r="KWN11" s="1116"/>
      <c r="KWO11" s="1116"/>
      <c r="KWP11" s="1116"/>
      <c r="KWQ11" s="1116"/>
      <c r="KWR11" s="1116"/>
      <c r="KWS11" s="1116"/>
      <c r="KWT11" s="1116"/>
      <c r="KWU11" s="1116"/>
      <c r="KWV11" s="1116"/>
      <c r="KWW11" s="1116"/>
      <c r="KWX11" s="1116"/>
      <c r="KWY11" s="1116"/>
      <c r="KWZ11" s="1116"/>
      <c r="KXA11" s="1116"/>
      <c r="KXB11" s="1116"/>
      <c r="KXC11" s="1116"/>
      <c r="KXD11" s="1116"/>
      <c r="KXE11" s="1116"/>
      <c r="KXF11" s="1116"/>
      <c r="KXG11" s="1116"/>
      <c r="KXH11" s="1116"/>
      <c r="KXI11" s="1116"/>
      <c r="KXJ11" s="1116"/>
      <c r="KXK11" s="1116"/>
      <c r="KXL11" s="1116"/>
      <c r="KXM11" s="1116"/>
      <c r="KXN11" s="1116"/>
      <c r="KXO11" s="1116"/>
      <c r="KXP11" s="1116"/>
      <c r="KXQ11" s="1116"/>
      <c r="KXR11" s="1116"/>
      <c r="KXS11" s="1116"/>
      <c r="KXT11" s="1116"/>
      <c r="KXU11" s="1116"/>
      <c r="KXV11" s="1116"/>
      <c r="KXW11" s="1116"/>
      <c r="KXX11" s="1116"/>
      <c r="KXY11" s="1116"/>
      <c r="KXZ11" s="1116"/>
      <c r="KYA11" s="1116"/>
      <c r="KYB11" s="1116"/>
      <c r="KYC11" s="1116"/>
      <c r="KYD11" s="1116"/>
      <c r="KYE11" s="1116"/>
      <c r="KYF11" s="1116"/>
      <c r="KYG11" s="1116"/>
      <c r="KYH11" s="1116"/>
      <c r="KYI11" s="1116"/>
      <c r="KYJ11" s="1116"/>
      <c r="KYK11" s="1116"/>
      <c r="KYL11" s="1116"/>
      <c r="KYM11" s="1116"/>
      <c r="KYN11" s="1116"/>
      <c r="KYO11" s="1116"/>
      <c r="KYP11" s="1116"/>
      <c r="KYQ11" s="1116"/>
      <c r="KYR11" s="1116"/>
      <c r="KYS11" s="1116"/>
      <c r="KYT11" s="1116"/>
      <c r="KYU11" s="1116"/>
      <c r="KYV11" s="1116"/>
      <c r="KYW11" s="1116"/>
      <c r="KYX11" s="1116"/>
      <c r="KYY11" s="1116"/>
      <c r="KYZ11" s="1116"/>
      <c r="KZA11" s="1116"/>
      <c r="KZB11" s="1116"/>
      <c r="KZC11" s="1116"/>
      <c r="KZD11" s="1116"/>
      <c r="KZE11" s="1116"/>
      <c r="KZF11" s="1116"/>
      <c r="KZG11" s="1116"/>
      <c r="KZH11" s="1116"/>
      <c r="KZI11" s="1116"/>
      <c r="KZJ11" s="1116"/>
      <c r="KZK11" s="1116"/>
      <c r="KZL11" s="1116"/>
      <c r="KZM11" s="1116"/>
      <c r="KZN11" s="1116"/>
      <c r="KZO11" s="1116"/>
      <c r="KZP11" s="1116"/>
      <c r="KZQ11" s="1116"/>
      <c r="KZR11" s="1116"/>
      <c r="KZS11" s="1116"/>
      <c r="KZT11" s="1116"/>
      <c r="KZU11" s="1116"/>
      <c r="KZV11" s="1116"/>
      <c r="KZW11" s="1116"/>
      <c r="KZX11" s="1116"/>
      <c r="KZY11" s="1116"/>
      <c r="KZZ11" s="1116"/>
      <c r="LAA11" s="1116"/>
      <c r="LAB11" s="1116"/>
      <c r="LAC11" s="1116"/>
      <c r="LAD11" s="1116"/>
      <c r="LAE11" s="1116"/>
      <c r="LAF11" s="1116"/>
      <c r="LAG11" s="1116"/>
      <c r="LAH11" s="1116"/>
      <c r="LAI11" s="1116"/>
      <c r="LAJ11" s="1116"/>
      <c r="LAK11" s="1116"/>
      <c r="LAL11" s="1116"/>
      <c r="LAM11" s="1116"/>
      <c r="LAN11" s="1116"/>
      <c r="LAO11" s="1116"/>
      <c r="LAP11" s="1116"/>
      <c r="LAQ11" s="1116"/>
      <c r="LAR11" s="1116"/>
      <c r="LAS11" s="1116"/>
      <c r="LAT11" s="1116"/>
      <c r="LAU11" s="1116"/>
      <c r="LAV11" s="1116"/>
      <c r="LAW11" s="1116"/>
      <c r="LAX11" s="1116"/>
      <c r="LAY11" s="1116"/>
      <c r="LAZ11" s="1116"/>
      <c r="LBA11" s="1116"/>
      <c r="LBB11" s="1116"/>
      <c r="LBC11" s="1116"/>
      <c r="LBD11" s="1116"/>
      <c r="LBE11" s="1116"/>
      <c r="LBF11" s="1116"/>
      <c r="LBG11" s="1116"/>
      <c r="LBH11" s="1116"/>
      <c r="LBI11" s="1116"/>
      <c r="LBJ11" s="1116"/>
      <c r="LBK11" s="1116"/>
      <c r="LBL11" s="1116"/>
      <c r="LBM11" s="1116"/>
      <c r="LBN11" s="1116"/>
      <c r="LBO11" s="1116"/>
      <c r="LBP11" s="1116"/>
      <c r="LBQ11" s="1116"/>
      <c r="LBR11" s="1116"/>
      <c r="LBS11" s="1116"/>
      <c r="LBT11" s="1116"/>
      <c r="LBU11" s="1116"/>
      <c r="LBV11" s="1116"/>
      <c r="LBW11" s="1116"/>
      <c r="LBX11" s="1116"/>
      <c r="LBY11" s="1116"/>
      <c r="LBZ11" s="1116"/>
      <c r="LCA11" s="1116"/>
      <c r="LCB11" s="1116"/>
      <c r="LCC11" s="1116"/>
      <c r="LCD11" s="1116"/>
      <c r="LCE11" s="1116"/>
      <c r="LCF11" s="1116"/>
      <c r="LCG11" s="1116"/>
      <c r="LCH11" s="1116"/>
      <c r="LCI11" s="1116"/>
      <c r="LCJ11" s="1116"/>
      <c r="LCK11" s="1116"/>
      <c r="LCL11" s="1116"/>
      <c r="LCM11" s="1116"/>
      <c r="LCN11" s="1116"/>
      <c r="LCO11" s="1116"/>
      <c r="LCP11" s="1116"/>
      <c r="LCQ11" s="1116"/>
      <c r="LCR11" s="1116"/>
      <c r="LCS11" s="1116"/>
      <c r="LCT11" s="1116"/>
      <c r="LCU11" s="1116"/>
      <c r="LCV11" s="1116"/>
      <c r="LCW11" s="1116"/>
      <c r="LCX11" s="1116"/>
      <c r="LCY11" s="1116"/>
      <c r="LCZ11" s="1116"/>
      <c r="LDA11" s="1116"/>
      <c r="LDB11" s="1116"/>
      <c r="LDC11" s="1116"/>
      <c r="LDD11" s="1116"/>
      <c r="LDE11" s="1116"/>
      <c r="LDF11" s="1116"/>
      <c r="LDG11" s="1116"/>
      <c r="LDH11" s="1116"/>
      <c r="LDI11" s="1116"/>
      <c r="LDJ11" s="1116"/>
      <c r="LDK11" s="1116"/>
      <c r="LDL11" s="1116"/>
      <c r="LDM11" s="1116"/>
      <c r="LDN11" s="1116"/>
      <c r="LDO11" s="1116"/>
      <c r="LDP11" s="1116"/>
      <c r="LDQ11" s="1116"/>
      <c r="LDR11" s="1116"/>
      <c r="LDS11" s="1116"/>
      <c r="LDT11" s="1116"/>
      <c r="LDU11" s="1116"/>
      <c r="LDV11" s="1116"/>
      <c r="LDW11" s="1116"/>
      <c r="LDX11" s="1116"/>
      <c r="LDY11" s="1116"/>
      <c r="LDZ11" s="1116"/>
      <c r="LEA11" s="1116"/>
      <c r="LEB11" s="1116"/>
      <c r="LEC11" s="1116"/>
      <c r="LED11" s="1116"/>
      <c r="LEE11" s="1116"/>
      <c r="LEF11" s="1116"/>
      <c r="LEG11" s="1116"/>
      <c r="LEH11" s="1116"/>
      <c r="LEI11" s="1116"/>
      <c r="LEJ11" s="1116"/>
      <c r="LEK11" s="1116"/>
      <c r="LEL11" s="1116"/>
      <c r="LEM11" s="1116"/>
      <c r="LEN11" s="1116"/>
      <c r="LEO11" s="1116"/>
      <c r="LEP11" s="1116"/>
      <c r="LEQ11" s="1116"/>
      <c r="LER11" s="1116"/>
      <c r="LES11" s="1116"/>
      <c r="LET11" s="1116"/>
      <c r="LEU11" s="1116"/>
      <c r="LEV11" s="1116"/>
      <c r="LEW11" s="1116"/>
      <c r="LEX11" s="1116"/>
      <c r="LEY11" s="1116"/>
      <c r="LEZ11" s="1116"/>
      <c r="LFA11" s="1116"/>
      <c r="LFB11" s="1116"/>
      <c r="LFC11" s="1116"/>
      <c r="LFD11" s="1116"/>
      <c r="LFE11" s="1116"/>
      <c r="LFF11" s="1116"/>
      <c r="LFG11" s="1116"/>
      <c r="LFH11" s="1116"/>
      <c r="LFI11" s="1116"/>
      <c r="LFJ11" s="1116"/>
      <c r="LFK11" s="1116"/>
      <c r="LFL11" s="1116"/>
      <c r="LFM11" s="1116"/>
      <c r="LFN11" s="1116"/>
      <c r="LFO11" s="1116"/>
      <c r="LFP11" s="1116"/>
      <c r="LFQ11" s="1116"/>
      <c r="LFR11" s="1116"/>
      <c r="LFS11" s="1116"/>
      <c r="LFT11" s="1116"/>
      <c r="LFU11" s="1116"/>
      <c r="LFV11" s="1116"/>
      <c r="LFW11" s="1116"/>
      <c r="LFX11" s="1116"/>
      <c r="LFY11" s="1116"/>
      <c r="LFZ11" s="1116"/>
      <c r="LGA11" s="1116"/>
      <c r="LGB11" s="1116"/>
      <c r="LGC11" s="1116"/>
      <c r="LGD11" s="1116"/>
      <c r="LGE11" s="1116"/>
      <c r="LGF11" s="1116"/>
      <c r="LGG11" s="1116"/>
      <c r="LGH11" s="1116"/>
      <c r="LGI11" s="1116"/>
      <c r="LGJ11" s="1116"/>
      <c r="LGK11" s="1116"/>
      <c r="LGL11" s="1116"/>
      <c r="LGM11" s="1116"/>
      <c r="LGN11" s="1116"/>
      <c r="LGO11" s="1116"/>
      <c r="LGP11" s="1116"/>
      <c r="LGQ11" s="1116"/>
      <c r="LGR11" s="1116"/>
      <c r="LGS11" s="1116"/>
      <c r="LGT11" s="1116"/>
      <c r="LGU11" s="1116"/>
      <c r="LGV11" s="1116"/>
      <c r="LGW11" s="1116"/>
      <c r="LGX11" s="1116"/>
      <c r="LGY11" s="1116"/>
      <c r="LGZ11" s="1116"/>
      <c r="LHA11" s="1116"/>
      <c r="LHB11" s="1116"/>
      <c r="LHC11" s="1116"/>
      <c r="LHD11" s="1116"/>
      <c r="LHE11" s="1116"/>
      <c r="LHF11" s="1116"/>
      <c r="LHG11" s="1116"/>
      <c r="LHH11" s="1116"/>
      <c r="LHI11" s="1116"/>
      <c r="LHJ11" s="1116"/>
      <c r="LHK11" s="1116"/>
      <c r="LHL11" s="1116"/>
      <c r="LHM11" s="1116"/>
      <c r="LHN11" s="1116"/>
      <c r="LHO11" s="1116"/>
      <c r="LHP11" s="1116"/>
      <c r="LHQ11" s="1116"/>
      <c r="LHR11" s="1116"/>
      <c r="LHS11" s="1116"/>
      <c r="LHT11" s="1116"/>
      <c r="LHU11" s="1116"/>
      <c r="LHV11" s="1116"/>
      <c r="LHW11" s="1116"/>
      <c r="LHX11" s="1116"/>
      <c r="LHY11" s="1116"/>
      <c r="LHZ11" s="1116"/>
      <c r="LIA11" s="1116"/>
      <c r="LIB11" s="1116"/>
      <c r="LIC11" s="1116"/>
      <c r="LID11" s="1116"/>
      <c r="LIE11" s="1116"/>
      <c r="LIF11" s="1116"/>
      <c r="LIG11" s="1116"/>
      <c r="LIH11" s="1116"/>
      <c r="LII11" s="1116"/>
      <c r="LIJ11" s="1116"/>
      <c r="LIK11" s="1116"/>
      <c r="LIL11" s="1116"/>
      <c r="LIM11" s="1116"/>
      <c r="LIN11" s="1116"/>
      <c r="LIO11" s="1116"/>
      <c r="LIP11" s="1116"/>
      <c r="LIQ11" s="1116"/>
      <c r="LIR11" s="1116"/>
      <c r="LIS11" s="1116"/>
      <c r="LIT11" s="1116"/>
      <c r="LIU11" s="1116"/>
      <c r="LIV11" s="1116"/>
      <c r="LIW11" s="1116"/>
      <c r="LIX11" s="1116"/>
      <c r="LIY11" s="1116"/>
      <c r="LIZ11" s="1116"/>
      <c r="LJA11" s="1116"/>
      <c r="LJB11" s="1116"/>
      <c r="LJC11" s="1116"/>
      <c r="LJD11" s="1116"/>
      <c r="LJE11" s="1116"/>
      <c r="LJF11" s="1116"/>
      <c r="LJG11" s="1116"/>
      <c r="LJH11" s="1116"/>
      <c r="LJI11" s="1116"/>
      <c r="LJJ11" s="1116"/>
      <c r="LJK11" s="1116"/>
      <c r="LJL11" s="1116"/>
      <c r="LJM11" s="1116"/>
      <c r="LJN11" s="1116"/>
      <c r="LJO11" s="1116"/>
      <c r="LJP11" s="1116"/>
      <c r="LJQ11" s="1116"/>
      <c r="LJR11" s="1116"/>
      <c r="LJS11" s="1116"/>
      <c r="LJT11" s="1116"/>
      <c r="LJU11" s="1116"/>
      <c r="LJV11" s="1116"/>
      <c r="LJW11" s="1116"/>
      <c r="LJX11" s="1116"/>
      <c r="LJY11" s="1116"/>
      <c r="LJZ11" s="1116"/>
      <c r="LKA11" s="1116"/>
      <c r="LKB11" s="1116"/>
      <c r="LKC11" s="1116"/>
      <c r="LKD11" s="1116"/>
      <c r="LKE11" s="1116"/>
      <c r="LKF11" s="1116"/>
      <c r="LKG11" s="1116"/>
      <c r="LKH11" s="1116"/>
      <c r="LKI11" s="1116"/>
      <c r="LKJ11" s="1116"/>
      <c r="LKK11" s="1116"/>
      <c r="LKL11" s="1116"/>
      <c r="LKM11" s="1116"/>
      <c r="LKN11" s="1116"/>
      <c r="LKO11" s="1116"/>
      <c r="LKP11" s="1116"/>
      <c r="LKQ11" s="1116"/>
      <c r="LKR11" s="1116"/>
      <c r="LKS11" s="1116"/>
      <c r="LKT11" s="1116"/>
      <c r="LKU11" s="1116"/>
      <c r="LKV11" s="1116"/>
      <c r="LKW11" s="1116"/>
      <c r="LKX11" s="1116"/>
      <c r="LKY11" s="1116"/>
      <c r="LKZ11" s="1116"/>
      <c r="LLA11" s="1116"/>
      <c r="LLB11" s="1116"/>
      <c r="LLC11" s="1116"/>
      <c r="LLD11" s="1116"/>
      <c r="LLE11" s="1116"/>
      <c r="LLF11" s="1116"/>
      <c r="LLG11" s="1116"/>
      <c r="LLH11" s="1116"/>
      <c r="LLI11" s="1116"/>
      <c r="LLJ11" s="1116"/>
      <c r="LLK11" s="1116"/>
      <c r="LLL11" s="1116"/>
      <c r="LLM11" s="1116"/>
      <c r="LLN11" s="1116"/>
      <c r="LLO11" s="1116"/>
      <c r="LLP11" s="1116"/>
      <c r="LLQ11" s="1116"/>
      <c r="LLR11" s="1116"/>
      <c r="LLS11" s="1116"/>
      <c r="LLT11" s="1116"/>
      <c r="LLU11" s="1116"/>
      <c r="LLV11" s="1116"/>
      <c r="LLW11" s="1116"/>
      <c r="LLX11" s="1116"/>
      <c r="LLY11" s="1116"/>
      <c r="LLZ11" s="1116"/>
      <c r="LMA11" s="1116"/>
      <c r="LMB11" s="1116"/>
      <c r="LMC11" s="1116"/>
      <c r="LMD11" s="1116"/>
      <c r="LME11" s="1116"/>
      <c r="LMF11" s="1116"/>
      <c r="LMG11" s="1116"/>
      <c r="LMH11" s="1116"/>
      <c r="LMI11" s="1116"/>
      <c r="LMJ11" s="1116"/>
      <c r="LMK11" s="1116"/>
      <c r="LML11" s="1116"/>
      <c r="LMM11" s="1116"/>
      <c r="LMN11" s="1116"/>
      <c r="LMO11" s="1116"/>
      <c r="LMP11" s="1116"/>
      <c r="LMQ11" s="1116"/>
      <c r="LMR11" s="1116"/>
      <c r="LMS11" s="1116"/>
      <c r="LMT11" s="1116"/>
      <c r="LMU11" s="1116"/>
      <c r="LMV11" s="1116"/>
      <c r="LMW11" s="1116"/>
      <c r="LMX11" s="1116"/>
      <c r="LMY11" s="1116"/>
      <c r="LMZ11" s="1116"/>
      <c r="LNA11" s="1116"/>
      <c r="LNB11" s="1116"/>
      <c r="LNC11" s="1116"/>
      <c r="LND11" s="1116"/>
      <c r="LNE11" s="1116"/>
      <c r="LNF11" s="1116"/>
      <c r="LNG11" s="1116"/>
      <c r="LNH11" s="1116"/>
      <c r="LNI11" s="1116"/>
      <c r="LNJ11" s="1116"/>
      <c r="LNK11" s="1116"/>
      <c r="LNL11" s="1116"/>
      <c r="LNM11" s="1116"/>
      <c r="LNN11" s="1116"/>
      <c r="LNO11" s="1116"/>
      <c r="LNP11" s="1116"/>
      <c r="LNQ11" s="1116"/>
      <c r="LNR11" s="1116"/>
      <c r="LNS11" s="1116"/>
      <c r="LNT11" s="1116"/>
      <c r="LNU11" s="1116"/>
      <c r="LNV11" s="1116"/>
      <c r="LNW11" s="1116"/>
      <c r="LNX11" s="1116"/>
      <c r="LNY11" s="1116"/>
      <c r="LNZ11" s="1116"/>
      <c r="LOA11" s="1116"/>
      <c r="LOB11" s="1116"/>
      <c r="LOC11" s="1116"/>
      <c r="LOD11" s="1116"/>
      <c r="LOE11" s="1116"/>
      <c r="LOF11" s="1116"/>
      <c r="LOG11" s="1116"/>
      <c r="LOH11" s="1116"/>
      <c r="LOI11" s="1116"/>
      <c r="LOJ11" s="1116"/>
      <c r="LOK11" s="1116"/>
      <c r="LOL11" s="1116"/>
      <c r="LOM11" s="1116"/>
      <c r="LON11" s="1116"/>
      <c r="LOO11" s="1116"/>
      <c r="LOP11" s="1116"/>
      <c r="LOQ11" s="1116"/>
      <c r="LOR11" s="1116"/>
      <c r="LOS11" s="1116"/>
      <c r="LOT11" s="1116"/>
      <c r="LOU11" s="1116"/>
      <c r="LOV11" s="1116"/>
      <c r="LOW11" s="1116"/>
      <c r="LOX11" s="1116"/>
      <c r="LOY11" s="1116"/>
      <c r="LOZ11" s="1116"/>
      <c r="LPA11" s="1116"/>
      <c r="LPB11" s="1116"/>
      <c r="LPC11" s="1116"/>
      <c r="LPD11" s="1116"/>
      <c r="LPE11" s="1116"/>
      <c r="LPF11" s="1116"/>
      <c r="LPG11" s="1116"/>
      <c r="LPH11" s="1116"/>
      <c r="LPI11" s="1116"/>
      <c r="LPJ11" s="1116"/>
      <c r="LPK11" s="1116"/>
      <c r="LPL11" s="1116"/>
      <c r="LPM11" s="1116"/>
      <c r="LPN11" s="1116"/>
      <c r="LPO11" s="1116"/>
      <c r="LPP11" s="1116"/>
      <c r="LPQ11" s="1116"/>
      <c r="LPR11" s="1116"/>
      <c r="LPS11" s="1116"/>
      <c r="LPT11" s="1116"/>
      <c r="LPU11" s="1116"/>
      <c r="LPV11" s="1116"/>
      <c r="LPW11" s="1116"/>
      <c r="LPX11" s="1116"/>
      <c r="LPY11" s="1116"/>
      <c r="LPZ11" s="1116"/>
      <c r="LQA11" s="1116"/>
      <c r="LQB11" s="1116"/>
      <c r="LQC11" s="1116"/>
      <c r="LQD11" s="1116"/>
      <c r="LQE11" s="1116"/>
      <c r="LQF11" s="1116"/>
      <c r="LQG11" s="1116"/>
      <c r="LQH11" s="1116"/>
      <c r="LQI11" s="1116"/>
      <c r="LQJ11" s="1116"/>
      <c r="LQK11" s="1116"/>
      <c r="LQL11" s="1116"/>
      <c r="LQM11" s="1116"/>
      <c r="LQN11" s="1116"/>
      <c r="LQO11" s="1116"/>
      <c r="LQP11" s="1116"/>
      <c r="LQQ11" s="1116"/>
      <c r="LQR11" s="1116"/>
      <c r="LQS11" s="1116"/>
      <c r="LQT11" s="1116"/>
      <c r="LQU11" s="1116"/>
      <c r="LQV11" s="1116"/>
      <c r="LQW11" s="1116"/>
      <c r="LQX11" s="1116"/>
      <c r="LQY11" s="1116"/>
      <c r="LQZ11" s="1116"/>
      <c r="LRA11" s="1116"/>
      <c r="LRB11" s="1116"/>
      <c r="LRC11" s="1116"/>
      <c r="LRD11" s="1116"/>
      <c r="LRE11" s="1116"/>
      <c r="LRF11" s="1116"/>
      <c r="LRG11" s="1116"/>
      <c r="LRH11" s="1116"/>
      <c r="LRI11" s="1116"/>
      <c r="LRJ11" s="1116"/>
      <c r="LRK11" s="1116"/>
      <c r="LRL11" s="1116"/>
      <c r="LRM11" s="1116"/>
      <c r="LRN11" s="1116"/>
      <c r="LRO11" s="1116"/>
      <c r="LRP11" s="1116"/>
      <c r="LRQ11" s="1116"/>
      <c r="LRR11" s="1116"/>
      <c r="LRS11" s="1116"/>
      <c r="LRT11" s="1116"/>
      <c r="LRU11" s="1116"/>
      <c r="LRV11" s="1116"/>
      <c r="LRW11" s="1116"/>
      <c r="LRX11" s="1116"/>
      <c r="LRY11" s="1116"/>
      <c r="LRZ11" s="1116"/>
      <c r="LSA11" s="1116"/>
      <c r="LSB11" s="1116"/>
      <c r="LSC11" s="1116"/>
      <c r="LSD11" s="1116"/>
      <c r="LSE11" s="1116"/>
      <c r="LSF11" s="1116"/>
      <c r="LSG11" s="1116"/>
      <c r="LSH11" s="1116"/>
      <c r="LSI11" s="1116"/>
      <c r="LSJ11" s="1116"/>
      <c r="LSK11" s="1116"/>
      <c r="LSL11" s="1116"/>
      <c r="LSM11" s="1116"/>
      <c r="LSN11" s="1116"/>
      <c r="LSO11" s="1116"/>
      <c r="LSP11" s="1116"/>
      <c r="LSQ11" s="1116"/>
      <c r="LSR11" s="1116"/>
      <c r="LSS11" s="1116"/>
      <c r="LST11" s="1116"/>
      <c r="LSU11" s="1116"/>
      <c r="LSV11" s="1116"/>
      <c r="LSW11" s="1116"/>
      <c r="LSX11" s="1116"/>
      <c r="LSY11" s="1116"/>
      <c r="LSZ11" s="1116"/>
      <c r="LTA11" s="1116"/>
      <c r="LTB11" s="1116"/>
      <c r="LTC11" s="1116"/>
      <c r="LTD11" s="1116"/>
      <c r="LTE11" s="1116"/>
      <c r="LTF11" s="1116"/>
      <c r="LTG11" s="1116"/>
      <c r="LTH11" s="1116"/>
      <c r="LTI11" s="1116"/>
      <c r="LTJ11" s="1116"/>
      <c r="LTK11" s="1116"/>
      <c r="LTL11" s="1116"/>
      <c r="LTM11" s="1116"/>
      <c r="LTN11" s="1116"/>
      <c r="LTO11" s="1116"/>
      <c r="LTP11" s="1116"/>
      <c r="LTQ11" s="1116"/>
      <c r="LTR11" s="1116"/>
      <c r="LTS11" s="1116"/>
      <c r="LTT11" s="1116"/>
      <c r="LTU11" s="1116"/>
      <c r="LTV11" s="1116"/>
      <c r="LTW11" s="1116"/>
      <c r="LTX11" s="1116"/>
      <c r="LTY11" s="1116"/>
      <c r="LTZ11" s="1116"/>
      <c r="LUA11" s="1116"/>
      <c r="LUB11" s="1116"/>
      <c r="LUC11" s="1116"/>
      <c r="LUD11" s="1116"/>
      <c r="LUE11" s="1116"/>
      <c r="LUF11" s="1116"/>
      <c r="LUG11" s="1116"/>
      <c r="LUH11" s="1116"/>
      <c r="LUI11" s="1116"/>
      <c r="LUJ11" s="1116"/>
      <c r="LUK11" s="1116"/>
      <c r="LUL11" s="1116"/>
      <c r="LUM11" s="1116"/>
      <c r="LUN11" s="1116"/>
      <c r="LUO11" s="1116"/>
      <c r="LUP11" s="1116"/>
      <c r="LUQ11" s="1116"/>
      <c r="LUR11" s="1116"/>
      <c r="LUS11" s="1116"/>
      <c r="LUT11" s="1116"/>
      <c r="LUU11" s="1116"/>
      <c r="LUV11" s="1116"/>
      <c r="LUW11" s="1116"/>
      <c r="LUX11" s="1116"/>
      <c r="LUY11" s="1116"/>
      <c r="LUZ11" s="1116"/>
      <c r="LVA11" s="1116"/>
      <c r="LVB11" s="1116"/>
      <c r="LVC11" s="1116"/>
      <c r="LVD11" s="1116"/>
      <c r="LVE11" s="1116"/>
      <c r="LVF11" s="1116"/>
      <c r="LVG11" s="1116"/>
      <c r="LVH11" s="1116"/>
      <c r="LVI11" s="1116"/>
      <c r="LVJ11" s="1116"/>
      <c r="LVK11" s="1116"/>
      <c r="LVL11" s="1116"/>
      <c r="LVM11" s="1116"/>
      <c r="LVN11" s="1116"/>
      <c r="LVO11" s="1116"/>
      <c r="LVP11" s="1116"/>
      <c r="LVQ11" s="1116"/>
      <c r="LVR11" s="1116"/>
      <c r="LVS11" s="1116"/>
      <c r="LVT11" s="1116"/>
      <c r="LVU11" s="1116"/>
      <c r="LVV11" s="1116"/>
      <c r="LVW11" s="1116"/>
      <c r="LVX11" s="1116"/>
      <c r="LVY11" s="1116"/>
      <c r="LVZ11" s="1116"/>
      <c r="LWA11" s="1116"/>
      <c r="LWB11" s="1116"/>
      <c r="LWC11" s="1116"/>
      <c r="LWD11" s="1116"/>
      <c r="LWE11" s="1116"/>
      <c r="LWF11" s="1116"/>
      <c r="LWG11" s="1116"/>
      <c r="LWH11" s="1116"/>
      <c r="LWI11" s="1116"/>
      <c r="LWJ11" s="1116"/>
      <c r="LWK11" s="1116"/>
      <c r="LWL11" s="1116"/>
      <c r="LWM11" s="1116"/>
      <c r="LWN11" s="1116"/>
      <c r="LWO11" s="1116"/>
      <c r="LWP11" s="1116"/>
      <c r="LWQ11" s="1116"/>
      <c r="LWR11" s="1116"/>
      <c r="LWS11" s="1116"/>
      <c r="LWT11" s="1116"/>
      <c r="LWU11" s="1116"/>
      <c r="LWV11" s="1116"/>
      <c r="LWW11" s="1116"/>
      <c r="LWX11" s="1116"/>
      <c r="LWY11" s="1116"/>
      <c r="LWZ11" s="1116"/>
      <c r="LXA11" s="1116"/>
      <c r="LXB11" s="1116"/>
      <c r="LXC11" s="1116"/>
      <c r="LXD11" s="1116"/>
      <c r="LXE11" s="1116"/>
      <c r="LXF11" s="1116"/>
      <c r="LXG11" s="1116"/>
      <c r="LXH11" s="1116"/>
      <c r="LXI11" s="1116"/>
      <c r="LXJ11" s="1116"/>
      <c r="LXK11" s="1116"/>
      <c r="LXL11" s="1116"/>
      <c r="LXM11" s="1116"/>
      <c r="LXN11" s="1116"/>
      <c r="LXO11" s="1116"/>
      <c r="LXP11" s="1116"/>
      <c r="LXQ11" s="1116"/>
      <c r="LXR11" s="1116"/>
      <c r="LXS11" s="1116"/>
      <c r="LXT11" s="1116"/>
      <c r="LXU11" s="1116"/>
      <c r="LXV11" s="1116"/>
      <c r="LXW11" s="1116"/>
      <c r="LXX11" s="1116"/>
      <c r="LXY11" s="1116"/>
      <c r="LXZ11" s="1116"/>
      <c r="LYA11" s="1116"/>
      <c r="LYB11" s="1116"/>
      <c r="LYC11" s="1116"/>
      <c r="LYD11" s="1116"/>
      <c r="LYE11" s="1116"/>
      <c r="LYF11" s="1116"/>
      <c r="LYG11" s="1116"/>
      <c r="LYH11" s="1116"/>
      <c r="LYI11" s="1116"/>
      <c r="LYJ11" s="1116"/>
      <c r="LYK11" s="1116"/>
      <c r="LYL11" s="1116"/>
      <c r="LYM11" s="1116"/>
      <c r="LYN11" s="1116"/>
      <c r="LYO11" s="1116"/>
      <c r="LYP11" s="1116"/>
      <c r="LYQ11" s="1116"/>
      <c r="LYR11" s="1116"/>
      <c r="LYS11" s="1116"/>
      <c r="LYT11" s="1116"/>
      <c r="LYU11" s="1116"/>
      <c r="LYV11" s="1116"/>
      <c r="LYW11" s="1116"/>
      <c r="LYX11" s="1116"/>
      <c r="LYY11" s="1116"/>
      <c r="LYZ11" s="1116"/>
      <c r="LZA11" s="1116"/>
      <c r="LZB11" s="1116"/>
      <c r="LZC11" s="1116"/>
      <c r="LZD11" s="1116"/>
      <c r="LZE11" s="1116"/>
      <c r="LZF11" s="1116"/>
      <c r="LZG11" s="1116"/>
      <c r="LZH11" s="1116"/>
      <c r="LZI11" s="1116"/>
      <c r="LZJ11" s="1116"/>
      <c r="LZK11" s="1116"/>
      <c r="LZL11" s="1116"/>
      <c r="LZM11" s="1116"/>
      <c r="LZN11" s="1116"/>
      <c r="LZO11" s="1116"/>
      <c r="LZP11" s="1116"/>
      <c r="LZQ11" s="1116"/>
      <c r="LZR11" s="1116"/>
      <c r="LZS11" s="1116"/>
      <c r="LZT11" s="1116"/>
      <c r="LZU11" s="1116"/>
      <c r="LZV11" s="1116"/>
      <c r="LZW11" s="1116"/>
      <c r="LZX11" s="1116"/>
      <c r="LZY11" s="1116"/>
      <c r="LZZ11" s="1116"/>
      <c r="MAA11" s="1116"/>
      <c r="MAB11" s="1116"/>
      <c r="MAC11" s="1116"/>
      <c r="MAD11" s="1116"/>
      <c r="MAE11" s="1116"/>
      <c r="MAF11" s="1116"/>
      <c r="MAG11" s="1116"/>
      <c r="MAH11" s="1116"/>
      <c r="MAI11" s="1116"/>
      <c r="MAJ11" s="1116"/>
      <c r="MAK11" s="1116"/>
      <c r="MAL11" s="1116"/>
      <c r="MAM11" s="1116"/>
      <c r="MAN11" s="1116"/>
      <c r="MAO11" s="1116"/>
      <c r="MAP11" s="1116"/>
      <c r="MAQ11" s="1116"/>
      <c r="MAR11" s="1116"/>
      <c r="MAS11" s="1116"/>
      <c r="MAT11" s="1116"/>
      <c r="MAU11" s="1116"/>
      <c r="MAV11" s="1116"/>
      <c r="MAW11" s="1116"/>
      <c r="MAX11" s="1116"/>
      <c r="MAY11" s="1116"/>
      <c r="MAZ11" s="1116"/>
      <c r="MBA11" s="1116"/>
      <c r="MBB11" s="1116"/>
      <c r="MBC11" s="1116"/>
      <c r="MBD11" s="1116"/>
      <c r="MBE11" s="1116"/>
      <c r="MBF11" s="1116"/>
      <c r="MBG11" s="1116"/>
      <c r="MBH11" s="1116"/>
      <c r="MBI11" s="1116"/>
      <c r="MBJ11" s="1116"/>
      <c r="MBK11" s="1116"/>
      <c r="MBL11" s="1116"/>
      <c r="MBM11" s="1116"/>
      <c r="MBN11" s="1116"/>
      <c r="MBO11" s="1116"/>
      <c r="MBP11" s="1116"/>
      <c r="MBQ11" s="1116"/>
      <c r="MBR11" s="1116"/>
      <c r="MBS11" s="1116"/>
      <c r="MBT11" s="1116"/>
      <c r="MBU11" s="1116"/>
      <c r="MBV11" s="1116"/>
      <c r="MBW11" s="1116"/>
      <c r="MBX11" s="1116"/>
      <c r="MBY11" s="1116"/>
      <c r="MBZ11" s="1116"/>
      <c r="MCA11" s="1116"/>
      <c r="MCB11" s="1116"/>
      <c r="MCC11" s="1116"/>
      <c r="MCD11" s="1116"/>
      <c r="MCE11" s="1116"/>
      <c r="MCF11" s="1116"/>
      <c r="MCG11" s="1116"/>
      <c r="MCH11" s="1116"/>
      <c r="MCI11" s="1116"/>
      <c r="MCJ11" s="1116"/>
      <c r="MCK11" s="1116"/>
      <c r="MCL11" s="1116"/>
      <c r="MCM11" s="1116"/>
      <c r="MCN11" s="1116"/>
      <c r="MCO11" s="1116"/>
      <c r="MCP11" s="1116"/>
      <c r="MCQ11" s="1116"/>
      <c r="MCR11" s="1116"/>
      <c r="MCS11" s="1116"/>
      <c r="MCT11" s="1116"/>
      <c r="MCU11" s="1116"/>
      <c r="MCV11" s="1116"/>
      <c r="MCW11" s="1116"/>
      <c r="MCX11" s="1116"/>
      <c r="MCY11" s="1116"/>
      <c r="MCZ11" s="1116"/>
      <c r="MDA11" s="1116"/>
      <c r="MDB11" s="1116"/>
      <c r="MDC11" s="1116"/>
      <c r="MDD11" s="1116"/>
      <c r="MDE11" s="1116"/>
      <c r="MDF11" s="1116"/>
      <c r="MDG11" s="1116"/>
      <c r="MDH11" s="1116"/>
      <c r="MDI11" s="1116"/>
      <c r="MDJ11" s="1116"/>
      <c r="MDK11" s="1116"/>
      <c r="MDL11" s="1116"/>
      <c r="MDM11" s="1116"/>
      <c r="MDN11" s="1116"/>
      <c r="MDO11" s="1116"/>
      <c r="MDP11" s="1116"/>
      <c r="MDQ11" s="1116"/>
      <c r="MDR11" s="1116"/>
      <c r="MDS11" s="1116"/>
      <c r="MDT11" s="1116"/>
      <c r="MDU11" s="1116"/>
      <c r="MDV11" s="1116"/>
      <c r="MDW11" s="1116"/>
      <c r="MDX11" s="1116"/>
      <c r="MDY11" s="1116"/>
      <c r="MDZ11" s="1116"/>
      <c r="MEA11" s="1116"/>
      <c r="MEB11" s="1116"/>
      <c r="MEC11" s="1116"/>
      <c r="MED11" s="1116"/>
      <c r="MEE11" s="1116"/>
      <c r="MEF11" s="1116"/>
      <c r="MEG11" s="1116"/>
      <c r="MEH11" s="1116"/>
      <c r="MEI11" s="1116"/>
      <c r="MEJ11" s="1116"/>
      <c r="MEK11" s="1116"/>
      <c r="MEL11" s="1116"/>
      <c r="MEM11" s="1116"/>
      <c r="MEN11" s="1116"/>
      <c r="MEO11" s="1116"/>
      <c r="MEP11" s="1116"/>
      <c r="MEQ11" s="1116"/>
      <c r="MER11" s="1116"/>
      <c r="MES11" s="1116"/>
      <c r="MET11" s="1116"/>
      <c r="MEU11" s="1116"/>
      <c r="MEV11" s="1116"/>
      <c r="MEW11" s="1116"/>
      <c r="MEX11" s="1116"/>
      <c r="MEY11" s="1116"/>
      <c r="MEZ11" s="1116"/>
      <c r="MFA11" s="1116"/>
      <c r="MFB11" s="1116"/>
      <c r="MFC11" s="1116"/>
      <c r="MFD11" s="1116"/>
      <c r="MFE11" s="1116"/>
      <c r="MFF11" s="1116"/>
      <c r="MFG11" s="1116"/>
      <c r="MFH11" s="1116"/>
      <c r="MFI11" s="1116"/>
      <c r="MFJ11" s="1116"/>
      <c r="MFK11" s="1116"/>
      <c r="MFL11" s="1116"/>
      <c r="MFM11" s="1116"/>
      <c r="MFN11" s="1116"/>
      <c r="MFO11" s="1116"/>
      <c r="MFP11" s="1116"/>
      <c r="MFQ11" s="1116"/>
      <c r="MFR11" s="1116"/>
      <c r="MFS11" s="1116"/>
      <c r="MFT11" s="1116"/>
      <c r="MFU11" s="1116"/>
      <c r="MFV11" s="1116"/>
      <c r="MFW11" s="1116"/>
      <c r="MFX11" s="1116"/>
      <c r="MFY11" s="1116"/>
      <c r="MFZ11" s="1116"/>
      <c r="MGA11" s="1116"/>
      <c r="MGB11" s="1116"/>
      <c r="MGC11" s="1116"/>
      <c r="MGD11" s="1116"/>
      <c r="MGE11" s="1116"/>
      <c r="MGF11" s="1116"/>
      <c r="MGG11" s="1116"/>
      <c r="MGH11" s="1116"/>
      <c r="MGI11" s="1116"/>
      <c r="MGJ11" s="1116"/>
      <c r="MGK11" s="1116"/>
      <c r="MGL11" s="1116"/>
      <c r="MGM11" s="1116"/>
      <c r="MGN11" s="1116"/>
      <c r="MGO11" s="1116"/>
      <c r="MGP11" s="1116"/>
      <c r="MGQ11" s="1116"/>
      <c r="MGR11" s="1116"/>
      <c r="MGS11" s="1116"/>
      <c r="MGT11" s="1116"/>
      <c r="MGU11" s="1116"/>
      <c r="MGV11" s="1116"/>
      <c r="MGW11" s="1116"/>
      <c r="MGX11" s="1116"/>
      <c r="MGY11" s="1116"/>
      <c r="MGZ11" s="1116"/>
      <c r="MHA11" s="1116"/>
      <c r="MHB11" s="1116"/>
      <c r="MHC11" s="1116"/>
      <c r="MHD11" s="1116"/>
      <c r="MHE11" s="1116"/>
      <c r="MHF11" s="1116"/>
      <c r="MHG11" s="1116"/>
      <c r="MHH11" s="1116"/>
      <c r="MHI11" s="1116"/>
      <c r="MHJ11" s="1116"/>
      <c r="MHK11" s="1116"/>
      <c r="MHL11" s="1116"/>
      <c r="MHM11" s="1116"/>
      <c r="MHN11" s="1116"/>
      <c r="MHO11" s="1116"/>
      <c r="MHP11" s="1116"/>
      <c r="MHQ11" s="1116"/>
      <c r="MHR11" s="1116"/>
      <c r="MHS11" s="1116"/>
      <c r="MHT11" s="1116"/>
      <c r="MHU11" s="1116"/>
      <c r="MHV11" s="1116"/>
      <c r="MHW11" s="1116"/>
      <c r="MHX11" s="1116"/>
      <c r="MHY11" s="1116"/>
      <c r="MHZ11" s="1116"/>
      <c r="MIA11" s="1116"/>
      <c r="MIB11" s="1116"/>
      <c r="MIC11" s="1116"/>
      <c r="MID11" s="1116"/>
      <c r="MIE11" s="1116"/>
      <c r="MIF11" s="1116"/>
      <c r="MIG11" s="1116"/>
      <c r="MIH11" s="1116"/>
      <c r="MII11" s="1116"/>
      <c r="MIJ11" s="1116"/>
      <c r="MIK11" s="1116"/>
      <c r="MIL11" s="1116"/>
      <c r="MIM11" s="1116"/>
      <c r="MIN11" s="1116"/>
      <c r="MIO11" s="1116"/>
      <c r="MIP11" s="1116"/>
      <c r="MIQ11" s="1116"/>
      <c r="MIR11" s="1116"/>
      <c r="MIS11" s="1116"/>
      <c r="MIT11" s="1116"/>
      <c r="MIU11" s="1116"/>
      <c r="MIV11" s="1116"/>
      <c r="MIW11" s="1116"/>
      <c r="MIX11" s="1116"/>
      <c r="MIY11" s="1116"/>
      <c r="MIZ11" s="1116"/>
      <c r="MJA11" s="1116"/>
      <c r="MJB11" s="1116"/>
      <c r="MJC11" s="1116"/>
      <c r="MJD11" s="1116"/>
      <c r="MJE11" s="1116"/>
      <c r="MJF11" s="1116"/>
      <c r="MJG11" s="1116"/>
      <c r="MJH11" s="1116"/>
      <c r="MJI11" s="1116"/>
      <c r="MJJ11" s="1116"/>
      <c r="MJK11" s="1116"/>
      <c r="MJL11" s="1116"/>
      <c r="MJM11" s="1116"/>
      <c r="MJN11" s="1116"/>
      <c r="MJO11" s="1116"/>
      <c r="MJP11" s="1116"/>
      <c r="MJQ11" s="1116"/>
      <c r="MJR11" s="1116"/>
      <c r="MJS11" s="1116"/>
      <c r="MJT11" s="1116"/>
      <c r="MJU11" s="1116"/>
      <c r="MJV11" s="1116"/>
      <c r="MJW11" s="1116"/>
      <c r="MJX11" s="1116"/>
      <c r="MJY11" s="1116"/>
      <c r="MJZ11" s="1116"/>
      <c r="MKA11" s="1116"/>
      <c r="MKB11" s="1116"/>
      <c r="MKC11" s="1116"/>
      <c r="MKD11" s="1116"/>
      <c r="MKE11" s="1116"/>
      <c r="MKF11" s="1116"/>
      <c r="MKG11" s="1116"/>
      <c r="MKH11" s="1116"/>
      <c r="MKI11" s="1116"/>
      <c r="MKJ11" s="1116"/>
      <c r="MKK11" s="1116"/>
      <c r="MKL11" s="1116"/>
      <c r="MKM11" s="1116"/>
      <c r="MKN11" s="1116"/>
      <c r="MKO11" s="1116"/>
      <c r="MKP11" s="1116"/>
      <c r="MKQ11" s="1116"/>
      <c r="MKR11" s="1116"/>
      <c r="MKS11" s="1116"/>
      <c r="MKT11" s="1116"/>
      <c r="MKU11" s="1116"/>
      <c r="MKV11" s="1116"/>
      <c r="MKW11" s="1116"/>
      <c r="MKX11" s="1116"/>
      <c r="MKY11" s="1116"/>
      <c r="MKZ11" s="1116"/>
      <c r="MLA11" s="1116"/>
      <c r="MLB11" s="1116"/>
      <c r="MLC11" s="1116"/>
      <c r="MLD11" s="1116"/>
      <c r="MLE11" s="1116"/>
      <c r="MLF11" s="1116"/>
      <c r="MLG11" s="1116"/>
      <c r="MLH11" s="1116"/>
      <c r="MLI11" s="1116"/>
      <c r="MLJ11" s="1116"/>
      <c r="MLK11" s="1116"/>
      <c r="MLL11" s="1116"/>
      <c r="MLM11" s="1116"/>
      <c r="MLN11" s="1116"/>
      <c r="MLO11" s="1116"/>
      <c r="MLP11" s="1116"/>
      <c r="MLQ11" s="1116"/>
      <c r="MLR11" s="1116"/>
      <c r="MLS11" s="1116"/>
      <c r="MLT11" s="1116"/>
      <c r="MLU11" s="1116"/>
      <c r="MLV11" s="1116"/>
      <c r="MLW11" s="1116"/>
      <c r="MLX11" s="1116"/>
      <c r="MLY11" s="1116"/>
      <c r="MLZ11" s="1116"/>
      <c r="MMA11" s="1116"/>
      <c r="MMB11" s="1116"/>
      <c r="MMC11" s="1116"/>
      <c r="MMD11" s="1116"/>
      <c r="MME11" s="1116"/>
      <c r="MMF11" s="1116"/>
      <c r="MMG11" s="1116"/>
      <c r="MMH11" s="1116"/>
      <c r="MMI11" s="1116"/>
      <c r="MMJ11" s="1116"/>
      <c r="MMK11" s="1116"/>
      <c r="MML11" s="1116"/>
      <c r="MMM11" s="1116"/>
      <c r="MMN11" s="1116"/>
      <c r="MMO11" s="1116"/>
      <c r="MMP11" s="1116"/>
      <c r="MMQ11" s="1116"/>
      <c r="MMR11" s="1116"/>
      <c r="MMS11" s="1116"/>
      <c r="MMT11" s="1116"/>
      <c r="MMU11" s="1116"/>
      <c r="MMV11" s="1116"/>
      <c r="MMW11" s="1116"/>
      <c r="MMX11" s="1116"/>
      <c r="MMY11" s="1116"/>
      <c r="MMZ11" s="1116"/>
      <c r="MNA11" s="1116"/>
      <c r="MNB11" s="1116"/>
      <c r="MNC11" s="1116"/>
      <c r="MND11" s="1116"/>
      <c r="MNE11" s="1116"/>
      <c r="MNF11" s="1116"/>
      <c r="MNG11" s="1116"/>
      <c r="MNH11" s="1116"/>
      <c r="MNI11" s="1116"/>
      <c r="MNJ11" s="1116"/>
      <c r="MNK11" s="1116"/>
      <c r="MNL11" s="1116"/>
      <c r="MNM11" s="1116"/>
      <c r="MNN11" s="1116"/>
      <c r="MNO11" s="1116"/>
      <c r="MNP11" s="1116"/>
      <c r="MNQ11" s="1116"/>
      <c r="MNR11" s="1116"/>
      <c r="MNS11" s="1116"/>
      <c r="MNT11" s="1116"/>
      <c r="MNU11" s="1116"/>
      <c r="MNV11" s="1116"/>
      <c r="MNW11" s="1116"/>
      <c r="MNX11" s="1116"/>
      <c r="MNY11" s="1116"/>
      <c r="MNZ11" s="1116"/>
      <c r="MOA11" s="1116"/>
      <c r="MOB11" s="1116"/>
      <c r="MOC11" s="1116"/>
      <c r="MOD11" s="1116"/>
      <c r="MOE11" s="1116"/>
      <c r="MOF11" s="1116"/>
      <c r="MOG11" s="1116"/>
      <c r="MOH11" s="1116"/>
      <c r="MOI11" s="1116"/>
      <c r="MOJ11" s="1116"/>
      <c r="MOK11" s="1116"/>
      <c r="MOL11" s="1116"/>
      <c r="MOM11" s="1116"/>
      <c r="MON11" s="1116"/>
      <c r="MOO11" s="1116"/>
      <c r="MOP11" s="1116"/>
      <c r="MOQ11" s="1116"/>
      <c r="MOR11" s="1116"/>
      <c r="MOS11" s="1116"/>
      <c r="MOT11" s="1116"/>
      <c r="MOU11" s="1116"/>
      <c r="MOV11" s="1116"/>
      <c r="MOW11" s="1116"/>
      <c r="MOX11" s="1116"/>
      <c r="MOY11" s="1116"/>
      <c r="MOZ11" s="1116"/>
      <c r="MPA11" s="1116"/>
      <c r="MPB11" s="1116"/>
      <c r="MPC11" s="1116"/>
      <c r="MPD11" s="1116"/>
      <c r="MPE11" s="1116"/>
      <c r="MPF11" s="1116"/>
      <c r="MPG11" s="1116"/>
      <c r="MPH11" s="1116"/>
      <c r="MPI11" s="1116"/>
      <c r="MPJ11" s="1116"/>
      <c r="MPK11" s="1116"/>
      <c r="MPL11" s="1116"/>
      <c r="MPM11" s="1116"/>
      <c r="MPN11" s="1116"/>
      <c r="MPO11" s="1116"/>
      <c r="MPP11" s="1116"/>
      <c r="MPQ11" s="1116"/>
      <c r="MPR11" s="1116"/>
      <c r="MPS11" s="1116"/>
      <c r="MPT11" s="1116"/>
      <c r="MPU11" s="1116"/>
      <c r="MPV11" s="1116"/>
      <c r="MPW11" s="1116"/>
      <c r="MPX11" s="1116"/>
      <c r="MPY11" s="1116"/>
      <c r="MPZ11" s="1116"/>
      <c r="MQA11" s="1116"/>
      <c r="MQB11" s="1116"/>
      <c r="MQC11" s="1116"/>
      <c r="MQD11" s="1116"/>
      <c r="MQE11" s="1116"/>
      <c r="MQF11" s="1116"/>
      <c r="MQG11" s="1116"/>
      <c r="MQH11" s="1116"/>
      <c r="MQI11" s="1116"/>
      <c r="MQJ11" s="1116"/>
      <c r="MQK11" s="1116"/>
      <c r="MQL11" s="1116"/>
      <c r="MQM11" s="1116"/>
      <c r="MQN11" s="1116"/>
      <c r="MQO11" s="1116"/>
      <c r="MQP11" s="1116"/>
      <c r="MQQ11" s="1116"/>
      <c r="MQR11" s="1116"/>
      <c r="MQS11" s="1116"/>
      <c r="MQT11" s="1116"/>
      <c r="MQU11" s="1116"/>
      <c r="MQV11" s="1116"/>
      <c r="MQW11" s="1116"/>
      <c r="MQX11" s="1116"/>
      <c r="MQY11" s="1116"/>
      <c r="MQZ11" s="1116"/>
      <c r="MRA11" s="1116"/>
      <c r="MRB11" s="1116"/>
      <c r="MRC11" s="1116"/>
      <c r="MRD11" s="1116"/>
      <c r="MRE11" s="1116"/>
      <c r="MRF11" s="1116"/>
      <c r="MRG11" s="1116"/>
      <c r="MRH11" s="1116"/>
      <c r="MRI11" s="1116"/>
      <c r="MRJ11" s="1116"/>
      <c r="MRK11" s="1116"/>
      <c r="MRL11" s="1116"/>
      <c r="MRM11" s="1116"/>
      <c r="MRN11" s="1116"/>
      <c r="MRO11" s="1116"/>
      <c r="MRP11" s="1116"/>
      <c r="MRQ11" s="1116"/>
      <c r="MRR11" s="1116"/>
      <c r="MRS11" s="1116"/>
      <c r="MRT11" s="1116"/>
      <c r="MRU11" s="1116"/>
      <c r="MRV11" s="1116"/>
      <c r="MRW11" s="1116"/>
      <c r="MRX11" s="1116"/>
      <c r="MRY11" s="1116"/>
      <c r="MRZ11" s="1116"/>
      <c r="MSA11" s="1116"/>
      <c r="MSB11" s="1116"/>
      <c r="MSC11" s="1116"/>
      <c r="MSD11" s="1116"/>
      <c r="MSE11" s="1116"/>
      <c r="MSF11" s="1116"/>
      <c r="MSG11" s="1116"/>
      <c r="MSH11" s="1116"/>
      <c r="MSI11" s="1116"/>
      <c r="MSJ11" s="1116"/>
      <c r="MSK11" s="1116"/>
      <c r="MSL11" s="1116"/>
      <c r="MSM11" s="1116"/>
      <c r="MSN11" s="1116"/>
      <c r="MSO11" s="1116"/>
      <c r="MSP11" s="1116"/>
      <c r="MSQ11" s="1116"/>
      <c r="MSR11" s="1116"/>
      <c r="MSS11" s="1116"/>
      <c r="MST11" s="1116"/>
      <c r="MSU11" s="1116"/>
      <c r="MSV11" s="1116"/>
      <c r="MSW11" s="1116"/>
      <c r="MSX11" s="1116"/>
      <c r="MSY11" s="1116"/>
      <c r="MSZ11" s="1116"/>
      <c r="MTA11" s="1116"/>
      <c r="MTB11" s="1116"/>
      <c r="MTC11" s="1116"/>
      <c r="MTD11" s="1116"/>
      <c r="MTE11" s="1116"/>
      <c r="MTF11" s="1116"/>
      <c r="MTG11" s="1116"/>
      <c r="MTH11" s="1116"/>
      <c r="MTI11" s="1116"/>
      <c r="MTJ11" s="1116"/>
      <c r="MTK11" s="1116"/>
      <c r="MTL11" s="1116"/>
      <c r="MTM11" s="1116"/>
      <c r="MTN11" s="1116"/>
      <c r="MTO11" s="1116"/>
      <c r="MTP11" s="1116"/>
      <c r="MTQ11" s="1116"/>
      <c r="MTR11" s="1116"/>
      <c r="MTS11" s="1116"/>
      <c r="MTT11" s="1116"/>
      <c r="MTU11" s="1116"/>
      <c r="MTV11" s="1116"/>
      <c r="MTW11" s="1116"/>
      <c r="MTX11" s="1116"/>
      <c r="MTY11" s="1116"/>
      <c r="MTZ11" s="1116"/>
      <c r="MUA11" s="1116"/>
      <c r="MUB11" s="1116"/>
      <c r="MUC11" s="1116"/>
      <c r="MUD11" s="1116"/>
      <c r="MUE11" s="1116"/>
      <c r="MUF11" s="1116"/>
      <c r="MUG11" s="1116"/>
      <c r="MUH11" s="1116"/>
      <c r="MUI11" s="1116"/>
      <c r="MUJ11" s="1116"/>
      <c r="MUK11" s="1116"/>
      <c r="MUL11" s="1116"/>
      <c r="MUM11" s="1116"/>
      <c r="MUN11" s="1116"/>
      <c r="MUO11" s="1116"/>
      <c r="MUP11" s="1116"/>
      <c r="MUQ11" s="1116"/>
      <c r="MUR11" s="1116"/>
      <c r="MUS11" s="1116"/>
      <c r="MUT11" s="1116"/>
      <c r="MUU11" s="1116"/>
      <c r="MUV11" s="1116"/>
      <c r="MUW11" s="1116"/>
      <c r="MUX11" s="1116"/>
      <c r="MUY11" s="1116"/>
      <c r="MUZ11" s="1116"/>
      <c r="MVA11" s="1116"/>
      <c r="MVB11" s="1116"/>
      <c r="MVC11" s="1116"/>
      <c r="MVD11" s="1116"/>
      <c r="MVE11" s="1116"/>
      <c r="MVF11" s="1116"/>
      <c r="MVG11" s="1116"/>
      <c r="MVH11" s="1116"/>
      <c r="MVI11" s="1116"/>
      <c r="MVJ11" s="1116"/>
      <c r="MVK11" s="1116"/>
      <c r="MVL11" s="1116"/>
      <c r="MVM11" s="1116"/>
      <c r="MVN11" s="1116"/>
      <c r="MVO11" s="1116"/>
      <c r="MVP11" s="1116"/>
      <c r="MVQ11" s="1116"/>
      <c r="MVR11" s="1116"/>
      <c r="MVS11" s="1116"/>
      <c r="MVT11" s="1116"/>
      <c r="MVU11" s="1116"/>
      <c r="MVV11" s="1116"/>
      <c r="MVW11" s="1116"/>
      <c r="MVX11" s="1116"/>
      <c r="MVY11" s="1116"/>
      <c r="MVZ11" s="1116"/>
      <c r="MWA11" s="1116"/>
      <c r="MWB11" s="1116"/>
      <c r="MWC11" s="1116"/>
      <c r="MWD11" s="1116"/>
      <c r="MWE11" s="1116"/>
      <c r="MWF11" s="1116"/>
      <c r="MWG11" s="1116"/>
      <c r="MWH11" s="1116"/>
      <c r="MWI11" s="1116"/>
      <c r="MWJ11" s="1116"/>
      <c r="MWK11" s="1116"/>
      <c r="MWL11" s="1116"/>
      <c r="MWM11" s="1116"/>
      <c r="MWN11" s="1116"/>
      <c r="MWO11" s="1116"/>
      <c r="MWP11" s="1116"/>
      <c r="MWQ11" s="1116"/>
      <c r="MWR11" s="1116"/>
      <c r="MWS11" s="1116"/>
      <c r="MWT11" s="1116"/>
      <c r="MWU11" s="1116"/>
      <c r="MWV11" s="1116"/>
      <c r="MWW11" s="1116"/>
      <c r="MWX11" s="1116"/>
      <c r="MWY11" s="1116"/>
      <c r="MWZ11" s="1116"/>
      <c r="MXA11" s="1116"/>
      <c r="MXB11" s="1116"/>
      <c r="MXC11" s="1116"/>
      <c r="MXD11" s="1116"/>
      <c r="MXE11" s="1116"/>
      <c r="MXF11" s="1116"/>
      <c r="MXG11" s="1116"/>
      <c r="MXH11" s="1116"/>
      <c r="MXI11" s="1116"/>
      <c r="MXJ11" s="1116"/>
      <c r="MXK11" s="1116"/>
      <c r="MXL11" s="1116"/>
      <c r="MXM11" s="1116"/>
      <c r="MXN11" s="1116"/>
      <c r="MXO11" s="1116"/>
      <c r="MXP11" s="1116"/>
      <c r="MXQ11" s="1116"/>
      <c r="MXR11" s="1116"/>
      <c r="MXS11" s="1116"/>
      <c r="MXT11" s="1116"/>
      <c r="MXU11" s="1116"/>
      <c r="MXV11" s="1116"/>
      <c r="MXW11" s="1116"/>
      <c r="MXX11" s="1116"/>
      <c r="MXY11" s="1116"/>
      <c r="MXZ11" s="1116"/>
      <c r="MYA11" s="1116"/>
      <c r="MYB11" s="1116"/>
      <c r="MYC11" s="1116"/>
      <c r="MYD11" s="1116"/>
      <c r="MYE11" s="1116"/>
      <c r="MYF11" s="1116"/>
      <c r="MYG11" s="1116"/>
      <c r="MYH11" s="1116"/>
      <c r="MYI11" s="1116"/>
      <c r="MYJ11" s="1116"/>
      <c r="MYK11" s="1116"/>
      <c r="MYL11" s="1116"/>
      <c r="MYM11" s="1116"/>
      <c r="MYN11" s="1116"/>
      <c r="MYO11" s="1116"/>
      <c r="MYP11" s="1116"/>
      <c r="MYQ11" s="1116"/>
      <c r="MYR11" s="1116"/>
      <c r="MYS11" s="1116"/>
      <c r="MYT11" s="1116"/>
      <c r="MYU11" s="1116"/>
      <c r="MYV11" s="1116"/>
      <c r="MYW11" s="1116"/>
      <c r="MYX11" s="1116"/>
      <c r="MYY11" s="1116"/>
      <c r="MYZ11" s="1116"/>
      <c r="MZA11" s="1116"/>
      <c r="MZB11" s="1116"/>
      <c r="MZC11" s="1116"/>
      <c r="MZD11" s="1116"/>
      <c r="MZE11" s="1116"/>
      <c r="MZF11" s="1116"/>
      <c r="MZG11" s="1116"/>
      <c r="MZH11" s="1116"/>
      <c r="MZI11" s="1116"/>
      <c r="MZJ11" s="1116"/>
      <c r="MZK11" s="1116"/>
      <c r="MZL11" s="1116"/>
      <c r="MZM11" s="1116"/>
      <c r="MZN11" s="1116"/>
      <c r="MZO11" s="1116"/>
      <c r="MZP11" s="1116"/>
      <c r="MZQ11" s="1116"/>
      <c r="MZR11" s="1116"/>
      <c r="MZS11" s="1116"/>
      <c r="MZT11" s="1116"/>
      <c r="MZU11" s="1116"/>
      <c r="MZV11" s="1116"/>
      <c r="MZW11" s="1116"/>
      <c r="MZX11" s="1116"/>
      <c r="MZY11" s="1116"/>
      <c r="MZZ11" s="1116"/>
      <c r="NAA11" s="1116"/>
      <c r="NAB11" s="1116"/>
      <c r="NAC11" s="1116"/>
      <c r="NAD11" s="1116"/>
      <c r="NAE11" s="1116"/>
      <c r="NAF11" s="1116"/>
      <c r="NAG11" s="1116"/>
      <c r="NAH11" s="1116"/>
      <c r="NAI11" s="1116"/>
      <c r="NAJ11" s="1116"/>
      <c r="NAK11" s="1116"/>
      <c r="NAL11" s="1116"/>
      <c r="NAM11" s="1116"/>
      <c r="NAN11" s="1116"/>
      <c r="NAO11" s="1116"/>
      <c r="NAP11" s="1116"/>
      <c r="NAQ11" s="1116"/>
      <c r="NAR11" s="1116"/>
      <c r="NAS11" s="1116"/>
      <c r="NAT11" s="1116"/>
      <c r="NAU11" s="1116"/>
      <c r="NAV11" s="1116"/>
      <c r="NAW11" s="1116"/>
      <c r="NAX11" s="1116"/>
      <c r="NAY11" s="1116"/>
      <c r="NAZ11" s="1116"/>
      <c r="NBA11" s="1116"/>
      <c r="NBB11" s="1116"/>
      <c r="NBC11" s="1116"/>
      <c r="NBD11" s="1116"/>
      <c r="NBE11" s="1116"/>
      <c r="NBF11" s="1116"/>
      <c r="NBG11" s="1116"/>
      <c r="NBH11" s="1116"/>
      <c r="NBI11" s="1116"/>
      <c r="NBJ11" s="1116"/>
      <c r="NBK11" s="1116"/>
      <c r="NBL11" s="1116"/>
      <c r="NBM11" s="1116"/>
      <c r="NBN11" s="1116"/>
      <c r="NBO11" s="1116"/>
      <c r="NBP11" s="1116"/>
      <c r="NBQ11" s="1116"/>
      <c r="NBR11" s="1116"/>
      <c r="NBS11" s="1116"/>
      <c r="NBT11" s="1116"/>
      <c r="NBU11" s="1116"/>
      <c r="NBV11" s="1116"/>
      <c r="NBW11" s="1116"/>
      <c r="NBX11" s="1116"/>
      <c r="NBY11" s="1116"/>
      <c r="NBZ11" s="1116"/>
      <c r="NCA11" s="1116"/>
      <c r="NCB11" s="1116"/>
      <c r="NCC11" s="1116"/>
      <c r="NCD11" s="1116"/>
      <c r="NCE11" s="1116"/>
      <c r="NCF11" s="1116"/>
      <c r="NCG11" s="1116"/>
      <c r="NCH11" s="1116"/>
      <c r="NCI11" s="1116"/>
      <c r="NCJ11" s="1116"/>
      <c r="NCK11" s="1116"/>
      <c r="NCL11" s="1116"/>
      <c r="NCM11" s="1116"/>
      <c r="NCN11" s="1116"/>
      <c r="NCO11" s="1116"/>
      <c r="NCP11" s="1116"/>
      <c r="NCQ11" s="1116"/>
      <c r="NCR11" s="1116"/>
      <c r="NCS11" s="1116"/>
      <c r="NCT11" s="1116"/>
      <c r="NCU11" s="1116"/>
      <c r="NCV11" s="1116"/>
      <c r="NCW11" s="1116"/>
      <c r="NCX11" s="1116"/>
      <c r="NCY11" s="1116"/>
      <c r="NCZ11" s="1116"/>
      <c r="NDA11" s="1116"/>
      <c r="NDB11" s="1116"/>
      <c r="NDC11" s="1116"/>
      <c r="NDD11" s="1116"/>
      <c r="NDE11" s="1116"/>
      <c r="NDF11" s="1116"/>
      <c r="NDG11" s="1116"/>
      <c r="NDH11" s="1116"/>
      <c r="NDI11" s="1116"/>
      <c r="NDJ11" s="1116"/>
      <c r="NDK11" s="1116"/>
      <c r="NDL11" s="1116"/>
      <c r="NDM11" s="1116"/>
      <c r="NDN11" s="1116"/>
      <c r="NDO11" s="1116"/>
      <c r="NDP11" s="1116"/>
      <c r="NDQ11" s="1116"/>
      <c r="NDR11" s="1116"/>
      <c r="NDS11" s="1116"/>
      <c r="NDT11" s="1116"/>
      <c r="NDU11" s="1116"/>
      <c r="NDV11" s="1116"/>
      <c r="NDW11" s="1116"/>
      <c r="NDX11" s="1116"/>
      <c r="NDY11" s="1116"/>
      <c r="NDZ11" s="1116"/>
      <c r="NEA11" s="1116"/>
      <c r="NEB11" s="1116"/>
      <c r="NEC11" s="1116"/>
      <c r="NED11" s="1116"/>
      <c r="NEE11" s="1116"/>
      <c r="NEF11" s="1116"/>
      <c r="NEG11" s="1116"/>
      <c r="NEH11" s="1116"/>
      <c r="NEI11" s="1116"/>
      <c r="NEJ11" s="1116"/>
      <c r="NEK11" s="1116"/>
      <c r="NEL11" s="1116"/>
      <c r="NEM11" s="1116"/>
      <c r="NEN11" s="1116"/>
      <c r="NEO11" s="1116"/>
      <c r="NEP11" s="1116"/>
      <c r="NEQ11" s="1116"/>
      <c r="NER11" s="1116"/>
      <c r="NES11" s="1116"/>
      <c r="NET11" s="1116"/>
      <c r="NEU11" s="1116"/>
      <c r="NEV11" s="1116"/>
      <c r="NEW11" s="1116"/>
      <c r="NEX11" s="1116"/>
      <c r="NEY11" s="1116"/>
      <c r="NEZ11" s="1116"/>
      <c r="NFA11" s="1116"/>
      <c r="NFB11" s="1116"/>
      <c r="NFC11" s="1116"/>
      <c r="NFD11" s="1116"/>
      <c r="NFE11" s="1116"/>
      <c r="NFF11" s="1116"/>
      <c r="NFG11" s="1116"/>
      <c r="NFH11" s="1116"/>
      <c r="NFI11" s="1116"/>
      <c r="NFJ11" s="1116"/>
      <c r="NFK11" s="1116"/>
      <c r="NFL11" s="1116"/>
      <c r="NFM11" s="1116"/>
      <c r="NFN11" s="1116"/>
      <c r="NFO11" s="1116"/>
      <c r="NFP11" s="1116"/>
      <c r="NFQ11" s="1116"/>
      <c r="NFR11" s="1116"/>
      <c r="NFS11" s="1116"/>
      <c r="NFT11" s="1116"/>
      <c r="NFU11" s="1116"/>
      <c r="NFV11" s="1116"/>
      <c r="NFW11" s="1116"/>
      <c r="NFX11" s="1116"/>
      <c r="NFY11" s="1116"/>
      <c r="NFZ11" s="1116"/>
      <c r="NGA11" s="1116"/>
      <c r="NGB11" s="1116"/>
      <c r="NGC11" s="1116"/>
      <c r="NGD11" s="1116"/>
      <c r="NGE11" s="1116"/>
      <c r="NGF11" s="1116"/>
      <c r="NGG11" s="1116"/>
      <c r="NGH11" s="1116"/>
      <c r="NGI11" s="1116"/>
      <c r="NGJ11" s="1116"/>
      <c r="NGK11" s="1116"/>
      <c r="NGL11" s="1116"/>
      <c r="NGM11" s="1116"/>
      <c r="NGN11" s="1116"/>
      <c r="NGO11" s="1116"/>
      <c r="NGP11" s="1116"/>
      <c r="NGQ11" s="1116"/>
      <c r="NGR11" s="1116"/>
      <c r="NGS11" s="1116"/>
      <c r="NGT11" s="1116"/>
      <c r="NGU11" s="1116"/>
      <c r="NGV11" s="1116"/>
      <c r="NGW11" s="1116"/>
      <c r="NGX11" s="1116"/>
      <c r="NGY11" s="1116"/>
      <c r="NGZ11" s="1116"/>
      <c r="NHA11" s="1116"/>
      <c r="NHB11" s="1116"/>
      <c r="NHC11" s="1116"/>
      <c r="NHD11" s="1116"/>
      <c r="NHE11" s="1116"/>
      <c r="NHF11" s="1116"/>
      <c r="NHG11" s="1116"/>
      <c r="NHH11" s="1116"/>
      <c r="NHI11" s="1116"/>
      <c r="NHJ11" s="1116"/>
      <c r="NHK11" s="1116"/>
      <c r="NHL11" s="1116"/>
      <c r="NHM11" s="1116"/>
      <c r="NHN11" s="1116"/>
      <c r="NHO11" s="1116"/>
      <c r="NHP11" s="1116"/>
      <c r="NHQ11" s="1116"/>
      <c r="NHR11" s="1116"/>
      <c r="NHS11" s="1116"/>
      <c r="NHT11" s="1116"/>
      <c r="NHU11" s="1116"/>
      <c r="NHV11" s="1116"/>
      <c r="NHW11" s="1116"/>
      <c r="NHX11" s="1116"/>
      <c r="NHY11" s="1116"/>
      <c r="NHZ11" s="1116"/>
      <c r="NIA11" s="1116"/>
      <c r="NIB11" s="1116"/>
      <c r="NIC11" s="1116"/>
      <c r="NID11" s="1116"/>
      <c r="NIE11" s="1116"/>
      <c r="NIF11" s="1116"/>
      <c r="NIG11" s="1116"/>
      <c r="NIH11" s="1116"/>
      <c r="NII11" s="1116"/>
      <c r="NIJ11" s="1116"/>
      <c r="NIK11" s="1116"/>
      <c r="NIL11" s="1116"/>
      <c r="NIM11" s="1116"/>
      <c r="NIN11" s="1116"/>
      <c r="NIO11" s="1116"/>
      <c r="NIP11" s="1116"/>
      <c r="NIQ11" s="1116"/>
      <c r="NIR11" s="1116"/>
      <c r="NIS11" s="1116"/>
      <c r="NIT11" s="1116"/>
      <c r="NIU11" s="1116"/>
      <c r="NIV11" s="1116"/>
      <c r="NIW11" s="1116"/>
      <c r="NIX11" s="1116"/>
      <c r="NIY11" s="1116"/>
      <c r="NIZ11" s="1116"/>
      <c r="NJA11" s="1116"/>
      <c r="NJB11" s="1116"/>
      <c r="NJC11" s="1116"/>
      <c r="NJD11" s="1116"/>
      <c r="NJE11" s="1116"/>
      <c r="NJF11" s="1116"/>
      <c r="NJG11" s="1116"/>
      <c r="NJH11" s="1116"/>
      <c r="NJI11" s="1116"/>
      <c r="NJJ11" s="1116"/>
      <c r="NJK11" s="1116"/>
      <c r="NJL11" s="1116"/>
      <c r="NJM11" s="1116"/>
      <c r="NJN11" s="1116"/>
      <c r="NJO11" s="1116"/>
      <c r="NJP11" s="1116"/>
      <c r="NJQ11" s="1116"/>
      <c r="NJR11" s="1116"/>
      <c r="NJS11" s="1116"/>
      <c r="NJT11" s="1116"/>
      <c r="NJU11" s="1116"/>
      <c r="NJV11" s="1116"/>
      <c r="NJW11" s="1116"/>
      <c r="NJX11" s="1116"/>
      <c r="NJY11" s="1116"/>
      <c r="NJZ11" s="1116"/>
      <c r="NKA11" s="1116"/>
      <c r="NKB11" s="1116"/>
      <c r="NKC11" s="1116"/>
      <c r="NKD11" s="1116"/>
      <c r="NKE11" s="1116"/>
      <c r="NKF11" s="1116"/>
      <c r="NKG11" s="1116"/>
      <c r="NKH11" s="1116"/>
      <c r="NKI11" s="1116"/>
      <c r="NKJ11" s="1116"/>
      <c r="NKK11" s="1116"/>
      <c r="NKL11" s="1116"/>
      <c r="NKM11" s="1116"/>
      <c r="NKN11" s="1116"/>
      <c r="NKO11" s="1116"/>
      <c r="NKP11" s="1116"/>
      <c r="NKQ11" s="1116"/>
      <c r="NKR11" s="1116"/>
      <c r="NKS11" s="1116"/>
      <c r="NKT11" s="1116"/>
      <c r="NKU11" s="1116"/>
      <c r="NKV11" s="1116"/>
      <c r="NKW11" s="1116"/>
      <c r="NKX11" s="1116"/>
      <c r="NKY11" s="1116"/>
      <c r="NKZ11" s="1116"/>
      <c r="NLA11" s="1116"/>
      <c r="NLB11" s="1116"/>
      <c r="NLC11" s="1116"/>
      <c r="NLD11" s="1116"/>
      <c r="NLE11" s="1116"/>
      <c r="NLF11" s="1116"/>
      <c r="NLG11" s="1116"/>
      <c r="NLH11" s="1116"/>
      <c r="NLI11" s="1116"/>
      <c r="NLJ11" s="1116"/>
      <c r="NLK11" s="1116"/>
      <c r="NLL11" s="1116"/>
      <c r="NLM11" s="1116"/>
      <c r="NLN11" s="1116"/>
      <c r="NLO11" s="1116"/>
      <c r="NLP11" s="1116"/>
      <c r="NLQ11" s="1116"/>
      <c r="NLR11" s="1116"/>
      <c r="NLS11" s="1116"/>
      <c r="NLT11" s="1116"/>
      <c r="NLU11" s="1116"/>
      <c r="NLV11" s="1116"/>
      <c r="NLW11" s="1116"/>
      <c r="NLX11" s="1116"/>
      <c r="NLY11" s="1116"/>
      <c r="NLZ11" s="1116"/>
      <c r="NMA11" s="1116"/>
      <c r="NMB11" s="1116"/>
      <c r="NMC11" s="1116"/>
      <c r="NMD11" s="1116"/>
      <c r="NME11" s="1116"/>
      <c r="NMF11" s="1116"/>
      <c r="NMG11" s="1116"/>
      <c r="NMH11" s="1116"/>
      <c r="NMI11" s="1116"/>
      <c r="NMJ11" s="1116"/>
      <c r="NMK11" s="1116"/>
      <c r="NML11" s="1116"/>
      <c r="NMM11" s="1116"/>
      <c r="NMN11" s="1116"/>
      <c r="NMO11" s="1116"/>
      <c r="NMP11" s="1116"/>
      <c r="NMQ11" s="1116"/>
      <c r="NMR11" s="1116"/>
      <c r="NMS11" s="1116"/>
      <c r="NMT11" s="1116"/>
      <c r="NMU11" s="1116"/>
      <c r="NMV11" s="1116"/>
      <c r="NMW11" s="1116"/>
      <c r="NMX11" s="1116"/>
      <c r="NMY11" s="1116"/>
      <c r="NMZ11" s="1116"/>
      <c r="NNA11" s="1116"/>
      <c r="NNB11" s="1116"/>
      <c r="NNC11" s="1116"/>
      <c r="NND11" s="1116"/>
      <c r="NNE11" s="1116"/>
      <c r="NNF11" s="1116"/>
      <c r="NNG11" s="1116"/>
      <c r="NNH11" s="1116"/>
      <c r="NNI11" s="1116"/>
      <c r="NNJ11" s="1116"/>
      <c r="NNK11" s="1116"/>
      <c r="NNL11" s="1116"/>
      <c r="NNM11" s="1116"/>
      <c r="NNN11" s="1116"/>
      <c r="NNO11" s="1116"/>
      <c r="NNP11" s="1116"/>
      <c r="NNQ11" s="1116"/>
      <c r="NNR11" s="1116"/>
      <c r="NNS11" s="1116"/>
      <c r="NNT11" s="1116"/>
      <c r="NNU11" s="1116"/>
      <c r="NNV11" s="1116"/>
      <c r="NNW11" s="1116"/>
      <c r="NNX11" s="1116"/>
      <c r="NNY11" s="1116"/>
      <c r="NNZ11" s="1116"/>
      <c r="NOA11" s="1116"/>
      <c r="NOB11" s="1116"/>
      <c r="NOC11" s="1116"/>
      <c r="NOD11" s="1116"/>
      <c r="NOE11" s="1116"/>
      <c r="NOF11" s="1116"/>
      <c r="NOG11" s="1116"/>
      <c r="NOH11" s="1116"/>
      <c r="NOI11" s="1116"/>
      <c r="NOJ11" s="1116"/>
      <c r="NOK11" s="1116"/>
      <c r="NOL11" s="1116"/>
      <c r="NOM11" s="1116"/>
      <c r="NON11" s="1116"/>
      <c r="NOO11" s="1116"/>
      <c r="NOP11" s="1116"/>
      <c r="NOQ11" s="1116"/>
      <c r="NOR11" s="1116"/>
      <c r="NOS11" s="1116"/>
      <c r="NOT11" s="1116"/>
      <c r="NOU11" s="1116"/>
      <c r="NOV11" s="1116"/>
      <c r="NOW11" s="1116"/>
      <c r="NOX11" s="1116"/>
      <c r="NOY11" s="1116"/>
      <c r="NOZ11" s="1116"/>
      <c r="NPA11" s="1116"/>
      <c r="NPB11" s="1116"/>
      <c r="NPC11" s="1116"/>
      <c r="NPD11" s="1116"/>
      <c r="NPE11" s="1116"/>
      <c r="NPF11" s="1116"/>
      <c r="NPG11" s="1116"/>
      <c r="NPH11" s="1116"/>
      <c r="NPI11" s="1116"/>
      <c r="NPJ11" s="1116"/>
      <c r="NPK11" s="1116"/>
      <c r="NPL11" s="1116"/>
      <c r="NPM11" s="1116"/>
      <c r="NPN11" s="1116"/>
      <c r="NPO11" s="1116"/>
      <c r="NPP11" s="1116"/>
      <c r="NPQ11" s="1116"/>
      <c r="NPR11" s="1116"/>
      <c r="NPS11" s="1116"/>
      <c r="NPT11" s="1116"/>
      <c r="NPU11" s="1116"/>
      <c r="NPV11" s="1116"/>
      <c r="NPW11" s="1116"/>
      <c r="NPX11" s="1116"/>
      <c r="NPY11" s="1116"/>
      <c r="NPZ11" s="1116"/>
      <c r="NQA11" s="1116"/>
      <c r="NQB11" s="1116"/>
      <c r="NQC11" s="1116"/>
      <c r="NQD11" s="1116"/>
      <c r="NQE11" s="1116"/>
      <c r="NQF11" s="1116"/>
      <c r="NQG11" s="1116"/>
      <c r="NQH11" s="1116"/>
      <c r="NQI11" s="1116"/>
      <c r="NQJ11" s="1116"/>
      <c r="NQK11" s="1116"/>
      <c r="NQL11" s="1116"/>
      <c r="NQM11" s="1116"/>
      <c r="NQN11" s="1116"/>
      <c r="NQO11" s="1116"/>
      <c r="NQP11" s="1116"/>
      <c r="NQQ11" s="1116"/>
      <c r="NQR11" s="1116"/>
      <c r="NQS11" s="1116"/>
      <c r="NQT11" s="1116"/>
      <c r="NQU11" s="1116"/>
      <c r="NQV11" s="1116"/>
      <c r="NQW11" s="1116"/>
      <c r="NQX11" s="1116"/>
      <c r="NQY11" s="1116"/>
      <c r="NQZ11" s="1116"/>
      <c r="NRA11" s="1116"/>
      <c r="NRB11" s="1116"/>
      <c r="NRC11" s="1116"/>
      <c r="NRD11" s="1116"/>
      <c r="NRE11" s="1116"/>
      <c r="NRF11" s="1116"/>
      <c r="NRG11" s="1116"/>
      <c r="NRH11" s="1116"/>
      <c r="NRI11" s="1116"/>
      <c r="NRJ11" s="1116"/>
      <c r="NRK11" s="1116"/>
      <c r="NRL11" s="1116"/>
      <c r="NRM11" s="1116"/>
      <c r="NRN11" s="1116"/>
      <c r="NRO11" s="1116"/>
      <c r="NRP11" s="1116"/>
      <c r="NRQ11" s="1116"/>
      <c r="NRR11" s="1116"/>
      <c r="NRS11" s="1116"/>
      <c r="NRT11" s="1116"/>
      <c r="NRU11" s="1116"/>
      <c r="NRV11" s="1116"/>
      <c r="NRW11" s="1116"/>
      <c r="NRX11" s="1116"/>
      <c r="NRY11" s="1116"/>
      <c r="NRZ11" s="1116"/>
      <c r="NSA11" s="1116"/>
      <c r="NSB11" s="1116"/>
      <c r="NSC11" s="1116"/>
      <c r="NSD11" s="1116"/>
      <c r="NSE11" s="1116"/>
      <c r="NSF11" s="1116"/>
      <c r="NSG11" s="1116"/>
      <c r="NSH11" s="1116"/>
      <c r="NSI11" s="1116"/>
      <c r="NSJ11" s="1116"/>
      <c r="NSK11" s="1116"/>
      <c r="NSL11" s="1116"/>
      <c r="NSM11" s="1116"/>
      <c r="NSN11" s="1116"/>
      <c r="NSO11" s="1116"/>
      <c r="NSP11" s="1116"/>
      <c r="NSQ11" s="1116"/>
      <c r="NSR11" s="1116"/>
      <c r="NSS11" s="1116"/>
      <c r="NST11" s="1116"/>
      <c r="NSU11" s="1116"/>
      <c r="NSV11" s="1116"/>
      <c r="NSW11" s="1116"/>
      <c r="NSX11" s="1116"/>
      <c r="NSY11" s="1116"/>
      <c r="NSZ11" s="1116"/>
      <c r="NTA11" s="1116"/>
      <c r="NTB11" s="1116"/>
      <c r="NTC11" s="1116"/>
      <c r="NTD11" s="1116"/>
      <c r="NTE11" s="1116"/>
      <c r="NTF11" s="1116"/>
      <c r="NTG11" s="1116"/>
      <c r="NTH11" s="1116"/>
      <c r="NTI11" s="1116"/>
      <c r="NTJ11" s="1116"/>
      <c r="NTK11" s="1116"/>
      <c r="NTL11" s="1116"/>
      <c r="NTM11" s="1116"/>
      <c r="NTN11" s="1116"/>
      <c r="NTO11" s="1116"/>
      <c r="NTP11" s="1116"/>
      <c r="NTQ11" s="1116"/>
      <c r="NTR11" s="1116"/>
      <c r="NTS11" s="1116"/>
      <c r="NTT11" s="1116"/>
      <c r="NTU11" s="1116"/>
      <c r="NTV11" s="1116"/>
      <c r="NTW11" s="1116"/>
      <c r="NTX11" s="1116"/>
      <c r="NTY11" s="1116"/>
      <c r="NTZ11" s="1116"/>
      <c r="NUA11" s="1116"/>
      <c r="NUB11" s="1116"/>
      <c r="NUC11" s="1116"/>
      <c r="NUD11" s="1116"/>
      <c r="NUE11" s="1116"/>
      <c r="NUF11" s="1116"/>
      <c r="NUG11" s="1116"/>
      <c r="NUH11" s="1116"/>
      <c r="NUI11" s="1116"/>
      <c r="NUJ11" s="1116"/>
      <c r="NUK11" s="1116"/>
      <c r="NUL11" s="1116"/>
      <c r="NUM11" s="1116"/>
      <c r="NUN11" s="1116"/>
      <c r="NUO11" s="1116"/>
      <c r="NUP11" s="1116"/>
      <c r="NUQ11" s="1116"/>
      <c r="NUR11" s="1116"/>
      <c r="NUS11" s="1116"/>
      <c r="NUT11" s="1116"/>
      <c r="NUU11" s="1116"/>
      <c r="NUV11" s="1116"/>
      <c r="NUW11" s="1116"/>
      <c r="NUX11" s="1116"/>
      <c r="NUY11" s="1116"/>
      <c r="NUZ11" s="1116"/>
      <c r="NVA11" s="1116"/>
      <c r="NVB11" s="1116"/>
      <c r="NVC11" s="1116"/>
      <c r="NVD11" s="1116"/>
      <c r="NVE11" s="1116"/>
      <c r="NVF11" s="1116"/>
      <c r="NVG11" s="1116"/>
      <c r="NVH11" s="1116"/>
      <c r="NVI11" s="1116"/>
      <c r="NVJ11" s="1116"/>
      <c r="NVK11" s="1116"/>
      <c r="NVL11" s="1116"/>
      <c r="NVM11" s="1116"/>
      <c r="NVN11" s="1116"/>
      <c r="NVO11" s="1116"/>
      <c r="NVP11" s="1116"/>
      <c r="NVQ11" s="1116"/>
      <c r="NVR11" s="1116"/>
      <c r="NVS11" s="1116"/>
      <c r="NVT11" s="1116"/>
      <c r="NVU11" s="1116"/>
      <c r="NVV11" s="1116"/>
      <c r="NVW11" s="1116"/>
      <c r="NVX11" s="1116"/>
      <c r="NVY11" s="1116"/>
      <c r="NVZ11" s="1116"/>
      <c r="NWA11" s="1116"/>
      <c r="NWB11" s="1116"/>
      <c r="NWC11" s="1116"/>
      <c r="NWD11" s="1116"/>
      <c r="NWE11" s="1116"/>
      <c r="NWF11" s="1116"/>
      <c r="NWG11" s="1116"/>
      <c r="NWH11" s="1116"/>
      <c r="NWI11" s="1116"/>
      <c r="NWJ11" s="1116"/>
      <c r="NWK11" s="1116"/>
      <c r="NWL11" s="1116"/>
      <c r="NWM11" s="1116"/>
      <c r="NWN11" s="1116"/>
      <c r="NWO11" s="1116"/>
      <c r="NWP11" s="1116"/>
      <c r="NWQ11" s="1116"/>
      <c r="NWR11" s="1116"/>
      <c r="NWS11" s="1116"/>
      <c r="NWT11" s="1116"/>
      <c r="NWU11" s="1116"/>
      <c r="NWV11" s="1116"/>
      <c r="NWW11" s="1116"/>
      <c r="NWX11" s="1116"/>
      <c r="NWY11" s="1116"/>
      <c r="NWZ11" s="1116"/>
      <c r="NXA11" s="1116"/>
      <c r="NXB11" s="1116"/>
      <c r="NXC11" s="1116"/>
      <c r="NXD11" s="1116"/>
      <c r="NXE11" s="1116"/>
      <c r="NXF11" s="1116"/>
      <c r="NXG11" s="1116"/>
      <c r="NXH11" s="1116"/>
      <c r="NXI11" s="1116"/>
      <c r="NXJ11" s="1116"/>
      <c r="NXK11" s="1116"/>
      <c r="NXL11" s="1116"/>
      <c r="NXM11" s="1116"/>
      <c r="NXN11" s="1116"/>
      <c r="NXO11" s="1116"/>
      <c r="NXP11" s="1116"/>
      <c r="NXQ11" s="1116"/>
      <c r="NXR11" s="1116"/>
      <c r="NXS11" s="1116"/>
      <c r="NXT11" s="1116"/>
      <c r="NXU11" s="1116"/>
      <c r="NXV11" s="1116"/>
      <c r="NXW11" s="1116"/>
      <c r="NXX11" s="1116"/>
      <c r="NXY11" s="1116"/>
      <c r="NXZ11" s="1116"/>
      <c r="NYA11" s="1116"/>
      <c r="NYB11" s="1116"/>
      <c r="NYC11" s="1116"/>
      <c r="NYD11" s="1116"/>
      <c r="NYE11" s="1116"/>
      <c r="NYF11" s="1116"/>
      <c r="NYG11" s="1116"/>
      <c r="NYH11" s="1116"/>
      <c r="NYI11" s="1116"/>
      <c r="NYJ11" s="1116"/>
      <c r="NYK11" s="1116"/>
      <c r="NYL11" s="1116"/>
      <c r="NYM11" s="1116"/>
      <c r="NYN11" s="1116"/>
      <c r="NYO11" s="1116"/>
      <c r="NYP11" s="1116"/>
      <c r="NYQ11" s="1116"/>
      <c r="NYR11" s="1116"/>
      <c r="NYS11" s="1116"/>
      <c r="NYT11" s="1116"/>
      <c r="NYU11" s="1116"/>
      <c r="NYV11" s="1116"/>
      <c r="NYW11" s="1116"/>
      <c r="NYX11" s="1116"/>
      <c r="NYY11" s="1116"/>
      <c r="NYZ11" s="1116"/>
      <c r="NZA11" s="1116"/>
      <c r="NZB11" s="1116"/>
      <c r="NZC11" s="1116"/>
      <c r="NZD11" s="1116"/>
      <c r="NZE11" s="1116"/>
      <c r="NZF11" s="1116"/>
      <c r="NZG11" s="1116"/>
      <c r="NZH11" s="1116"/>
      <c r="NZI11" s="1116"/>
      <c r="NZJ11" s="1116"/>
      <c r="NZK11" s="1116"/>
      <c r="NZL11" s="1116"/>
      <c r="NZM11" s="1116"/>
      <c r="NZN11" s="1116"/>
      <c r="NZO11" s="1116"/>
      <c r="NZP11" s="1116"/>
      <c r="NZQ11" s="1116"/>
      <c r="NZR11" s="1116"/>
      <c r="NZS11" s="1116"/>
      <c r="NZT11" s="1116"/>
      <c r="NZU11" s="1116"/>
      <c r="NZV11" s="1116"/>
      <c r="NZW11" s="1116"/>
      <c r="NZX11" s="1116"/>
      <c r="NZY11" s="1116"/>
      <c r="NZZ11" s="1116"/>
      <c r="OAA11" s="1116"/>
      <c r="OAB11" s="1116"/>
      <c r="OAC11" s="1116"/>
      <c r="OAD11" s="1116"/>
      <c r="OAE11" s="1116"/>
      <c r="OAF11" s="1116"/>
      <c r="OAG11" s="1116"/>
      <c r="OAH11" s="1116"/>
      <c r="OAI11" s="1116"/>
      <c r="OAJ11" s="1116"/>
      <c r="OAK11" s="1116"/>
      <c r="OAL11" s="1116"/>
      <c r="OAM11" s="1116"/>
      <c r="OAN11" s="1116"/>
      <c r="OAO11" s="1116"/>
      <c r="OAP11" s="1116"/>
      <c r="OAQ11" s="1116"/>
      <c r="OAR11" s="1116"/>
      <c r="OAS11" s="1116"/>
      <c r="OAT11" s="1116"/>
      <c r="OAU11" s="1116"/>
      <c r="OAV11" s="1116"/>
      <c r="OAW11" s="1116"/>
      <c r="OAX11" s="1116"/>
      <c r="OAY11" s="1116"/>
      <c r="OAZ11" s="1116"/>
      <c r="OBA11" s="1116"/>
      <c r="OBB11" s="1116"/>
      <c r="OBC11" s="1116"/>
      <c r="OBD11" s="1116"/>
      <c r="OBE11" s="1116"/>
      <c r="OBF11" s="1116"/>
      <c r="OBG11" s="1116"/>
      <c r="OBH11" s="1116"/>
      <c r="OBI11" s="1116"/>
      <c r="OBJ11" s="1116"/>
      <c r="OBK11" s="1116"/>
      <c r="OBL11" s="1116"/>
      <c r="OBM11" s="1116"/>
      <c r="OBN11" s="1116"/>
      <c r="OBO11" s="1116"/>
      <c r="OBP11" s="1116"/>
      <c r="OBQ11" s="1116"/>
      <c r="OBR11" s="1116"/>
      <c r="OBS11" s="1116"/>
      <c r="OBT11" s="1116"/>
      <c r="OBU11" s="1116"/>
      <c r="OBV11" s="1116"/>
      <c r="OBW11" s="1116"/>
      <c r="OBX11" s="1116"/>
      <c r="OBY11" s="1116"/>
      <c r="OBZ11" s="1116"/>
      <c r="OCA11" s="1116"/>
      <c r="OCB11" s="1116"/>
      <c r="OCC11" s="1116"/>
      <c r="OCD11" s="1116"/>
      <c r="OCE11" s="1116"/>
      <c r="OCF11" s="1116"/>
      <c r="OCG11" s="1116"/>
      <c r="OCH11" s="1116"/>
      <c r="OCI11" s="1116"/>
      <c r="OCJ11" s="1116"/>
      <c r="OCK11" s="1116"/>
      <c r="OCL11" s="1116"/>
      <c r="OCM11" s="1116"/>
      <c r="OCN11" s="1116"/>
      <c r="OCO11" s="1116"/>
      <c r="OCP11" s="1116"/>
      <c r="OCQ11" s="1116"/>
      <c r="OCR11" s="1116"/>
      <c r="OCS11" s="1116"/>
      <c r="OCT11" s="1116"/>
      <c r="OCU11" s="1116"/>
      <c r="OCV11" s="1116"/>
      <c r="OCW11" s="1116"/>
      <c r="OCX11" s="1116"/>
      <c r="OCY11" s="1116"/>
      <c r="OCZ11" s="1116"/>
      <c r="ODA11" s="1116"/>
      <c r="ODB11" s="1116"/>
      <c r="ODC11" s="1116"/>
      <c r="ODD11" s="1116"/>
      <c r="ODE11" s="1116"/>
      <c r="ODF11" s="1116"/>
      <c r="ODG11" s="1116"/>
      <c r="ODH11" s="1116"/>
      <c r="ODI11" s="1116"/>
      <c r="ODJ11" s="1116"/>
      <c r="ODK11" s="1116"/>
      <c r="ODL11" s="1116"/>
      <c r="ODM11" s="1116"/>
      <c r="ODN11" s="1116"/>
      <c r="ODO11" s="1116"/>
      <c r="ODP11" s="1116"/>
      <c r="ODQ11" s="1116"/>
      <c r="ODR11" s="1116"/>
      <c r="ODS11" s="1116"/>
      <c r="ODT11" s="1116"/>
      <c r="ODU11" s="1116"/>
      <c r="ODV11" s="1116"/>
      <c r="ODW11" s="1116"/>
      <c r="ODX11" s="1116"/>
      <c r="ODY11" s="1116"/>
      <c r="ODZ11" s="1116"/>
      <c r="OEA11" s="1116"/>
      <c r="OEB11" s="1116"/>
      <c r="OEC11" s="1116"/>
      <c r="OED11" s="1116"/>
      <c r="OEE11" s="1116"/>
      <c r="OEF11" s="1116"/>
      <c r="OEG11" s="1116"/>
      <c r="OEH11" s="1116"/>
      <c r="OEI11" s="1116"/>
      <c r="OEJ11" s="1116"/>
      <c r="OEK11" s="1116"/>
      <c r="OEL11" s="1116"/>
      <c r="OEM11" s="1116"/>
      <c r="OEN11" s="1116"/>
      <c r="OEO11" s="1116"/>
      <c r="OEP11" s="1116"/>
      <c r="OEQ11" s="1116"/>
      <c r="OER11" s="1116"/>
      <c r="OES11" s="1116"/>
      <c r="OET11" s="1116"/>
      <c r="OEU11" s="1116"/>
      <c r="OEV11" s="1116"/>
      <c r="OEW11" s="1116"/>
      <c r="OEX11" s="1116"/>
      <c r="OEY11" s="1116"/>
      <c r="OEZ11" s="1116"/>
      <c r="OFA11" s="1116"/>
      <c r="OFB11" s="1116"/>
      <c r="OFC11" s="1116"/>
      <c r="OFD11" s="1116"/>
      <c r="OFE11" s="1116"/>
      <c r="OFF11" s="1116"/>
      <c r="OFG11" s="1116"/>
      <c r="OFH11" s="1116"/>
      <c r="OFI11" s="1116"/>
      <c r="OFJ11" s="1116"/>
      <c r="OFK11" s="1116"/>
      <c r="OFL11" s="1116"/>
      <c r="OFM11" s="1116"/>
      <c r="OFN11" s="1116"/>
      <c r="OFO11" s="1116"/>
      <c r="OFP11" s="1116"/>
      <c r="OFQ11" s="1116"/>
      <c r="OFR11" s="1116"/>
      <c r="OFS11" s="1116"/>
      <c r="OFT11" s="1116"/>
      <c r="OFU11" s="1116"/>
      <c r="OFV11" s="1116"/>
      <c r="OFW11" s="1116"/>
      <c r="OFX11" s="1116"/>
      <c r="OFY11" s="1116"/>
      <c r="OFZ11" s="1116"/>
      <c r="OGA11" s="1116"/>
      <c r="OGB11" s="1116"/>
      <c r="OGC11" s="1116"/>
      <c r="OGD11" s="1116"/>
      <c r="OGE11" s="1116"/>
      <c r="OGF11" s="1116"/>
      <c r="OGG11" s="1116"/>
      <c r="OGH11" s="1116"/>
      <c r="OGI11" s="1116"/>
      <c r="OGJ11" s="1116"/>
      <c r="OGK11" s="1116"/>
      <c r="OGL11" s="1116"/>
      <c r="OGM11" s="1116"/>
      <c r="OGN11" s="1116"/>
      <c r="OGO11" s="1116"/>
      <c r="OGP11" s="1116"/>
      <c r="OGQ11" s="1116"/>
      <c r="OGR11" s="1116"/>
      <c r="OGS11" s="1116"/>
      <c r="OGT11" s="1116"/>
      <c r="OGU11" s="1116"/>
      <c r="OGV11" s="1116"/>
      <c r="OGW11" s="1116"/>
      <c r="OGX11" s="1116"/>
      <c r="OGY11" s="1116"/>
      <c r="OGZ11" s="1116"/>
      <c r="OHA11" s="1116"/>
      <c r="OHB11" s="1116"/>
      <c r="OHC11" s="1116"/>
      <c r="OHD11" s="1116"/>
      <c r="OHE11" s="1116"/>
      <c r="OHF11" s="1116"/>
      <c r="OHG11" s="1116"/>
      <c r="OHH11" s="1116"/>
      <c r="OHI11" s="1116"/>
      <c r="OHJ11" s="1116"/>
      <c r="OHK11" s="1116"/>
      <c r="OHL11" s="1116"/>
      <c r="OHM11" s="1116"/>
      <c r="OHN11" s="1116"/>
      <c r="OHO11" s="1116"/>
      <c r="OHP11" s="1116"/>
      <c r="OHQ11" s="1116"/>
      <c r="OHR11" s="1116"/>
      <c r="OHS11" s="1116"/>
      <c r="OHT11" s="1116"/>
      <c r="OHU11" s="1116"/>
      <c r="OHV11" s="1116"/>
      <c r="OHW11" s="1116"/>
      <c r="OHX11" s="1116"/>
      <c r="OHY11" s="1116"/>
      <c r="OHZ11" s="1116"/>
      <c r="OIA11" s="1116"/>
      <c r="OIB11" s="1116"/>
      <c r="OIC11" s="1116"/>
      <c r="OID11" s="1116"/>
      <c r="OIE11" s="1116"/>
      <c r="OIF11" s="1116"/>
      <c r="OIG11" s="1116"/>
      <c r="OIH11" s="1116"/>
      <c r="OII11" s="1116"/>
      <c r="OIJ11" s="1116"/>
      <c r="OIK11" s="1116"/>
      <c r="OIL11" s="1116"/>
      <c r="OIM11" s="1116"/>
      <c r="OIN11" s="1116"/>
      <c r="OIO11" s="1116"/>
      <c r="OIP11" s="1116"/>
      <c r="OIQ11" s="1116"/>
      <c r="OIR11" s="1116"/>
      <c r="OIS11" s="1116"/>
      <c r="OIT11" s="1116"/>
      <c r="OIU11" s="1116"/>
      <c r="OIV11" s="1116"/>
      <c r="OIW11" s="1116"/>
      <c r="OIX11" s="1116"/>
      <c r="OIY11" s="1116"/>
      <c r="OIZ11" s="1116"/>
      <c r="OJA11" s="1116"/>
      <c r="OJB11" s="1116"/>
      <c r="OJC11" s="1116"/>
      <c r="OJD11" s="1116"/>
      <c r="OJE11" s="1116"/>
      <c r="OJF11" s="1116"/>
      <c r="OJG11" s="1116"/>
      <c r="OJH11" s="1116"/>
      <c r="OJI11" s="1116"/>
      <c r="OJJ11" s="1116"/>
      <c r="OJK11" s="1116"/>
      <c r="OJL11" s="1116"/>
      <c r="OJM11" s="1116"/>
      <c r="OJN11" s="1116"/>
      <c r="OJO11" s="1116"/>
      <c r="OJP11" s="1116"/>
      <c r="OJQ11" s="1116"/>
      <c r="OJR11" s="1116"/>
      <c r="OJS11" s="1116"/>
      <c r="OJT11" s="1116"/>
      <c r="OJU11" s="1116"/>
      <c r="OJV11" s="1116"/>
      <c r="OJW11" s="1116"/>
      <c r="OJX11" s="1116"/>
      <c r="OJY11" s="1116"/>
      <c r="OJZ11" s="1116"/>
      <c r="OKA11" s="1116"/>
      <c r="OKB11" s="1116"/>
      <c r="OKC11" s="1116"/>
      <c r="OKD11" s="1116"/>
      <c r="OKE11" s="1116"/>
      <c r="OKF11" s="1116"/>
      <c r="OKG11" s="1116"/>
      <c r="OKH11" s="1116"/>
      <c r="OKI11" s="1116"/>
      <c r="OKJ11" s="1116"/>
      <c r="OKK11" s="1116"/>
      <c r="OKL11" s="1116"/>
      <c r="OKM11" s="1116"/>
      <c r="OKN11" s="1116"/>
      <c r="OKO11" s="1116"/>
      <c r="OKP11" s="1116"/>
      <c r="OKQ11" s="1116"/>
      <c r="OKR11" s="1116"/>
      <c r="OKS11" s="1116"/>
      <c r="OKT11" s="1116"/>
      <c r="OKU11" s="1116"/>
      <c r="OKV11" s="1116"/>
      <c r="OKW11" s="1116"/>
      <c r="OKX11" s="1116"/>
      <c r="OKY11" s="1116"/>
      <c r="OKZ11" s="1116"/>
      <c r="OLA11" s="1116"/>
      <c r="OLB11" s="1116"/>
      <c r="OLC11" s="1116"/>
      <c r="OLD11" s="1116"/>
      <c r="OLE11" s="1116"/>
      <c r="OLF11" s="1116"/>
      <c r="OLG11" s="1116"/>
      <c r="OLH11" s="1116"/>
      <c r="OLI11" s="1116"/>
      <c r="OLJ11" s="1116"/>
      <c r="OLK11" s="1116"/>
      <c r="OLL11" s="1116"/>
      <c r="OLM11" s="1116"/>
      <c r="OLN11" s="1116"/>
      <c r="OLO11" s="1116"/>
      <c r="OLP11" s="1116"/>
      <c r="OLQ11" s="1116"/>
      <c r="OLR11" s="1116"/>
      <c r="OLS11" s="1116"/>
      <c r="OLT11" s="1116"/>
      <c r="OLU11" s="1116"/>
      <c r="OLV11" s="1116"/>
      <c r="OLW11" s="1116"/>
      <c r="OLX11" s="1116"/>
      <c r="OLY11" s="1116"/>
      <c r="OLZ11" s="1116"/>
      <c r="OMA11" s="1116"/>
      <c r="OMB11" s="1116"/>
      <c r="OMC11" s="1116"/>
      <c r="OMD11" s="1116"/>
      <c r="OME11" s="1116"/>
      <c r="OMF11" s="1116"/>
      <c r="OMG11" s="1116"/>
      <c r="OMH11" s="1116"/>
      <c r="OMI11" s="1116"/>
      <c r="OMJ11" s="1116"/>
      <c r="OMK11" s="1116"/>
      <c r="OML11" s="1116"/>
      <c r="OMM11" s="1116"/>
      <c r="OMN11" s="1116"/>
      <c r="OMO11" s="1116"/>
      <c r="OMP11" s="1116"/>
      <c r="OMQ11" s="1116"/>
      <c r="OMR11" s="1116"/>
      <c r="OMS11" s="1116"/>
      <c r="OMT11" s="1116"/>
      <c r="OMU11" s="1116"/>
      <c r="OMV11" s="1116"/>
      <c r="OMW11" s="1116"/>
      <c r="OMX11" s="1116"/>
      <c r="OMY11" s="1116"/>
      <c r="OMZ11" s="1116"/>
      <c r="ONA11" s="1116"/>
      <c r="ONB11" s="1116"/>
      <c r="ONC11" s="1116"/>
      <c r="OND11" s="1116"/>
      <c r="ONE11" s="1116"/>
      <c r="ONF11" s="1116"/>
      <c r="ONG11" s="1116"/>
      <c r="ONH11" s="1116"/>
      <c r="ONI11" s="1116"/>
      <c r="ONJ11" s="1116"/>
      <c r="ONK11" s="1116"/>
      <c r="ONL11" s="1116"/>
      <c r="ONM11" s="1116"/>
      <c r="ONN11" s="1116"/>
      <c r="ONO11" s="1116"/>
      <c r="ONP11" s="1116"/>
      <c r="ONQ11" s="1116"/>
      <c r="ONR11" s="1116"/>
      <c r="ONS11" s="1116"/>
      <c r="ONT11" s="1116"/>
      <c r="ONU11" s="1116"/>
      <c r="ONV11" s="1116"/>
      <c r="ONW11" s="1116"/>
      <c r="ONX11" s="1116"/>
      <c r="ONY11" s="1116"/>
      <c r="ONZ11" s="1116"/>
      <c r="OOA11" s="1116"/>
      <c r="OOB11" s="1116"/>
      <c r="OOC11" s="1116"/>
      <c r="OOD11" s="1116"/>
      <c r="OOE11" s="1116"/>
      <c r="OOF11" s="1116"/>
      <c r="OOG11" s="1116"/>
      <c r="OOH11" s="1116"/>
      <c r="OOI11" s="1116"/>
      <c r="OOJ11" s="1116"/>
      <c r="OOK11" s="1116"/>
      <c r="OOL11" s="1116"/>
      <c r="OOM11" s="1116"/>
      <c r="OON11" s="1116"/>
      <c r="OOO11" s="1116"/>
      <c r="OOP11" s="1116"/>
      <c r="OOQ11" s="1116"/>
      <c r="OOR11" s="1116"/>
      <c r="OOS11" s="1116"/>
      <c r="OOT11" s="1116"/>
      <c r="OOU11" s="1116"/>
      <c r="OOV11" s="1116"/>
      <c r="OOW11" s="1116"/>
      <c r="OOX11" s="1116"/>
      <c r="OOY11" s="1116"/>
      <c r="OOZ11" s="1116"/>
      <c r="OPA11" s="1116"/>
      <c r="OPB11" s="1116"/>
      <c r="OPC11" s="1116"/>
      <c r="OPD11" s="1116"/>
      <c r="OPE11" s="1116"/>
      <c r="OPF11" s="1116"/>
      <c r="OPG11" s="1116"/>
      <c r="OPH11" s="1116"/>
      <c r="OPI11" s="1116"/>
      <c r="OPJ11" s="1116"/>
      <c r="OPK11" s="1116"/>
      <c r="OPL11" s="1116"/>
      <c r="OPM11" s="1116"/>
      <c r="OPN11" s="1116"/>
      <c r="OPO11" s="1116"/>
      <c r="OPP11" s="1116"/>
      <c r="OPQ11" s="1116"/>
      <c r="OPR11" s="1116"/>
      <c r="OPS11" s="1116"/>
      <c r="OPT11" s="1116"/>
      <c r="OPU11" s="1116"/>
      <c r="OPV11" s="1116"/>
      <c r="OPW11" s="1116"/>
      <c r="OPX11" s="1116"/>
      <c r="OPY11" s="1116"/>
      <c r="OPZ11" s="1116"/>
      <c r="OQA11" s="1116"/>
      <c r="OQB11" s="1116"/>
      <c r="OQC11" s="1116"/>
      <c r="OQD11" s="1116"/>
      <c r="OQE11" s="1116"/>
      <c r="OQF11" s="1116"/>
      <c r="OQG11" s="1116"/>
      <c r="OQH11" s="1116"/>
      <c r="OQI11" s="1116"/>
      <c r="OQJ11" s="1116"/>
      <c r="OQK11" s="1116"/>
      <c r="OQL11" s="1116"/>
      <c r="OQM11" s="1116"/>
      <c r="OQN11" s="1116"/>
      <c r="OQO11" s="1116"/>
      <c r="OQP11" s="1116"/>
      <c r="OQQ11" s="1116"/>
      <c r="OQR11" s="1116"/>
      <c r="OQS11" s="1116"/>
      <c r="OQT11" s="1116"/>
      <c r="OQU11" s="1116"/>
      <c r="OQV11" s="1116"/>
      <c r="OQW11" s="1116"/>
      <c r="OQX11" s="1116"/>
      <c r="OQY11" s="1116"/>
      <c r="OQZ11" s="1116"/>
      <c r="ORA11" s="1116"/>
      <c r="ORB11" s="1116"/>
      <c r="ORC11" s="1116"/>
      <c r="ORD11" s="1116"/>
      <c r="ORE11" s="1116"/>
      <c r="ORF11" s="1116"/>
      <c r="ORG11" s="1116"/>
      <c r="ORH11" s="1116"/>
      <c r="ORI11" s="1116"/>
      <c r="ORJ11" s="1116"/>
      <c r="ORK11" s="1116"/>
      <c r="ORL11" s="1116"/>
      <c r="ORM11" s="1116"/>
      <c r="ORN11" s="1116"/>
      <c r="ORO11" s="1116"/>
      <c r="ORP11" s="1116"/>
      <c r="ORQ11" s="1116"/>
      <c r="ORR11" s="1116"/>
      <c r="ORS11" s="1116"/>
      <c r="ORT11" s="1116"/>
      <c r="ORU11" s="1116"/>
      <c r="ORV11" s="1116"/>
      <c r="ORW11" s="1116"/>
      <c r="ORX11" s="1116"/>
      <c r="ORY11" s="1116"/>
      <c r="ORZ11" s="1116"/>
      <c r="OSA11" s="1116"/>
      <c r="OSB11" s="1116"/>
      <c r="OSC11" s="1116"/>
      <c r="OSD11" s="1116"/>
      <c r="OSE11" s="1116"/>
      <c r="OSF11" s="1116"/>
      <c r="OSG11" s="1116"/>
      <c r="OSH11" s="1116"/>
      <c r="OSI11" s="1116"/>
      <c r="OSJ11" s="1116"/>
      <c r="OSK11" s="1116"/>
      <c r="OSL11" s="1116"/>
      <c r="OSM11" s="1116"/>
      <c r="OSN11" s="1116"/>
      <c r="OSO11" s="1116"/>
      <c r="OSP11" s="1116"/>
      <c r="OSQ11" s="1116"/>
      <c r="OSR11" s="1116"/>
      <c r="OSS11" s="1116"/>
      <c r="OST11" s="1116"/>
      <c r="OSU11" s="1116"/>
      <c r="OSV11" s="1116"/>
      <c r="OSW11" s="1116"/>
      <c r="OSX11" s="1116"/>
      <c r="OSY11" s="1116"/>
      <c r="OSZ11" s="1116"/>
      <c r="OTA11" s="1116"/>
      <c r="OTB11" s="1116"/>
      <c r="OTC11" s="1116"/>
      <c r="OTD11" s="1116"/>
      <c r="OTE11" s="1116"/>
      <c r="OTF11" s="1116"/>
      <c r="OTG11" s="1116"/>
      <c r="OTH11" s="1116"/>
      <c r="OTI11" s="1116"/>
      <c r="OTJ11" s="1116"/>
      <c r="OTK11" s="1116"/>
      <c r="OTL11" s="1116"/>
      <c r="OTM11" s="1116"/>
      <c r="OTN11" s="1116"/>
      <c r="OTO11" s="1116"/>
      <c r="OTP11" s="1116"/>
      <c r="OTQ11" s="1116"/>
      <c r="OTR11" s="1116"/>
      <c r="OTS11" s="1116"/>
      <c r="OTT11" s="1116"/>
      <c r="OTU11" s="1116"/>
      <c r="OTV11" s="1116"/>
      <c r="OTW11" s="1116"/>
      <c r="OTX11" s="1116"/>
      <c r="OTY11" s="1116"/>
      <c r="OTZ11" s="1116"/>
      <c r="OUA11" s="1116"/>
      <c r="OUB11" s="1116"/>
      <c r="OUC11" s="1116"/>
      <c r="OUD11" s="1116"/>
      <c r="OUE11" s="1116"/>
      <c r="OUF11" s="1116"/>
      <c r="OUG11" s="1116"/>
      <c r="OUH11" s="1116"/>
      <c r="OUI11" s="1116"/>
      <c r="OUJ11" s="1116"/>
      <c r="OUK11" s="1116"/>
      <c r="OUL11" s="1116"/>
      <c r="OUM11" s="1116"/>
      <c r="OUN11" s="1116"/>
      <c r="OUO11" s="1116"/>
      <c r="OUP11" s="1116"/>
      <c r="OUQ11" s="1116"/>
      <c r="OUR11" s="1116"/>
      <c r="OUS11" s="1116"/>
      <c r="OUT11" s="1116"/>
      <c r="OUU11" s="1116"/>
      <c r="OUV11" s="1116"/>
      <c r="OUW11" s="1116"/>
      <c r="OUX11" s="1116"/>
      <c r="OUY11" s="1116"/>
      <c r="OUZ11" s="1116"/>
      <c r="OVA11" s="1116"/>
      <c r="OVB11" s="1116"/>
      <c r="OVC11" s="1116"/>
      <c r="OVD11" s="1116"/>
      <c r="OVE11" s="1116"/>
      <c r="OVF11" s="1116"/>
      <c r="OVG11" s="1116"/>
      <c r="OVH11" s="1116"/>
      <c r="OVI11" s="1116"/>
      <c r="OVJ11" s="1116"/>
      <c r="OVK11" s="1116"/>
      <c r="OVL11" s="1116"/>
      <c r="OVM11" s="1116"/>
      <c r="OVN11" s="1116"/>
      <c r="OVO11" s="1116"/>
      <c r="OVP11" s="1116"/>
      <c r="OVQ11" s="1116"/>
      <c r="OVR11" s="1116"/>
      <c r="OVS11" s="1116"/>
      <c r="OVT11" s="1116"/>
      <c r="OVU11" s="1116"/>
      <c r="OVV11" s="1116"/>
      <c r="OVW11" s="1116"/>
      <c r="OVX11" s="1116"/>
      <c r="OVY11" s="1116"/>
      <c r="OVZ11" s="1116"/>
      <c r="OWA11" s="1116"/>
      <c r="OWB11" s="1116"/>
      <c r="OWC11" s="1116"/>
      <c r="OWD11" s="1116"/>
      <c r="OWE11" s="1116"/>
      <c r="OWF11" s="1116"/>
      <c r="OWG11" s="1116"/>
      <c r="OWH11" s="1116"/>
      <c r="OWI11" s="1116"/>
      <c r="OWJ11" s="1116"/>
      <c r="OWK11" s="1116"/>
      <c r="OWL11" s="1116"/>
      <c r="OWM11" s="1116"/>
      <c r="OWN11" s="1116"/>
      <c r="OWO11" s="1116"/>
      <c r="OWP11" s="1116"/>
      <c r="OWQ11" s="1116"/>
      <c r="OWR11" s="1116"/>
      <c r="OWS11" s="1116"/>
      <c r="OWT11" s="1116"/>
      <c r="OWU11" s="1116"/>
      <c r="OWV11" s="1116"/>
      <c r="OWW11" s="1116"/>
      <c r="OWX11" s="1116"/>
      <c r="OWY11" s="1116"/>
      <c r="OWZ11" s="1116"/>
      <c r="OXA11" s="1116"/>
      <c r="OXB11" s="1116"/>
      <c r="OXC11" s="1116"/>
      <c r="OXD11" s="1116"/>
      <c r="OXE11" s="1116"/>
      <c r="OXF11" s="1116"/>
      <c r="OXG11" s="1116"/>
      <c r="OXH11" s="1116"/>
      <c r="OXI11" s="1116"/>
      <c r="OXJ11" s="1116"/>
      <c r="OXK11" s="1116"/>
      <c r="OXL11" s="1116"/>
      <c r="OXM11" s="1116"/>
      <c r="OXN11" s="1116"/>
      <c r="OXO11" s="1116"/>
      <c r="OXP11" s="1116"/>
      <c r="OXQ11" s="1116"/>
      <c r="OXR11" s="1116"/>
      <c r="OXS11" s="1116"/>
      <c r="OXT11" s="1116"/>
      <c r="OXU11" s="1116"/>
      <c r="OXV11" s="1116"/>
      <c r="OXW11" s="1116"/>
      <c r="OXX11" s="1116"/>
      <c r="OXY11" s="1116"/>
      <c r="OXZ11" s="1116"/>
      <c r="OYA11" s="1116"/>
      <c r="OYB11" s="1116"/>
      <c r="OYC11" s="1116"/>
      <c r="OYD11" s="1116"/>
      <c r="OYE11" s="1116"/>
      <c r="OYF11" s="1116"/>
      <c r="OYG11" s="1116"/>
      <c r="OYH11" s="1116"/>
      <c r="OYI11" s="1116"/>
      <c r="OYJ11" s="1116"/>
      <c r="OYK11" s="1116"/>
      <c r="OYL11" s="1116"/>
      <c r="OYM11" s="1116"/>
      <c r="OYN11" s="1116"/>
      <c r="OYO11" s="1116"/>
      <c r="OYP11" s="1116"/>
      <c r="OYQ11" s="1116"/>
      <c r="OYR11" s="1116"/>
      <c r="OYS11" s="1116"/>
      <c r="OYT11" s="1116"/>
      <c r="OYU11" s="1116"/>
      <c r="OYV11" s="1116"/>
      <c r="OYW11" s="1116"/>
      <c r="OYX11" s="1116"/>
      <c r="OYY11" s="1116"/>
      <c r="OYZ11" s="1116"/>
      <c r="OZA11" s="1116"/>
      <c r="OZB11" s="1116"/>
      <c r="OZC11" s="1116"/>
      <c r="OZD11" s="1116"/>
      <c r="OZE11" s="1116"/>
      <c r="OZF11" s="1116"/>
      <c r="OZG11" s="1116"/>
      <c r="OZH11" s="1116"/>
      <c r="OZI11" s="1116"/>
      <c r="OZJ11" s="1116"/>
      <c r="OZK11" s="1116"/>
      <c r="OZL11" s="1116"/>
      <c r="OZM11" s="1116"/>
      <c r="OZN11" s="1116"/>
      <c r="OZO11" s="1116"/>
      <c r="OZP11" s="1116"/>
      <c r="OZQ11" s="1116"/>
      <c r="OZR11" s="1116"/>
      <c r="OZS11" s="1116"/>
      <c r="OZT11" s="1116"/>
      <c r="OZU11" s="1116"/>
      <c r="OZV11" s="1116"/>
      <c r="OZW11" s="1116"/>
      <c r="OZX11" s="1116"/>
      <c r="OZY11" s="1116"/>
      <c r="OZZ11" s="1116"/>
      <c r="PAA11" s="1116"/>
      <c r="PAB11" s="1116"/>
      <c r="PAC11" s="1116"/>
      <c r="PAD11" s="1116"/>
      <c r="PAE11" s="1116"/>
      <c r="PAF11" s="1116"/>
      <c r="PAG11" s="1116"/>
      <c r="PAH11" s="1116"/>
      <c r="PAI11" s="1116"/>
      <c r="PAJ11" s="1116"/>
      <c r="PAK11" s="1116"/>
      <c r="PAL11" s="1116"/>
      <c r="PAM11" s="1116"/>
      <c r="PAN11" s="1116"/>
      <c r="PAO11" s="1116"/>
      <c r="PAP11" s="1116"/>
      <c r="PAQ11" s="1116"/>
      <c r="PAR11" s="1116"/>
      <c r="PAS11" s="1116"/>
      <c r="PAT11" s="1116"/>
      <c r="PAU11" s="1116"/>
      <c r="PAV11" s="1116"/>
      <c r="PAW11" s="1116"/>
      <c r="PAX11" s="1116"/>
      <c r="PAY11" s="1116"/>
      <c r="PAZ11" s="1116"/>
      <c r="PBA11" s="1116"/>
      <c r="PBB11" s="1116"/>
      <c r="PBC11" s="1116"/>
      <c r="PBD11" s="1116"/>
      <c r="PBE11" s="1116"/>
      <c r="PBF11" s="1116"/>
      <c r="PBG11" s="1116"/>
      <c r="PBH11" s="1116"/>
      <c r="PBI11" s="1116"/>
      <c r="PBJ11" s="1116"/>
      <c r="PBK11" s="1116"/>
      <c r="PBL11" s="1116"/>
      <c r="PBM11" s="1116"/>
      <c r="PBN11" s="1116"/>
      <c r="PBO11" s="1116"/>
      <c r="PBP11" s="1116"/>
      <c r="PBQ11" s="1116"/>
      <c r="PBR11" s="1116"/>
      <c r="PBS11" s="1116"/>
      <c r="PBT11" s="1116"/>
      <c r="PBU11" s="1116"/>
      <c r="PBV11" s="1116"/>
      <c r="PBW11" s="1116"/>
      <c r="PBX11" s="1116"/>
      <c r="PBY11" s="1116"/>
      <c r="PBZ11" s="1116"/>
      <c r="PCA11" s="1116"/>
      <c r="PCB11" s="1116"/>
      <c r="PCC11" s="1116"/>
      <c r="PCD11" s="1116"/>
      <c r="PCE11" s="1116"/>
      <c r="PCF11" s="1116"/>
      <c r="PCG11" s="1116"/>
      <c r="PCH11" s="1116"/>
      <c r="PCI11" s="1116"/>
      <c r="PCJ11" s="1116"/>
      <c r="PCK11" s="1116"/>
      <c r="PCL11" s="1116"/>
      <c r="PCM11" s="1116"/>
      <c r="PCN11" s="1116"/>
      <c r="PCO11" s="1116"/>
      <c r="PCP11" s="1116"/>
      <c r="PCQ11" s="1116"/>
      <c r="PCR11" s="1116"/>
      <c r="PCS11" s="1116"/>
      <c r="PCT11" s="1116"/>
      <c r="PCU11" s="1116"/>
      <c r="PCV11" s="1116"/>
      <c r="PCW11" s="1116"/>
      <c r="PCX11" s="1116"/>
      <c r="PCY11" s="1116"/>
      <c r="PCZ11" s="1116"/>
      <c r="PDA11" s="1116"/>
      <c r="PDB11" s="1116"/>
      <c r="PDC11" s="1116"/>
      <c r="PDD11" s="1116"/>
      <c r="PDE11" s="1116"/>
      <c r="PDF11" s="1116"/>
      <c r="PDG11" s="1116"/>
      <c r="PDH11" s="1116"/>
      <c r="PDI11" s="1116"/>
      <c r="PDJ11" s="1116"/>
      <c r="PDK11" s="1116"/>
      <c r="PDL11" s="1116"/>
      <c r="PDM11" s="1116"/>
      <c r="PDN11" s="1116"/>
      <c r="PDO11" s="1116"/>
      <c r="PDP11" s="1116"/>
      <c r="PDQ11" s="1116"/>
      <c r="PDR11" s="1116"/>
      <c r="PDS11" s="1116"/>
      <c r="PDT11" s="1116"/>
      <c r="PDU11" s="1116"/>
      <c r="PDV11" s="1116"/>
      <c r="PDW11" s="1116"/>
      <c r="PDX11" s="1116"/>
      <c r="PDY11" s="1116"/>
      <c r="PDZ11" s="1116"/>
      <c r="PEA11" s="1116"/>
      <c r="PEB11" s="1116"/>
      <c r="PEC11" s="1116"/>
      <c r="PED11" s="1116"/>
      <c r="PEE11" s="1116"/>
      <c r="PEF11" s="1116"/>
      <c r="PEG11" s="1116"/>
      <c r="PEH11" s="1116"/>
      <c r="PEI11" s="1116"/>
      <c r="PEJ11" s="1116"/>
      <c r="PEK11" s="1116"/>
      <c r="PEL11" s="1116"/>
      <c r="PEM11" s="1116"/>
      <c r="PEN11" s="1116"/>
      <c r="PEO11" s="1116"/>
      <c r="PEP11" s="1116"/>
      <c r="PEQ11" s="1116"/>
      <c r="PER11" s="1116"/>
      <c r="PES11" s="1116"/>
      <c r="PET11" s="1116"/>
      <c r="PEU11" s="1116"/>
      <c r="PEV11" s="1116"/>
      <c r="PEW11" s="1116"/>
      <c r="PEX11" s="1116"/>
      <c r="PEY11" s="1116"/>
      <c r="PEZ11" s="1116"/>
      <c r="PFA11" s="1116"/>
      <c r="PFB11" s="1116"/>
      <c r="PFC11" s="1116"/>
      <c r="PFD11" s="1116"/>
      <c r="PFE11" s="1116"/>
      <c r="PFF11" s="1116"/>
      <c r="PFG11" s="1116"/>
      <c r="PFH11" s="1116"/>
      <c r="PFI11" s="1116"/>
      <c r="PFJ11" s="1116"/>
      <c r="PFK11" s="1116"/>
      <c r="PFL11" s="1116"/>
      <c r="PFM11" s="1116"/>
      <c r="PFN11" s="1116"/>
      <c r="PFO11" s="1116"/>
      <c r="PFP11" s="1116"/>
      <c r="PFQ11" s="1116"/>
      <c r="PFR11" s="1116"/>
      <c r="PFS11" s="1116"/>
      <c r="PFT11" s="1116"/>
      <c r="PFU11" s="1116"/>
      <c r="PFV11" s="1116"/>
      <c r="PFW11" s="1116"/>
      <c r="PFX11" s="1116"/>
      <c r="PFY11" s="1116"/>
      <c r="PFZ11" s="1116"/>
      <c r="PGA11" s="1116"/>
      <c r="PGB11" s="1116"/>
      <c r="PGC11" s="1116"/>
      <c r="PGD11" s="1116"/>
      <c r="PGE11" s="1116"/>
      <c r="PGF11" s="1116"/>
      <c r="PGG11" s="1116"/>
      <c r="PGH11" s="1116"/>
      <c r="PGI11" s="1116"/>
      <c r="PGJ11" s="1116"/>
      <c r="PGK11" s="1116"/>
      <c r="PGL11" s="1116"/>
      <c r="PGM11" s="1116"/>
      <c r="PGN11" s="1116"/>
      <c r="PGO11" s="1116"/>
      <c r="PGP11" s="1116"/>
      <c r="PGQ11" s="1116"/>
      <c r="PGR11" s="1116"/>
      <c r="PGS11" s="1116"/>
      <c r="PGT11" s="1116"/>
      <c r="PGU11" s="1116"/>
      <c r="PGV11" s="1116"/>
      <c r="PGW11" s="1116"/>
      <c r="PGX11" s="1116"/>
      <c r="PGY11" s="1116"/>
      <c r="PGZ11" s="1116"/>
      <c r="PHA11" s="1116"/>
      <c r="PHB11" s="1116"/>
      <c r="PHC11" s="1116"/>
      <c r="PHD11" s="1116"/>
      <c r="PHE11" s="1116"/>
      <c r="PHF11" s="1116"/>
      <c r="PHG11" s="1116"/>
      <c r="PHH11" s="1116"/>
      <c r="PHI11" s="1116"/>
      <c r="PHJ11" s="1116"/>
      <c r="PHK11" s="1116"/>
      <c r="PHL11" s="1116"/>
      <c r="PHM11" s="1116"/>
      <c r="PHN11" s="1116"/>
      <c r="PHO11" s="1116"/>
      <c r="PHP11" s="1116"/>
      <c r="PHQ11" s="1116"/>
      <c r="PHR11" s="1116"/>
      <c r="PHS11" s="1116"/>
      <c r="PHT11" s="1116"/>
      <c r="PHU11" s="1116"/>
      <c r="PHV11" s="1116"/>
      <c r="PHW11" s="1116"/>
      <c r="PHX11" s="1116"/>
      <c r="PHY11" s="1116"/>
      <c r="PHZ11" s="1116"/>
      <c r="PIA11" s="1116"/>
      <c r="PIB11" s="1116"/>
      <c r="PIC11" s="1116"/>
      <c r="PID11" s="1116"/>
      <c r="PIE11" s="1116"/>
      <c r="PIF11" s="1116"/>
      <c r="PIG11" s="1116"/>
      <c r="PIH11" s="1116"/>
      <c r="PII11" s="1116"/>
      <c r="PIJ11" s="1116"/>
      <c r="PIK11" s="1116"/>
      <c r="PIL11" s="1116"/>
      <c r="PIM11" s="1116"/>
      <c r="PIN11" s="1116"/>
      <c r="PIO11" s="1116"/>
      <c r="PIP11" s="1116"/>
      <c r="PIQ11" s="1116"/>
      <c r="PIR11" s="1116"/>
      <c r="PIS11" s="1116"/>
      <c r="PIT11" s="1116"/>
      <c r="PIU11" s="1116"/>
      <c r="PIV11" s="1116"/>
      <c r="PIW11" s="1116"/>
      <c r="PIX11" s="1116"/>
      <c r="PIY11" s="1116"/>
      <c r="PIZ11" s="1116"/>
      <c r="PJA11" s="1116"/>
      <c r="PJB11" s="1116"/>
      <c r="PJC11" s="1116"/>
      <c r="PJD11" s="1116"/>
      <c r="PJE11" s="1116"/>
      <c r="PJF11" s="1116"/>
      <c r="PJG11" s="1116"/>
      <c r="PJH11" s="1116"/>
      <c r="PJI11" s="1116"/>
      <c r="PJJ11" s="1116"/>
      <c r="PJK11" s="1116"/>
      <c r="PJL11" s="1116"/>
      <c r="PJM11" s="1116"/>
      <c r="PJN11" s="1116"/>
      <c r="PJO11" s="1116"/>
      <c r="PJP11" s="1116"/>
      <c r="PJQ11" s="1116"/>
      <c r="PJR11" s="1116"/>
      <c r="PJS11" s="1116"/>
      <c r="PJT11" s="1116"/>
      <c r="PJU11" s="1116"/>
      <c r="PJV11" s="1116"/>
      <c r="PJW11" s="1116"/>
      <c r="PJX11" s="1116"/>
      <c r="PJY11" s="1116"/>
      <c r="PJZ11" s="1116"/>
      <c r="PKA11" s="1116"/>
      <c r="PKB11" s="1116"/>
      <c r="PKC11" s="1116"/>
      <c r="PKD11" s="1116"/>
      <c r="PKE11" s="1116"/>
      <c r="PKF11" s="1116"/>
      <c r="PKG11" s="1116"/>
      <c r="PKH11" s="1116"/>
      <c r="PKI11" s="1116"/>
      <c r="PKJ11" s="1116"/>
      <c r="PKK11" s="1116"/>
      <c r="PKL11" s="1116"/>
      <c r="PKM11" s="1116"/>
      <c r="PKN11" s="1116"/>
      <c r="PKO11" s="1116"/>
      <c r="PKP11" s="1116"/>
      <c r="PKQ11" s="1116"/>
      <c r="PKR11" s="1116"/>
      <c r="PKS11" s="1116"/>
      <c r="PKT11" s="1116"/>
      <c r="PKU11" s="1116"/>
      <c r="PKV11" s="1116"/>
      <c r="PKW11" s="1116"/>
      <c r="PKX11" s="1116"/>
      <c r="PKY11" s="1116"/>
      <c r="PKZ11" s="1116"/>
      <c r="PLA11" s="1116"/>
      <c r="PLB11" s="1116"/>
      <c r="PLC11" s="1116"/>
      <c r="PLD11" s="1116"/>
      <c r="PLE11" s="1116"/>
      <c r="PLF11" s="1116"/>
      <c r="PLG11" s="1116"/>
      <c r="PLH11" s="1116"/>
      <c r="PLI11" s="1116"/>
      <c r="PLJ11" s="1116"/>
      <c r="PLK11" s="1116"/>
      <c r="PLL11" s="1116"/>
      <c r="PLM11" s="1116"/>
      <c r="PLN11" s="1116"/>
      <c r="PLO11" s="1116"/>
      <c r="PLP11" s="1116"/>
      <c r="PLQ11" s="1116"/>
      <c r="PLR11" s="1116"/>
      <c r="PLS11" s="1116"/>
      <c r="PLT11" s="1116"/>
      <c r="PLU11" s="1116"/>
      <c r="PLV11" s="1116"/>
      <c r="PLW11" s="1116"/>
      <c r="PLX11" s="1116"/>
      <c r="PLY11" s="1116"/>
      <c r="PLZ11" s="1116"/>
      <c r="PMA11" s="1116"/>
      <c r="PMB11" s="1116"/>
      <c r="PMC11" s="1116"/>
      <c r="PMD11" s="1116"/>
      <c r="PME11" s="1116"/>
      <c r="PMF11" s="1116"/>
      <c r="PMG11" s="1116"/>
      <c r="PMH11" s="1116"/>
      <c r="PMI11" s="1116"/>
      <c r="PMJ11" s="1116"/>
      <c r="PMK11" s="1116"/>
      <c r="PML11" s="1116"/>
      <c r="PMM11" s="1116"/>
      <c r="PMN11" s="1116"/>
      <c r="PMO11" s="1116"/>
      <c r="PMP11" s="1116"/>
      <c r="PMQ11" s="1116"/>
      <c r="PMR11" s="1116"/>
      <c r="PMS11" s="1116"/>
      <c r="PMT11" s="1116"/>
      <c r="PMU11" s="1116"/>
      <c r="PMV11" s="1116"/>
      <c r="PMW11" s="1116"/>
      <c r="PMX11" s="1116"/>
      <c r="PMY11" s="1116"/>
      <c r="PMZ11" s="1116"/>
      <c r="PNA11" s="1116"/>
      <c r="PNB11" s="1116"/>
      <c r="PNC11" s="1116"/>
      <c r="PND11" s="1116"/>
      <c r="PNE11" s="1116"/>
      <c r="PNF11" s="1116"/>
      <c r="PNG11" s="1116"/>
      <c r="PNH11" s="1116"/>
      <c r="PNI11" s="1116"/>
      <c r="PNJ11" s="1116"/>
      <c r="PNK11" s="1116"/>
      <c r="PNL11" s="1116"/>
      <c r="PNM11" s="1116"/>
      <c r="PNN11" s="1116"/>
      <c r="PNO11" s="1116"/>
      <c r="PNP11" s="1116"/>
      <c r="PNQ11" s="1116"/>
      <c r="PNR11" s="1116"/>
      <c r="PNS11" s="1116"/>
      <c r="PNT11" s="1116"/>
      <c r="PNU11" s="1116"/>
      <c r="PNV11" s="1116"/>
      <c r="PNW11" s="1116"/>
      <c r="PNX11" s="1116"/>
      <c r="PNY11" s="1116"/>
      <c r="PNZ11" s="1116"/>
      <c r="POA11" s="1116"/>
      <c r="POB11" s="1116"/>
      <c r="POC11" s="1116"/>
      <c r="POD11" s="1116"/>
      <c r="POE11" s="1116"/>
      <c r="POF11" s="1116"/>
      <c r="POG11" s="1116"/>
      <c r="POH11" s="1116"/>
      <c r="POI11" s="1116"/>
      <c r="POJ11" s="1116"/>
      <c r="POK11" s="1116"/>
      <c r="POL11" s="1116"/>
      <c r="POM11" s="1116"/>
      <c r="PON11" s="1116"/>
      <c r="POO11" s="1116"/>
      <c r="POP11" s="1116"/>
      <c r="POQ11" s="1116"/>
      <c r="POR11" s="1116"/>
      <c r="POS11" s="1116"/>
      <c r="POT11" s="1116"/>
      <c r="POU11" s="1116"/>
      <c r="POV11" s="1116"/>
      <c r="POW11" s="1116"/>
      <c r="POX11" s="1116"/>
      <c r="POY11" s="1116"/>
      <c r="POZ11" s="1116"/>
      <c r="PPA11" s="1116"/>
      <c r="PPB11" s="1116"/>
      <c r="PPC11" s="1116"/>
      <c r="PPD11" s="1116"/>
      <c r="PPE11" s="1116"/>
      <c r="PPF11" s="1116"/>
      <c r="PPG11" s="1116"/>
      <c r="PPH11" s="1116"/>
      <c r="PPI11" s="1116"/>
      <c r="PPJ11" s="1116"/>
      <c r="PPK11" s="1116"/>
      <c r="PPL11" s="1116"/>
      <c r="PPM11" s="1116"/>
      <c r="PPN11" s="1116"/>
      <c r="PPO11" s="1116"/>
      <c r="PPP11" s="1116"/>
      <c r="PPQ11" s="1116"/>
      <c r="PPR11" s="1116"/>
      <c r="PPS11" s="1116"/>
      <c r="PPT11" s="1116"/>
      <c r="PPU11" s="1116"/>
      <c r="PPV11" s="1116"/>
      <c r="PPW11" s="1116"/>
      <c r="PPX11" s="1116"/>
      <c r="PPY11" s="1116"/>
      <c r="PPZ11" s="1116"/>
      <c r="PQA11" s="1116"/>
      <c r="PQB11" s="1116"/>
      <c r="PQC11" s="1116"/>
      <c r="PQD11" s="1116"/>
      <c r="PQE11" s="1116"/>
      <c r="PQF11" s="1116"/>
      <c r="PQG11" s="1116"/>
      <c r="PQH11" s="1116"/>
      <c r="PQI11" s="1116"/>
      <c r="PQJ11" s="1116"/>
      <c r="PQK11" s="1116"/>
      <c r="PQL11" s="1116"/>
      <c r="PQM11" s="1116"/>
      <c r="PQN11" s="1116"/>
      <c r="PQO11" s="1116"/>
      <c r="PQP11" s="1116"/>
      <c r="PQQ11" s="1116"/>
      <c r="PQR11" s="1116"/>
      <c r="PQS11" s="1116"/>
      <c r="PQT11" s="1116"/>
      <c r="PQU11" s="1116"/>
      <c r="PQV11" s="1116"/>
      <c r="PQW11" s="1116"/>
      <c r="PQX11" s="1116"/>
      <c r="PQY11" s="1116"/>
      <c r="PQZ11" s="1116"/>
      <c r="PRA11" s="1116"/>
      <c r="PRB11" s="1116"/>
      <c r="PRC11" s="1116"/>
      <c r="PRD11" s="1116"/>
      <c r="PRE11" s="1116"/>
      <c r="PRF11" s="1116"/>
      <c r="PRG11" s="1116"/>
      <c r="PRH11" s="1116"/>
      <c r="PRI11" s="1116"/>
      <c r="PRJ11" s="1116"/>
      <c r="PRK11" s="1116"/>
      <c r="PRL11" s="1116"/>
      <c r="PRM11" s="1116"/>
      <c r="PRN11" s="1116"/>
      <c r="PRO11" s="1116"/>
      <c r="PRP11" s="1116"/>
      <c r="PRQ11" s="1116"/>
      <c r="PRR11" s="1116"/>
      <c r="PRS11" s="1116"/>
      <c r="PRT11" s="1116"/>
      <c r="PRU11" s="1116"/>
      <c r="PRV11" s="1116"/>
      <c r="PRW11" s="1116"/>
      <c r="PRX11" s="1116"/>
      <c r="PRY11" s="1116"/>
      <c r="PRZ11" s="1116"/>
      <c r="PSA11" s="1116"/>
      <c r="PSB11" s="1116"/>
      <c r="PSC11" s="1116"/>
      <c r="PSD11" s="1116"/>
      <c r="PSE11" s="1116"/>
      <c r="PSF11" s="1116"/>
      <c r="PSG11" s="1116"/>
      <c r="PSH11" s="1116"/>
      <c r="PSI11" s="1116"/>
      <c r="PSJ11" s="1116"/>
      <c r="PSK11" s="1116"/>
      <c r="PSL11" s="1116"/>
      <c r="PSM11" s="1116"/>
      <c r="PSN11" s="1116"/>
      <c r="PSO11" s="1116"/>
      <c r="PSP11" s="1116"/>
      <c r="PSQ11" s="1116"/>
      <c r="PSR11" s="1116"/>
      <c r="PSS11" s="1116"/>
      <c r="PST11" s="1116"/>
      <c r="PSU11" s="1116"/>
      <c r="PSV11" s="1116"/>
      <c r="PSW11" s="1116"/>
      <c r="PSX11" s="1116"/>
      <c r="PSY11" s="1116"/>
      <c r="PSZ11" s="1116"/>
      <c r="PTA11" s="1116"/>
      <c r="PTB11" s="1116"/>
      <c r="PTC11" s="1116"/>
      <c r="PTD11" s="1116"/>
      <c r="PTE11" s="1116"/>
      <c r="PTF11" s="1116"/>
      <c r="PTG11" s="1116"/>
      <c r="PTH11" s="1116"/>
      <c r="PTI11" s="1116"/>
      <c r="PTJ11" s="1116"/>
      <c r="PTK11" s="1116"/>
      <c r="PTL11" s="1116"/>
      <c r="PTM11" s="1116"/>
      <c r="PTN11" s="1116"/>
      <c r="PTO11" s="1116"/>
      <c r="PTP11" s="1116"/>
      <c r="PTQ11" s="1116"/>
      <c r="PTR11" s="1116"/>
      <c r="PTS11" s="1116"/>
      <c r="PTT11" s="1116"/>
      <c r="PTU11" s="1116"/>
      <c r="PTV11" s="1116"/>
      <c r="PTW11" s="1116"/>
      <c r="PTX11" s="1116"/>
      <c r="PTY11" s="1116"/>
      <c r="PTZ11" s="1116"/>
      <c r="PUA11" s="1116"/>
      <c r="PUB11" s="1116"/>
      <c r="PUC11" s="1116"/>
      <c r="PUD11" s="1116"/>
      <c r="PUE11" s="1116"/>
      <c r="PUF11" s="1116"/>
      <c r="PUG11" s="1116"/>
      <c r="PUH11" s="1116"/>
      <c r="PUI11" s="1116"/>
      <c r="PUJ11" s="1116"/>
      <c r="PUK11" s="1116"/>
      <c r="PUL11" s="1116"/>
      <c r="PUM11" s="1116"/>
      <c r="PUN11" s="1116"/>
      <c r="PUO11" s="1116"/>
      <c r="PUP11" s="1116"/>
      <c r="PUQ11" s="1116"/>
      <c r="PUR11" s="1116"/>
      <c r="PUS11" s="1116"/>
      <c r="PUT11" s="1116"/>
      <c r="PUU11" s="1116"/>
      <c r="PUV11" s="1116"/>
      <c r="PUW11" s="1116"/>
      <c r="PUX11" s="1116"/>
      <c r="PUY11" s="1116"/>
      <c r="PUZ11" s="1116"/>
      <c r="PVA11" s="1116"/>
      <c r="PVB11" s="1116"/>
      <c r="PVC11" s="1116"/>
      <c r="PVD11" s="1116"/>
      <c r="PVE11" s="1116"/>
      <c r="PVF11" s="1116"/>
      <c r="PVG11" s="1116"/>
      <c r="PVH11" s="1116"/>
      <c r="PVI11" s="1116"/>
      <c r="PVJ11" s="1116"/>
      <c r="PVK11" s="1116"/>
      <c r="PVL11" s="1116"/>
      <c r="PVM11" s="1116"/>
      <c r="PVN11" s="1116"/>
      <c r="PVO11" s="1116"/>
      <c r="PVP11" s="1116"/>
      <c r="PVQ11" s="1116"/>
      <c r="PVR11" s="1116"/>
      <c r="PVS11" s="1116"/>
      <c r="PVT11" s="1116"/>
      <c r="PVU11" s="1116"/>
      <c r="PVV11" s="1116"/>
      <c r="PVW11" s="1116"/>
      <c r="PVX11" s="1116"/>
      <c r="PVY11" s="1116"/>
      <c r="PVZ11" s="1116"/>
      <c r="PWA11" s="1116"/>
      <c r="PWB11" s="1116"/>
      <c r="PWC11" s="1116"/>
      <c r="PWD11" s="1116"/>
      <c r="PWE11" s="1116"/>
      <c r="PWF11" s="1116"/>
      <c r="PWG11" s="1116"/>
      <c r="PWH11" s="1116"/>
      <c r="PWI11" s="1116"/>
      <c r="PWJ11" s="1116"/>
      <c r="PWK11" s="1116"/>
      <c r="PWL11" s="1116"/>
      <c r="PWM11" s="1116"/>
      <c r="PWN11" s="1116"/>
      <c r="PWO11" s="1116"/>
      <c r="PWP11" s="1116"/>
      <c r="PWQ11" s="1116"/>
      <c r="PWR11" s="1116"/>
      <c r="PWS11" s="1116"/>
      <c r="PWT11" s="1116"/>
      <c r="PWU11" s="1116"/>
      <c r="PWV11" s="1116"/>
      <c r="PWW11" s="1116"/>
      <c r="PWX11" s="1116"/>
      <c r="PWY11" s="1116"/>
      <c r="PWZ11" s="1116"/>
      <c r="PXA11" s="1116"/>
      <c r="PXB11" s="1116"/>
      <c r="PXC11" s="1116"/>
      <c r="PXD11" s="1116"/>
      <c r="PXE11" s="1116"/>
      <c r="PXF11" s="1116"/>
      <c r="PXG11" s="1116"/>
      <c r="PXH11" s="1116"/>
      <c r="PXI11" s="1116"/>
      <c r="PXJ11" s="1116"/>
      <c r="PXK11" s="1116"/>
      <c r="PXL11" s="1116"/>
      <c r="PXM11" s="1116"/>
      <c r="PXN11" s="1116"/>
      <c r="PXO11" s="1116"/>
      <c r="PXP11" s="1116"/>
      <c r="PXQ11" s="1116"/>
      <c r="PXR11" s="1116"/>
      <c r="PXS11" s="1116"/>
      <c r="PXT11" s="1116"/>
      <c r="PXU11" s="1116"/>
      <c r="PXV11" s="1116"/>
      <c r="PXW11" s="1116"/>
      <c r="PXX11" s="1116"/>
      <c r="PXY11" s="1116"/>
      <c r="PXZ11" s="1116"/>
      <c r="PYA11" s="1116"/>
      <c r="PYB11" s="1116"/>
      <c r="PYC11" s="1116"/>
      <c r="PYD11" s="1116"/>
      <c r="PYE11" s="1116"/>
      <c r="PYF11" s="1116"/>
      <c r="PYG11" s="1116"/>
      <c r="PYH11" s="1116"/>
      <c r="PYI11" s="1116"/>
      <c r="PYJ11" s="1116"/>
      <c r="PYK11" s="1116"/>
      <c r="PYL11" s="1116"/>
      <c r="PYM11" s="1116"/>
      <c r="PYN11" s="1116"/>
      <c r="PYO11" s="1116"/>
      <c r="PYP11" s="1116"/>
      <c r="PYQ11" s="1116"/>
      <c r="PYR11" s="1116"/>
      <c r="PYS11" s="1116"/>
      <c r="PYT11" s="1116"/>
      <c r="PYU11" s="1116"/>
      <c r="PYV11" s="1116"/>
      <c r="PYW11" s="1116"/>
      <c r="PYX11" s="1116"/>
      <c r="PYY11" s="1116"/>
      <c r="PYZ11" s="1116"/>
      <c r="PZA11" s="1116"/>
      <c r="PZB11" s="1116"/>
      <c r="PZC11" s="1116"/>
      <c r="PZD11" s="1116"/>
      <c r="PZE11" s="1116"/>
      <c r="PZF11" s="1116"/>
      <c r="PZG11" s="1116"/>
      <c r="PZH11" s="1116"/>
      <c r="PZI11" s="1116"/>
      <c r="PZJ11" s="1116"/>
      <c r="PZK11" s="1116"/>
      <c r="PZL11" s="1116"/>
      <c r="PZM11" s="1116"/>
      <c r="PZN11" s="1116"/>
      <c r="PZO11" s="1116"/>
      <c r="PZP11" s="1116"/>
      <c r="PZQ11" s="1116"/>
      <c r="PZR11" s="1116"/>
      <c r="PZS11" s="1116"/>
      <c r="PZT11" s="1116"/>
      <c r="PZU11" s="1116"/>
      <c r="PZV11" s="1116"/>
      <c r="PZW11" s="1116"/>
      <c r="PZX11" s="1116"/>
      <c r="PZY11" s="1116"/>
      <c r="PZZ11" s="1116"/>
      <c r="QAA11" s="1116"/>
      <c r="QAB11" s="1116"/>
      <c r="QAC11" s="1116"/>
      <c r="QAD11" s="1116"/>
      <c r="QAE11" s="1116"/>
      <c r="QAF11" s="1116"/>
      <c r="QAG11" s="1116"/>
      <c r="QAH11" s="1116"/>
      <c r="QAI11" s="1116"/>
      <c r="QAJ11" s="1116"/>
      <c r="QAK11" s="1116"/>
      <c r="QAL11" s="1116"/>
      <c r="QAM11" s="1116"/>
      <c r="QAN11" s="1116"/>
      <c r="QAO11" s="1116"/>
      <c r="QAP11" s="1116"/>
      <c r="QAQ11" s="1116"/>
      <c r="QAR11" s="1116"/>
      <c r="QAS11" s="1116"/>
      <c r="QAT11" s="1116"/>
      <c r="QAU11" s="1116"/>
      <c r="QAV11" s="1116"/>
      <c r="QAW11" s="1116"/>
      <c r="QAX11" s="1116"/>
      <c r="QAY11" s="1116"/>
      <c r="QAZ11" s="1116"/>
      <c r="QBA11" s="1116"/>
      <c r="QBB11" s="1116"/>
      <c r="QBC11" s="1116"/>
      <c r="QBD11" s="1116"/>
      <c r="QBE11" s="1116"/>
      <c r="QBF11" s="1116"/>
      <c r="QBG11" s="1116"/>
      <c r="QBH11" s="1116"/>
      <c r="QBI11" s="1116"/>
      <c r="QBJ11" s="1116"/>
      <c r="QBK11" s="1116"/>
      <c r="QBL11" s="1116"/>
      <c r="QBM11" s="1116"/>
      <c r="QBN11" s="1116"/>
      <c r="QBO11" s="1116"/>
      <c r="QBP11" s="1116"/>
      <c r="QBQ11" s="1116"/>
      <c r="QBR11" s="1116"/>
      <c r="QBS11" s="1116"/>
      <c r="QBT11" s="1116"/>
      <c r="QBU11" s="1116"/>
      <c r="QBV11" s="1116"/>
      <c r="QBW11" s="1116"/>
      <c r="QBX11" s="1116"/>
      <c r="QBY11" s="1116"/>
      <c r="QBZ11" s="1116"/>
      <c r="QCA11" s="1116"/>
      <c r="QCB11" s="1116"/>
      <c r="QCC11" s="1116"/>
      <c r="QCD11" s="1116"/>
      <c r="QCE11" s="1116"/>
      <c r="QCF11" s="1116"/>
      <c r="QCG11" s="1116"/>
      <c r="QCH11" s="1116"/>
      <c r="QCI11" s="1116"/>
      <c r="QCJ11" s="1116"/>
      <c r="QCK11" s="1116"/>
      <c r="QCL11" s="1116"/>
      <c r="QCM11" s="1116"/>
      <c r="QCN11" s="1116"/>
      <c r="QCO11" s="1116"/>
      <c r="QCP11" s="1116"/>
      <c r="QCQ11" s="1116"/>
      <c r="QCR11" s="1116"/>
      <c r="QCS11" s="1116"/>
      <c r="QCT11" s="1116"/>
      <c r="QCU11" s="1116"/>
      <c r="QCV11" s="1116"/>
      <c r="QCW11" s="1116"/>
      <c r="QCX11" s="1116"/>
      <c r="QCY11" s="1116"/>
      <c r="QCZ11" s="1116"/>
      <c r="QDA11" s="1116"/>
      <c r="QDB11" s="1116"/>
      <c r="QDC11" s="1116"/>
      <c r="QDD11" s="1116"/>
      <c r="QDE11" s="1116"/>
      <c r="QDF11" s="1116"/>
      <c r="QDG11" s="1116"/>
      <c r="QDH11" s="1116"/>
      <c r="QDI11" s="1116"/>
      <c r="QDJ11" s="1116"/>
      <c r="QDK11" s="1116"/>
      <c r="QDL11" s="1116"/>
      <c r="QDM11" s="1116"/>
      <c r="QDN11" s="1116"/>
      <c r="QDO11" s="1116"/>
      <c r="QDP11" s="1116"/>
      <c r="QDQ11" s="1116"/>
      <c r="QDR11" s="1116"/>
      <c r="QDS11" s="1116"/>
      <c r="QDT11" s="1116"/>
      <c r="QDU11" s="1116"/>
      <c r="QDV11" s="1116"/>
      <c r="QDW11" s="1116"/>
      <c r="QDX11" s="1116"/>
      <c r="QDY11" s="1116"/>
      <c r="QDZ11" s="1116"/>
      <c r="QEA11" s="1116"/>
      <c r="QEB11" s="1116"/>
      <c r="QEC11" s="1116"/>
      <c r="QED11" s="1116"/>
      <c r="QEE11" s="1116"/>
      <c r="QEF11" s="1116"/>
      <c r="QEG11" s="1116"/>
      <c r="QEH11" s="1116"/>
      <c r="QEI11" s="1116"/>
      <c r="QEJ11" s="1116"/>
      <c r="QEK11" s="1116"/>
      <c r="QEL11" s="1116"/>
      <c r="QEM11" s="1116"/>
      <c r="QEN11" s="1116"/>
      <c r="QEO11" s="1116"/>
      <c r="QEP11" s="1116"/>
      <c r="QEQ11" s="1116"/>
      <c r="QER11" s="1116"/>
      <c r="QES11" s="1116"/>
      <c r="QET11" s="1116"/>
      <c r="QEU11" s="1116"/>
      <c r="QEV11" s="1116"/>
      <c r="QEW11" s="1116"/>
      <c r="QEX11" s="1116"/>
      <c r="QEY11" s="1116"/>
      <c r="QEZ11" s="1116"/>
      <c r="QFA11" s="1116"/>
      <c r="QFB11" s="1116"/>
      <c r="QFC11" s="1116"/>
      <c r="QFD11" s="1116"/>
      <c r="QFE11" s="1116"/>
      <c r="QFF11" s="1116"/>
      <c r="QFG11" s="1116"/>
      <c r="QFH11" s="1116"/>
      <c r="QFI11" s="1116"/>
      <c r="QFJ11" s="1116"/>
      <c r="QFK11" s="1116"/>
      <c r="QFL11" s="1116"/>
      <c r="QFM11" s="1116"/>
      <c r="QFN11" s="1116"/>
      <c r="QFO11" s="1116"/>
      <c r="QFP11" s="1116"/>
      <c r="QFQ11" s="1116"/>
      <c r="QFR11" s="1116"/>
      <c r="QFS11" s="1116"/>
      <c r="QFT11" s="1116"/>
      <c r="QFU11" s="1116"/>
      <c r="QFV11" s="1116"/>
      <c r="QFW11" s="1116"/>
      <c r="QFX11" s="1116"/>
      <c r="QFY11" s="1116"/>
      <c r="QFZ11" s="1116"/>
      <c r="QGA11" s="1116"/>
      <c r="QGB11" s="1116"/>
      <c r="QGC11" s="1116"/>
      <c r="QGD11" s="1116"/>
      <c r="QGE11" s="1116"/>
      <c r="QGF11" s="1116"/>
      <c r="QGG11" s="1116"/>
      <c r="QGH11" s="1116"/>
      <c r="QGI11" s="1116"/>
      <c r="QGJ11" s="1116"/>
      <c r="QGK11" s="1116"/>
      <c r="QGL11" s="1116"/>
      <c r="QGM11" s="1116"/>
      <c r="QGN11" s="1116"/>
      <c r="QGO11" s="1116"/>
      <c r="QGP11" s="1116"/>
      <c r="QGQ11" s="1116"/>
      <c r="QGR11" s="1116"/>
      <c r="QGS11" s="1116"/>
      <c r="QGT11" s="1116"/>
      <c r="QGU11" s="1116"/>
      <c r="QGV11" s="1116"/>
      <c r="QGW11" s="1116"/>
      <c r="QGX11" s="1116"/>
      <c r="QGY11" s="1116"/>
      <c r="QGZ11" s="1116"/>
      <c r="QHA11" s="1116"/>
      <c r="QHB11" s="1116"/>
      <c r="QHC11" s="1116"/>
      <c r="QHD11" s="1116"/>
      <c r="QHE11" s="1116"/>
      <c r="QHF11" s="1116"/>
      <c r="QHG11" s="1116"/>
      <c r="QHH11" s="1116"/>
      <c r="QHI11" s="1116"/>
      <c r="QHJ11" s="1116"/>
      <c r="QHK11" s="1116"/>
      <c r="QHL11" s="1116"/>
      <c r="QHM11" s="1116"/>
      <c r="QHN11" s="1116"/>
      <c r="QHO11" s="1116"/>
      <c r="QHP11" s="1116"/>
      <c r="QHQ11" s="1116"/>
      <c r="QHR11" s="1116"/>
      <c r="QHS11" s="1116"/>
      <c r="QHT11" s="1116"/>
      <c r="QHU11" s="1116"/>
      <c r="QHV11" s="1116"/>
      <c r="QHW11" s="1116"/>
      <c r="QHX11" s="1116"/>
      <c r="QHY11" s="1116"/>
      <c r="QHZ11" s="1116"/>
      <c r="QIA11" s="1116"/>
      <c r="QIB11" s="1116"/>
      <c r="QIC11" s="1116"/>
      <c r="QID11" s="1116"/>
      <c r="QIE11" s="1116"/>
      <c r="QIF11" s="1116"/>
      <c r="QIG11" s="1116"/>
      <c r="QIH11" s="1116"/>
      <c r="QII11" s="1116"/>
      <c r="QIJ11" s="1116"/>
      <c r="QIK11" s="1116"/>
      <c r="QIL11" s="1116"/>
      <c r="QIM11" s="1116"/>
      <c r="QIN11" s="1116"/>
      <c r="QIO11" s="1116"/>
      <c r="QIP11" s="1116"/>
      <c r="QIQ11" s="1116"/>
      <c r="QIR11" s="1116"/>
      <c r="QIS11" s="1116"/>
      <c r="QIT11" s="1116"/>
      <c r="QIU11" s="1116"/>
      <c r="QIV11" s="1116"/>
      <c r="QIW11" s="1116"/>
      <c r="QIX11" s="1116"/>
      <c r="QIY11" s="1116"/>
      <c r="QIZ11" s="1116"/>
      <c r="QJA11" s="1116"/>
      <c r="QJB11" s="1116"/>
      <c r="QJC11" s="1116"/>
      <c r="QJD11" s="1116"/>
      <c r="QJE11" s="1116"/>
      <c r="QJF11" s="1116"/>
      <c r="QJG11" s="1116"/>
      <c r="QJH11" s="1116"/>
      <c r="QJI11" s="1116"/>
      <c r="QJJ11" s="1116"/>
      <c r="QJK11" s="1116"/>
      <c r="QJL11" s="1116"/>
      <c r="QJM11" s="1116"/>
      <c r="QJN11" s="1116"/>
      <c r="QJO11" s="1116"/>
      <c r="QJP11" s="1116"/>
      <c r="QJQ11" s="1116"/>
      <c r="QJR11" s="1116"/>
      <c r="QJS11" s="1116"/>
      <c r="QJT11" s="1116"/>
      <c r="QJU11" s="1116"/>
      <c r="QJV11" s="1116"/>
      <c r="QJW11" s="1116"/>
      <c r="QJX11" s="1116"/>
      <c r="QJY11" s="1116"/>
      <c r="QJZ11" s="1116"/>
      <c r="QKA11" s="1116"/>
      <c r="QKB11" s="1116"/>
      <c r="QKC11" s="1116"/>
      <c r="QKD11" s="1116"/>
      <c r="QKE11" s="1116"/>
      <c r="QKF11" s="1116"/>
      <c r="QKG11" s="1116"/>
      <c r="QKH11" s="1116"/>
      <c r="QKI11" s="1116"/>
      <c r="QKJ11" s="1116"/>
      <c r="QKK11" s="1116"/>
      <c r="QKL11" s="1116"/>
      <c r="QKM11" s="1116"/>
      <c r="QKN11" s="1116"/>
      <c r="QKO11" s="1116"/>
      <c r="QKP11" s="1116"/>
      <c r="QKQ11" s="1116"/>
      <c r="QKR11" s="1116"/>
      <c r="QKS11" s="1116"/>
      <c r="QKT11" s="1116"/>
      <c r="QKU11" s="1116"/>
      <c r="QKV11" s="1116"/>
      <c r="QKW11" s="1116"/>
      <c r="QKX11" s="1116"/>
      <c r="QKY11" s="1116"/>
      <c r="QKZ11" s="1116"/>
      <c r="QLA11" s="1116"/>
      <c r="QLB11" s="1116"/>
      <c r="QLC11" s="1116"/>
      <c r="QLD11" s="1116"/>
      <c r="QLE11" s="1116"/>
      <c r="QLF11" s="1116"/>
      <c r="QLG11" s="1116"/>
      <c r="QLH11" s="1116"/>
      <c r="QLI11" s="1116"/>
      <c r="QLJ11" s="1116"/>
      <c r="QLK11" s="1116"/>
      <c r="QLL11" s="1116"/>
      <c r="QLM11" s="1116"/>
      <c r="QLN11" s="1116"/>
      <c r="QLO11" s="1116"/>
      <c r="QLP11" s="1116"/>
      <c r="QLQ11" s="1116"/>
      <c r="QLR11" s="1116"/>
      <c r="QLS11" s="1116"/>
      <c r="QLT11" s="1116"/>
      <c r="QLU11" s="1116"/>
      <c r="QLV11" s="1116"/>
      <c r="QLW11" s="1116"/>
      <c r="QLX11" s="1116"/>
      <c r="QLY11" s="1116"/>
      <c r="QLZ11" s="1116"/>
      <c r="QMA11" s="1116"/>
      <c r="QMB11" s="1116"/>
      <c r="QMC11" s="1116"/>
      <c r="QMD11" s="1116"/>
      <c r="QME11" s="1116"/>
      <c r="QMF11" s="1116"/>
      <c r="QMG11" s="1116"/>
      <c r="QMH11" s="1116"/>
      <c r="QMI11" s="1116"/>
      <c r="QMJ11" s="1116"/>
      <c r="QMK11" s="1116"/>
      <c r="QML11" s="1116"/>
      <c r="QMM11" s="1116"/>
      <c r="QMN11" s="1116"/>
      <c r="QMO11" s="1116"/>
      <c r="QMP11" s="1116"/>
      <c r="QMQ11" s="1116"/>
      <c r="QMR11" s="1116"/>
      <c r="QMS11" s="1116"/>
      <c r="QMT11" s="1116"/>
      <c r="QMU11" s="1116"/>
      <c r="QMV11" s="1116"/>
      <c r="QMW11" s="1116"/>
      <c r="QMX11" s="1116"/>
      <c r="QMY11" s="1116"/>
      <c r="QMZ11" s="1116"/>
      <c r="QNA11" s="1116"/>
      <c r="QNB11" s="1116"/>
      <c r="QNC11" s="1116"/>
      <c r="QND11" s="1116"/>
      <c r="QNE11" s="1116"/>
      <c r="QNF11" s="1116"/>
      <c r="QNG11" s="1116"/>
      <c r="QNH11" s="1116"/>
      <c r="QNI11" s="1116"/>
      <c r="QNJ11" s="1116"/>
      <c r="QNK11" s="1116"/>
      <c r="QNL11" s="1116"/>
      <c r="QNM11" s="1116"/>
      <c r="QNN11" s="1116"/>
      <c r="QNO11" s="1116"/>
      <c r="QNP11" s="1116"/>
      <c r="QNQ11" s="1116"/>
      <c r="QNR11" s="1116"/>
      <c r="QNS11" s="1116"/>
      <c r="QNT11" s="1116"/>
      <c r="QNU11" s="1116"/>
      <c r="QNV11" s="1116"/>
      <c r="QNW11" s="1116"/>
      <c r="QNX11" s="1116"/>
      <c r="QNY11" s="1116"/>
      <c r="QNZ11" s="1116"/>
      <c r="QOA11" s="1116"/>
      <c r="QOB11" s="1116"/>
      <c r="QOC11" s="1116"/>
      <c r="QOD11" s="1116"/>
      <c r="QOE11" s="1116"/>
      <c r="QOF11" s="1116"/>
      <c r="QOG11" s="1116"/>
      <c r="QOH11" s="1116"/>
      <c r="QOI11" s="1116"/>
      <c r="QOJ11" s="1116"/>
      <c r="QOK11" s="1116"/>
      <c r="QOL11" s="1116"/>
      <c r="QOM11" s="1116"/>
      <c r="QON11" s="1116"/>
      <c r="QOO11" s="1116"/>
      <c r="QOP11" s="1116"/>
      <c r="QOQ11" s="1116"/>
      <c r="QOR11" s="1116"/>
      <c r="QOS11" s="1116"/>
      <c r="QOT11" s="1116"/>
      <c r="QOU11" s="1116"/>
      <c r="QOV11" s="1116"/>
      <c r="QOW11" s="1116"/>
      <c r="QOX11" s="1116"/>
      <c r="QOY11" s="1116"/>
      <c r="QOZ11" s="1116"/>
      <c r="QPA11" s="1116"/>
      <c r="QPB11" s="1116"/>
      <c r="QPC11" s="1116"/>
      <c r="QPD11" s="1116"/>
      <c r="QPE11" s="1116"/>
      <c r="QPF11" s="1116"/>
      <c r="QPG11" s="1116"/>
      <c r="QPH11" s="1116"/>
      <c r="QPI11" s="1116"/>
      <c r="QPJ11" s="1116"/>
      <c r="QPK11" s="1116"/>
      <c r="QPL11" s="1116"/>
      <c r="QPM11" s="1116"/>
      <c r="QPN11" s="1116"/>
      <c r="QPO11" s="1116"/>
      <c r="QPP11" s="1116"/>
      <c r="QPQ11" s="1116"/>
      <c r="QPR11" s="1116"/>
      <c r="QPS11" s="1116"/>
      <c r="QPT11" s="1116"/>
      <c r="QPU11" s="1116"/>
      <c r="QPV11" s="1116"/>
      <c r="QPW11" s="1116"/>
      <c r="QPX11" s="1116"/>
      <c r="QPY11" s="1116"/>
      <c r="QPZ11" s="1116"/>
      <c r="QQA11" s="1116"/>
      <c r="QQB11" s="1116"/>
      <c r="QQC11" s="1116"/>
      <c r="QQD11" s="1116"/>
      <c r="QQE11" s="1116"/>
      <c r="QQF11" s="1116"/>
      <c r="QQG11" s="1116"/>
      <c r="QQH11" s="1116"/>
      <c r="QQI11" s="1116"/>
      <c r="QQJ11" s="1116"/>
      <c r="QQK11" s="1116"/>
      <c r="QQL11" s="1116"/>
      <c r="QQM11" s="1116"/>
      <c r="QQN11" s="1116"/>
      <c r="QQO11" s="1116"/>
      <c r="QQP11" s="1116"/>
      <c r="QQQ11" s="1116"/>
      <c r="QQR11" s="1116"/>
      <c r="QQS11" s="1116"/>
      <c r="QQT11" s="1116"/>
      <c r="QQU11" s="1116"/>
      <c r="QQV11" s="1116"/>
      <c r="QQW11" s="1116"/>
      <c r="QQX11" s="1116"/>
      <c r="QQY11" s="1116"/>
      <c r="QQZ11" s="1116"/>
      <c r="QRA11" s="1116"/>
      <c r="QRB11" s="1116"/>
      <c r="QRC11" s="1116"/>
      <c r="QRD11" s="1116"/>
      <c r="QRE11" s="1116"/>
      <c r="QRF11" s="1116"/>
      <c r="QRG11" s="1116"/>
      <c r="QRH11" s="1116"/>
      <c r="QRI11" s="1116"/>
      <c r="QRJ11" s="1116"/>
      <c r="QRK11" s="1116"/>
      <c r="QRL11" s="1116"/>
      <c r="QRM11" s="1116"/>
      <c r="QRN11" s="1116"/>
      <c r="QRO11" s="1116"/>
      <c r="QRP11" s="1116"/>
      <c r="QRQ11" s="1116"/>
      <c r="QRR11" s="1116"/>
      <c r="QRS11" s="1116"/>
      <c r="QRT11" s="1116"/>
      <c r="QRU11" s="1116"/>
      <c r="QRV11" s="1116"/>
      <c r="QRW11" s="1116"/>
      <c r="QRX11" s="1116"/>
      <c r="QRY11" s="1116"/>
      <c r="QRZ11" s="1116"/>
      <c r="QSA11" s="1116"/>
      <c r="QSB11" s="1116"/>
      <c r="QSC11" s="1116"/>
      <c r="QSD11" s="1116"/>
      <c r="QSE11" s="1116"/>
      <c r="QSF11" s="1116"/>
      <c r="QSG11" s="1116"/>
      <c r="QSH11" s="1116"/>
      <c r="QSI11" s="1116"/>
      <c r="QSJ11" s="1116"/>
      <c r="QSK11" s="1116"/>
      <c r="QSL11" s="1116"/>
      <c r="QSM11" s="1116"/>
      <c r="QSN11" s="1116"/>
      <c r="QSO11" s="1116"/>
      <c r="QSP11" s="1116"/>
      <c r="QSQ11" s="1116"/>
      <c r="QSR11" s="1116"/>
      <c r="QSS11" s="1116"/>
      <c r="QST11" s="1116"/>
      <c r="QSU11" s="1116"/>
      <c r="QSV11" s="1116"/>
      <c r="QSW11" s="1116"/>
      <c r="QSX11" s="1116"/>
      <c r="QSY11" s="1116"/>
      <c r="QSZ11" s="1116"/>
      <c r="QTA11" s="1116"/>
      <c r="QTB11" s="1116"/>
      <c r="QTC11" s="1116"/>
      <c r="QTD11" s="1116"/>
      <c r="QTE11" s="1116"/>
      <c r="QTF11" s="1116"/>
      <c r="QTG11" s="1116"/>
      <c r="QTH11" s="1116"/>
      <c r="QTI11" s="1116"/>
      <c r="QTJ11" s="1116"/>
      <c r="QTK11" s="1116"/>
      <c r="QTL11" s="1116"/>
      <c r="QTM11" s="1116"/>
      <c r="QTN11" s="1116"/>
      <c r="QTO11" s="1116"/>
      <c r="QTP11" s="1116"/>
      <c r="QTQ11" s="1116"/>
      <c r="QTR11" s="1116"/>
      <c r="QTS11" s="1116"/>
      <c r="QTT11" s="1116"/>
      <c r="QTU11" s="1116"/>
      <c r="QTV11" s="1116"/>
      <c r="QTW11" s="1116"/>
      <c r="QTX11" s="1116"/>
      <c r="QTY11" s="1116"/>
      <c r="QTZ11" s="1116"/>
      <c r="QUA11" s="1116"/>
      <c r="QUB11" s="1116"/>
      <c r="QUC11" s="1116"/>
      <c r="QUD11" s="1116"/>
      <c r="QUE11" s="1116"/>
      <c r="QUF11" s="1116"/>
      <c r="QUG11" s="1116"/>
      <c r="QUH11" s="1116"/>
      <c r="QUI11" s="1116"/>
      <c r="QUJ11" s="1116"/>
      <c r="QUK11" s="1116"/>
      <c r="QUL11" s="1116"/>
      <c r="QUM11" s="1116"/>
      <c r="QUN11" s="1116"/>
      <c r="QUO11" s="1116"/>
      <c r="QUP11" s="1116"/>
      <c r="QUQ11" s="1116"/>
      <c r="QUR11" s="1116"/>
      <c r="QUS11" s="1116"/>
      <c r="QUT11" s="1116"/>
      <c r="QUU11" s="1116"/>
      <c r="QUV11" s="1116"/>
      <c r="QUW11" s="1116"/>
      <c r="QUX11" s="1116"/>
      <c r="QUY11" s="1116"/>
      <c r="QUZ11" s="1116"/>
      <c r="QVA11" s="1116"/>
      <c r="QVB11" s="1116"/>
      <c r="QVC11" s="1116"/>
      <c r="QVD11" s="1116"/>
      <c r="QVE11" s="1116"/>
      <c r="QVF11" s="1116"/>
      <c r="QVG11" s="1116"/>
      <c r="QVH11" s="1116"/>
      <c r="QVI11" s="1116"/>
      <c r="QVJ11" s="1116"/>
      <c r="QVK11" s="1116"/>
      <c r="QVL11" s="1116"/>
      <c r="QVM11" s="1116"/>
      <c r="QVN11" s="1116"/>
      <c r="QVO11" s="1116"/>
      <c r="QVP11" s="1116"/>
      <c r="QVQ11" s="1116"/>
      <c r="QVR11" s="1116"/>
      <c r="QVS11" s="1116"/>
      <c r="QVT11" s="1116"/>
      <c r="QVU11" s="1116"/>
      <c r="QVV11" s="1116"/>
      <c r="QVW11" s="1116"/>
      <c r="QVX11" s="1116"/>
      <c r="QVY11" s="1116"/>
      <c r="QVZ11" s="1116"/>
      <c r="QWA11" s="1116"/>
      <c r="QWB11" s="1116"/>
      <c r="QWC11" s="1116"/>
      <c r="QWD11" s="1116"/>
      <c r="QWE11" s="1116"/>
      <c r="QWF11" s="1116"/>
      <c r="QWG11" s="1116"/>
      <c r="QWH11" s="1116"/>
      <c r="QWI11" s="1116"/>
      <c r="QWJ11" s="1116"/>
      <c r="QWK11" s="1116"/>
      <c r="QWL11" s="1116"/>
      <c r="QWM11" s="1116"/>
      <c r="QWN11" s="1116"/>
      <c r="QWO11" s="1116"/>
      <c r="QWP11" s="1116"/>
      <c r="QWQ11" s="1116"/>
      <c r="QWR11" s="1116"/>
      <c r="QWS11" s="1116"/>
      <c r="QWT11" s="1116"/>
      <c r="QWU11" s="1116"/>
      <c r="QWV11" s="1116"/>
      <c r="QWW11" s="1116"/>
      <c r="QWX11" s="1116"/>
      <c r="QWY11" s="1116"/>
      <c r="QWZ11" s="1116"/>
      <c r="QXA11" s="1116"/>
      <c r="QXB11" s="1116"/>
      <c r="QXC11" s="1116"/>
      <c r="QXD11" s="1116"/>
      <c r="QXE11" s="1116"/>
      <c r="QXF11" s="1116"/>
      <c r="QXG11" s="1116"/>
      <c r="QXH11" s="1116"/>
      <c r="QXI11" s="1116"/>
      <c r="QXJ11" s="1116"/>
      <c r="QXK11" s="1116"/>
      <c r="QXL11" s="1116"/>
      <c r="QXM11" s="1116"/>
      <c r="QXN11" s="1116"/>
      <c r="QXO11" s="1116"/>
      <c r="QXP11" s="1116"/>
      <c r="QXQ11" s="1116"/>
      <c r="QXR11" s="1116"/>
      <c r="QXS11" s="1116"/>
      <c r="QXT11" s="1116"/>
      <c r="QXU11" s="1116"/>
      <c r="QXV11" s="1116"/>
      <c r="QXW11" s="1116"/>
      <c r="QXX11" s="1116"/>
      <c r="QXY11" s="1116"/>
      <c r="QXZ11" s="1116"/>
      <c r="QYA11" s="1116"/>
      <c r="QYB11" s="1116"/>
      <c r="QYC11" s="1116"/>
      <c r="QYD11" s="1116"/>
      <c r="QYE11" s="1116"/>
      <c r="QYF11" s="1116"/>
      <c r="QYG11" s="1116"/>
      <c r="QYH11" s="1116"/>
      <c r="QYI11" s="1116"/>
      <c r="QYJ11" s="1116"/>
      <c r="QYK11" s="1116"/>
      <c r="QYL11" s="1116"/>
      <c r="QYM11" s="1116"/>
      <c r="QYN11" s="1116"/>
      <c r="QYO11" s="1116"/>
      <c r="QYP11" s="1116"/>
      <c r="QYQ11" s="1116"/>
      <c r="QYR11" s="1116"/>
      <c r="QYS11" s="1116"/>
      <c r="QYT11" s="1116"/>
      <c r="QYU11" s="1116"/>
      <c r="QYV11" s="1116"/>
      <c r="QYW11" s="1116"/>
      <c r="QYX11" s="1116"/>
      <c r="QYY11" s="1116"/>
      <c r="QYZ11" s="1116"/>
      <c r="QZA11" s="1116"/>
      <c r="QZB11" s="1116"/>
      <c r="QZC11" s="1116"/>
      <c r="QZD11" s="1116"/>
      <c r="QZE11" s="1116"/>
      <c r="QZF11" s="1116"/>
      <c r="QZG11" s="1116"/>
      <c r="QZH11" s="1116"/>
      <c r="QZI11" s="1116"/>
      <c r="QZJ11" s="1116"/>
      <c r="QZK11" s="1116"/>
      <c r="QZL11" s="1116"/>
      <c r="QZM11" s="1116"/>
      <c r="QZN11" s="1116"/>
      <c r="QZO11" s="1116"/>
      <c r="QZP11" s="1116"/>
      <c r="QZQ11" s="1116"/>
      <c r="QZR11" s="1116"/>
      <c r="QZS11" s="1116"/>
      <c r="QZT11" s="1116"/>
      <c r="QZU11" s="1116"/>
      <c r="QZV11" s="1116"/>
      <c r="QZW11" s="1116"/>
      <c r="QZX11" s="1116"/>
      <c r="QZY11" s="1116"/>
      <c r="QZZ11" s="1116"/>
      <c r="RAA11" s="1116"/>
      <c r="RAB11" s="1116"/>
      <c r="RAC11" s="1116"/>
      <c r="RAD11" s="1116"/>
      <c r="RAE11" s="1116"/>
      <c r="RAF11" s="1116"/>
      <c r="RAG11" s="1116"/>
      <c r="RAH11" s="1116"/>
      <c r="RAI11" s="1116"/>
      <c r="RAJ11" s="1116"/>
      <c r="RAK11" s="1116"/>
      <c r="RAL11" s="1116"/>
      <c r="RAM11" s="1116"/>
      <c r="RAN11" s="1116"/>
      <c r="RAO11" s="1116"/>
      <c r="RAP11" s="1116"/>
      <c r="RAQ11" s="1116"/>
      <c r="RAR11" s="1116"/>
      <c r="RAS11" s="1116"/>
      <c r="RAT11" s="1116"/>
      <c r="RAU11" s="1116"/>
      <c r="RAV11" s="1116"/>
      <c r="RAW11" s="1116"/>
      <c r="RAX11" s="1116"/>
      <c r="RAY11" s="1116"/>
      <c r="RAZ11" s="1116"/>
      <c r="RBA11" s="1116"/>
      <c r="RBB11" s="1116"/>
      <c r="RBC11" s="1116"/>
      <c r="RBD11" s="1116"/>
      <c r="RBE11" s="1116"/>
      <c r="RBF11" s="1116"/>
      <c r="RBG11" s="1116"/>
      <c r="RBH11" s="1116"/>
      <c r="RBI11" s="1116"/>
      <c r="RBJ11" s="1116"/>
      <c r="RBK11" s="1116"/>
      <c r="RBL11" s="1116"/>
      <c r="RBM11" s="1116"/>
      <c r="RBN11" s="1116"/>
      <c r="RBO11" s="1116"/>
      <c r="RBP11" s="1116"/>
      <c r="RBQ11" s="1116"/>
      <c r="RBR11" s="1116"/>
      <c r="RBS11" s="1116"/>
      <c r="RBT11" s="1116"/>
      <c r="RBU11" s="1116"/>
      <c r="RBV11" s="1116"/>
      <c r="RBW11" s="1116"/>
      <c r="RBX11" s="1116"/>
      <c r="RBY11" s="1116"/>
      <c r="RBZ11" s="1116"/>
      <c r="RCA11" s="1116"/>
      <c r="RCB11" s="1116"/>
      <c r="RCC11" s="1116"/>
      <c r="RCD11" s="1116"/>
      <c r="RCE11" s="1116"/>
      <c r="RCF11" s="1116"/>
      <c r="RCG11" s="1116"/>
      <c r="RCH11" s="1116"/>
      <c r="RCI11" s="1116"/>
      <c r="RCJ11" s="1116"/>
      <c r="RCK11" s="1116"/>
      <c r="RCL11" s="1116"/>
      <c r="RCM11" s="1116"/>
      <c r="RCN11" s="1116"/>
      <c r="RCO11" s="1116"/>
      <c r="RCP11" s="1116"/>
      <c r="RCQ11" s="1116"/>
      <c r="RCR11" s="1116"/>
      <c r="RCS11" s="1116"/>
      <c r="RCT11" s="1116"/>
      <c r="RCU11" s="1116"/>
      <c r="RCV11" s="1116"/>
      <c r="RCW11" s="1116"/>
      <c r="RCX11" s="1116"/>
      <c r="RCY11" s="1116"/>
      <c r="RCZ11" s="1116"/>
      <c r="RDA11" s="1116"/>
      <c r="RDB11" s="1116"/>
      <c r="RDC11" s="1116"/>
      <c r="RDD11" s="1116"/>
      <c r="RDE11" s="1116"/>
      <c r="RDF11" s="1116"/>
      <c r="RDG11" s="1116"/>
      <c r="RDH11" s="1116"/>
      <c r="RDI11" s="1116"/>
      <c r="RDJ11" s="1116"/>
      <c r="RDK11" s="1116"/>
      <c r="RDL11" s="1116"/>
      <c r="RDM11" s="1116"/>
      <c r="RDN11" s="1116"/>
      <c r="RDO11" s="1116"/>
      <c r="RDP11" s="1116"/>
      <c r="RDQ11" s="1116"/>
      <c r="RDR11" s="1116"/>
      <c r="RDS11" s="1116"/>
      <c r="RDT11" s="1116"/>
      <c r="RDU11" s="1116"/>
      <c r="RDV11" s="1116"/>
      <c r="RDW11" s="1116"/>
      <c r="RDX11" s="1116"/>
      <c r="RDY11" s="1116"/>
      <c r="RDZ11" s="1116"/>
      <c r="REA11" s="1116"/>
      <c r="REB11" s="1116"/>
      <c r="REC11" s="1116"/>
      <c r="RED11" s="1116"/>
      <c r="REE11" s="1116"/>
      <c r="REF11" s="1116"/>
      <c r="REG11" s="1116"/>
      <c r="REH11" s="1116"/>
      <c r="REI11" s="1116"/>
      <c r="REJ11" s="1116"/>
      <c r="REK11" s="1116"/>
      <c r="REL11" s="1116"/>
      <c r="REM11" s="1116"/>
      <c r="REN11" s="1116"/>
      <c r="REO11" s="1116"/>
      <c r="REP11" s="1116"/>
      <c r="REQ11" s="1116"/>
      <c r="RER11" s="1116"/>
      <c r="RES11" s="1116"/>
      <c r="RET11" s="1116"/>
      <c r="REU11" s="1116"/>
      <c r="REV11" s="1116"/>
      <c r="REW11" s="1116"/>
      <c r="REX11" s="1116"/>
      <c r="REY11" s="1116"/>
      <c r="REZ11" s="1116"/>
      <c r="RFA11" s="1116"/>
      <c r="RFB11" s="1116"/>
      <c r="RFC11" s="1116"/>
      <c r="RFD11" s="1116"/>
      <c r="RFE11" s="1116"/>
      <c r="RFF11" s="1116"/>
      <c r="RFG11" s="1116"/>
      <c r="RFH11" s="1116"/>
      <c r="RFI11" s="1116"/>
      <c r="RFJ11" s="1116"/>
      <c r="RFK11" s="1116"/>
      <c r="RFL11" s="1116"/>
      <c r="RFM11" s="1116"/>
      <c r="RFN11" s="1116"/>
      <c r="RFO11" s="1116"/>
      <c r="RFP11" s="1116"/>
      <c r="RFQ11" s="1116"/>
      <c r="RFR11" s="1116"/>
      <c r="RFS11" s="1116"/>
      <c r="RFT11" s="1116"/>
      <c r="RFU11" s="1116"/>
      <c r="RFV11" s="1116"/>
      <c r="RFW11" s="1116"/>
      <c r="RFX11" s="1116"/>
      <c r="RFY11" s="1116"/>
      <c r="RFZ11" s="1116"/>
      <c r="RGA11" s="1116"/>
      <c r="RGB11" s="1116"/>
      <c r="RGC11" s="1116"/>
      <c r="RGD11" s="1116"/>
      <c r="RGE11" s="1116"/>
      <c r="RGF11" s="1116"/>
      <c r="RGG11" s="1116"/>
      <c r="RGH11" s="1116"/>
      <c r="RGI11" s="1116"/>
      <c r="RGJ11" s="1116"/>
      <c r="RGK11" s="1116"/>
      <c r="RGL11" s="1116"/>
      <c r="RGM11" s="1116"/>
      <c r="RGN11" s="1116"/>
      <c r="RGO11" s="1116"/>
      <c r="RGP11" s="1116"/>
      <c r="RGQ11" s="1116"/>
      <c r="RGR11" s="1116"/>
      <c r="RGS11" s="1116"/>
      <c r="RGT11" s="1116"/>
      <c r="RGU11" s="1116"/>
      <c r="RGV11" s="1116"/>
      <c r="RGW11" s="1116"/>
      <c r="RGX11" s="1116"/>
      <c r="RGY11" s="1116"/>
      <c r="RGZ11" s="1116"/>
      <c r="RHA11" s="1116"/>
      <c r="RHB11" s="1116"/>
      <c r="RHC11" s="1116"/>
      <c r="RHD11" s="1116"/>
      <c r="RHE11" s="1116"/>
      <c r="RHF11" s="1116"/>
      <c r="RHG11" s="1116"/>
      <c r="RHH11" s="1116"/>
      <c r="RHI11" s="1116"/>
      <c r="RHJ11" s="1116"/>
      <c r="RHK11" s="1116"/>
      <c r="RHL11" s="1116"/>
      <c r="RHM11" s="1116"/>
      <c r="RHN11" s="1116"/>
      <c r="RHO11" s="1116"/>
      <c r="RHP11" s="1116"/>
      <c r="RHQ11" s="1116"/>
      <c r="RHR11" s="1116"/>
      <c r="RHS11" s="1116"/>
      <c r="RHT11" s="1116"/>
      <c r="RHU11" s="1116"/>
      <c r="RHV11" s="1116"/>
      <c r="RHW11" s="1116"/>
      <c r="RHX11" s="1116"/>
      <c r="RHY11" s="1116"/>
      <c r="RHZ11" s="1116"/>
      <c r="RIA11" s="1116"/>
      <c r="RIB11" s="1116"/>
      <c r="RIC11" s="1116"/>
      <c r="RID11" s="1116"/>
      <c r="RIE11" s="1116"/>
      <c r="RIF11" s="1116"/>
      <c r="RIG11" s="1116"/>
      <c r="RIH11" s="1116"/>
      <c r="RII11" s="1116"/>
      <c r="RIJ11" s="1116"/>
      <c r="RIK11" s="1116"/>
      <c r="RIL11" s="1116"/>
      <c r="RIM11" s="1116"/>
      <c r="RIN11" s="1116"/>
      <c r="RIO11" s="1116"/>
      <c r="RIP11" s="1116"/>
      <c r="RIQ11" s="1116"/>
      <c r="RIR11" s="1116"/>
      <c r="RIS11" s="1116"/>
      <c r="RIT11" s="1116"/>
      <c r="RIU11" s="1116"/>
      <c r="RIV11" s="1116"/>
      <c r="RIW11" s="1116"/>
      <c r="RIX11" s="1116"/>
      <c r="RIY11" s="1116"/>
      <c r="RIZ11" s="1116"/>
      <c r="RJA11" s="1116"/>
      <c r="RJB11" s="1116"/>
      <c r="RJC11" s="1116"/>
      <c r="RJD11" s="1116"/>
      <c r="RJE11" s="1116"/>
      <c r="RJF11" s="1116"/>
      <c r="RJG11" s="1116"/>
      <c r="RJH11" s="1116"/>
      <c r="RJI11" s="1116"/>
      <c r="RJJ11" s="1116"/>
      <c r="RJK11" s="1116"/>
      <c r="RJL11" s="1116"/>
      <c r="RJM11" s="1116"/>
      <c r="RJN11" s="1116"/>
      <c r="RJO11" s="1116"/>
      <c r="RJP11" s="1116"/>
      <c r="RJQ11" s="1116"/>
      <c r="RJR11" s="1116"/>
      <c r="RJS11" s="1116"/>
      <c r="RJT11" s="1116"/>
      <c r="RJU11" s="1116"/>
      <c r="RJV11" s="1116"/>
      <c r="RJW11" s="1116"/>
      <c r="RJX11" s="1116"/>
      <c r="RJY11" s="1116"/>
      <c r="RJZ11" s="1116"/>
      <c r="RKA11" s="1116"/>
      <c r="RKB11" s="1116"/>
      <c r="RKC11" s="1116"/>
      <c r="RKD11" s="1116"/>
      <c r="RKE11" s="1116"/>
      <c r="RKF11" s="1116"/>
      <c r="RKG11" s="1116"/>
      <c r="RKH11" s="1116"/>
      <c r="RKI11" s="1116"/>
      <c r="RKJ11" s="1116"/>
      <c r="RKK11" s="1116"/>
      <c r="RKL11" s="1116"/>
      <c r="RKM11" s="1116"/>
      <c r="RKN11" s="1116"/>
      <c r="RKO11" s="1116"/>
      <c r="RKP11" s="1116"/>
      <c r="RKQ11" s="1116"/>
      <c r="RKR11" s="1116"/>
      <c r="RKS11" s="1116"/>
      <c r="RKT11" s="1116"/>
      <c r="RKU11" s="1116"/>
      <c r="RKV11" s="1116"/>
      <c r="RKW11" s="1116"/>
      <c r="RKX11" s="1116"/>
      <c r="RKY11" s="1116"/>
      <c r="RKZ11" s="1116"/>
      <c r="RLA11" s="1116"/>
      <c r="RLB11" s="1116"/>
      <c r="RLC11" s="1116"/>
      <c r="RLD11" s="1116"/>
      <c r="RLE11" s="1116"/>
      <c r="RLF11" s="1116"/>
      <c r="RLG11" s="1116"/>
      <c r="RLH11" s="1116"/>
      <c r="RLI11" s="1116"/>
      <c r="RLJ11" s="1116"/>
      <c r="RLK11" s="1116"/>
      <c r="RLL11" s="1116"/>
      <c r="RLM11" s="1116"/>
      <c r="RLN11" s="1116"/>
      <c r="RLO11" s="1116"/>
      <c r="RLP11" s="1116"/>
      <c r="RLQ11" s="1116"/>
      <c r="RLR11" s="1116"/>
      <c r="RLS11" s="1116"/>
      <c r="RLT11" s="1116"/>
      <c r="RLU11" s="1116"/>
      <c r="RLV11" s="1116"/>
      <c r="RLW11" s="1116"/>
      <c r="RLX11" s="1116"/>
      <c r="RLY11" s="1116"/>
      <c r="RLZ11" s="1116"/>
      <c r="RMA11" s="1116"/>
      <c r="RMB11" s="1116"/>
      <c r="RMC11" s="1116"/>
      <c r="RMD11" s="1116"/>
      <c r="RME11" s="1116"/>
      <c r="RMF11" s="1116"/>
      <c r="RMG11" s="1116"/>
      <c r="RMH11" s="1116"/>
      <c r="RMI11" s="1116"/>
      <c r="RMJ11" s="1116"/>
      <c r="RMK11" s="1116"/>
      <c r="RML11" s="1116"/>
      <c r="RMM11" s="1116"/>
      <c r="RMN11" s="1116"/>
      <c r="RMO11" s="1116"/>
      <c r="RMP11" s="1116"/>
      <c r="RMQ11" s="1116"/>
      <c r="RMR11" s="1116"/>
      <c r="RMS11" s="1116"/>
      <c r="RMT11" s="1116"/>
      <c r="RMU11" s="1116"/>
      <c r="RMV11" s="1116"/>
      <c r="RMW11" s="1116"/>
      <c r="RMX11" s="1116"/>
      <c r="RMY11" s="1116"/>
      <c r="RMZ11" s="1116"/>
      <c r="RNA11" s="1116"/>
      <c r="RNB11" s="1116"/>
      <c r="RNC11" s="1116"/>
      <c r="RND11" s="1116"/>
      <c r="RNE11" s="1116"/>
      <c r="RNF11" s="1116"/>
      <c r="RNG11" s="1116"/>
      <c r="RNH11" s="1116"/>
      <c r="RNI11" s="1116"/>
      <c r="RNJ11" s="1116"/>
      <c r="RNK11" s="1116"/>
      <c r="RNL11" s="1116"/>
      <c r="RNM11" s="1116"/>
      <c r="RNN11" s="1116"/>
      <c r="RNO11" s="1116"/>
      <c r="RNP11" s="1116"/>
      <c r="RNQ11" s="1116"/>
      <c r="RNR11" s="1116"/>
      <c r="RNS11" s="1116"/>
      <c r="RNT11" s="1116"/>
      <c r="RNU11" s="1116"/>
      <c r="RNV11" s="1116"/>
      <c r="RNW11" s="1116"/>
      <c r="RNX11" s="1116"/>
      <c r="RNY11" s="1116"/>
      <c r="RNZ11" s="1116"/>
      <c r="ROA11" s="1116"/>
      <c r="ROB11" s="1116"/>
      <c r="ROC11" s="1116"/>
      <c r="ROD11" s="1116"/>
      <c r="ROE11" s="1116"/>
      <c r="ROF11" s="1116"/>
      <c r="ROG11" s="1116"/>
      <c r="ROH11" s="1116"/>
      <c r="ROI11" s="1116"/>
      <c r="ROJ11" s="1116"/>
      <c r="ROK11" s="1116"/>
      <c r="ROL11" s="1116"/>
      <c r="ROM11" s="1116"/>
      <c r="RON11" s="1116"/>
      <c r="ROO11" s="1116"/>
      <c r="ROP11" s="1116"/>
      <c r="ROQ11" s="1116"/>
      <c r="ROR11" s="1116"/>
      <c r="ROS11" s="1116"/>
      <c r="ROT11" s="1116"/>
      <c r="ROU11" s="1116"/>
      <c r="ROV11" s="1116"/>
      <c r="ROW11" s="1116"/>
      <c r="ROX11" s="1116"/>
      <c r="ROY11" s="1116"/>
      <c r="ROZ11" s="1116"/>
      <c r="RPA11" s="1116"/>
      <c r="RPB11" s="1116"/>
      <c r="RPC11" s="1116"/>
      <c r="RPD11" s="1116"/>
      <c r="RPE11" s="1116"/>
      <c r="RPF11" s="1116"/>
      <c r="RPG11" s="1116"/>
      <c r="RPH11" s="1116"/>
      <c r="RPI11" s="1116"/>
      <c r="RPJ11" s="1116"/>
      <c r="RPK11" s="1116"/>
      <c r="RPL11" s="1116"/>
      <c r="RPM11" s="1116"/>
      <c r="RPN11" s="1116"/>
      <c r="RPO11" s="1116"/>
      <c r="RPP11" s="1116"/>
      <c r="RPQ11" s="1116"/>
      <c r="RPR11" s="1116"/>
      <c r="RPS11" s="1116"/>
      <c r="RPT11" s="1116"/>
      <c r="RPU11" s="1116"/>
      <c r="RPV11" s="1116"/>
      <c r="RPW11" s="1116"/>
      <c r="RPX11" s="1116"/>
      <c r="RPY11" s="1116"/>
      <c r="RPZ11" s="1116"/>
      <c r="RQA11" s="1116"/>
      <c r="RQB11" s="1116"/>
      <c r="RQC11" s="1116"/>
      <c r="RQD11" s="1116"/>
      <c r="RQE11" s="1116"/>
      <c r="RQF11" s="1116"/>
      <c r="RQG11" s="1116"/>
      <c r="RQH11" s="1116"/>
      <c r="RQI11" s="1116"/>
      <c r="RQJ11" s="1116"/>
      <c r="RQK11" s="1116"/>
      <c r="RQL11" s="1116"/>
      <c r="RQM11" s="1116"/>
      <c r="RQN11" s="1116"/>
      <c r="RQO11" s="1116"/>
      <c r="RQP11" s="1116"/>
      <c r="RQQ11" s="1116"/>
      <c r="RQR11" s="1116"/>
      <c r="RQS11" s="1116"/>
      <c r="RQT11" s="1116"/>
      <c r="RQU11" s="1116"/>
      <c r="RQV11" s="1116"/>
      <c r="RQW11" s="1116"/>
      <c r="RQX11" s="1116"/>
      <c r="RQY11" s="1116"/>
      <c r="RQZ11" s="1116"/>
      <c r="RRA11" s="1116"/>
      <c r="RRB11" s="1116"/>
      <c r="RRC11" s="1116"/>
      <c r="RRD11" s="1116"/>
      <c r="RRE11" s="1116"/>
      <c r="RRF11" s="1116"/>
      <c r="RRG11" s="1116"/>
      <c r="RRH11" s="1116"/>
      <c r="RRI11" s="1116"/>
      <c r="RRJ11" s="1116"/>
      <c r="RRK11" s="1116"/>
      <c r="RRL11" s="1116"/>
      <c r="RRM11" s="1116"/>
      <c r="RRN11" s="1116"/>
      <c r="RRO11" s="1116"/>
      <c r="RRP11" s="1116"/>
      <c r="RRQ11" s="1116"/>
      <c r="RRR11" s="1116"/>
      <c r="RRS11" s="1116"/>
      <c r="RRT11" s="1116"/>
      <c r="RRU11" s="1116"/>
      <c r="RRV11" s="1116"/>
      <c r="RRW11" s="1116"/>
      <c r="RRX11" s="1116"/>
      <c r="RRY11" s="1116"/>
      <c r="RRZ11" s="1116"/>
      <c r="RSA11" s="1116"/>
      <c r="RSB11" s="1116"/>
      <c r="RSC11" s="1116"/>
      <c r="RSD11" s="1116"/>
      <c r="RSE11" s="1116"/>
      <c r="RSF11" s="1116"/>
      <c r="RSG11" s="1116"/>
      <c r="RSH11" s="1116"/>
      <c r="RSI11" s="1116"/>
      <c r="RSJ11" s="1116"/>
      <c r="RSK11" s="1116"/>
      <c r="RSL11" s="1116"/>
      <c r="RSM11" s="1116"/>
      <c r="RSN11" s="1116"/>
      <c r="RSO11" s="1116"/>
      <c r="RSP11" s="1116"/>
      <c r="RSQ11" s="1116"/>
      <c r="RSR11" s="1116"/>
      <c r="RSS11" s="1116"/>
      <c r="RST11" s="1116"/>
      <c r="RSU11" s="1116"/>
      <c r="RSV11" s="1116"/>
      <c r="RSW11" s="1116"/>
      <c r="RSX11" s="1116"/>
      <c r="RSY11" s="1116"/>
      <c r="RSZ11" s="1116"/>
      <c r="RTA11" s="1116"/>
      <c r="RTB11" s="1116"/>
      <c r="RTC11" s="1116"/>
      <c r="RTD11" s="1116"/>
      <c r="RTE11" s="1116"/>
      <c r="RTF11" s="1116"/>
      <c r="RTG11" s="1116"/>
      <c r="RTH11" s="1116"/>
      <c r="RTI11" s="1116"/>
      <c r="RTJ11" s="1116"/>
      <c r="RTK11" s="1116"/>
      <c r="RTL11" s="1116"/>
      <c r="RTM11" s="1116"/>
      <c r="RTN11" s="1116"/>
      <c r="RTO11" s="1116"/>
      <c r="RTP11" s="1116"/>
      <c r="RTQ11" s="1116"/>
      <c r="RTR11" s="1116"/>
      <c r="RTS11" s="1116"/>
      <c r="RTT11" s="1116"/>
      <c r="RTU11" s="1116"/>
      <c r="RTV11" s="1116"/>
      <c r="RTW11" s="1116"/>
      <c r="RTX11" s="1116"/>
      <c r="RTY11" s="1116"/>
      <c r="RTZ11" s="1116"/>
      <c r="RUA11" s="1116"/>
      <c r="RUB11" s="1116"/>
      <c r="RUC11" s="1116"/>
      <c r="RUD11" s="1116"/>
      <c r="RUE11" s="1116"/>
      <c r="RUF11" s="1116"/>
      <c r="RUG11" s="1116"/>
      <c r="RUH11" s="1116"/>
      <c r="RUI11" s="1116"/>
      <c r="RUJ11" s="1116"/>
      <c r="RUK11" s="1116"/>
      <c r="RUL11" s="1116"/>
      <c r="RUM11" s="1116"/>
      <c r="RUN11" s="1116"/>
      <c r="RUO11" s="1116"/>
      <c r="RUP11" s="1116"/>
      <c r="RUQ11" s="1116"/>
      <c r="RUR11" s="1116"/>
      <c r="RUS11" s="1116"/>
      <c r="RUT11" s="1116"/>
      <c r="RUU11" s="1116"/>
      <c r="RUV11" s="1116"/>
      <c r="RUW11" s="1116"/>
      <c r="RUX11" s="1116"/>
      <c r="RUY11" s="1116"/>
      <c r="RUZ11" s="1116"/>
      <c r="RVA11" s="1116"/>
      <c r="RVB11" s="1116"/>
      <c r="RVC11" s="1116"/>
      <c r="RVD11" s="1116"/>
      <c r="RVE11" s="1116"/>
      <c r="RVF11" s="1116"/>
      <c r="RVG11" s="1116"/>
      <c r="RVH11" s="1116"/>
      <c r="RVI11" s="1116"/>
      <c r="RVJ11" s="1116"/>
      <c r="RVK11" s="1116"/>
      <c r="RVL11" s="1116"/>
      <c r="RVM11" s="1116"/>
      <c r="RVN11" s="1116"/>
      <c r="RVO11" s="1116"/>
      <c r="RVP11" s="1116"/>
      <c r="RVQ11" s="1116"/>
      <c r="RVR11" s="1116"/>
      <c r="RVS11" s="1116"/>
      <c r="RVT11" s="1116"/>
      <c r="RVU11" s="1116"/>
      <c r="RVV11" s="1116"/>
      <c r="RVW11" s="1116"/>
      <c r="RVX11" s="1116"/>
      <c r="RVY11" s="1116"/>
      <c r="RVZ11" s="1116"/>
      <c r="RWA11" s="1116"/>
      <c r="RWB11" s="1116"/>
      <c r="RWC11" s="1116"/>
      <c r="RWD11" s="1116"/>
      <c r="RWE11" s="1116"/>
      <c r="RWF11" s="1116"/>
      <c r="RWG11" s="1116"/>
      <c r="RWH11" s="1116"/>
      <c r="RWI11" s="1116"/>
      <c r="RWJ11" s="1116"/>
      <c r="RWK11" s="1116"/>
      <c r="RWL11" s="1116"/>
      <c r="RWM11" s="1116"/>
      <c r="RWN11" s="1116"/>
      <c r="RWO11" s="1116"/>
      <c r="RWP11" s="1116"/>
      <c r="RWQ11" s="1116"/>
      <c r="RWR11" s="1116"/>
      <c r="RWS11" s="1116"/>
      <c r="RWT11" s="1116"/>
      <c r="RWU11" s="1116"/>
      <c r="RWV11" s="1116"/>
      <c r="RWW11" s="1116"/>
      <c r="RWX11" s="1116"/>
      <c r="RWY11" s="1116"/>
      <c r="RWZ11" s="1116"/>
      <c r="RXA11" s="1116"/>
      <c r="RXB11" s="1116"/>
      <c r="RXC11" s="1116"/>
      <c r="RXD11" s="1116"/>
      <c r="RXE11" s="1116"/>
      <c r="RXF11" s="1116"/>
      <c r="RXG11" s="1116"/>
      <c r="RXH11" s="1116"/>
      <c r="RXI11" s="1116"/>
      <c r="RXJ11" s="1116"/>
      <c r="RXK11" s="1116"/>
      <c r="RXL11" s="1116"/>
      <c r="RXM11" s="1116"/>
      <c r="RXN11" s="1116"/>
      <c r="RXO11" s="1116"/>
      <c r="RXP11" s="1116"/>
      <c r="RXQ11" s="1116"/>
      <c r="RXR11" s="1116"/>
      <c r="RXS11" s="1116"/>
      <c r="RXT11" s="1116"/>
      <c r="RXU11" s="1116"/>
      <c r="RXV11" s="1116"/>
      <c r="RXW11" s="1116"/>
      <c r="RXX11" s="1116"/>
      <c r="RXY11" s="1116"/>
      <c r="RXZ11" s="1116"/>
      <c r="RYA11" s="1116"/>
      <c r="RYB11" s="1116"/>
      <c r="RYC11" s="1116"/>
      <c r="RYD11" s="1116"/>
      <c r="RYE11" s="1116"/>
      <c r="RYF11" s="1116"/>
      <c r="RYG11" s="1116"/>
      <c r="RYH11" s="1116"/>
      <c r="RYI11" s="1116"/>
      <c r="RYJ11" s="1116"/>
      <c r="RYK11" s="1116"/>
      <c r="RYL11" s="1116"/>
      <c r="RYM11" s="1116"/>
      <c r="RYN11" s="1116"/>
      <c r="RYO11" s="1116"/>
      <c r="RYP11" s="1116"/>
      <c r="RYQ11" s="1116"/>
      <c r="RYR11" s="1116"/>
      <c r="RYS11" s="1116"/>
      <c r="RYT11" s="1116"/>
      <c r="RYU11" s="1116"/>
      <c r="RYV11" s="1116"/>
      <c r="RYW11" s="1116"/>
      <c r="RYX11" s="1116"/>
      <c r="RYY11" s="1116"/>
      <c r="RYZ11" s="1116"/>
      <c r="RZA11" s="1116"/>
      <c r="RZB11" s="1116"/>
      <c r="RZC11" s="1116"/>
      <c r="RZD11" s="1116"/>
      <c r="RZE11" s="1116"/>
      <c r="RZF11" s="1116"/>
      <c r="RZG11" s="1116"/>
      <c r="RZH11" s="1116"/>
      <c r="RZI11" s="1116"/>
      <c r="RZJ11" s="1116"/>
      <c r="RZK11" s="1116"/>
      <c r="RZL11" s="1116"/>
      <c r="RZM11" s="1116"/>
      <c r="RZN11" s="1116"/>
      <c r="RZO11" s="1116"/>
      <c r="RZP11" s="1116"/>
      <c r="RZQ11" s="1116"/>
      <c r="RZR11" s="1116"/>
      <c r="RZS11" s="1116"/>
      <c r="RZT11" s="1116"/>
      <c r="RZU11" s="1116"/>
      <c r="RZV11" s="1116"/>
      <c r="RZW11" s="1116"/>
      <c r="RZX11" s="1116"/>
      <c r="RZY11" s="1116"/>
      <c r="RZZ11" s="1116"/>
      <c r="SAA11" s="1116"/>
      <c r="SAB11" s="1116"/>
      <c r="SAC11" s="1116"/>
      <c r="SAD11" s="1116"/>
      <c r="SAE11" s="1116"/>
      <c r="SAF11" s="1116"/>
      <c r="SAG11" s="1116"/>
      <c r="SAH11" s="1116"/>
      <c r="SAI11" s="1116"/>
      <c r="SAJ11" s="1116"/>
      <c r="SAK11" s="1116"/>
      <c r="SAL11" s="1116"/>
      <c r="SAM11" s="1116"/>
      <c r="SAN11" s="1116"/>
      <c r="SAO11" s="1116"/>
      <c r="SAP11" s="1116"/>
      <c r="SAQ11" s="1116"/>
      <c r="SAR11" s="1116"/>
      <c r="SAS11" s="1116"/>
      <c r="SAT11" s="1116"/>
      <c r="SAU11" s="1116"/>
      <c r="SAV11" s="1116"/>
      <c r="SAW11" s="1116"/>
      <c r="SAX11" s="1116"/>
      <c r="SAY11" s="1116"/>
      <c r="SAZ11" s="1116"/>
      <c r="SBA11" s="1116"/>
      <c r="SBB11" s="1116"/>
      <c r="SBC11" s="1116"/>
      <c r="SBD11" s="1116"/>
      <c r="SBE11" s="1116"/>
      <c r="SBF11" s="1116"/>
      <c r="SBG11" s="1116"/>
      <c r="SBH11" s="1116"/>
      <c r="SBI11" s="1116"/>
      <c r="SBJ11" s="1116"/>
      <c r="SBK11" s="1116"/>
      <c r="SBL11" s="1116"/>
      <c r="SBM11" s="1116"/>
      <c r="SBN11" s="1116"/>
      <c r="SBO11" s="1116"/>
      <c r="SBP11" s="1116"/>
      <c r="SBQ11" s="1116"/>
      <c r="SBR11" s="1116"/>
      <c r="SBS11" s="1116"/>
      <c r="SBT11" s="1116"/>
      <c r="SBU11" s="1116"/>
      <c r="SBV11" s="1116"/>
      <c r="SBW11" s="1116"/>
      <c r="SBX11" s="1116"/>
      <c r="SBY11" s="1116"/>
      <c r="SBZ11" s="1116"/>
      <c r="SCA11" s="1116"/>
      <c r="SCB11" s="1116"/>
      <c r="SCC11" s="1116"/>
      <c r="SCD11" s="1116"/>
      <c r="SCE11" s="1116"/>
      <c r="SCF11" s="1116"/>
      <c r="SCG11" s="1116"/>
      <c r="SCH11" s="1116"/>
      <c r="SCI11" s="1116"/>
      <c r="SCJ11" s="1116"/>
      <c r="SCK11" s="1116"/>
      <c r="SCL11" s="1116"/>
      <c r="SCM11" s="1116"/>
      <c r="SCN11" s="1116"/>
      <c r="SCO11" s="1116"/>
      <c r="SCP11" s="1116"/>
      <c r="SCQ11" s="1116"/>
      <c r="SCR11" s="1116"/>
      <c r="SCS11" s="1116"/>
      <c r="SCT11" s="1116"/>
      <c r="SCU11" s="1116"/>
      <c r="SCV11" s="1116"/>
      <c r="SCW11" s="1116"/>
      <c r="SCX11" s="1116"/>
      <c r="SCY11" s="1116"/>
      <c r="SCZ11" s="1116"/>
      <c r="SDA11" s="1116"/>
      <c r="SDB11" s="1116"/>
      <c r="SDC11" s="1116"/>
      <c r="SDD11" s="1116"/>
      <c r="SDE11" s="1116"/>
      <c r="SDF11" s="1116"/>
      <c r="SDG11" s="1116"/>
      <c r="SDH11" s="1116"/>
      <c r="SDI11" s="1116"/>
      <c r="SDJ11" s="1116"/>
      <c r="SDK11" s="1116"/>
      <c r="SDL11" s="1116"/>
      <c r="SDM11" s="1116"/>
      <c r="SDN11" s="1116"/>
      <c r="SDO11" s="1116"/>
      <c r="SDP11" s="1116"/>
      <c r="SDQ11" s="1116"/>
      <c r="SDR11" s="1116"/>
      <c r="SDS11" s="1116"/>
      <c r="SDT11" s="1116"/>
      <c r="SDU11" s="1116"/>
      <c r="SDV11" s="1116"/>
      <c r="SDW11" s="1116"/>
      <c r="SDX11" s="1116"/>
      <c r="SDY11" s="1116"/>
      <c r="SDZ11" s="1116"/>
      <c r="SEA11" s="1116"/>
      <c r="SEB11" s="1116"/>
      <c r="SEC11" s="1116"/>
      <c r="SED11" s="1116"/>
      <c r="SEE11" s="1116"/>
      <c r="SEF11" s="1116"/>
      <c r="SEG11" s="1116"/>
      <c r="SEH11" s="1116"/>
      <c r="SEI11" s="1116"/>
      <c r="SEJ11" s="1116"/>
      <c r="SEK11" s="1116"/>
      <c r="SEL11" s="1116"/>
      <c r="SEM11" s="1116"/>
      <c r="SEN11" s="1116"/>
      <c r="SEO11" s="1116"/>
      <c r="SEP11" s="1116"/>
      <c r="SEQ11" s="1116"/>
      <c r="SER11" s="1116"/>
      <c r="SES11" s="1116"/>
      <c r="SET11" s="1116"/>
      <c r="SEU11" s="1116"/>
      <c r="SEV11" s="1116"/>
      <c r="SEW11" s="1116"/>
      <c r="SEX11" s="1116"/>
      <c r="SEY11" s="1116"/>
      <c r="SEZ11" s="1116"/>
      <c r="SFA11" s="1116"/>
      <c r="SFB11" s="1116"/>
      <c r="SFC11" s="1116"/>
      <c r="SFD11" s="1116"/>
      <c r="SFE11" s="1116"/>
      <c r="SFF11" s="1116"/>
      <c r="SFG11" s="1116"/>
      <c r="SFH11" s="1116"/>
      <c r="SFI11" s="1116"/>
      <c r="SFJ11" s="1116"/>
      <c r="SFK11" s="1116"/>
      <c r="SFL11" s="1116"/>
      <c r="SFM11" s="1116"/>
      <c r="SFN11" s="1116"/>
      <c r="SFO11" s="1116"/>
      <c r="SFP11" s="1116"/>
      <c r="SFQ11" s="1116"/>
      <c r="SFR11" s="1116"/>
      <c r="SFS11" s="1116"/>
      <c r="SFT11" s="1116"/>
      <c r="SFU11" s="1116"/>
      <c r="SFV11" s="1116"/>
      <c r="SFW11" s="1116"/>
      <c r="SFX11" s="1116"/>
      <c r="SFY11" s="1116"/>
      <c r="SFZ11" s="1116"/>
      <c r="SGA11" s="1116"/>
      <c r="SGB11" s="1116"/>
      <c r="SGC11" s="1116"/>
      <c r="SGD11" s="1116"/>
      <c r="SGE11" s="1116"/>
      <c r="SGF11" s="1116"/>
      <c r="SGG11" s="1116"/>
      <c r="SGH11" s="1116"/>
      <c r="SGI11" s="1116"/>
      <c r="SGJ11" s="1116"/>
      <c r="SGK11" s="1116"/>
      <c r="SGL11" s="1116"/>
      <c r="SGM11" s="1116"/>
      <c r="SGN11" s="1116"/>
      <c r="SGO11" s="1116"/>
      <c r="SGP11" s="1116"/>
      <c r="SGQ11" s="1116"/>
      <c r="SGR11" s="1116"/>
      <c r="SGS11" s="1116"/>
      <c r="SGT11" s="1116"/>
      <c r="SGU11" s="1116"/>
      <c r="SGV11" s="1116"/>
      <c r="SGW11" s="1116"/>
      <c r="SGX11" s="1116"/>
      <c r="SGY11" s="1116"/>
      <c r="SGZ11" s="1116"/>
      <c r="SHA11" s="1116"/>
      <c r="SHB11" s="1116"/>
      <c r="SHC11" s="1116"/>
      <c r="SHD11" s="1116"/>
      <c r="SHE11" s="1116"/>
      <c r="SHF11" s="1116"/>
      <c r="SHG11" s="1116"/>
      <c r="SHH11" s="1116"/>
      <c r="SHI11" s="1116"/>
      <c r="SHJ11" s="1116"/>
      <c r="SHK11" s="1116"/>
      <c r="SHL11" s="1116"/>
      <c r="SHM11" s="1116"/>
      <c r="SHN11" s="1116"/>
      <c r="SHO11" s="1116"/>
      <c r="SHP11" s="1116"/>
      <c r="SHQ11" s="1116"/>
      <c r="SHR11" s="1116"/>
      <c r="SHS11" s="1116"/>
      <c r="SHT11" s="1116"/>
      <c r="SHU11" s="1116"/>
      <c r="SHV11" s="1116"/>
      <c r="SHW11" s="1116"/>
      <c r="SHX11" s="1116"/>
      <c r="SHY11" s="1116"/>
      <c r="SHZ11" s="1116"/>
      <c r="SIA11" s="1116"/>
      <c r="SIB11" s="1116"/>
      <c r="SIC11" s="1116"/>
      <c r="SID11" s="1116"/>
      <c r="SIE11" s="1116"/>
      <c r="SIF11" s="1116"/>
      <c r="SIG11" s="1116"/>
      <c r="SIH11" s="1116"/>
      <c r="SII11" s="1116"/>
      <c r="SIJ11" s="1116"/>
      <c r="SIK11" s="1116"/>
      <c r="SIL11" s="1116"/>
      <c r="SIM11" s="1116"/>
      <c r="SIN11" s="1116"/>
      <c r="SIO11" s="1116"/>
      <c r="SIP11" s="1116"/>
      <c r="SIQ11" s="1116"/>
      <c r="SIR11" s="1116"/>
      <c r="SIS11" s="1116"/>
      <c r="SIT11" s="1116"/>
      <c r="SIU11" s="1116"/>
      <c r="SIV11" s="1116"/>
      <c r="SIW11" s="1116"/>
      <c r="SIX11" s="1116"/>
      <c r="SIY11" s="1116"/>
      <c r="SIZ11" s="1116"/>
      <c r="SJA11" s="1116"/>
      <c r="SJB11" s="1116"/>
      <c r="SJC11" s="1116"/>
      <c r="SJD11" s="1116"/>
      <c r="SJE11" s="1116"/>
      <c r="SJF11" s="1116"/>
      <c r="SJG11" s="1116"/>
      <c r="SJH11" s="1116"/>
      <c r="SJI11" s="1116"/>
      <c r="SJJ11" s="1116"/>
      <c r="SJK11" s="1116"/>
      <c r="SJL11" s="1116"/>
      <c r="SJM11" s="1116"/>
      <c r="SJN11" s="1116"/>
      <c r="SJO11" s="1116"/>
      <c r="SJP11" s="1116"/>
      <c r="SJQ11" s="1116"/>
      <c r="SJR11" s="1116"/>
      <c r="SJS11" s="1116"/>
      <c r="SJT11" s="1116"/>
      <c r="SJU11" s="1116"/>
      <c r="SJV11" s="1116"/>
      <c r="SJW11" s="1116"/>
      <c r="SJX11" s="1116"/>
      <c r="SJY11" s="1116"/>
      <c r="SJZ11" s="1116"/>
      <c r="SKA11" s="1116"/>
      <c r="SKB11" s="1116"/>
      <c r="SKC11" s="1116"/>
      <c r="SKD11" s="1116"/>
      <c r="SKE11" s="1116"/>
      <c r="SKF11" s="1116"/>
      <c r="SKG11" s="1116"/>
      <c r="SKH11" s="1116"/>
      <c r="SKI11" s="1116"/>
      <c r="SKJ11" s="1116"/>
      <c r="SKK11" s="1116"/>
      <c r="SKL11" s="1116"/>
      <c r="SKM11" s="1116"/>
      <c r="SKN11" s="1116"/>
      <c r="SKO11" s="1116"/>
      <c r="SKP11" s="1116"/>
      <c r="SKQ11" s="1116"/>
      <c r="SKR11" s="1116"/>
      <c r="SKS11" s="1116"/>
      <c r="SKT11" s="1116"/>
      <c r="SKU11" s="1116"/>
      <c r="SKV11" s="1116"/>
      <c r="SKW11" s="1116"/>
      <c r="SKX11" s="1116"/>
      <c r="SKY11" s="1116"/>
      <c r="SKZ11" s="1116"/>
      <c r="SLA11" s="1116"/>
      <c r="SLB11" s="1116"/>
      <c r="SLC11" s="1116"/>
      <c r="SLD11" s="1116"/>
      <c r="SLE11" s="1116"/>
      <c r="SLF11" s="1116"/>
      <c r="SLG11" s="1116"/>
      <c r="SLH11" s="1116"/>
      <c r="SLI11" s="1116"/>
      <c r="SLJ11" s="1116"/>
      <c r="SLK11" s="1116"/>
      <c r="SLL11" s="1116"/>
      <c r="SLM11" s="1116"/>
      <c r="SLN11" s="1116"/>
      <c r="SLO11" s="1116"/>
      <c r="SLP11" s="1116"/>
      <c r="SLQ11" s="1116"/>
      <c r="SLR11" s="1116"/>
      <c r="SLS11" s="1116"/>
      <c r="SLT11" s="1116"/>
      <c r="SLU11" s="1116"/>
      <c r="SLV11" s="1116"/>
      <c r="SLW11" s="1116"/>
      <c r="SLX11" s="1116"/>
      <c r="SLY11" s="1116"/>
      <c r="SLZ11" s="1116"/>
      <c r="SMA11" s="1116"/>
      <c r="SMB11" s="1116"/>
      <c r="SMC11" s="1116"/>
      <c r="SMD11" s="1116"/>
      <c r="SME11" s="1116"/>
      <c r="SMF11" s="1116"/>
      <c r="SMG11" s="1116"/>
      <c r="SMH11" s="1116"/>
      <c r="SMI11" s="1116"/>
      <c r="SMJ11" s="1116"/>
      <c r="SMK11" s="1116"/>
      <c r="SML11" s="1116"/>
      <c r="SMM11" s="1116"/>
      <c r="SMN11" s="1116"/>
      <c r="SMO11" s="1116"/>
      <c r="SMP11" s="1116"/>
      <c r="SMQ11" s="1116"/>
      <c r="SMR11" s="1116"/>
      <c r="SMS11" s="1116"/>
      <c r="SMT11" s="1116"/>
      <c r="SMU11" s="1116"/>
      <c r="SMV11" s="1116"/>
      <c r="SMW11" s="1116"/>
      <c r="SMX11" s="1116"/>
      <c r="SMY11" s="1116"/>
      <c r="SMZ11" s="1116"/>
      <c r="SNA11" s="1116"/>
      <c r="SNB11" s="1116"/>
      <c r="SNC11" s="1116"/>
      <c r="SND11" s="1116"/>
      <c r="SNE11" s="1116"/>
      <c r="SNF11" s="1116"/>
      <c r="SNG11" s="1116"/>
      <c r="SNH11" s="1116"/>
      <c r="SNI11" s="1116"/>
      <c r="SNJ11" s="1116"/>
      <c r="SNK11" s="1116"/>
      <c r="SNL11" s="1116"/>
      <c r="SNM11" s="1116"/>
      <c r="SNN11" s="1116"/>
      <c r="SNO11" s="1116"/>
      <c r="SNP11" s="1116"/>
      <c r="SNQ11" s="1116"/>
      <c r="SNR11" s="1116"/>
      <c r="SNS11" s="1116"/>
      <c r="SNT11" s="1116"/>
      <c r="SNU11" s="1116"/>
      <c r="SNV11" s="1116"/>
      <c r="SNW11" s="1116"/>
      <c r="SNX11" s="1116"/>
      <c r="SNY11" s="1116"/>
      <c r="SNZ11" s="1116"/>
      <c r="SOA11" s="1116"/>
      <c r="SOB11" s="1116"/>
      <c r="SOC11" s="1116"/>
      <c r="SOD11" s="1116"/>
      <c r="SOE11" s="1116"/>
      <c r="SOF11" s="1116"/>
      <c r="SOG11" s="1116"/>
      <c r="SOH11" s="1116"/>
      <c r="SOI11" s="1116"/>
      <c r="SOJ11" s="1116"/>
      <c r="SOK11" s="1116"/>
      <c r="SOL11" s="1116"/>
      <c r="SOM11" s="1116"/>
      <c r="SON11" s="1116"/>
      <c r="SOO11" s="1116"/>
      <c r="SOP11" s="1116"/>
      <c r="SOQ11" s="1116"/>
      <c r="SOR11" s="1116"/>
      <c r="SOS11" s="1116"/>
      <c r="SOT11" s="1116"/>
      <c r="SOU11" s="1116"/>
      <c r="SOV11" s="1116"/>
      <c r="SOW11" s="1116"/>
      <c r="SOX11" s="1116"/>
      <c r="SOY11" s="1116"/>
      <c r="SOZ11" s="1116"/>
      <c r="SPA11" s="1116"/>
      <c r="SPB11" s="1116"/>
      <c r="SPC11" s="1116"/>
      <c r="SPD11" s="1116"/>
      <c r="SPE11" s="1116"/>
      <c r="SPF11" s="1116"/>
      <c r="SPG11" s="1116"/>
      <c r="SPH11" s="1116"/>
      <c r="SPI11" s="1116"/>
      <c r="SPJ11" s="1116"/>
      <c r="SPK11" s="1116"/>
      <c r="SPL11" s="1116"/>
      <c r="SPM11" s="1116"/>
      <c r="SPN11" s="1116"/>
      <c r="SPO11" s="1116"/>
      <c r="SPP11" s="1116"/>
      <c r="SPQ11" s="1116"/>
      <c r="SPR11" s="1116"/>
      <c r="SPS11" s="1116"/>
      <c r="SPT11" s="1116"/>
      <c r="SPU11" s="1116"/>
      <c r="SPV11" s="1116"/>
      <c r="SPW11" s="1116"/>
      <c r="SPX11" s="1116"/>
      <c r="SPY11" s="1116"/>
      <c r="SPZ11" s="1116"/>
      <c r="SQA11" s="1116"/>
      <c r="SQB11" s="1116"/>
      <c r="SQC11" s="1116"/>
      <c r="SQD11" s="1116"/>
      <c r="SQE11" s="1116"/>
      <c r="SQF11" s="1116"/>
      <c r="SQG11" s="1116"/>
      <c r="SQH11" s="1116"/>
      <c r="SQI11" s="1116"/>
      <c r="SQJ11" s="1116"/>
      <c r="SQK11" s="1116"/>
      <c r="SQL11" s="1116"/>
      <c r="SQM11" s="1116"/>
      <c r="SQN11" s="1116"/>
      <c r="SQO11" s="1116"/>
      <c r="SQP11" s="1116"/>
      <c r="SQQ11" s="1116"/>
      <c r="SQR11" s="1116"/>
      <c r="SQS11" s="1116"/>
      <c r="SQT11" s="1116"/>
      <c r="SQU11" s="1116"/>
      <c r="SQV11" s="1116"/>
      <c r="SQW11" s="1116"/>
      <c r="SQX11" s="1116"/>
      <c r="SQY11" s="1116"/>
      <c r="SQZ11" s="1116"/>
      <c r="SRA11" s="1116"/>
      <c r="SRB11" s="1116"/>
      <c r="SRC11" s="1116"/>
      <c r="SRD11" s="1116"/>
      <c r="SRE11" s="1116"/>
      <c r="SRF11" s="1116"/>
      <c r="SRG11" s="1116"/>
      <c r="SRH11" s="1116"/>
      <c r="SRI11" s="1116"/>
      <c r="SRJ11" s="1116"/>
      <c r="SRK11" s="1116"/>
      <c r="SRL11" s="1116"/>
      <c r="SRM11" s="1116"/>
      <c r="SRN11" s="1116"/>
      <c r="SRO11" s="1116"/>
      <c r="SRP11" s="1116"/>
      <c r="SRQ11" s="1116"/>
      <c r="SRR11" s="1116"/>
      <c r="SRS11" s="1116"/>
      <c r="SRT11" s="1116"/>
      <c r="SRU11" s="1116"/>
      <c r="SRV11" s="1116"/>
      <c r="SRW11" s="1116"/>
      <c r="SRX11" s="1116"/>
      <c r="SRY11" s="1116"/>
      <c r="SRZ11" s="1116"/>
      <c r="SSA11" s="1116"/>
      <c r="SSB11" s="1116"/>
      <c r="SSC11" s="1116"/>
      <c r="SSD11" s="1116"/>
      <c r="SSE11" s="1116"/>
      <c r="SSF11" s="1116"/>
      <c r="SSG11" s="1116"/>
      <c r="SSH11" s="1116"/>
      <c r="SSI11" s="1116"/>
      <c r="SSJ11" s="1116"/>
      <c r="SSK11" s="1116"/>
      <c r="SSL11" s="1116"/>
      <c r="SSM11" s="1116"/>
      <c r="SSN11" s="1116"/>
      <c r="SSO11" s="1116"/>
      <c r="SSP11" s="1116"/>
      <c r="SSQ11" s="1116"/>
      <c r="SSR11" s="1116"/>
      <c r="SSS11" s="1116"/>
      <c r="SST11" s="1116"/>
      <c r="SSU11" s="1116"/>
      <c r="SSV11" s="1116"/>
      <c r="SSW11" s="1116"/>
      <c r="SSX11" s="1116"/>
      <c r="SSY11" s="1116"/>
      <c r="SSZ11" s="1116"/>
      <c r="STA11" s="1116"/>
      <c r="STB11" s="1116"/>
      <c r="STC11" s="1116"/>
      <c r="STD11" s="1116"/>
      <c r="STE11" s="1116"/>
      <c r="STF11" s="1116"/>
      <c r="STG11" s="1116"/>
      <c r="STH11" s="1116"/>
      <c r="STI11" s="1116"/>
      <c r="STJ11" s="1116"/>
      <c r="STK11" s="1116"/>
      <c r="STL11" s="1116"/>
      <c r="STM11" s="1116"/>
      <c r="STN11" s="1116"/>
      <c r="STO11" s="1116"/>
      <c r="STP11" s="1116"/>
      <c r="STQ11" s="1116"/>
      <c r="STR11" s="1116"/>
      <c r="STS11" s="1116"/>
      <c r="STT11" s="1116"/>
      <c r="STU11" s="1116"/>
      <c r="STV11" s="1116"/>
      <c r="STW11" s="1116"/>
      <c r="STX11" s="1116"/>
      <c r="STY11" s="1116"/>
      <c r="STZ11" s="1116"/>
      <c r="SUA11" s="1116"/>
      <c r="SUB11" s="1116"/>
      <c r="SUC11" s="1116"/>
      <c r="SUD11" s="1116"/>
      <c r="SUE11" s="1116"/>
      <c r="SUF11" s="1116"/>
      <c r="SUG11" s="1116"/>
      <c r="SUH11" s="1116"/>
      <c r="SUI11" s="1116"/>
      <c r="SUJ11" s="1116"/>
      <c r="SUK11" s="1116"/>
      <c r="SUL11" s="1116"/>
      <c r="SUM11" s="1116"/>
      <c r="SUN11" s="1116"/>
      <c r="SUO11" s="1116"/>
      <c r="SUP11" s="1116"/>
      <c r="SUQ11" s="1116"/>
      <c r="SUR11" s="1116"/>
      <c r="SUS11" s="1116"/>
      <c r="SUT11" s="1116"/>
      <c r="SUU11" s="1116"/>
      <c r="SUV11" s="1116"/>
      <c r="SUW11" s="1116"/>
      <c r="SUX11" s="1116"/>
      <c r="SUY11" s="1116"/>
      <c r="SUZ11" s="1116"/>
      <c r="SVA11" s="1116"/>
      <c r="SVB11" s="1116"/>
      <c r="SVC11" s="1116"/>
      <c r="SVD11" s="1116"/>
      <c r="SVE11" s="1116"/>
      <c r="SVF11" s="1116"/>
      <c r="SVG11" s="1116"/>
      <c r="SVH11" s="1116"/>
      <c r="SVI11" s="1116"/>
      <c r="SVJ11" s="1116"/>
      <c r="SVK11" s="1116"/>
      <c r="SVL11" s="1116"/>
      <c r="SVM11" s="1116"/>
      <c r="SVN11" s="1116"/>
      <c r="SVO11" s="1116"/>
      <c r="SVP11" s="1116"/>
      <c r="SVQ11" s="1116"/>
      <c r="SVR11" s="1116"/>
      <c r="SVS11" s="1116"/>
      <c r="SVT11" s="1116"/>
      <c r="SVU11" s="1116"/>
      <c r="SVV11" s="1116"/>
      <c r="SVW11" s="1116"/>
      <c r="SVX11" s="1116"/>
      <c r="SVY11" s="1116"/>
      <c r="SVZ11" s="1116"/>
      <c r="SWA11" s="1116"/>
      <c r="SWB11" s="1116"/>
      <c r="SWC11" s="1116"/>
      <c r="SWD11" s="1116"/>
      <c r="SWE11" s="1116"/>
      <c r="SWF11" s="1116"/>
      <c r="SWG11" s="1116"/>
      <c r="SWH11" s="1116"/>
      <c r="SWI11" s="1116"/>
      <c r="SWJ11" s="1116"/>
      <c r="SWK11" s="1116"/>
      <c r="SWL11" s="1116"/>
      <c r="SWM11" s="1116"/>
      <c r="SWN11" s="1116"/>
      <c r="SWO11" s="1116"/>
      <c r="SWP11" s="1116"/>
      <c r="SWQ11" s="1116"/>
      <c r="SWR11" s="1116"/>
      <c r="SWS11" s="1116"/>
      <c r="SWT11" s="1116"/>
      <c r="SWU11" s="1116"/>
      <c r="SWV11" s="1116"/>
      <c r="SWW11" s="1116"/>
      <c r="SWX11" s="1116"/>
      <c r="SWY11" s="1116"/>
      <c r="SWZ11" s="1116"/>
      <c r="SXA11" s="1116"/>
      <c r="SXB11" s="1116"/>
      <c r="SXC11" s="1116"/>
      <c r="SXD11" s="1116"/>
      <c r="SXE11" s="1116"/>
      <c r="SXF11" s="1116"/>
      <c r="SXG11" s="1116"/>
      <c r="SXH11" s="1116"/>
      <c r="SXI11" s="1116"/>
      <c r="SXJ11" s="1116"/>
      <c r="SXK11" s="1116"/>
      <c r="SXL11" s="1116"/>
      <c r="SXM11" s="1116"/>
      <c r="SXN11" s="1116"/>
      <c r="SXO11" s="1116"/>
      <c r="SXP11" s="1116"/>
      <c r="SXQ11" s="1116"/>
      <c r="SXR11" s="1116"/>
      <c r="SXS11" s="1116"/>
      <c r="SXT11" s="1116"/>
      <c r="SXU11" s="1116"/>
      <c r="SXV11" s="1116"/>
      <c r="SXW11" s="1116"/>
      <c r="SXX11" s="1116"/>
      <c r="SXY11" s="1116"/>
      <c r="SXZ11" s="1116"/>
      <c r="SYA11" s="1116"/>
      <c r="SYB11" s="1116"/>
      <c r="SYC11" s="1116"/>
      <c r="SYD11" s="1116"/>
      <c r="SYE11" s="1116"/>
      <c r="SYF11" s="1116"/>
      <c r="SYG11" s="1116"/>
      <c r="SYH11" s="1116"/>
      <c r="SYI11" s="1116"/>
      <c r="SYJ11" s="1116"/>
      <c r="SYK11" s="1116"/>
      <c r="SYL11" s="1116"/>
      <c r="SYM11" s="1116"/>
      <c r="SYN11" s="1116"/>
      <c r="SYO11" s="1116"/>
      <c r="SYP11" s="1116"/>
      <c r="SYQ11" s="1116"/>
      <c r="SYR11" s="1116"/>
      <c r="SYS11" s="1116"/>
      <c r="SYT11" s="1116"/>
      <c r="SYU11" s="1116"/>
      <c r="SYV11" s="1116"/>
      <c r="SYW11" s="1116"/>
      <c r="SYX11" s="1116"/>
      <c r="SYY11" s="1116"/>
      <c r="SYZ11" s="1116"/>
      <c r="SZA11" s="1116"/>
      <c r="SZB11" s="1116"/>
      <c r="SZC11" s="1116"/>
      <c r="SZD11" s="1116"/>
      <c r="SZE11" s="1116"/>
      <c r="SZF11" s="1116"/>
      <c r="SZG11" s="1116"/>
      <c r="SZH11" s="1116"/>
      <c r="SZI11" s="1116"/>
      <c r="SZJ11" s="1116"/>
      <c r="SZK11" s="1116"/>
      <c r="SZL11" s="1116"/>
      <c r="SZM11" s="1116"/>
      <c r="SZN11" s="1116"/>
      <c r="SZO11" s="1116"/>
      <c r="SZP11" s="1116"/>
      <c r="SZQ11" s="1116"/>
      <c r="SZR11" s="1116"/>
      <c r="SZS11" s="1116"/>
      <c r="SZT11" s="1116"/>
      <c r="SZU11" s="1116"/>
      <c r="SZV11" s="1116"/>
      <c r="SZW11" s="1116"/>
      <c r="SZX11" s="1116"/>
      <c r="SZY11" s="1116"/>
      <c r="SZZ11" s="1116"/>
      <c r="TAA11" s="1116"/>
      <c r="TAB11" s="1116"/>
      <c r="TAC11" s="1116"/>
      <c r="TAD11" s="1116"/>
      <c r="TAE11" s="1116"/>
      <c r="TAF11" s="1116"/>
      <c r="TAG11" s="1116"/>
      <c r="TAH11" s="1116"/>
      <c r="TAI11" s="1116"/>
      <c r="TAJ11" s="1116"/>
      <c r="TAK11" s="1116"/>
      <c r="TAL11" s="1116"/>
      <c r="TAM11" s="1116"/>
      <c r="TAN11" s="1116"/>
      <c r="TAO11" s="1116"/>
      <c r="TAP11" s="1116"/>
      <c r="TAQ11" s="1116"/>
      <c r="TAR11" s="1116"/>
      <c r="TAS11" s="1116"/>
      <c r="TAT11" s="1116"/>
      <c r="TAU11" s="1116"/>
      <c r="TAV11" s="1116"/>
      <c r="TAW11" s="1116"/>
      <c r="TAX11" s="1116"/>
      <c r="TAY11" s="1116"/>
      <c r="TAZ11" s="1116"/>
      <c r="TBA11" s="1116"/>
      <c r="TBB11" s="1116"/>
      <c r="TBC11" s="1116"/>
      <c r="TBD11" s="1116"/>
      <c r="TBE11" s="1116"/>
      <c r="TBF11" s="1116"/>
      <c r="TBG11" s="1116"/>
      <c r="TBH11" s="1116"/>
      <c r="TBI11" s="1116"/>
      <c r="TBJ11" s="1116"/>
      <c r="TBK11" s="1116"/>
      <c r="TBL11" s="1116"/>
      <c r="TBM11" s="1116"/>
      <c r="TBN11" s="1116"/>
      <c r="TBO11" s="1116"/>
      <c r="TBP11" s="1116"/>
      <c r="TBQ11" s="1116"/>
      <c r="TBR11" s="1116"/>
      <c r="TBS11" s="1116"/>
      <c r="TBT11" s="1116"/>
      <c r="TBU11" s="1116"/>
      <c r="TBV11" s="1116"/>
      <c r="TBW11" s="1116"/>
      <c r="TBX11" s="1116"/>
      <c r="TBY11" s="1116"/>
      <c r="TBZ11" s="1116"/>
      <c r="TCA11" s="1116"/>
      <c r="TCB11" s="1116"/>
      <c r="TCC11" s="1116"/>
      <c r="TCD11" s="1116"/>
      <c r="TCE11" s="1116"/>
      <c r="TCF11" s="1116"/>
      <c r="TCG11" s="1116"/>
      <c r="TCH11" s="1116"/>
      <c r="TCI11" s="1116"/>
      <c r="TCJ11" s="1116"/>
      <c r="TCK11" s="1116"/>
      <c r="TCL11" s="1116"/>
      <c r="TCM11" s="1116"/>
      <c r="TCN11" s="1116"/>
      <c r="TCO11" s="1116"/>
      <c r="TCP11" s="1116"/>
      <c r="TCQ11" s="1116"/>
      <c r="TCR11" s="1116"/>
      <c r="TCS11" s="1116"/>
      <c r="TCT11" s="1116"/>
      <c r="TCU11" s="1116"/>
      <c r="TCV11" s="1116"/>
      <c r="TCW11" s="1116"/>
      <c r="TCX11" s="1116"/>
      <c r="TCY11" s="1116"/>
      <c r="TCZ11" s="1116"/>
      <c r="TDA11" s="1116"/>
      <c r="TDB11" s="1116"/>
      <c r="TDC11" s="1116"/>
      <c r="TDD11" s="1116"/>
      <c r="TDE11" s="1116"/>
      <c r="TDF11" s="1116"/>
      <c r="TDG11" s="1116"/>
      <c r="TDH11" s="1116"/>
      <c r="TDI11" s="1116"/>
      <c r="TDJ11" s="1116"/>
      <c r="TDK11" s="1116"/>
      <c r="TDL11" s="1116"/>
      <c r="TDM11" s="1116"/>
      <c r="TDN11" s="1116"/>
      <c r="TDO11" s="1116"/>
      <c r="TDP11" s="1116"/>
      <c r="TDQ11" s="1116"/>
      <c r="TDR11" s="1116"/>
      <c r="TDS11" s="1116"/>
      <c r="TDT11" s="1116"/>
      <c r="TDU11" s="1116"/>
      <c r="TDV11" s="1116"/>
      <c r="TDW11" s="1116"/>
      <c r="TDX11" s="1116"/>
      <c r="TDY11" s="1116"/>
      <c r="TDZ11" s="1116"/>
      <c r="TEA11" s="1116"/>
      <c r="TEB11" s="1116"/>
      <c r="TEC11" s="1116"/>
      <c r="TED11" s="1116"/>
      <c r="TEE11" s="1116"/>
      <c r="TEF11" s="1116"/>
      <c r="TEG11" s="1116"/>
      <c r="TEH11" s="1116"/>
      <c r="TEI11" s="1116"/>
      <c r="TEJ11" s="1116"/>
      <c r="TEK11" s="1116"/>
      <c r="TEL11" s="1116"/>
      <c r="TEM11" s="1116"/>
      <c r="TEN11" s="1116"/>
      <c r="TEO11" s="1116"/>
      <c r="TEP11" s="1116"/>
      <c r="TEQ11" s="1116"/>
      <c r="TER11" s="1116"/>
      <c r="TES11" s="1116"/>
      <c r="TET11" s="1116"/>
      <c r="TEU11" s="1116"/>
      <c r="TEV11" s="1116"/>
      <c r="TEW11" s="1116"/>
      <c r="TEX11" s="1116"/>
      <c r="TEY11" s="1116"/>
      <c r="TEZ11" s="1116"/>
      <c r="TFA11" s="1116"/>
      <c r="TFB11" s="1116"/>
      <c r="TFC11" s="1116"/>
      <c r="TFD11" s="1116"/>
      <c r="TFE11" s="1116"/>
      <c r="TFF11" s="1116"/>
      <c r="TFG11" s="1116"/>
      <c r="TFH11" s="1116"/>
      <c r="TFI11" s="1116"/>
      <c r="TFJ11" s="1116"/>
      <c r="TFK11" s="1116"/>
      <c r="TFL11" s="1116"/>
      <c r="TFM11" s="1116"/>
      <c r="TFN11" s="1116"/>
      <c r="TFO11" s="1116"/>
      <c r="TFP11" s="1116"/>
      <c r="TFQ11" s="1116"/>
      <c r="TFR11" s="1116"/>
      <c r="TFS11" s="1116"/>
      <c r="TFT11" s="1116"/>
      <c r="TFU11" s="1116"/>
      <c r="TFV11" s="1116"/>
      <c r="TFW11" s="1116"/>
      <c r="TFX11" s="1116"/>
      <c r="TFY11" s="1116"/>
      <c r="TFZ11" s="1116"/>
      <c r="TGA11" s="1116"/>
      <c r="TGB11" s="1116"/>
      <c r="TGC11" s="1116"/>
      <c r="TGD11" s="1116"/>
      <c r="TGE11" s="1116"/>
      <c r="TGF11" s="1116"/>
      <c r="TGG11" s="1116"/>
      <c r="TGH11" s="1116"/>
      <c r="TGI11" s="1116"/>
      <c r="TGJ11" s="1116"/>
      <c r="TGK11" s="1116"/>
      <c r="TGL11" s="1116"/>
      <c r="TGM11" s="1116"/>
      <c r="TGN11" s="1116"/>
      <c r="TGO11" s="1116"/>
      <c r="TGP11" s="1116"/>
      <c r="TGQ11" s="1116"/>
      <c r="TGR11" s="1116"/>
      <c r="TGS11" s="1116"/>
      <c r="TGT11" s="1116"/>
      <c r="TGU11" s="1116"/>
      <c r="TGV11" s="1116"/>
      <c r="TGW11" s="1116"/>
      <c r="TGX11" s="1116"/>
      <c r="TGY11" s="1116"/>
      <c r="TGZ11" s="1116"/>
      <c r="THA11" s="1116"/>
      <c r="THB11" s="1116"/>
      <c r="THC11" s="1116"/>
      <c r="THD11" s="1116"/>
      <c r="THE11" s="1116"/>
      <c r="THF11" s="1116"/>
      <c r="THG11" s="1116"/>
      <c r="THH11" s="1116"/>
      <c r="THI11" s="1116"/>
      <c r="THJ11" s="1116"/>
      <c r="THK11" s="1116"/>
      <c r="THL11" s="1116"/>
      <c r="THM11" s="1116"/>
      <c r="THN11" s="1116"/>
      <c r="THO11" s="1116"/>
      <c r="THP11" s="1116"/>
      <c r="THQ11" s="1116"/>
      <c r="THR11" s="1116"/>
      <c r="THS11" s="1116"/>
      <c r="THT11" s="1116"/>
      <c r="THU11" s="1116"/>
      <c r="THV11" s="1116"/>
      <c r="THW11" s="1116"/>
      <c r="THX11" s="1116"/>
      <c r="THY11" s="1116"/>
      <c r="THZ11" s="1116"/>
      <c r="TIA11" s="1116"/>
      <c r="TIB11" s="1116"/>
      <c r="TIC11" s="1116"/>
      <c r="TID11" s="1116"/>
      <c r="TIE11" s="1116"/>
      <c r="TIF11" s="1116"/>
      <c r="TIG11" s="1116"/>
      <c r="TIH11" s="1116"/>
      <c r="TII11" s="1116"/>
      <c r="TIJ11" s="1116"/>
      <c r="TIK11" s="1116"/>
      <c r="TIL11" s="1116"/>
      <c r="TIM11" s="1116"/>
      <c r="TIN11" s="1116"/>
      <c r="TIO11" s="1116"/>
      <c r="TIP11" s="1116"/>
      <c r="TIQ11" s="1116"/>
      <c r="TIR11" s="1116"/>
      <c r="TIS11" s="1116"/>
      <c r="TIT11" s="1116"/>
      <c r="TIU11" s="1116"/>
      <c r="TIV11" s="1116"/>
      <c r="TIW11" s="1116"/>
      <c r="TIX11" s="1116"/>
      <c r="TIY11" s="1116"/>
      <c r="TIZ11" s="1116"/>
      <c r="TJA11" s="1116"/>
      <c r="TJB11" s="1116"/>
      <c r="TJC11" s="1116"/>
      <c r="TJD11" s="1116"/>
      <c r="TJE11" s="1116"/>
      <c r="TJF11" s="1116"/>
      <c r="TJG11" s="1116"/>
      <c r="TJH11" s="1116"/>
      <c r="TJI11" s="1116"/>
      <c r="TJJ11" s="1116"/>
      <c r="TJK11" s="1116"/>
      <c r="TJL11" s="1116"/>
      <c r="TJM11" s="1116"/>
      <c r="TJN11" s="1116"/>
      <c r="TJO11" s="1116"/>
      <c r="TJP11" s="1116"/>
      <c r="TJQ11" s="1116"/>
      <c r="TJR11" s="1116"/>
      <c r="TJS11" s="1116"/>
      <c r="TJT11" s="1116"/>
      <c r="TJU11" s="1116"/>
      <c r="TJV11" s="1116"/>
      <c r="TJW11" s="1116"/>
      <c r="TJX11" s="1116"/>
      <c r="TJY11" s="1116"/>
      <c r="TJZ11" s="1116"/>
      <c r="TKA11" s="1116"/>
      <c r="TKB11" s="1116"/>
      <c r="TKC11" s="1116"/>
      <c r="TKD11" s="1116"/>
      <c r="TKE11" s="1116"/>
      <c r="TKF11" s="1116"/>
      <c r="TKG11" s="1116"/>
      <c r="TKH11" s="1116"/>
      <c r="TKI11" s="1116"/>
      <c r="TKJ11" s="1116"/>
      <c r="TKK11" s="1116"/>
      <c r="TKL11" s="1116"/>
      <c r="TKM11" s="1116"/>
      <c r="TKN11" s="1116"/>
      <c r="TKO11" s="1116"/>
      <c r="TKP11" s="1116"/>
      <c r="TKQ11" s="1116"/>
      <c r="TKR11" s="1116"/>
      <c r="TKS11" s="1116"/>
      <c r="TKT11" s="1116"/>
      <c r="TKU11" s="1116"/>
      <c r="TKV11" s="1116"/>
      <c r="TKW11" s="1116"/>
      <c r="TKX11" s="1116"/>
      <c r="TKY11" s="1116"/>
      <c r="TKZ11" s="1116"/>
      <c r="TLA11" s="1116"/>
      <c r="TLB11" s="1116"/>
      <c r="TLC11" s="1116"/>
      <c r="TLD11" s="1116"/>
      <c r="TLE11" s="1116"/>
      <c r="TLF11" s="1116"/>
      <c r="TLG11" s="1116"/>
      <c r="TLH11" s="1116"/>
      <c r="TLI11" s="1116"/>
      <c r="TLJ11" s="1116"/>
      <c r="TLK11" s="1116"/>
      <c r="TLL11" s="1116"/>
      <c r="TLM11" s="1116"/>
      <c r="TLN11" s="1116"/>
      <c r="TLO11" s="1116"/>
      <c r="TLP11" s="1116"/>
      <c r="TLQ11" s="1116"/>
      <c r="TLR11" s="1116"/>
      <c r="TLS11" s="1116"/>
      <c r="TLT11" s="1116"/>
      <c r="TLU11" s="1116"/>
      <c r="TLV11" s="1116"/>
      <c r="TLW11" s="1116"/>
      <c r="TLX11" s="1116"/>
      <c r="TLY11" s="1116"/>
      <c r="TLZ11" s="1116"/>
      <c r="TMA11" s="1116"/>
      <c r="TMB11" s="1116"/>
      <c r="TMC11" s="1116"/>
      <c r="TMD11" s="1116"/>
      <c r="TME11" s="1116"/>
      <c r="TMF11" s="1116"/>
      <c r="TMG11" s="1116"/>
      <c r="TMH11" s="1116"/>
      <c r="TMI11" s="1116"/>
      <c r="TMJ11" s="1116"/>
      <c r="TMK11" s="1116"/>
      <c r="TML11" s="1116"/>
      <c r="TMM11" s="1116"/>
      <c r="TMN11" s="1116"/>
      <c r="TMO11" s="1116"/>
      <c r="TMP11" s="1116"/>
      <c r="TMQ11" s="1116"/>
      <c r="TMR11" s="1116"/>
      <c r="TMS11" s="1116"/>
      <c r="TMT11" s="1116"/>
      <c r="TMU11" s="1116"/>
      <c r="TMV11" s="1116"/>
      <c r="TMW11" s="1116"/>
      <c r="TMX11" s="1116"/>
      <c r="TMY11" s="1116"/>
      <c r="TMZ11" s="1116"/>
      <c r="TNA11" s="1116"/>
      <c r="TNB11" s="1116"/>
      <c r="TNC11" s="1116"/>
      <c r="TND11" s="1116"/>
      <c r="TNE11" s="1116"/>
      <c r="TNF11" s="1116"/>
      <c r="TNG11" s="1116"/>
      <c r="TNH11" s="1116"/>
      <c r="TNI11" s="1116"/>
      <c r="TNJ11" s="1116"/>
      <c r="TNK11" s="1116"/>
      <c r="TNL11" s="1116"/>
      <c r="TNM11" s="1116"/>
      <c r="TNN11" s="1116"/>
      <c r="TNO11" s="1116"/>
      <c r="TNP11" s="1116"/>
      <c r="TNQ11" s="1116"/>
      <c r="TNR11" s="1116"/>
      <c r="TNS11" s="1116"/>
      <c r="TNT11" s="1116"/>
      <c r="TNU11" s="1116"/>
      <c r="TNV11" s="1116"/>
      <c r="TNW11" s="1116"/>
      <c r="TNX11" s="1116"/>
      <c r="TNY11" s="1116"/>
      <c r="TNZ11" s="1116"/>
      <c r="TOA11" s="1116"/>
      <c r="TOB11" s="1116"/>
      <c r="TOC11" s="1116"/>
      <c r="TOD11" s="1116"/>
      <c r="TOE11" s="1116"/>
      <c r="TOF11" s="1116"/>
      <c r="TOG11" s="1116"/>
      <c r="TOH11" s="1116"/>
      <c r="TOI11" s="1116"/>
      <c r="TOJ11" s="1116"/>
      <c r="TOK11" s="1116"/>
      <c r="TOL11" s="1116"/>
      <c r="TOM11" s="1116"/>
      <c r="TON11" s="1116"/>
      <c r="TOO11" s="1116"/>
      <c r="TOP11" s="1116"/>
      <c r="TOQ11" s="1116"/>
      <c r="TOR11" s="1116"/>
      <c r="TOS11" s="1116"/>
      <c r="TOT11" s="1116"/>
      <c r="TOU11" s="1116"/>
      <c r="TOV11" s="1116"/>
      <c r="TOW11" s="1116"/>
      <c r="TOX11" s="1116"/>
      <c r="TOY11" s="1116"/>
      <c r="TOZ11" s="1116"/>
      <c r="TPA11" s="1116"/>
      <c r="TPB11" s="1116"/>
      <c r="TPC11" s="1116"/>
      <c r="TPD11" s="1116"/>
      <c r="TPE11" s="1116"/>
      <c r="TPF11" s="1116"/>
      <c r="TPG11" s="1116"/>
      <c r="TPH11" s="1116"/>
      <c r="TPI11" s="1116"/>
      <c r="TPJ11" s="1116"/>
      <c r="TPK11" s="1116"/>
      <c r="TPL11" s="1116"/>
      <c r="TPM11" s="1116"/>
      <c r="TPN11" s="1116"/>
      <c r="TPO11" s="1116"/>
      <c r="TPP11" s="1116"/>
      <c r="TPQ11" s="1116"/>
      <c r="TPR11" s="1116"/>
      <c r="TPS11" s="1116"/>
      <c r="TPT11" s="1116"/>
      <c r="TPU11" s="1116"/>
      <c r="TPV11" s="1116"/>
      <c r="TPW11" s="1116"/>
      <c r="TPX11" s="1116"/>
      <c r="TPY11" s="1116"/>
      <c r="TPZ11" s="1116"/>
      <c r="TQA11" s="1116"/>
      <c r="TQB11" s="1116"/>
      <c r="TQC11" s="1116"/>
      <c r="TQD11" s="1116"/>
      <c r="TQE11" s="1116"/>
      <c r="TQF11" s="1116"/>
      <c r="TQG11" s="1116"/>
      <c r="TQH11" s="1116"/>
      <c r="TQI11" s="1116"/>
      <c r="TQJ11" s="1116"/>
      <c r="TQK11" s="1116"/>
      <c r="TQL11" s="1116"/>
      <c r="TQM11" s="1116"/>
      <c r="TQN11" s="1116"/>
      <c r="TQO11" s="1116"/>
      <c r="TQP11" s="1116"/>
      <c r="TQQ11" s="1116"/>
      <c r="TQR11" s="1116"/>
      <c r="TQS11" s="1116"/>
      <c r="TQT11" s="1116"/>
      <c r="TQU11" s="1116"/>
      <c r="TQV11" s="1116"/>
      <c r="TQW11" s="1116"/>
      <c r="TQX11" s="1116"/>
      <c r="TQY11" s="1116"/>
      <c r="TQZ11" s="1116"/>
      <c r="TRA11" s="1116"/>
      <c r="TRB11" s="1116"/>
      <c r="TRC11" s="1116"/>
      <c r="TRD11" s="1116"/>
      <c r="TRE11" s="1116"/>
      <c r="TRF11" s="1116"/>
      <c r="TRG11" s="1116"/>
      <c r="TRH11" s="1116"/>
      <c r="TRI11" s="1116"/>
      <c r="TRJ11" s="1116"/>
      <c r="TRK11" s="1116"/>
      <c r="TRL11" s="1116"/>
      <c r="TRM11" s="1116"/>
      <c r="TRN11" s="1116"/>
      <c r="TRO11" s="1116"/>
      <c r="TRP11" s="1116"/>
      <c r="TRQ11" s="1116"/>
      <c r="TRR11" s="1116"/>
      <c r="TRS11" s="1116"/>
      <c r="TRT11" s="1116"/>
      <c r="TRU11" s="1116"/>
      <c r="TRV11" s="1116"/>
      <c r="TRW11" s="1116"/>
      <c r="TRX11" s="1116"/>
      <c r="TRY11" s="1116"/>
      <c r="TRZ11" s="1116"/>
      <c r="TSA11" s="1116"/>
      <c r="TSB11" s="1116"/>
      <c r="TSC11" s="1116"/>
      <c r="TSD11" s="1116"/>
      <c r="TSE11" s="1116"/>
      <c r="TSF11" s="1116"/>
      <c r="TSG11" s="1116"/>
      <c r="TSH11" s="1116"/>
      <c r="TSI11" s="1116"/>
      <c r="TSJ11" s="1116"/>
      <c r="TSK11" s="1116"/>
      <c r="TSL11" s="1116"/>
      <c r="TSM11" s="1116"/>
      <c r="TSN11" s="1116"/>
      <c r="TSO11" s="1116"/>
      <c r="TSP11" s="1116"/>
      <c r="TSQ11" s="1116"/>
      <c r="TSR11" s="1116"/>
      <c r="TSS11" s="1116"/>
      <c r="TST11" s="1116"/>
      <c r="TSU11" s="1116"/>
      <c r="TSV11" s="1116"/>
      <c r="TSW11" s="1116"/>
      <c r="TSX11" s="1116"/>
      <c r="TSY11" s="1116"/>
      <c r="TSZ11" s="1116"/>
      <c r="TTA11" s="1116"/>
      <c r="TTB11" s="1116"/>
      <c r="TTC11" s="1116"/>
      <c r="TTD11" s="1116"/>
      <c r="TTE11" s="1116"/>
      <c r="TTF11" s="1116"/>
      <c r="TTG11" s="1116"/>
      <c r="TTH11" s="1116"/>
      <c r="TTI11" s="1116"/>
      <c r="TTJ11" s="1116"/>
      <c r="TTK11" s="1116"/>
      <c r="TTL11" s="1116"/>
      <c r="TTM11" s="1116"/>
      <c r="TTN11" s="1116"/>
      <c r="TTO11" s="1116"/>
      <c r="TTP11" s="1116"/>
      <c r="TTQ11" s="1116"/>
      <c r="TTR11" s="1116"/>
      <c r="TTS11" s="1116"/>
      <c r="TTT11" s="1116"/>
      <c r="TTU11" s="1116"/>
      <c r="TTV11" s="1116"/>
      <c r="TTW11" s="1116"/>
      <c r="TTX11" s="1116"/>
      <c r="TTY11" s="1116"/>
      <c r="TTZ11" s="1116"/>
      <c r="TUA11" s="1116"/>
      <c r="TUB11" s="1116"/>
      <c r="TUC11" s="1116"/>
      <c r="TUD11" s="1116"/>
      <c r="TUE11" s="1116"/>
      <c r="TUF11" s="1116"/>
      <c r="TUG11" s="1116"/>
      <c r="TUH11" s="1116"/>
      <c r="TUI11" s="1116"/>
      <c r="TUJ11" s="1116"/>
      <c r="TUK11" s="1116"/>
      <c r="TUL11" s="1116"/>
      <c r="TUM11" s="1116"/>
      <c r="TUN11" s="1116"/>
      <c r="TUO11" s="1116"/>
      <c r="TUP11" s="1116"/>
      <c r="TUQ11" s="1116"/>
      <c r="TUR11" s="1116"/>
      <c r="TUS11" s="1116"/>
      <c r="TUT11" s="1116"/>
      <c r="TUU11" s="1116"/>
      <c r="TUV11" s="1116"/>
      <c r="TUW11" s="1116"/>
      <c r="TUX11" s="1116"/>
      <c r="TUY11" s="1116"/>
      <c r="TUZ11" s="1116"/>
      <c r="TVA11" s="1116"/>
      <c r="TVB11" s="1116"/>
      <c r="TVC11" s="1116"/>
      <c r="TVD11" s="1116"/>
      <c r="TVE11" s="1116"/>
      <c r="TVF11" s="1116"/>
      <c r="TVG11" s="1116"/>
      <c r="TVH11" s="1116"/>
      <c r="TVI11" s="1116"/>
      <c r="TVJ11" s="1116"/>
      <c r="TVK11" s="1116"/>
      <c r="TVL11" s="1116"/>
      <c r="TVM11" s="1116"/>
      <c r="TVN11" s="1116"/>
      <c r="TVO11" s="1116"/>
      <c r="TVP11" s="1116"/>
      <c r="TVQ11" s="1116"/>
      <c r="TVR11" s="1116"/>
      <c r="TVS11" s="1116"/>
      <c r="TVT11" s="1116"/>
      <c r="TVU11" s="1116"/>
      <c r="TVV11" s="1116"/>
      <c r="TVW11" s="1116"/>
      <c r="TVX11" s="1116"/>
      <c r="TVY11" s="1116"/>
      <c r="TVZ11" s="1116"/>
      <c r="TWA11" s="1116"/>
      <c r="TWB11" s="1116"/>
      <c r="TWC11" s="1116"/>
      <c r="TWD11" s="1116"/>
      <c r="TWE11" s="1116"/>
      <c r="TWF11" s="1116"/>
      <c r="TWG11" s="1116"/>
      <c r="TWH11" s="1116"/>
      <c r="TWI11" s="1116"/>
      <c r="TWJ11" s="1116"/>
      <c r="TWK11" s="1116"/>
      <c r="TWL11" s="1116"/>
      <c r="TWM11" s="1116"/>
      <c r="TWN11" s="1116"/>
      <c r="TWO11" s="1116"/>
      <c r="TWP11" s="1116"/>
      <c r="TWQ11" s="1116"/>
      <c r="TWR11" s="1116"/>
      <c r="TWS11" s="1116"/>
      <c r="TWT11" s="1116"/>
      <c r="TWU11" s="1116"/>
      <c r="TWV11" s="1116"/>
      <c r="TWW11" s="1116"/>
      <c r="TWX11" s="1116"/>
      <c r="TWY11" s="1116"/>
      <c r="TWZ11" s="1116"/>
      <c r="TXA11" s="1116"/>
      <c r="TXB11" s="1116"/>
      <c r="TXC11" s="1116"/>
      <c r="TXD11" s="1116"/>
      <c r="TXE11" s="1116"/>
      <c r="TXF11" s="1116"/>
      <c r="TXG11" s="1116"/>
      <c r="TXH11" s="1116"/>
      <c r="TXI11" s="1116"/>
      <c r="TXJ11" s="1116"/>
      <c r="TXK11" s="1116"/>
      <c r="TXL11" s="1116"/>
      <c r="TXM11" s="1116"/>
      <c r="TXN11" s="1116"/>
      <c r="TXO11" s="1116"/>
      <c r="TXP11" s="1116"/>
      <c r="TXQ11" s="1116"/>
      <c r="TXR11" s="1116"/>
      <c r="TXS11" s="1116"/>
      <c r="TXT11" s="1116"/>
      <c r="TXU11" s="1116"/>
      <c r="TXV11" s="1116"/>
      <c r="TXW11" s="1116"/>
      <c r="TXX11" s="1116"/>
      <c r="TXY11" s="1116"/>
      <c r="TXZ11" s="1116"/>
      <c r="TYA11" s="1116"/>
      <c r="TYB11" s="1116"/>
      <c r="TYC11" s="1116"/>
      <c r="TYD11" s="1116"/>
      <c r="TYE11" s="1116"/>
      <c r="TYF11" s="1116"/>
      <c r="TYG11" s="1116"/>
      <c r="TYH11" s="1116"/>
      <c r="TYI11" s="1116"/>
      <c r="TYJ11" s="1116"/>
      <c r="TYK11" s="1116"/>
      <c r="TYL11" s="1116"/>
      <c r="TYM11" s="1116"/>
      <c r="TYN11" s="1116"/>
      <c r="TYO11" s="1116"/>
      <c r="TYP11" s="1116"/>
      <c r="TYQ11" s="1116"/>
      <c r="TYR11" s="1116"/>
      <c r="TYS11" s="1116"/>
      <c r="TYT11" s="1116"/>
      <c r="TYU11" s="1116"/>
      <c r="TYV11" s="1116"/>
      <c r="TYW11" s="1116"/>
      <c r="TYX11" s="1116"/>
      <c r="TYY11" s="1116"/>
      <c r="TYZ11" s="1116"/>
      <c r="TZA11" s="1116"/>
      <c r="TZB11" s="1116"/>
      <c r="TZC11" s="1116"/>
      <c r="TZD11" s="1116"/>
      <c r="TZE11" s="1116"/>
      <c r="TZF11" s="1116"/>
      <c r="TZG11" s="1116"/>
      <c r="TZH11" s="1116"/>
      <c r="TZI11" s="1116"/>
      <c r="TZJ11" s="1116"/>
      <c r="TZK11" s="1116"/>
      <c r="TZL11" s="1116"/>
      <c r="TZM11" s="1116"/>
      <c r="TZN11" s="1116"/>
      <c r="TZO11" s="1116"/>
      <c r="TZP11" s="1116"/>
      <c r="TZQ11" s="1116"/>
      <c r="TZR11" s="1116"/>
      <c r="TZS11" s="1116"/>
      <c r="TZT11" s="1116"/>
      <c r="TZU11" s="1116"/>
      <c r="TZV11" s="1116"/>
      <c r="TZW11" s="1116"/>
      <c r="TZX11" s="1116"/>
      <c r="TZY11" s="1116"/>
      <c r="TZZ11" s="1116"/>
      <c r="UAA11" s="1116"/>
      <c r="UAB11" s="1116"/>
      <c r="UAC11" s="1116"/>
      <c r="UAD11" s="1116"/>
      <c r="UAE11" s="1116"/>
      <c r="UAF11" s="1116"/>
      <c r="UAG11" s="1116"/>
      <c r="UAH11" s="1116"/>
      <c r="UAI11" s="1116"/>
      <c r="UAJ11" s="1116"/>
      <c r="UAK11" s="1116"/>
      <c r="UAL11" s="1116"/>
      <c r="UAM11" s="1116"/>
      <c r="UAN11" s="1116"/>
      <c r="UAO11" s="1116"/>
      <c r="UAP11" s="1116"/>
      <c r="UAQ11" s="1116"/>
      <c r="UAR11" s="1116"/>
      <c r="UAS11" s="1116"/>
      <c r="UAT11" s="1116"/>
      <c r="UAU11" s="1116"/>
      <c r="UAV11" s="1116"/>
      <c r="UAW11" s="1116"/>
      <c r="UAX11" s="1116"/>
      <c r="UAY11" s="1116"/>
      <c r="UAZ11" s="1116"/>
      <c r="UBA11" s="1116"/>
      <c r="UBB11" s="1116"/>
      <c r="UBC11" s="1116"/>
      <c r="UBD11" s="1116"/>
      <c r="UBE11" s="1116"/>
      <c r="UBF11" s="1116"/>
      <c r="UBG11" s="1116"/>
      <c r="UBH11" s="1116"/>
      <c r="UBI11" s="1116"/>
      <c r="UBJ11" s="1116"/>
      <c r="UBK11" s="1116"/>
      <c r="UBL11" s="1116"/>
      <c r="UBM11" s="1116"/>
      <c r="UBN11" s="1116"/>
      <c r="UBO11" s="1116"/>
      <c r="UBP11" s="1116"/>
      <c r="UBQ11" s="1116"/>
      <c r="UBR11" s="1116"/>
      <c r="UBS11" s="1116"/>
      <c r="UBT11" s="1116"/>
      <c r="UBU11" s="1116"/>
      <c r="UBV11" s="1116"/>
      <c r="UBW11" s="1116"/>
      <c r="UBX11" s="1116"/>
      <c r="UBY11" s="1116"/>
      <c r="UBZ11" s="1116"/>
      <c r="UCA11" s="1116"/>
      <c r="UCB11" s="1116"/>
      <c r="UCC11" s="1116"/>
      <c r="UCD11" s="1116"/>
      <c r="UCE11" s="1116"/>
      <c r="UCF11" s="1116"/>
      <c r="UCG11" s="1116"/>
      <c r="UCH11" s="1116"/>
      <c r="UCI11" s="1116"/>
      <c r="UCJ11" s="1116"/>
      <c r="UCK11" s="1116"/>
      <c r="UCL11" s="1116"/>
      <c r="UCM11" s="1116"/>
      <c r="UCN11" s="1116"/>
      <c r="UCO11" s="1116"/>
      <c r="UCP11" s="1116"/>
      <c r="UCQ11" s="1116"/>
      <c r="UCR11" s="1116"/>
      <c r="UCS11" s="1116"/>
      <c r="UCT11" s="1116"/>
      <c r="UCU11" s="1116"/>
      <c r="UCV11" s="1116"/>
      <c r="UCW11" s="1116"/>
      <c r="UCX11" s="1116"/>
      <c r="UCY11" s="1116"/>
      <c r="UCZ11" s="1116"/>
      <c r="UDA11" s="1116"/>
      <c r="UDB11" s="1116"/>
      <c r="UDC11" s="1116"/>
      <c r="UDD11" s="1116"/>
      <c r="UDE11" s="1116"/>
      <c r="UDF11" s="1116"/>
      <c r="UDG11" s="1116"/>
      <c r="UDH11" s="1116"/>
      <c r="UDI11" s="1116"/>
      <c r="UDJ11" s="1116"/>
      <c r="UDK11" s="1116"/>
      <c r="UDL11" s="1116"/>
      <c r="UDM11" s="1116"/>
      <c r="UDN11" s="1116"/>
      <c r="UDO11" s="1116"/>
      <c r="UDP11" s="1116"/>
      <c r="UDQ11" s="1116"/>
      <c r="UDR11" s="1116"/>
      <c r="UDS11" s="1116"/>
      <c r="UDT11" s="1116"/>
      <c r="UDU11" s="1116"/>
      <c r="UDV11" s="1116"/>
      <c r="UDW11" s="1116"/>
      <c r="UDX11" s="1116"/>
      <c r="UDY11" s="1116"/>
      <c r="UDZ11" s="1116"/>
      <c r="UEA11" s="1116"/>
      <c r="UEB11" s="1116"/>
      <c r="UEC11" s="1116"/>
      <c r="UED11" s="1116"/>
      <c r="UEE11" s="1116"/>
      <c r="UEF11" s="1116"/>
      <c r="UEG11" s="1116"/>
      <c r="UEH11" s="1116"/>
      <c r="UEI11" s="1116"/>
      <c r="UEJ11" s="1116"/>
      <c r="UEK11" s="1116"/>
      <c r="UEL11" s="1116"/>
      <c r="UEM11" s="1116"/>
      <c r="UEN11" s="1116"/>
      <c r="UEO11" s="1116"/>
      <c r="UEP11" s="1116"/>
      <c r="UEQ11" s="1116"/>
      <c r="UER11" s="1116"/>
      <c r="UES11" s="1116"/>
      <c r="UET11" s="1116"/>
      <c r="UEU11" s="1116"/>
      <c r="UEV11" s="1116"/>
      <c r="UEW11" s="1116"/>
      <c r="UEX11" s="1116"/>
      <c r="UEY11" s="1116"/>
      <c r="UEZ11" s="1116"/>
      <c r="UFA11" s="1116"/>
      <c r="UFB11" s="1116"/>
      <c r="UFC11" s="1116"/>
      <c r="UFD11" s="1116"/>
      <c r="UFE11" s="1116"/>
      <c r="UFF11" s="1116"/>
      <c r="UFG11" s="1116"/>
      <c r="UFH11" s="1116"/>
      <c r="UFI11" s="1116"/>
      <c r="UFJ11" s="1116"/>
      <c r="UFK11" s="1116"/>
      <c r="UFL11" s="1116"/>
      <c r="UFM11" s="1116"/>
      <c r="UFN11" s="1116"/>
      <c r="UFO11" s="1116"/>
      <c r="UFP11" s="1116"/>
      <c r="UFQ11" s="1116"/>
      <c r="UFR11" s="1116"/>
      <c r="UFS11" s="1116"/>
      <c r="UFT11" s="1116"/>
      <c r="UFU11" s="1116"/>
      <c r="UFV11" s="1116"/>
      <c r="UFW11" s="1116"/>
      <c r="UFX11" s="1116"/>
      <c r="UFY11" s="1116"/>
      <c r="UFZ11" s="1116"/>
      <c r="UGA11" s="1116"/>
      <c r="UGB11" s="1116"/>
      <c r="UGC11" s="1116"/>
      <c r="UGD11" s="1116"/>
      <c r="UGE11" s="1116"/>
      <c r="UGF11" s="1116"/>
      <c r="UGG11" s="1116"/>
      <c r="UGH11" s="1116"/>
      <c r="UGI11" s="1116"/>
      <c r="UGJ11" s="1116"/>
      <c r="UGK11" s="1116"/>
      <c r="UGL11" s="1116"/>
      <c r="UGM11" s="1116"/>
      <c r="UGN11" s="1116"/>
      <c r="UGO11" s="1116"/>
      <c r="UGP11" s="1116"/>
      <c r="UGQ11" s="1116"/>
      <c r="UGR11" s="1116"/>
      <c r="UGS11" s="1116"/>
      <c r="UGT11" s="1116"/>
      <c r="UGU11" s="1116"/>
      <c r="UGV11" s="1116"/>
      <c r="UGW11" s="1116"/>
      <c r="UGX11" s="1116"/>
      <c r="UGY11" s="1116"/>
      <c r="UGZ11" s="1116"/>
      <c r="UHA11" s="1116"/>
      <c r="UHB11" s="1116"/>
      <c r="UHC11" s="1116"/>
      <c r="UHD11" s="1116"/>
      <c r="UHE11" s="1116"/>
      <c r="UHF11" s="1116"/>
      <c r="UHG11" s="1116"/>
      <c r="UHH11" s="1116"/>
      <c r="UHI11" s="1116"/>
      <c r="UHJ11" s="1116"/>
      <c r="UHK11" s="1116"/>
      <c r="UHL11" s="1116"/>
      <c r="UHM11" s="1116"/>
      <c r="UHN11" s="1116"/>
      <c r="UHO11" s="1116"/>
      <c r="UHP11" s="1116"/>
      <c r="UHQ11" s="1116"/>
      <c r="UHR11" s="1116"/>
      <c r="UHS11" s="1116"/>
      <c r="UHT11" s="1116"/>
      <c r="UHU11" s="1116"/>
      <c r="UHV11" s="1116"/>
      <c r="UHW11" s="1116"/>
      <c r="UHX11" s="1116"/>
      <c r="UHY11" s="1116"/>
      <c r="UHZ11" s="1116"/>
      <c r="UIA11" s="1116"/>
      <c r="UIB11" s="1116"/>
      <c r="UIC11" s="1116"/>
      <c r="UID11" s="1116"/>
      <c r="UIE11" s="1116"/>
      <c r="UIF11" s="1116"/>
      <c r="UIG11" s="1116"/>
      <c r="UIH11" s="1116"/>
      <c r="UII11" s="1116"/>
      <c r="UIJ11" s="1116"/>
      <c r="UIK11" s="1116"/>
      <c r="UIL11" s="1116"/>
      <c r="UIM11" s="1116"/>
      <c r="UIN11" s="1116"/>
      <c r="UIO11" s="1116"/>
      <c r="UIP11" s="1116"/>
      <c r="UIQ11" s="1116"/>
      <c r="UIR11" s="1116"/>
      <c r="UIS11" s="1116"/>
      <c r="UIT11" s="1116"/>
      <c r="UIU11" s="1116"/>
      <c r="UIV11" s="1116"/>
      <c r="UIW11" s="1116"/>
      <c r="UIX11" s="1116"/>
      <c r="UIY11" s="1116"/>
      <c r="UIZ11" s="1116"/>
      <c r="UJA11" s="1116"/>
      <c r="UJB11" s="1116"/>
      <c r="UJC11" s="1116"/>
      <c r="UJD11" s="1116"/>
      <c r="UJE11" s="1116"/>
      <c r="UJF11" s="1116"/>
      <c r="UJG11" s="1116"/>
      <c r="UJH11" s="1116"/>
      <c r="UJI11" s="1116"/>
      <c r="UJJ11" s="1116"/>
      <c r="UJK11" s="1116"/>
      <c r="UJL11" s="1116"/>
      <c r="UJM11" s="1116"/>
      <c r="UJN11" s="1116"/>
      <c r="UJO11" s="1116"/>
      <c r="UJP11" s="1116"/>
      <c r="UJQ11" s="1116"/>
      <c r="UJR11" s="1116"/>
      <c r="UJS11" s="1116"/>
      <c r="UJT11" s="1116"/>
      <c r="UJU11" s="1116"/>
      <c r="UJV11" s="1116"/>
      <c r="UJW11" s="1116"/>
      <c r="UJX11" s="1116"/>
      <c r="UJY11" s="1116"/>
      <c r="UJZ11" s="1116"/>
      <c r="UKA11" s="1116"/>
      <c r="UKB11" s="1116"/>
      <c r="UKC11" s="1116"/>
      <c r="UKD11" s="1116"/>
      <c r="UKE11" s="1116"/>
      <c r="UKF11" s="1116"/>
      <c r="UKG11" s="1116"/>
      <c r="UKH11" s="1116"/>
      <c r="UKI11" s="1116"/>
      <c r="UKJ11" s="1116"/>
      <c r="UKK11" s="1116"/>
      <c r="UKL11" s="1116"/>
      <c r="UKM11" s="1116"/>
      <c r="UKN11" s="1116"/>
      <c r="UKO11" s="1116"/>
      <c r="UKP11" s="1116"/>
      <c r="UKQ11" s="1116"/>
      <c r="UKR11" s="1116"/>
      <c r="UKS11" s="1116"/>
      <c r="UKT11" s="1116"/>
      <c r="UKU11" s="1116"/>
      <c r="UKV11" s="1116"/>
      <c r="UKW11" s="1116"/>
      <c r="UKX11" s="1116"/>
      <c r="UKY11" s="1116"/>
      <c r="UKZ11" s="1116"/>
      <c r="ULA11" s="1116"/>
      <c r="ULB11" s="1116"/>
      <c r="ULC11" s="1116"/>
      <c r="ULD11" s="1116"/>
      <c r="ULE11" s="1116"/>
      <c r="ULF11" s="1116"/>
      <c r="ULG11" s="1116"/>
      <c r="ULH11" s="1116"/>
      <c r="ULI11" s="1116"/>
      <c r="ULJ11" s="1116"/>
      <c r="ULK11" s="1116"/>
      <c r="ULL11" s="1116"/>
      <c r="ULM11" s="1116"/>
      <c r="ULN11" s="1116"/>
      <c r="ULO11" s="1116"/>
      <c r="ULP11" s="1116"/>
      <c r="ULQ11" s="1116"/>
      <c r="ULR11" s="1116"/>
      <c r="ULS11" s="1116"/>
      <c r="ULT11" s="1116"/>
      <c r="ULU11" s="1116"/>
      <c r="ULV11" s="1116"/>
      <c r="ULW11" s="1116"/>
      <c r="ULX11" s="1116"/>
      <c r="ULY11" s="1116"/>
      <c r="ULZ11" s="1116"/>
      <c r="UMA11" s="1116"/>
      <c r="UMB11" s="1116"/>
      <c r="UMC11" s="1116"/>
      <c r="UMD11" s="1116"/>
      <c r="UME11" s="1116"/>
      <c r="UMF11" s="1116"/>
      <c r="UMG11" s="1116"/>
      <c r="UMH11" s="1116"/>
      <c r="UMI11" s="1116"/>
      <c r="UMJ11" s="1116"/>
      <c r="UMK11" s="1116"/>
      <c r="UML11" s="1116"/>
      <c r="UMM11" s="1116"/>
      <c r="UMN11" s="1116"/>
      <c r="UMO11" s="1116"/>
      <c r="UMP11" s="1116"/>
      <c r="UMQ11" s="1116"/>
      <c r="UMR11" s="1116"/>
      <c r="UMS11" s="1116"/>
      <c r="UMT11" s="1116"/>
      <c r="UMU11" s="1116"/>
      <c r="UMV11" s="1116"/>
      <c r="UMW11" s="1116"/>
      <c r="UMX11" s="1116"/>
      <c r="UMY11" s="1116"/>
      <c r="UMZ11" s="1116"/>
      <c r="UNA11" s="1116"/>
      <c r="UNB11" s="1116"/>
      <c r="UNC11" s="1116"/>
      <c r="UND11" s="1116"/>
      <c r="UNE11" s="1116"/>
      <c r="UNF11" s="1116"/>
      <c r="UNG11" s="1116"/>
      <c r="UNH11" s="1116"/>
      <c r="UNI11" s="1116"/>
      <c r="UNJ11" s="1116"/>
      <c r="UNK11" s="1116"/>
      <c r="UNL11" s="1116"/>
      <c r="UNM11" s="1116"/>
      <c r="UNN11" s="1116"/>
      <c r="UNO11" s="1116"/>
      <c r="UNP11" s="1116"/>
      <c r="UNQ11" s="1116"/>
      <c r="UNR11" s="1116"/>
      <c r="UNS11" s="1116"/>
      <c r="UNT11" s="1116"/>
      <c r="UNU11" s="1116"/>
      <c r="UNV11" s="1116"/>
      <c r="UNW11" s="1116"/>
      <c r="UNX11" s="1116"/>
      <c r="UNY11" s="1116"/>
      <c r="UNZ11" s="1116"/>
      <c r="UOA11" s="1116"/>
      <c r="UOB11" s="1116"/>
      <c r="UOC11" s="1116"/>
      <c r="UOD11" s="1116"/>
      <c r="UOE11" s="1116"/>
      <c r="UOF11" s="1116"/>
      <c r="UOG11" s="1116"/>
      <c r="UOH11" s="1116"/>
      <c r="UOI11" s="1116"/>
      <c r="UOJ11" s="1116"/>
      <c r="UOK11" s="1116"/>
      <c r="UOL11" s="1116"/>
      <c r="UOM11" s="1116"/>
      <c r="UON11" s="1116"/>
      <c r="UOO11" s="1116"/>
      <c r="UOP11" s="1116"/>
      <c r="UOQ11" s="1116"/>
      <c r="UOR11" s="1116"/>
      <c r="UOS11" s="1116"/>
      <c r="UOT11" s="1116"/>
      <c r="UOU11" s="1116"/>
      <c r="UOV11" s="1116"/>
      <c r="UOW11" s="1116"/>
      <c r="UOX11" s="1116"/>
      <c r="UOY11" s="1116"/>
      <c r="UOZ11" s="1116"/>
      <c r="UPA11" s="1116"/>
      <c r="UPB11" s="1116"/>
      <c r="UPC11" s="1116"/>
      <c r="UPD11" s="1116"/>
      <c r="UPE11" s="1116"/>
      <c r="UPF11" s="1116"/>
      <c r="UPG11" s="1116"/>
      <c r="UPH11" s="1116"/>
      <c r="UPI11" s="1116"/>
      <c r="UPJ11" s="1116"/>
      <c r="UPK11" s="1116"/>
      <c r="UPL11" s="1116"/>
      <c r="UPM11" s="1116"/>
      <c r="UPN11" s="1116"/>
      <c r="UPO11" s="1116"/>
      <c r="UPP11" s="1116"/>
      <c r="UPQ11" s="1116"/>
      <c r="UPR11" s="1116"/>
      <c r="UPS11" s="1116"/>
      <c r="UPT11" s="1116"/>
      <c r="UPU11" s="1116"/>
      <c r="UPV11" s="1116"/>
      <c r="UPW11" s="1116"/>
      <c r="UPX11" s="1116"/>
      <c r="UPY11" s="1116"/>
      <c r="UPZ11" s="1116"/>
      <c r="UQA11" s="1116"/>
      <c r="UQB11" s="1116"/>
      <c r="UQC11" s="1116"/>
      <c r="UQD11" s="1116"/>
      <c r="UQE11" s="1116"/>
      <c r="UQF11" s="1116"/>
      <c r="UQG11" s="1116"/>
      <c r="UQH11" s="1116"/>
      <c r="UQI11" s="1116"/>
      <c r="UQJ11" s="1116"/>
      <c r="UQK11" s="1116"/>
      <c r="UQL11" s="1116"/>
      <c r="UQM11" s="1116"/>
      <c r="UQN11" s="1116"/>
      <c r="UQO11" s="1116"/>
      <c r="UQP11" s="1116"/>
      <c r="UQQ11" s="1116"/>
      <c r="UQR11" s="1116"/>
      <c r="UQS11" s="1116"/>
      <c r="UQT11" s="1116"/>
      <c r="UQU11" s="1116"/>
      <c r="UQV11" s="1116"/>
      <c r="UQW11" s="1116"/>
      <c r="UQX11" s="1116"/>
      <c r="UQY11" s="1116"/>
      <c r="UQZ11" s="1116"/>
      <c r="URA11" s="1116"/>
      <c r="URB11" s="1116"/>
      <c r="URC11" s="1116"/>
      <c r="URD11" s="1116"/>
      <c r="URE11" s="1116"/>
      <c r="URF11" s="1116"/>
      <c r="URG11" s="1116"/>
      <c r="URH11" s="1116"/>
      <c r="URI11" s="1116"/>
      <c r="URJ11" s="1116"/>
      <c r="URK11" s="1116"/>
      <c r="URL11" s="1116"/>
      <c r="URM11" s="1116"/>
      <c r="URN11" s="1116"/>
      <c r="URO11" s="1116"/>
      <c r="URP11" s="1116"/>
      <c r="URQ11" s="1116"/>
      <c r="URR11" s="1116"/>
      <c r="URS11" s="1116"/>
      <c r="URT11" s="1116"/>
      <c r="URU11" s="1116"/>
      <c r="URV11" s="1116"/>
      <c r="URW11" s="1116"/>
      <c r="URX11" s="1116"/>
      <c r="URY11" s="1116"/>
      <c r="URZ11" s="1116"/>
      <c r="USA11" s="1116"/>
      <c r="USB11" s="1116"/>
      <c r="USC11" s="1116"/>
      <c r="USD11" s="1116"/>
      <c r="USE11" s="1116"/>
      <c r="USF11" s="1116"/>
      <c r="USG11" s="1116"/>
      <c r="USH11" s="1116"/>
      <c r="USI11" s="1116"/>
      <c r="USJ11" s="1116"/>
      <c r="USK11" s="1116"/>
      <c r="USL11" s="1116"/>
      <c r="USM11" s="1116"/>
      <c r="USN11" s="1116"/>
      <c r="USO11" s="1116"/>
      <c r="USP11" s="1116"/>
      <c r="USQ11" s="1116"/>
      <c r="USR11" s="1116"/>
      <c r="USS11" s="1116"/>
      <c r="UST11" s="1116"/>
      <c r="USU11" s="1116"/>
      <c r="USV11" s="1116"/>
      <c r="USW11" s="1116"/>
      <c r="USX11" s="1116"/>
      <c r="USY11" s="1116"/>
      <c r="USZ11" s="1116"/>
      <c r="UTA11" s="1116"/>
      <c r="UTB11" s="1116"/>
      <c r="UTC11" s="1116"/>
      <c r="UTD11" s="1116"/>
      <c r="UTE11" s="1116"/>
      <c r="UTF11" s="1116"/>
      <c r="UTG11" s="1116"/>
      <c r="UTH11" s="1116"/>
      <c r="UTI11" s="1116"/>
      <c r="UTJ11" s="1116"/>
      <c r="UTK11" s="1116"/>
      <c r="UTL11" s="1116"/>
      <c r="UTM11" s="1116"/>
      <c r="UTN11" s="1116"/>
      <c r="UTO11" s="1116"/>
      <c r="UTP11" s="1116"/>
      <c r="UTQ11" s="1116"/>
      <c r="UTR11" s="1116"/>
      <c r="UTS11" s="1116"/>
      <c r="UTT11" s="1116"/>
      <c r="UTU11" s="1116"/>
      <c r="UTV11" s="1116"/>
      <c r="UTW11" s="1116"/>
      <c r="UTX11" s="1116"/>
      <c r="UTY11" s="1116"/>
      <c r="UTZ11" s="1116"/>
      <c r="UUA11" s="1116"/>
      <c r="UUB11" s="1116"/>
      <c r="UUC11" s="1116"/>
      <c r="UUD11" s="1116"/>
      <c r="UUE11" s="1116"/>
      <c r="UUF11" s="1116"/>
      <c r="UUG11" s="1116"/>
      <c r="UUH11" s="1116"/>
      <c r="UUI11" s="1116"/>
      <c r="UUJ11" s="1116"/>
      <c r="UUK11" s="1116"/>
      <c r="UUL11" s="1116"/>
      <c r="UUM11" s="1116"/>
      <c r="UUN11" s="1116"/>
      <c r="UUO11" s="1116"/>
      <c r="UUP11" s="1116"/>
      <c r="UUQ11" s="1116"/>
      <c r="UUR11" s="1116"/>
      <c r="UUS11" s="1116"/>
      <c r="UUT11" s="1116"/>
      <c r="UUU11" s="1116"/>
      <c r="UUV11" s="1116"/>
      <c r="UUW11" s="1116"/>
      <c r="UUX11" s="1116"/>
      <c r="UUY11" s="1116"/>
      <c r="UUZ11" s="1116"/>
      <c r="UVA11" s="1116"/>
      <c r="UVB11" s="1116"/>
      <c r="UVC11" s="1116"/>
      <c r="UVD11" s="1116"/>
      <c r="UVE11" s="1116"/>
      <c r="UVF11" s="1116"/>
      <c r="UVG11" s="1116"/>
      <c r="UVH11" s="1116"/>
      <c r="UVI11" s="1116"/>
      <c r="UVJ11" s="1116"/>
      <c r="UVK11" s="1116"/>
      <c r="UVL11" s="1116"/>
      <c r="UVM11" s="1116"/>
      <c r="UVN11" s="1116"/>
      <c r="UVO11" s="1116"/>
      <c r="UVP11" s="1116"/>
      <c r="UVQ11" s="1116"/>
      <c r="UVR11" s="1116"/>
      <c r="UVS11" s="1116"/>
      <c r="UVT11" s="1116"/>
      <c r="UVU11" s="1116"/>
      <c r="UVV11" s="1116"/>
      <c r="UVW11" s="1116"/>
      <c r="UVX11" s="1116"/>
      <c r="UVY11" s="1116"/>
      <c r="UVZ11" s="1116"/>
      <c r="UWA11" s="1116"/>
      <c r="UWB11" s="1116"/>
      <c r="UWC11" s="1116"/>
      <c r="UWD11" s="1116"/>
      <c r="UWE11" s="1116"/>
      <c r="UWF11" s="1116"/>
      <c r="UWG11" s="1116"/>
      <c r="UWH11" s="1116"/>
      <c r="UWI11" s="1116"/>
      <c r="UWJ11" s="1116"/>
      <c r="UWK11" s="1116"/>
      <c r="UWL11" s="1116"/>
      <c r="UWM11" s="1116"/>
      <c r="UWN11" s="1116"/>
      <c r="UWO11" s="1116"/>
      <c r="UWP11" s="1116"/>
      <c r="UWQ11" s="1116"/>
      <c r="UWR11" s="1116"/>
      <c r="UWS11" s="1116"/>
      <c r="UWT11" s="1116"/>
      <c r="UWU11" s="1116"/>
      <c r="UWV11" s="1116"/>
      <c r="UWW11" s="1116"/>
      <c r="UWX11" s="1116"/>
      <c r="UWY11" s="1116"/>
      <c r="UWZ11" s="1116"/>
      <c r="UXA11" s="1116"/>
      <c r="UXB11" s="1116"/>
      <c r="UXC11" s="1116"/>
      <c r="UXD11" s="1116"/>
      <c r="UXE11" s="1116"/>
      <c r="UXF11" s="1116"/>
      <c r="UXG11" s="1116"/>
      <c r="UXH11" s="1116"/>
      <c r="UXI11" s="1116"/>
      <c r="UXJ11" s="1116"/>
      <c r="UXK11" s="1116"/>
      <c r="UXL11" s="1116"/>
      <c r="UXM11" s="1116"/>
      <c r="UXN11" s="1116"/>
      <c r="UXO11" s="1116"/>
      <c r="UXP11" s="1116"/>
      <c r="UXQ11" s="1116"/>
      <c r="UXR11" s="1116"/>
      <c r="UXS11" s="1116"/>
      <c r="UXT11" s="1116"/>
      <c r="UXU11" s="1116"/>
      <c r="UXV11" s="1116"/>
      <c r="UXW11" s="1116"/>
      <c r="UXX11" s="1116"/>
      <c r="UXY11" s="1116"/>
      <c r="UXZ11" s="1116"/>
      <c r="UYA11" s="1116"/>
      <c r="UYB11" s="1116"/>
      <c r="UYC11" s="1116"/>
      <c r="UYD11" s="1116"/>
      <c r="UYE11" s="1116"/>
      <c r="UYF11" s="1116"/>
      <c r="UYG11" s="1116"/>
      <c r="UYH11" s="1116"/>
      <c r="UYI11" s="1116"/>
      <c r="UYJ11" s="1116"/>
      <c r="UYK11" s="1116"/>
      <c r="UYL11" s="1116"/>
      <c r="UYM11" s="1116"/>
      <c r="UYN11" s="1116"/>
      <c r="UYO11" s="1116"/>
      <c r="UYP11" s="1116"/>
      <c r="UYQ11" s="1116"/>
      <c r="UYR11" s="1116"/>
      <c r="UYS11" s="1116"/>
      <c r="UYT11" s="1116"/>
      <c r="UYU11" s="1116"/>
      <c r="UYV11" s="1116"/>
      <c r="UYW11" s="1116"/>
      <c r="UYX11" s="1116"/>
      <c r="UYY11" s="1116"/>
      <c r="UYZ11" s="1116"/>
      <c r="UZA11" s="1116"/>
      <c r="UZB11" s="1116"/>
      <c r="UZC11" s="1116"/>
      <c r="UZD11" s="1116"/>
      <c r="UZE11" s="1116"/>
      <c r="UZF11" s="1116"/>
      <c r="UZG11" s="1116"/>
      <c r="UZH11" s="1116"/>
      <c r="UZI11" s="1116"/>
      <c r="UZJ11" s="1116"/>
      <c r="UZK11" s="1116"/>
      <c r="UZL11" s="1116"/>
      <c r="UZM11" s="1116"/>
      <c r="UZN11" s="1116"/>
      <c r="UZO11" s="1116"/>
      <c r="UZP11" s="1116"/>
      <c r="UZQ11" s="1116"/>
      <c r="UZR11" s="1116"/>
      <c r="UZS11" s="1116"/>
      <c r="UZT11" s="1116"/>
      <c r="UZU11" s="1116"/>
      <c r="UZV11" s="1116"/>
      <c r="UZW11" s="1116"/>
      <c r="UZX11" s="1116"/>
      <c r="UZY11" s="1116"/>
      <c r="UZZ11" s="1116"/>
      <c r="VAA11" s="1116"/>
      <c r="VAB11" s="1116"/>
      <c r="VAC11" s="1116"/>
      <c r="VAD11" s="1116"/>
      <c r="VAE11" s="1116"/>
      <c r="VAF11" s="1116"/>
      <c r="VAG11" s="1116"/>
      <c r="VAH11" s="1116"/>
      <c r="VAI11" s="1116"/>
      <c r="VAJ11" s="1116"/>
      <c r="VAK11" s="1116"/>
      <c r="VAL11" s="1116"/>
      <c r="VAM11" s="1116"/>
      <c r="VAN11" s="1116"/>
      <c r="VAO11" s="1116"/>
      <c r="VAP11" s="1116"/>
      <c r="VAQ11" s="1116"/>
      <c r="VAR11" s="1116"/>
      <c r="VAS11" s="1116"/>
      <c r="VAT11" s="1116"/>
      <c r="VAU11" s="1116"/>
      <c r="VAV11" s="1116"/>
      <c r="VAW11" s="1116"/>
      <c r="VAX11" s="1116"/>
      <c r="VAY11" s="1116"/>
      <c r="VAZ11" s="1116"/>
      <c r="VBA11" s="1116"/>
      <c r="VBB11" s="1116"/>
      <c r="VBC11" s="1116"/>
      <c r="VBD11" s="1116"/>
      <c r="VBE11" s="1116"/>
      <c r="VBF11" s="1116"/>
      <c r="VBG11" s="1116"/>
      <c r="VBH11" s="1116"/>
      <c r="VBI11" s="1116"/>
      <c r="VBJ11" s="1116"/>
      <c r="VBK11" s="1116"/>
      <c r="VBL11" s="1116"/>
      <c r="VBM11" s="1116"/>
      <c r="VBN11" s="1116"/>
      <c r="VBO11" s="1116"/>
      <c r="VBP11" s="1116"/>
      <c r="VBQ11" s="1116"/>
      <c r="VBR11" s="1116"/>
      <c r="VBS11" s="1116"/>
      <c r="VBT11" s="1116"/>
      <c r="VBU11" s="1116"/>
      <c r="VBV11" s="1116"/>
      <c r="VBW11" s="1116"/>
      <c r="VBX11" s="1116"/>
      <c r="VBY11" s="1116"/>
      <c r="VBZ11" s="1116"/>
      <c r="VCA11" s="1116"/>
      <c r="VCB11" s="1116"/>
      <c r="VCC11" s="1116"/>
      <c r="VCD11" s="1116"/>
      <c r="VCE11" s="1116"/>
      <c r="VCF11" s="1116"/>
      <c r="VCG11" s="1116"/>
      <c r="VCH11" s="1116"/>
      <c r="VCI11" s="1116"/>
      <c r="VCJ11" s="1116"/>
      <c r="VCK11" s="1116"/>
      <c r="VCL11" s="1116"/>
      <c r="VCM11" s="1116"/>
      <c r="VCN11" s="1116"/>
      <c r="VCO11" s="1116"/>
      <c r="VCP11" s="1116"/>
      <c r="VCQ11" s="1116"/>
      <c r="VCR11" s="1116"/>
      <c r="VCS11" s="1116"/>
      <c r="VCT11" s="1116"/>
      <c r="VCU11" s="1116"/>
      <c r="VCV11" s="1116"/>
      <c r="VCW11" s="1116"/>
      <c r="VCX11" s="1116"/>
      <c r="VCY11" s="1116"/>
      <c r="VCZ11" s="1116"/>
      <c r="VDA11" s="1116"/>
      <c r="VDB11" s="1116"/>
      <c r="VDC11" s="1116"/>
      <c r="VDD11" s="1116"/>
      <c r="VDE11" s="1116"/>
      <c r="VDF11" s="1116"/>
      <c r="VDG11" s="1116"/>
      <c r="VDH11" s="1116"/>
      <c r="VDI11" s="1116"/>
      <c r="VDJ11" s="1116"/>
      <c r="VDK11" s="1116"/>
      <c r="VDL11" s="1116"/>
      <c r="VDM11" s="1116"/>
      <c r="VDN11" s="1116"/>
      <c r="VDO11" s="1116"/>
      <c r="VDP11" s="1116"/>
      <c r="VDQ11" s="1116"/>
      <c r="VDR11" s="1116"/>
      <c r="VDS11" s="1116"/>
      <c r="VDT11" s="1116"/>
      <c r="VDU11" s="1116"/>
      <c r="VDV11" s="1116"/>
      <c r="VDW11" s="1116"/>
      <c r="VDX11" s="1116"/>
      <c r="VDY11" s="1116"/>
      <c r="VDZ11" s="1116"/>
      <c r="VEA11" s="1116"/>
      <c r="VEB11" s="1116"/>
      <c r="VEC11" s="1116"/>
      <c r="VED11" s="1116"/>
      <c r="VEE11" s="1116"/>
      <c r="VEF11" s="1116"/>
      <c r="VEG11" s="1116"/>
      <c r="VEH11" s="1116"/>
      <c r="VEI11" s="1116"/>
      <c r="VEJ11" s="1116"/>
      <c r="VEK11" s="1116"/>
      <c r="VEL11" s="1116"/>
      <c r="VEM11" s="1116"/>
      <c r="VEN11" s="1116"/>
      <c r="VEO11" s="1116"/>
      <c r="VEP11" s="1116"/>
      <c r="VEQ11" s="1116"/>
      <c r="VER11" s="1116"/>
      <c r="VES11" s="1116"/>
      <c r="VET11" s="1116"/>
      <c r="VEU11" s="1116"/>
      <c r="VEV11" s="1116"/>
      <c r="VEW11" s="1116"/>
      <c r="VEX11" s="1116"/>
      <c r="VEY11" s="1116"/>
      <c r="VEZ11" s="1116"/>
      <c r="VFA11" s="1116"/>
      <c r="VFB11" s="1116"/>
      <c r="VFC11" s="1116"/>
      <c r="VFD11" s="1116"/>
      <c r="VFE11" s="1116"/>
      <c r="VFF11" s="1116"/>
      <c r="VFG11" s="1116"/>
      <c r="VFH11" s="1116"/>
      <c r="VFI11" s="1116"/>
      <c r="VFJ11" s="1116"/>
      <c r="VFK11" s="1116"/>
      <c r="VFL11" s="1116"/>
      <c r="VFM11" s="1116"/>
      <c r="VFN11" s="1116"/>
      <c r="VFO11" s="1116"/>
      <c r="VFP11" s="1116"/>
      <c r="VFQ11" s="1116"/>
      <c r="VFR11" s="1116"/>
      <c r="VFS11" s="1116"/>
      <c r="VFT11" s="1116"/>
      <c r="VFU11" s="1116"/>
      <c r="VFV11" s="1116"/>
      <c r="VFW11" s="1116"/>
      <c r="VFX11" s="1116"/>
      <c r="VFY11" s="1116"/>
      <c r="VFZ11" s="1116"/>
      <c r="VGA11" s="1116"/>
      <c r="VGB11" s="1116"/>
      <c r="VGC11" s="1116"/>
      <c r="VGD11" s="1116"/>
      <c r="VGE11" s="1116"/>
      <c r="VGF11" s="1116"/>
      <c r="VGG11" s="1116"/>
      <c r="VGH11" s="1116"/>
      <c r="VGI11" s="1116"/>
      <c r="VGJ11" s="1116"/>
      <c r="VGK11" s="1116"/>
      <c r="VGL11" s="1116"/>
      <c r="VGM11" s="1116"/>
      <c r="VGN11" s="1116"/>
      <c r="VGO11" s="1116"/>
      <c r="VGP11" s="1116"/>
      <c r="VGQ11" s="1116"/>
      <c r="VGR11" s="1116"/>
      <c r="VGS11" s="1116"/>
      <c r="VGT11" s="1116"/>
      <c r="VGU11" s="1116"/>
      <c r="VGV11" s="1116"/>
      <c r="VGW11" s="1116"/>
      <c r="VGX11" s="1116"/>
      <c r="VGY11" s="1116"/>
      <c r="VGZ11" s="1116"/>
      <c r="VHA11" s="1116"/>
      <c r="VHB11" s="1116"/>
      <c r="VHC11" s="1116"/>
      <c r="VHD11" s="1116"/>
      <c r="VHE11" s="1116"/>
      <c r="VHF11" s="1116"/>
      <c r="VHG11" s="1116"/>
      <c r="VHH11" s="1116"/>
      <c r="VHI11" s="1116"/>
      <c r="VHJ11" s="1116"/>
      <c r="VHK11" s="1116"/>
      <c r="VHL11" s="1116"/>
      <c r="VHM11" s="1116"/>
      <c r="VHN11" s="1116"/>
      <c r="VHO11" s="1116"/>
      <c r="VHP11" s="1116"/>
      <c r="VHQ11" s="1116"/>
      <c r="VHR11" s="1116"/>
      <c r="VHS11" s="1116"/>
      <c r="VHT11" s="1116"/>
      <c r="VHU11" s="1116"/>
      <c r="VHV11" s="1116"/>
      <c r="VHW11" s="1116"/>
      <c r="VHX11" s="1116"/>
      <c r="VHY11" s="1116"/>
      <c r="VHZ11" s="1116"/>
      <c r="VIA11" s="1116"/>
      <c r="VIB11" s="1116"/>
      <c r="VIC11" s="1116"/>
      <c r="VID11" s="1116"/>
      <c r="VIE11" s="1116"/>
      <c r="VIF11" s="1116"/>
      <c r="VIG11" s="1116"/>
      <c r="VIH11" s="1116"/>
      <c r="VII11" s="1116"/>
      <c r="VIJ11" s="1116"/>
      <c r="VIK11" s="1116"/>
      <c r="VIL11" s="1116"/>
      <c r="VIM11" s="1116"/>
      <c r="VIN11" s="1116"/>
      <c r="VIO11" s="1116"/>
      <c r="VIP11" s="1116"/>
      <c r="VIQ11" s="1116"/>
      <c r="VIR11" s="1116"/>
      <c r="VIS11" s="1116"/>
      <c r="VIT11" s="1116"/>
      <c r="VIU11" s="1116"/>
      <c r="VIV11" s="1116"/>
      <c r="VIW11" s="1116"/>
      <c r="VIX11" s="1116"/>
      <c r="VIY11" s="1116"/>
      <c r="VIZ11" s="1116"/>
      <c r="VJA11" s="1116"/>
      <c r="VJB11" s="1116"/>
      <c r="VJC11" s="1116"/>
      <c r="VJD11" s="1116"/>
      <c r="VJE11" s="1116"/>
      <c r="VJF11" s="1116"/>
      <c r="VJG11" s="1116"/>
      <c r="VJH11" s="1116"/>
      <c r="VJI11" s="1116"/>
      <c r="VJJ11" s="1116"/>
      <c r="VJK11" s="1116"/>
      <c r="VJL11" s="1116"/>
      <c r="VJM11" s="1116"/>
      <c r="VJN11" s="1116"/>
      <c r="VJO11" s="1116"/>
      <c r="VJP11" s="1116"/>
      <c r="VJQ11" s="1116"/>
      <c r="VJR11" s="1116"/>
      <c r="VJS11" s="1116"/>
      <c r="VJT11" s="1116"/>
      <c r="VJU11" s="1116"/>
      <c r="VJV11" s="1116"/>
      <c r="VJW11" s="1116"/>
      <c r="VJX11" s="1116"/>
      <c r="VJY11" s="1116"/>
      <c r="VJZ11" s="1116"/>
      <c r="VKA11" s="1116"/>
      <c r="VKB11" s="1116"/>
      <c r="VKC11" s="1116"/>
      <c r="VKD11" s="1116"/>
      <c r="VKE11" s="1116"/>
      <c r="VKF11" s="1116"/>
      <c r="VKG11" s="1116"/>
      <c r="VKH11" s="1116"/>
      <c r="VKI11" s="1116"/>
      <c r="VKJ11" s="1116"/>
      <c r="VKK11" s="1116"/>
      <c r="VKL11" s="1116"/>
      <c r="VKM11" s="1116"/>
      <c r="VKN11" s="1116"/>
      <c r="VKO11" s="1116"/>
      <c r="VKP11" s="1116"/>
      <c r="VKQ11" s="1116"/>
      <c r="VKR11" s="1116"/>
      <c r="VKS11" s="1116"/>
      <c r="VKT11" s="1116"/>
      <c r="VKU11" s="1116"/>
      <c r="VKV11" s="1116"/>
      <c r="VKW11" s="1116"/>
      <c r="VKX11" s="1116"/>
      <c r="VKY11" s="1116"/>
      <c r="VKZ11" s="1116"/>
      <c r="VLA11" s="1116"/>
      <c r="VLB11" s="1116"/>
      <c r="VLC11" s="1116"/>
      <c r="VLD11" s="1116"/>
      <c r="VLE11" s="1116"/>
      <c r="VLF11" s="1116"/>
      <c r="VLG11" s="1116"/>
      <c r="VLH11" s="1116"/>
      <c r="VLI11" s="1116"/>
      <c r="VLJ11" s="1116"/>
      <c r="VLK11" s="1116"/>
      <c r="VLL11" s="1116"/>
      <c r="VLM11" s="1116"/>
      <c r="VLN11" s="1116"/>
      <c r="VLO11" s="1116"/>
      <c r="VLP11" s="1116"/>
      <c r="VLQ11" s="1116"/>
      <c r="VLR11" s="1116"/>
      <c r="VLS11" s="1116"/>
      <c r="VLT11" s="1116"/>
      <c r="VLU11" s="1116"/>
      <c r="VLV11" s="1116"/>
      <c r="VLW11" s="1116"/>
      <c r="VLX11" s="1116"/>
      <c r="VLY11" s="1116"/>
      <c r="VLZ11" s="1116"/>
      <c r="VMA11" s="1116"/>
      <c r="VMB11" s="1116"/>
      <c r="VMC11" s="1116"/>
      <c r="VMD11" s="1116"/>
      <c r="VME11" s="1116"/>
      <c r="VMF11" s="1116"/>
      <c r="VMG11" s="1116"/>
      <c r="VMH11" s="1116"/>
      <c r="VMI11" s="1116"/>
      <c r="VMJ11" s="1116"/>
      <c r="VMK11" s="1116"/>
      <c r="VML11" s="1116"/>
      <c r="VMM11" s="1116"/>
      <c r="VMN11" s="1116"/>
      <c r="VMO11" s="1116"/>
      <c r="VMP11" s="1116"/>
      <c r="VMQ11" s="1116"/>
      <c r="VMR11" s="1116"/>
      <c r="VMS11" s="1116"/>
      <c r="VMT11" s="1116"/>
      <c r="VMU11" s="1116"/>
      <c r="VMV11" s="1116"/>
      <c r="VMW11" s="1116"/>
      <c r="VMX11" s="1116"/>
      <c r="VMY11" s="1116"/>
      <c r="VMZ11" s="1116"/>
      <c r="VNA11" s="1116"/>
      <c r="VNB11" s="1116"/>
      <c r="VNC11" s="1116"/>
      <c r="VND11" s="1116"/>
      <c r="VNE11" s="1116"/>
      <c r="VNF11" s="1116"/>
      <c r="VNG11" s="1116"/>
      <c r="VNH11" s="1116"/>
      <c r="VNI11" s="1116"/>
      <c r="VNJ11" s="1116"/>
      <c r="VNK11" s="1116"/>
      <c r="VNL11" s="1116"/>
      <c r="VNM11" s="1116"/>
      <c r="VNN11" s="1116"/>
      <c r="VNO11" s="1116"/>
      <c r="VNP11" s="1116"/>
      <c r="VNQ11" s="1116"/>
      <c r="VNR11" s="1116"/>
      <c r="VNS11" s="1116"/>
      <c r="VNT11" s="1116"/>
      <c r="VNU11" s="1116"/>
      <c r="VNV11" s="1116"/>
      <c r="VNW11" s="1116"/>
      <c r="VNX11" s="1116"/>
      <c r="VNY11" s="1116"/>
      <c r="VNZ11" s="1116"/>
      <c r="VOA11" s="1116"/>
      <c r="VOB11" s="1116"/>
      <c r="VOC11" s="1116"/>
      <c r="VOD11" s="1116"/>
      <c r="VOE11" s="1116"/>
      <c r="VOF11" s="1116"/>
      <c r="VOG11" s="1116"/>
      <c r="VOH11" s="1116"/>
      <c r="VOI11" s="1116"/>
      <c r="VOJ11" s="1116"/>
      <c r="VOK11" s="1116"/>
      <c r="VOL11" s="1116"/>
      <c r="VOM11" s="1116"/>
      <c r="VON11" s="1116"/>
      <c r="VOO11" s="1116"/>
      <c r="VOP11" s="1116"/>
      <c r="VOQ11" s="1116"/>
      <c r="VOR11" s="1116"/>
      <c r="VOS11" s="1116"/>
      <c r="VOT11" s="1116"/>
      <c r="VOU11" s="1116"/>
      <c r="VOV11" s="1116"/>
      <c r="VOW11" s="1116"/>
      <c r="VOX11" s="1116"/>
      <c r="VOY11" s="1116"/>
      <c r="VOZ11" s="1116"/>
      <c r="VPA11" s="1116"/>
      <c r="VPB11" s="1116"/>
      <c r="VPC11" s="1116"/>
      <c r="VPD11" s="1116"/>
      <c r="VPE11" s="1116"/>
      <c r="VPF11" s="1116"/>
      <c r="VPG11" s="1116"/>
      <c r="VPH11" s="1116"/>
      <c r="VPI11" s="1116"/>
      <c r="VPJ11" s="1116"/>
      <c r="VPK11" s="1116"/>
      <c r="VPL11" s="1116"/>
      <c r="VPM11" s="1116"/>
      <c r="VPN11" s="1116"/>
      <c r="VPO11" s="1116"/>
      <c r="VPP11" s="1116"/>
      <c r="VPQ11" s="1116"/>
      <c r="VPR11" s="1116"/>
      <c r="VPS11" s="1116"/>
      <c r="VPT11" s="1116"/>
      <c r="VPU11" s="1116"/>
      <c r="VPV11" s="1116"/>
      <c r="VPW11" s="1116"/>
      <c r="VPX11" s="1116"/>
      <c r="VPY11" s="1116"/>
      <c r="VPZ11" s="1116"/>
      <c r="VQA11" s="1116"/>
      <c r="VQB11" s="1116"/>
      <c r="VQC11" s="1116"/>
      <c r="VQD11" s="1116"/>
      <c r="VQE11" s="1116"/>
      <c r="VQF11" s="1116"/>
      <c r="VQG11" s="1116"/>
      <c r="VQH11" s="1116"/>
      <c r="VQI11" s="1116"/>
      <c r="VQJ11" s="1116"/>
      <c r="VQK11" s="1116"/>
      <c r="VQL11" s="1116"/>
      <c r="VQM11" s="1116"/>
      <c r="VQN11" s="1116"/>
      <c r="VQO11" s="1116"/>
      <c r="VQP11" s="1116"/>
      <c r="VQQ11" s="1116"/>
      <c r="VQR11" s="1116"/>
      <c r="VQS11" s="1116"/>
      <c r="VQT11" s="1116"/>
      <c r="VQU11" s="1116"/>
      <c r="VQV11" s="1116"/>
      <c r="VQW11" s="1116"/>
      <c r="VQX11" s="1116"/>
      <c r="VQY11" s="1116"/>
      <c r="VQZ11" s="1116"/>
      <c r="VRA11" s="1116"/>
      <c r="VRB11" s="1116"/>
      <c r="VRC11" s="1116"/>
      <c r="VRD11" s="1116"/>
      <c r="VRE11" s="1116"/>
      <c r="VRF11" s="1116"/>
      <c r="VRG11" s="1116"/>
      <c r="VRH11" s="1116"/>
      <c r="VRI11" s="1116"/>
      <c r="VRJ11" s="1116"/>
      <c r="VRK11" s="1116"/>
      <c r="VRL11" s="1116"/>
      <c r="VRM11" s="1116"/>
      <c r="VRN11" s="1116"/>
      <c r="VRO11" s="1116"/>
      <c r="VRP11" s="1116"/>
      <c r="VRQ11" s="1116"/>
      <c r="VRR11" s="1116"/>
      <c r="VRS11" s="1116"/>
      <c r="VRT11" s="1116"/>
      <c r="VRU11" s="1116"/>
      <c r="VRV11" s="1116"/>
      <c r="VRW11" s="1116"/>
      <c r="VRX11" s="1116"/>
      <c r="VRY11" s="1116"/>
      <c r="VRZ11" s="1116"/>
      <c r="VSA11" s="1116"/>
      <c r="VSB11" s="1116"/>
      <c r="VSC11" s="1116"/>
      <c r="VSD11" s="1116"/>
      <c r="VSE11" s="1116"/>
      <c r="VSF11" s="1116"/>
      <c r="VSG11" s="1116"/>
      <c r="VSH11" s="1116"/>
      <c r="VSI11" s="1116"/>
      <c r="VSJ11" s="1116"/>
      <c r="VSK11" s="1116"/>
      <c r="VSL11" s="1116"/>
      <c r="VSM11" s="1116"/>
      <c r="VSN11" s="1116"/>
      <c r="VSO11" s="1116"/>
      <c r="VSP11" s="1116"/>
      <c r="VSQ11" s="1116"/>
      <c r="VSR11" s="1116"/>
      <c r="VSS11" s="1116"/>
      <c r="VST11" s="1116"/>
      <c r="VSU11" s="1116"/>
      <c r="VSV11" s="1116"/>
      <c r="VSW11" s="1116"/>
      <c r="VSX11" s="1116"/>
      <c r="VSY11" s="1116"/>
      <c r="VSZ11" s="1116"/>
      <c r="VTA11" s="1116"/>
      <c r="VTB11" s="1116"/>
      <c r="VTC11" s="1116"/>
      <c r="VTD11" s="1116"/>
      <c r="VTE11" s="1116"/>
      <c r="VTF11" s="1116"/>
      <c r="VTG11" s="1116"/>
      <c r="VTH11" s="1116"/>
      <c r="VTI11" s="1116"/>
      <c r="VTJ11" s="1116"/>
      <c r="VTK11" s="1116"/>
      <c r="VTL11" s="1116"/>
      <c r="VTM11" s="1116"/>
      <c r="VTN11" s="1116"/>
      <c r="VTO11" s="1116"/>
      <c r="VTP11" s="1116"/>
      <c r="VTQ11" s="1116"/>
      <c r="VTR11" s="1116"/>
      <c r="VTS11" s="1116"/>
      <c r="VTT11" s="1116"/>
      <c r="VTU11" s="1116"/>
      <c r="VTV11" s="1116"/>
      <c r="VTW11" s="1116"/>
      <c r="VTX11" s="1116"/>
      <c r="VTY11" s="1116"/>
      <c r="VTZ11" s="1116"/>
      <c r="VUA11" s="1116"/>
      <c r="VUB11" s="1116"/>
      <c r="VUC11" s="1116"/>
      <c r="VUD11" s="1116"/>
      <c r="VUE11" s="1116"/>
      <c r="VUF11" s="1116"/>
      <c r="VUG11" s="1116"/>
      <c r="VUH11" s="1116"/>
      <c r="VUI11" s="1116"/>
      <c r="VUJ11" s="1116"/>
      <c r="VUK11" s="1116"/>
      <c r="VUL11" s="1116"/>
      <c r="VUM11" s="1116"/>
      <c r="VUN11" s="1116"/>
      <c r="VUO11" s="1116"/>
      <c r="VUP11" s="1116"/>
      <c r="VUQ11" s="1116"/>
      <c r="VUR11" s="1116"/>
      <c r="VUS11" s="1116"/>
      <c r="VUT11" s="1116"/>
      <c r="VUU11" s="1116"/>
      <c r="VUV11" s="1116"/>
      <c r="VUW11" s="1116"/>
      <c r="VUX11" s="1116"/>
      <c r="VUY11" s="1116"/>
      <c r="VUZ11" s="1116"/>
      <c r="VVA11" s="1116"/>
      <c r="VVB11" s="1116"/>
      <c r="VVC11" s="1116"/>
      <c r="VVD11" s="1116"/>
      <c r="VVE11" s="1116"/>
      <c r="VVF11" s="1116"/>
      <c r="VVG11" s="1116"/>
      <c r="VVH11" s="1116"/>
      <c r="VVI11" s="1116"/>
      <c r="VVJ11" s="1116"/>
      <c r="VVK11" s="1116"/>
      <c r="VVL11" s="1116"/>
      <c r="VVM11" s="1116"/>
      <c r="VVN11" s="1116"/>
      <c r="VVO11" s="1116"/>
      <c r="VVP11" s="1116"/>
      <c r="VVQ11" s="1116"/>
      <c r="VVR11" s="1116"/>
      <c r="VVS11" s="1116"/>
      <c r="VVT11" s="1116"/>
      <c r="VVU11" s="1116"/>
      <c r="VVV11" s="1116"/>
      <c r="VVW11" s="1116"/>
      <c r="VVX11" s="1116"/>
      <c r="VVY11" s="1116"/>
      <c r="VVZ11" s="1116"/>
      <c r="VWA11" s="1116"/>
      <c r="VWB11" s="1116"/>
      <c r="VWC11" s="1116"/>
      <c r="VWD11" s="1116"/>
      <c r="VWE11" s="1116"/>
      <c r="VWF11" s="1116"/>
      <c r="VWG11" s="1116"/>
      <c r="VWH11" s="1116"/>
      <c r="VWI11" s="1116"/>
      <c r="VWJ11" s="1116"/>
      <c r="VWK11" s="1116"/>
      <c r="VWL11" s="1116"/>
      <c r="VWM11" s="1116"/>
      <c r="VWN11" s="1116"/>
      <c r="VWO11" s="1116"/>
      <c r="VWP11" s="1116"/>
      <c r="VWQ11" s="1116"/>
      <c r="VWR11" s="1116"/>
      <c r="VWS11" s="1116"/>
      <c r="VWT11" s="1116"/>
      <c r="VWU11" s="1116"/>
      <c r="VWV11" s="1116"/>
      <c r="VWW11" s="1116"/>
      <c r="VWX11" s="1116"/>
      <c r="VWY11" s="1116"/>
      <c r="VWZ11" s="1116"/>
      <c r="VXA11" s="1116"/>
      <c r="VXB11" s="1116"/>
      <c r="VXC11" s="1116"/>
      <c r="VXD11" s="1116"/>
      <c r="VXE11" s="1116"/>
      <c r="VXF11" s="1116"/>
      <c r="VXG11" s="1116"/>
      <c r="VXH11" s="1116"/>
      <c r="VXI11" s="1116"/>
      <c r="VXJ11" s="1116"/>
      <c r="VXK11" s="1116"/>
      <c r="VXL11" s="1116"/>
      <c r="VXM11" s="1116"/>
      <c r="VXN11" s="1116"/>
      <c r="VXO11" s="1116"/>
      <c r="VXP11" s="1116"/>
      <c r="VXQ11" s="1116"/>
      <c r="VXR11" s="1116"/>
      <c r="VXS11" s="1116"/>
      <c r="VXT11" s="1116"/>
      <c r="VXU11" s="1116"/>
      <c r="VXV11" s="1116"/>
      <c r="VXW11" s="1116"/>
      <c r="VXX11" s="1116"/>
      <c r="VXY11" s="1116"/>
      <c r="VXZ11" s="1116"/>
      <c r="VYA11" s="1116"/>
      <c r="VYB11" s="1116"/>
      <c r="VYC11" s="1116"/>
      <c r="VYD11" s="1116"/>
      <c r="VYE11" s="1116"/>
      <c r="VYF11" s="1116"/>
      <c r="VYG11" s="1116"/>
      <c r="VYH11" s="1116"/>
      <c r="VYI11" s="1116"/>
      <c r="VYJ11" s="1116"/>
      <c r="VYK11" s="1116"/>
      <c r="VYL11" s="1116"/>
      <c r="VYM11" s="1116"/>
      <c r="VYN11" s="1116"/>
      <c r="VYO11" s="1116"/>
      <c r="VYP11" s="1116"/>
      <c r="VYQ11" s="1116"/>
      <c r="VYR11" s="1116"/>
      <c r="VYS11" s="1116"/>
      <c r="VYT11" s="1116"/>
      <c r="VYU11" s="1116"/>
      <c r="VYV11" s="1116"/>
      <c r="VYW11" s="1116"/>
      <c r="VYX11" s="1116"/>
      <c r="VYY11" s="1116"/>
      <c r="VYZ11" s="1116"/>
      <c r="VZA11" s="1116"/>
      <c r="VZB11" s="1116"/>
      <c r="VZC11" s="1116"/>
      <c r="VZD11" s="1116"/>
      <c r="VZE11" s="1116"/>
      <c r="VZF11" s="1116"/>
      <c r="VZG11" s="1116"/>
      <c r="VZH11" s="1116"/>
      <c r="VZI11" s="1116"/>
      <c r="VZJ11" s="1116"/>
      <c r="VZK11" s="1116"/>
      <c r="VZL11" s="1116"/>
      <c r="VZM11" s="1116"/>
      <c r="VZN11" s="1116"/>
      <c r="VZO11" s="1116"/>
      <c r="VZP11" s="1116"/>
      <c r="VZQ11" s="1116"/>
      <c r="VZR11" s="1116"/>
      <c r="VZS11" s="1116"/>
      <c r="VZT11" s="1116"/>
      <c r="VZU11" s="1116"/>
      <c r="VZV11" s="1116"/>
      <c r="VZW11" s="1116"/>
      <c r="VZX11" s="1116"/>
      <c r="VZY11" s="1116"/>
      <c r="VZZ11" s="1116"/>
      <c r="WAA11" s="1116"/>
      <c r="WAB11" s="1116"/>
      <c r="WAC11" s="1116"/>
      <c r="WAD11" s="1116"/>
      <c r="WAE11" s="1116"/>
      <c r="WAF11" s="1116"/>
      <c r="WAG11" s="1116"/>
      <c r="WAH11" s="1116"/>
      <c r="WAI11" s="1116"/>
      <c r="WAJ11" s="1116"/>
      <c r="WAK11" s="1116"/>
      <c r="WAL11" s="1116"/>
      <c r="WAM11" s="1116"/>
      <c r="WAN11" s="1116"/>
      <c r="WAO11" s="1116"/>
      <c r="WAP11" s="1116"/>
      <c r="WAQ11" s="1116"/>
      <c r="WAR11" s="1116"/>
      <c r="WAS11" s="1116"/>
      <c r="WAT11" s="1116"/>
      <c r="WAU11" s="1116"/>
      <c r="WAV11" s="1116"/>
      <c r="WAW11" s="1116"/>
      <c r="WAX11" s="1116"/>
      <c r="WAY11" s="1116"/>
      <c r="WAZ11" s="1116"/>
      <c r="WBA11" s="1116"/>
      <c r="WBB11" s="1116"/>
      <c r="WBC11" s="1116"/>
      <c r="WBD11" s="1116"/>
      <c r="WBE11" s="1116"/>
      <c r="WBF11" s="1116"/>
      <c r="WBG11" s="1116"/>
      <c r="WBH11" s="1116"/>
      <c r="WBI11" s="1116"/>
      <c r="WBJ11" s="1116"/>
      <c r="WBK11" s="1116"/>
      <c r="WBL11" s="1116"/>
      <c r="WBM11" s="1116"/>
      <c r="WBN11" s="1116"/>
      <c r="WBO11" s="1116"/>
      <c r="WBP11" s="1116"/>
      <c r="WBQ11" s="1116"/>
      <c r="WBR11" s="1116"/>
      <c r="WBS11" s="1116"/>
      <c r="WBT11" s="1116"/>
      <c r="WBU11" s="1116"/>
      <c r="WBV11" s="1116"/>
      <c r="WBW11" s="1116"/>
      <c r="WBX11" s="1116"/>
      <c r="WBY11" s="1116"/>
      <c r="WBZ11" s="1116"/>
      <c r="WCA11" s="1116"/>
      <c r="WCB11" s="1116"/>
      <c r="WCC11" s="1116"/>
      <c r="WCD11" s="1116"/>
      <c r="WCE11" s="1116"/>
      <c r="WCF11" s="1116"/>
      <c r="WCG11" s="1116"/>
      <c r="WCH11" s="1116"/>
      <c r="WCI11" s="1116"/>
      <c r="WCJ11" s="1116"/>
      <c r="WCK11" s="1116"/>
      <c r="WCL11" s="1116"/>
      <c r="WCM11" s="1116"/>
      <c r="WCN11" s="1116"/>
      <c r="WCO11" s="1116"/>
      <c r="WCP11" s="1116"/>
      <c r="WCQ11" s="1116"/>
      <c r="WCR11" s="1116"/>
      <c r="WCS11" s="1116"/>
      <c r="WCT11" s="1116"/>
      <c r="WCU11" s="1116"/>
      <c r="WCV11" s="1116"/>
      <c r="WCW11" s="1116"/>
      <c r="WCX11" s="1116"/>
      <c r="WCY11" s="1116"/>
      <c r="WCZ11" s="1116"/>
      <c r="WDA11" s="1116"/>
      <c r="WDB11" s="1116"/>
      <c r="WDC11" s="1116"/>
      <c r="WDD11" s="1116"/>
      <c r="WDE11" s="1116"/>
      <c r="WDF11" s="1116"/>
      <c r="WDG11" s="1116"/>
      <c r="WDH11" s="1116"/>
      <c r="WDI11" s="1116"/>
      <c r="WDJ11" s="1116"/>
      <c r="WDK11" s="1116"/>
      <c r="WDL11" s="1116"/>
      <c r="WDM11" s="1116"/>
      <c r="WDN11" s="1116"/>
      <c r="WDO11" s="1116"/>
      <c r="WDP11" s="1116"/>
      <c r="WDQ11" s="1116"/>
      <c r="WDR11" s="1116"/>
      <c r="WDS11" s="1116"/>
      <c r="WDT11" s="1116"/>
      <c r="WDU11" s="1116"/>
      <c r="WDV11" s="1116"/>
      <c r="WDW11" s="1116"/>
      <c r="WDX11" s="1116"/>
      <c r="WDY11" s="1116"/>
      <c r="WDZ11" s="1116"/>
      <c r="WEA11" s="1116"/>
      <c r="WEB11" s="1116"/>
      <c r="WEC11" s="1116"/>
      <c r="WED11" s="1116"/>
      <c r="WEE11" s="1116"/>
      <c r="WEF11" s="1116"/>
      <c r="WEG11" s="1116"/>
      <c r="WEH11" s="1116"/>
      <c r="WEI11" s="1116"/>
      <c r="WEJ11" s="1116"/>
      <c r="WEK11" s="1116"/>
      <c r="WEL11" s="1116"/>
      <c r="WEM11" s="1116"/>
      <c r="WEN11" s="1116"/>
      <c r="WEO11" s="1116"/>
      <c r="WEP11" s="1116"/>
      <c r="WEQ11" s="1116"/>
      <c r="WER11" s="1116"/>
      <c r="WES11" s="1116"/>
      <c r="WET11" s="1116"/>
      <c r="WEU11" s="1116"/>
      <c r="WEV11" s="1116"/>
      <c r="WEW11" s="1116"/>
      <c r="WEX11" s="1116"/>
      <c r="WEY11" s="1116"/>
      <c r="WEZ11" s="1116"/>
      <c r="WFA11" s="1116"/>
      <c r="WFB11" s="1116"/>
      <c r="WFC11" s="1116"/>
      <c r="WFD11" s="1116"/>
      <c r="WFE11" s="1116"/>
      <c r="WFF11" s="1116"/>
      <c r="WFG11" s="1116"/>
      <c r="WFH11" s="1116"/>
      <c r="WFI11" s="1116"/>
      <c r="WFJ11" s="1116"/>
      <c r="WFK11" s="1116"/>
      <c r="WFL11" s="1116"/>
      <c r="WFM11" s="1116"/>
      <c r="WFN11" s="1116"/>
      <c r="WFO11" s="1116"/>
      <c r="WFP11" s="1116"/>
      <c r="WFQ11" s="1116"/>
      <c r="WFR11" s="1116"/>
      <c r="WFS11" s="1116"/>
      <c r="WFT11" s="1116"/>
      <c r="WFU11" s="1116"/>
      <c r="WFV11" s="1116"/>
      <c r="WFW11" s="1116"/>
      <c r="WFX11" s="1116"/>
      <c r="WFY11" s="1116"/>
      <c r="WFZ11" s="1116"/>
      <c r="WGA11" s="1116"/>
      <c r="WGB11" s="1116"/>
      <c r="WGC11" s="1116"/>
      <c r="WGD11" s="1116"/>
      <c r="WGE11" s="1116"/>
      <c r="WGF11" s="1116"/>
      <c r="WGG11" s="1116"/>
      <c r="WGH11" s="1116"/>
      <c r="WGI11" s="1116"/>
      <c r="WGJ11" s="1116"/>
      <c r="WGK11" s="1116"/>
      <c r="WGL11" s="1116"/>
      <c r="WGM11" s="1116"/>
      <c r="WGN11" s="1116"/>
      <c r="WGO11" s="1116"/>
      <c r="WGP11" s="1116"/>
      <c r="WGQ11" s="1116"/>
      <c r="WGR11" s="1116"/>
      <c r="WGS11" s="1116"/>
      <c r="WGT11" s="1116"/>
      <c r="WGU11" s="1116"/>
      <c r="WGV11" s="1116"/>
      <c r="WGW11" s="1116"/>
      <c r="WGX11" s="1116"/>
      <c r="WGY11" s="1116"/>
      <c r="WGZ11" s="1116"/>
      <c r="WHA11" s="1116"/>
      <c r="WHB11" s="1116"/>
      <c r="WHC11" s="1116"/>
      <c r="WHD11" s="1116"/>
      <c r="WHE11" s="1116"/>
      <c r="WHF11" s="1116"/>
      <c r="WHG11" s="1116"/>
      <c r="WHH11" s="1116"/>
      <c r="WHI11" s="1116"/>
      <c r="WHJ11" s="1116"/>
      <c r="WHK11" s="1116"/>
      <c r="WHL11" s="1116"/>
      <c r="WHM11" s="1116"/>
      <c r="WHN11" s="1116"/>
      <c r="WHO11" s="1116"/>
      <c r="WHP11" s="1116"/>
      <c r="WHQ11" s="1116"/>
      <c r="WHR11" s="1116"/>
      <c r="WHS11" s="1116"/>
      <c r="WHT11" s="1116"/>
      <c r="WHU11" s="1116"/>
      <c r="WHV11" s="1116"/>
      <c r="WHW11" s="1116"/>
      <c r="WHX11" s="1116"/>
      <c r="WHY11" s="1116"/>
      <c r="WHZ11" s="1116"/>
      <c r="WIA11" s="1116"/>
      <c r="WIB11" s="1116"/>
      <c r="WIC11" s="1116"/>
      <c r="WID11" s="1116"/>
      <c r="WIE11" s="1116"/>
      <c r="WIF11" s="1116"/>
      <c r="WIG11" s="1116"/>
      <c r="WIH11" s="1116"/>
      <c r="WII11" s="1116"/>
      <c r="WIJ11" s="1116"/>
      <c r="WIK11" s="1116"/>
      <c r="WIL11" s="1116"/>
      <c r="WIM11" s="1116"/>
      <c r="WIN11" s="1116"/>
      <c r="WIO11" s="1116"/>
      <c r="WIP11" s="1116"/>
      <c r="WIQ11" s="1116"/>
      <c r="WIR11" s="1116"/>
      <c r="WIS11" s="1116"/>
      <c r="WIT11" s="1116"/>
      <c r="WIU11" s="1116"/>
      <c r="WIV11" s="1116"/>
      <c r="WIW11" s="1116"/>
      <c r="WIX11" s="1116"/>
      <c r="WIY11" s="1116"/>
      <c r="WIZ11" s="1116"/>
      <c r="WJA11" s="1116"/>
      <c r="WJB11" s="1116"/>
      <c r="WJC11" s="1116"/>
      <c r="WJD11" s="1116"/>
      <c r="WJE11" s="1116"/>
      <c r="WJF11" s="1116"/>
      <c r="WJG11" s="1116"/>
      <c r="WJH11" s="1116"/>
      <c r="WJI11" s="1116"/>
      <c r="WJJ11" s="1116"/>
      <c r="WJK11" s="1116"/>
      <c r="WJL11" s="1116"/>
      <c r="WJM11" s="1116"/>
      <c r="WJN11" s="1116"/>
      <c r="WJO11" s="1116"/>
      <c r="WJP11" s="1116"/>
      <c r="WJQ11" s="1116"/>
      <c r="WJR11" s="1116"/>
      <c r="WJS11" s="1116"/>
      <c r="WJT11" s="1116"/>
      <c r="WJU11" s="1116"/>
      <c r="WJV11" s="1116"/>
      <c r="WJW11" s="1116"/>
      <c r="WJX11" s="1116"/>
      <c r="WJY11" s="1116"/>
      <c r="WJZ11" s="1116"/>
      <c r="WKA11" s="1116"/>
      <c r="WKB11" s="1116"/>
      <c r="WKC11" s="1116"/>
      <c r="WKD11" s="1116"/>
      <c r="WKE11" s="1116"/>
      <c r="WKF11" s="1116"/>
      <c r="WKG11" s="1116"/>
      <c r="WKH11" s="1116"/>
      <c r="WKI11" s="1116"/>
      <c r="WKJ11" s="1116"/>
      <c r="WKK11" s="1116"/>
      <c r="WKL11" s="1116"/>
      <c r="WKM11" s="1116"/>
      <c r="WKN11" s="1116"/>
      <c r="WKO11" s="1116"/>
      <c r="WKP11" s="1116"/>
      <c r="WKQ11" s="1116"/>
      <c r="WKR11" s="1116"/>
      <c r="WKS11" s="1116"/>
      <c r="WKT11" s="1116"/>
      <c r="WKU11" s="1116"/>
      <c r="WKV11" s="1116"/>
      <c r="WKW11" s="1116"/>
      <c r="WKX11" s="1116"/>
      <c r="WKY11" s="1116"/>
      <c r="WKZ11" s="1116"/>
      <c r="WLA11" s="1116"/>
      <c r="WLB11" s="1116"/>
      <c r="WLC11" s="1116"/>
      <c r="WLD11" s="1116"/>
      <c r="WLE11" s="1116"/>
      <c r="WLF11" s="1116"/>
      <c r="WLG11" s="1116"/>
      <c r="WLH11" s="1116"/>
      <c r="WLI11" s="1116"/>
      <c r="WLJ11" s="1116"/>
      <c r="WLK11" s="1116"/>
      <c r="WLL11" s="1116"/>
      <c r="WLM11" s="1116"/>
      <c r="WLN11" s="1116"/>
      <c r="WLO11" s="1116"/>
      <c r="WLP11" s="1116"/>
      <c r="WLQ11" s="1116"/>
      <c r="WLR11" s="1116"/>
      <c r="WLS11" s="1116"/>
      <c r="WLT11" s="1116"/>
      <c r="WLU11" s="1116"/>
      <c r="WLV11" s="1116"/>
      <c r="WLW11" s="1116"/>
      <c r="WLX11" s="1116"/>
      <c r="WLY11" s="1116"/>
      <c r="WLZ11" s="1116"/>
      <c r="WMA11" s="1116"/>
      <c r="WMB11" s="1116"/>
      <c r="WMC11" s="1116"/>
      <c r="WMD11" s="1116"/>
      <c r="WME11" s="1116"/>
      <c r="WMF11" s="1116"/>
      <c r="WMG11" s="1116"/>
      <c r="WMH11" s="1116"/>
      <c r="WMI11" s="1116"/>
      <c r="WMJ11" s="1116"/>
      <c r="WMK11" s="1116"/>
      <c r="WML11" s="1116"/>
      <c r="WMM11" s="1116"/>
      <c r="WMN11" s="1116"/>
      <c r="WMO11" s="1116"/>
      <c r="WMP11" s="1116"/>
      <c r="WMQ11" s="1116"/>
      <c r="WMR11" s="1116"/>
      <c r="WMS11" s="1116"/>
      <c r="WMT11" s="1116"/>
      <c r="WMU11" s="1116"/>
      <c r="WMV11" s="1116"/>
      <c r="WMW11" s="1116"/>
      <c r="WMX11" s="1116"/>
      <c r="WMY11" s="1116"/>
      <c r="WMZ11" s="1116"/>
      <c r="WNA11" s="1116"/>
      <c r="WNB11" s="1116"/>
      <c r="WNC11" s="1116"/>
      <c r="WND11" s="1116"/>
      <c r="WNE11" s="1116"/>
      <c r="WNF11" s="1116"/>
      <c r="WNG11" s="1116"/>
      <c r="WNH11" s="1116"/>
      <c r="WNI11" s="1116"/>
      <c r="WNJ11" s="1116"/>
      <c r="WNK11" s="1116"/>
      <c r="WNL11" s="1116"/>
      <c r="WNM11" s="1116"/>
      <c r="WNN11" s="1116"/>
      <c r="WNO11" s="1116"/>
      <c r="WNP11" s="1116"/>
      <c r="WNQ11" s="1116"/>
      <c r="WNR11" s="1116"/>
      <c r="WNS11" s="1116"/>
      <c r="WNT11" s="1116"/>
      <c r="WNU11" s="1116"/>
      <c r="WNV11" s="1116"/>
      <c r="WNW11" s="1116"/>
      <c r="WNX11" s="1116"/>
      <c r="WNY11" s="1116"/>
      <c r="WNZ11" s="1116"/>
      <c r="WOA11" s="1116"/>
      <c r="WOB11" s="1116"/>
      <c r="WOC11" s="1116"/>
      <c r="WOD11" s="1116"/>
      <c r="WOE11" s="1116"/>
      <c r="WOF11" s="1116"/>
      <c r="WOG11" s="1116"/>
      <c r="WOH11" s="1116"/>
      <c r="WOI11" s="1116"/>
      <c r="WOJ11" s="1116"/>
      <c r="WOK11" s="1116"/>
      <c r="WOL11" s="1116"/>
      <c r="WOM11" s="1116"/>
      <c r="WON11" s="1116"/>
      <c r="WOO11" s="1116"/>
      <c r="WOP11" s="1116"/>
      <c r="WOQ11" s="1116"/>
      <c r="WOR11" s="1116"/>
      <c r="WOS11" s="1116"/>
      <c r="WOT11" s="1116"/>
      <c r="WOU11" s="1116"/>
      <c r="WOV11" s="1116"/>
      <c r="WOW11" s="1116"/>
      <c r="WOX11" s="1116"/>
      <c r="WOY11" s="1116"/>
      <c r="WOZ11" s="1116"/>
      <c r="WPA11" s="1116"/>
      <c r="WPB11" s="1116"/>
      <c r="WPC11" s="1116"/>
      <c r="WPD11" s="1116"/>
      <c r="WPE11" s="1116"/>
      <c r="WPF11" s="1116"/>
      <c r="WPG11" s="1116"/>
      <c r="WPH11" s="1116"/>
      <c r="WPI11" s="1116"/>
      <c r="WPJ11" s="1116"/>
      <c r="WPK11" s="1116"/>
      <c r="WPL11" s="1116"/>
      <c r="WPM11" s="1116"/>
      <c r="WPN11" s="1116"/>
      <c r="WPO11" s="1116"/>
      <c r="WPP11" s="1116"/>
      <c r="WPQ11" s="1116"/>
      <c r="WPR11" s="1116"/>
      <c r="WPS11" s="1116"/>
      <c r="WPT11" s="1116"/>
      <c r="WPU11" s="1116"/>
      <c r="WPV11" s="1116"/>
      <c r="WPW11" s="1116"/>
      <c r="WPX11" s="1116"/>
      <c r="WPY11" s="1116"/>
      <c r="WPZ11" s="1116"/>
      <c r="WQA11" s="1116"/>
      <c r="WQB11" s="1116"/>
      <c r="WQC11" s="1116"/>
      <c r="WQD11" s="1116"/>
      <c r="WQE11" s="1116"/>
      <c r="WQF11" s="1116"/>
      <c r="WQG11" s="1116"/>
      <c r="WQH11" s="1116"/>
      <c r="WQI11" s="1116"/>
      <c r="WQJ11" s="1116"/>
      <c r="WQK11" s="1116"/>
      <c r="WQL11" s="1116"/>
      <c r="WQM11" s="1116"/>
      <c r="WQN11" s="1116"/>
      <c r="WQO11" s="1116"/>
      <c r="WQP11" s="1116"/>
      <c r="WQQ11" s="1116"/>
      <c r="WQR11" s="1116"/>
      <c r="WQS11" s="1116"/>
      <c r="WQT11" s="1116"/>
      <c r="WQU11" s="1116"/>
      <c r="WQV11" s="1116"/>
      <c r="WQW11" s="1116"/>
      <c r="WQX11" s="1116"/>
      <c r="WQY11" s="1116"/>
      <c r="WQZ11" s="1116"/>
      <c r="WRA11" s="1116"/>
      <c r="WRB11" s="1116"/>
      <c r="WRC11" s="1116"/>
      <c r="WRD11" s="1116"/>
      <c r="WRE11" s="1116"/>
      <c r="WRF11" s="1116"/>
      <c r="WRG11" s="1116"/>
      <c r="WRH11" s="1116"/>
      <c r="WRI11" s="1116"/>
      <c r="WRJ11" s="1116"/>
      <c r="WRK11" s="1116"/>
      <c r="WRL11" s="1116"/>
      <c r="WRM11" s="1116"/>
      <c r="WRN11" s="1116"/>
      <c r="WRO11" s="1116"/>
      <c r="WRP11" s="1116"/>
      <c r="WRQ11" s="1116"/>
      <c r="WRR11" s="1116"/>
      <c r="WRS11" s="1116"/>
      <c r="WRT11" s="1116"/>
      <c r="WRU11" s="1116"/>
      <c r="WRV11" s="1116"/>
      <c r="WRW11" s="1116"/>
      <c r="WRX11" s="1116"/>
      <c r="WRY11" s="1116"/>
      <c r="WRZ11" s="1116"/>
      <c r="WSA11" s="1116"/>
      <c r="WSB11" s="1116"/>
      <c r="WSC11" s="1116"/>
      <c r="WSD11" s="1116"/>
      <c r="WSE11" s="1116"/>
      <c r="WSF11" s="1116"/>
      <c r="WSG11" s="1116"/>
      <c r="WSH11" s="1116"/>
      <c r="WSI11" s="1116"/>
      <c r="WSJ11" s="1116"/>
      <c r="WSK11" s="1116"/>
      <c r="WSL11" s="1116"/>
      <c r="WSM11" s="1116"/>
      <c r="WSN11" s="1116"/>
      <c r="WSO11" s="1116"/>
      <c r="WSP11" s="1116"/>
      <c r="WSQ11" s="1116"/>
      <c r="WSR11" s="1116"/>
      <c r="WSS11" s="1116"/>
      <c r="WST11" s="1116"/>
      <c r="WSU11" s="1116"/>
      <c r="WSV11" s="1116"/>
      <c r="WSW11" s="1116"/>
      <c r="WSX11" s="1116"/>
      <c r="WSY11" s="1116"/>
      <c r="WSZ11" s="1116"/>
      <c r="WTA11" s="1116"/>
      <c r="WTB11" s="1116"/>
      <c r="WTC11" s="1116"/>
      <c r="WTD11" s="1116"/>
      <c r="WTE11" s="1116"/>
      <c r="WTF11" s="1116"/>
      <c r="WTG11" s="1116"/>
      <c r="WTH11" s="1116"/>
      <c r="WTI11" s="1116"/>
      <c r="WTJ11" s="1116"/>
      <c r="WTK11" s="1116"/>
      <c r="WTL11" s="1116"/>
      <c r="WTM11" s="1116"/>
      <c r="WTN11" s="1116"/>
      <c r="WTO11" s="1116"/>
      <c r="WTP11" s="1116"/>
      <c r="WTQ11" s="1116"/>
      <c r="WTR11" s="1116"/>
      <c r="WTS11" s="1116"/>
      <c r="WTT11" s="1116"/>
      <c r="WTU11" s="1116"/>
      <c r="WTV11" s="1116"/>
      <c r="WTW11" s="1116"/>
      <c r="WTX11" s="1116"/>
      <c r="WTY11" s="1116"/>
      <c r="WTZ11" s="1116"/>
      <c r="WUA11" s="1116"/>
      <c r="WUB11" s="1116"/>
      <c r="WUC11" s="1116"/>
      <c r="WUD11" s="1116"/>
      <c r="WUE11" s="1116"/>
      <c r="WUF11" s="1116"/>
      <c r="WUG11" s="1116"/>
      <c r="WUH11" s="1116"/>
      <c r="WUI11" s="1116"/>
      <c r="WUJ11" s="1116"/>
      <c r="WUK11" s="1116"/>
      <c r="WUL11" s="1116"/>
      <c r="WUM11" s="1116"/>
      <c r="WUN11" s="1116"/>
      <c r="WUO11" s="1116"/>
      <c r="WUP11" s="1116"/>
      <c r="WUQ11" s="1116"/>
      <c r="WUR11" s="1116"/>
      <c r="WUS11" s="1116"/>
      <c r="WUT11" s="1116"/>
      <c r="WUU11" s="1116"/>
      <c r="WUV11" s="1116"/>
      <c r="WUW11" s="1116"/>
      <c r="WUX11" s="1116"/>
      <c r="WUY11" s="1116"/>
      <c r="WUZ11" s="1116"/>
      <c r="WVA11" s="1116"/>
      <c r="WVB11" s="1116"/>
      <c r="WVC11" s="1116"/>
      <c r="WVD11" s="1116"/>
      <c r="WVE11" s="1116"/>
      <c r="WVF11" s="1116"/>
      <c r="WVG11" s="1116"/>
      <c r="WVH11" s="1116"/>
      <c r="WVI11" s="1116"/>
      <c r="WVJ11" s="1116"/>
      <c r="WVK11" s="1116"/>
      <c r="WVL11" s="1116"/>
      <c r="WVM11" s="1116"/>
      <c r="WVN11" s="1116"/>
      <c r="WVO11" s="1116"/>
      <c r="WVP11" s="1116"/>
      <c r="WVQ11" s="1116"/>
      <c r="WVR11" s="1116"/>
      <c r="WVS11" s="1116"/>
      <c r="WVT11" s="1116"/>
      <c r="WVU11" s="1116"/>
      <c r="WVV11" s="1116"/>
      <c r="WVW11" s="1116"/>
      <c r="WVX11" s="1116"/>
      <c r="WVY11" s="1116"/>
      <c r="WVZ11" s="1116"/>
      <c r="WWA11" s="1116"/>
      <c r="WWB11" s="1116"/>
      <c r="WWC11" s="1116"/>
      <c r="WWD11" s="1116"/>
      <c r="WWE11" s="1116"/>
      <c r="WWF11" s="1116"/>
      <c r="WWG11" s="1116"/>
      <c r="WWH11" s="1116"/>
      <c r="WWI11" s="1116"/>
      <c r="WWJ11" s="1116"/>
      <c r="WWK11" s="1116"/>
      <c r="WWL11" s="1116"/>
      <c r="WWM11" s="1116"/>
      <c r="WWN11" s="1116"/>
      <c r="WWO11" s="1116"/>
      <c r="WWP11" s="1116"/>
      <c r="WWQ11" s="1116"/>
      <c r="WWR11" s="1116"/>
      <c r="WWS11" s="1116"/>
      <c r="WWT11" s="1116"/>
      <c r="WWU11" s="1116"/>
      <c r="WWV11" s="1116"/>
      <c r="WWW11" s="1116"/>
      <c r="WWX11" s="1116"/>
      <c r="WWY11" s="1116"/>
      <c r="WWZ11" s="1116"/>
      <c r="WXA11" s="1116"/>
      <c r="WXB11" s="1116"/>
      <c r="WXC11" s="1116"/>
      <c r="WXD11" s="1116"/>
      <c r="WXE11" s="1116"/>
      <c r="WXF11" s="1116"/>
      <c r="WXG11" s="1116"/>
      <c r="WXH11" s="1116"/>
      <c r="WXI11" s="1116"/>
      <c r="WXJ11" s="1116"/>
      <c r="WXK11" s="1116"/>
      <c r="WXL11" s="1116"/>
      <c r="WXM11" s="1116"/>
      <c r="WXN11" s="1116"/>
      <c r="WXO11" s="1116"/>
      <c r="WXP11" s="1116"/>
      <c r="WXQ11" s="1116"/>
      <c r="WXR11" s="1116"/>
      <c r="WXS11" s="1116"/>
      <c r="WXT11" s="1116"/>
      <c r="WXU11" s="1116"/>
      <c r="WXV11" s="1116"/>
      <c r="WXW11" s="1116"/>
      <c r="WXX11" s="1116"/>
      <c r="WXY11" s="1116"/>
      <c r="WXZ11" s="1116"/>
      <c r="WYA11" s="1116"/>
      <c r="WYB11" s="1116"/>
      <c r="WYC11" s="1116"/>
      <c r="WYD11" s="1116"/>
      <c r="WYE11" s="1116"/>
      <c r="WYF11" s="1116"/>
      <c r="WYG11" s="1116"/>
      <c r="WYH11" s="1116"/>
      <c r="WYI11" s="1116"/>
      <c r="WYJ11" s="1116"/>
      <c r="WYK11" s="1116"/>
      <c r="WYL11" s="1116"/>
      <c r="WYM11" s="1116"/>
      <c r="WYN11" s="1116"/>
      <c r="WYO11" s="1116"/>
      <c r="WYP11" s="1116"/>
      <c r="WYQ11" s="1116"/>
      <c r="WYR11" s="1116"/>
      <c r="WYS11" s="1116"/>
      <c r="WYT11" s="1116"/>
      <c r="WYU11" s="1116"/>
      <c r="WYV11" s="1116"/>
      <c r="WYW11" s="1116"/>
      <c r="WYX11" s="1116"/>
      <c r="WYY11" s="1116"/>
      <c r="WYZ11" s="1116"/>
      <c r="WZA11" s="1116"/>
      <c r="WZB11" s="1116"/>
      <c r="WZC11" s="1116"/>
      <c r="WZD11" s="1116"/>
      <c r="WZE11" s="1116"/>
      <c r="WZF11" s="1116"/>
      <c r="WZG11" s="1116"/>
      <c r="WZH11" s="1116"/>
      <c r="WZI11" s="1116"/>
      <c r="WZJ11" s="1116"/>
      <c r="WZK11" s="1116"/>
      <c r="WZL11" s="1116"/>
      <c r="WZM11" s="1116"/>
      <c r="WZN11" s="1116"/>
      <c r="WZO11" s="1116"/>
      <c r="WZP11" s="1116"/>
      <c r="WZQ11" s="1116"/>
      <c r="WZR11" s="1116"/>
      <c r="WZS11" s="1116"/>
      <c r="WZT11" s="1116"/>
      <c r="WZU11" s="1116"/>
      <c r="WZV11" s="1116"/>
      <c r="WZW11" s="1116"/>
      <c r="WZX11" s="1116"/>
      <c r="WZY11" s="1116"/>
      <c r="WZZ11" s="1116"/>
      <c r="XAA11" s="1116"/>
      <c r="XAB11" s="1116"/>
      <c r="XAC11" s="1116"/>
      <c r="XAD11" s="1116"/>
      <c r="XAE11" s="1116"/>
      <c r="XAF11" s="1116"/>
      <c r="XAG11" s="1116"/>
      <c r="XAH11" s="1116"/>
      <c r="XAI11" s="1116"/>
      <c r="XAJ11" s="1116"/>
      <c r="XAK11" s="1116"/>
      <c r="XAL11" s="1116"/>
      <c r="XAM11" s="1116"/>
      <c r="XAN11" s="1116"/>
      <c r="XAO11" s="1116"/>
      <c r="XAP11" s="1116"/>
      <c r="XAQ11" s="1116"/>
      <c r="XAR11" s="1116"/>
      <c r="XAS11" s="1116"/>
      <c r="XAT11" s="1116"/>
      <c r="XAU11" s="1116"/>
      <c r="XAV11" s="1116"/>
      <c r="XAW11" s="1116"/>
      <c r="XAX11" s="1116"/>
      <c r="XAY11" s="1116"/>
      <c r="XAZ11" s="1116"/>
      <c r="XBA11" s="1116"/>
      <c r="XBB11" s="1116"/>
      <c r="XBC11" s="1116"/>
      <c r="XBD11" s="1116"/>
      <c r="XBE11" s="1116"/>
      <c r="XBF11" s="1116"/>
      <c r="XBG11" s="1116"/>
      <c r="XBH11" s="1116"/>
      <c r="XBI11" s="1116"/>
      <c r="XBJ11" s="1116"/>
      <c r="XBK11" s="1116"/>
      <c r="XBL11" s="1116"/>
      <c r="XBM11" s="1116"/>
      <c r="XBN11" s="1116"/>
      <c r="XBO11" s="1116"/>
      <c r="XBP11" s="1116"/>
      <c r="XBQ11" s="1116"/>
      <c r="XBR11" s="1116"/>
      <c r="XBS11" s="1116"/>
      <c r="XBT11" s="1116"/>
      <c r="XBU11" s="1116"/>
      <c r="XBV11" s="1116"/>
      <c r="XBW11" s="1116"/>
      <c r="XBX11" s="1116"/>
      <c r="XBY11" s="1116"/>
      <c r="XBZ11" s="1116"/>
      <c r="XCA11" s="1116"/>
      <c r="XCB11" s="1116"/>
      <c r="XCC11" s="1116"/>
      <c r="XCD11" s="1116"/>
      <c r="XCE11" s="1116"/>
      <c r="XCF11" s="1116"/>
      <c r="XCG11" s="1116"/>
      <c r="XCH11" s="1116"/>
      <c r="XCI11" s="1116"/>
      <c r="XCJ11" s="1116"/>
      <c r="XCK11" s="1116"/>
      <c r="XCL11" s="1116"/>
      <c r="XCM11" s="1116"/>
      <c r="XCN11" s="1116"/>
      <c r="XCO11" s="1116"/>
      <c r="XCP11" s="1116"/>
      <c r="XCQ11" s="1116"/>
      <c r="XCR11" s="1116"/>
      <c r="XCS11" s="1116"/>
      <c r="XCT11" s="1116"/>
      <c r="XCU11" s="1116"/>
      <c r="XCV11" s="1116"/>
      <c r="XCW11" s="1116"/>
      <c r="XCX11" s="1116"/>
      <c r="XCY11" s="1116"/>
      <c r="XCZ11" s="1116"/>
      <c r="XDA11" s="1116"/>
      <c r="XDB11" s="1116"/>
      <c r="XDC11" s="1116"/>
      <c r="XDD11" s="1116"/>
      <c r="XDE11" s="1116"/>
      <c r="XDF11" s="1116"/>
      <c r="XDG11" s="1116"/>
      <c r="XDH11" s="1116"/>
      <c r="XDI11" s="1116"/>
      <c r="XDJ11" s="1116"/>
      <c r="XDK11" s="1116"/>
      <c r="XDL11" s="1116"/>
      <c r="XDM11" s="1116"/>
      <c r="XDN11" s="1116"/>
      <c r="XDO11" s="1116"/>
      <c r="XDP11" s="1116"/>
      <c r="XDQ11" s="1116"/>
      <c r="XDR11" s="1116"/>
      <c r="XDS11" s="1116"/>
      <c r="XDT11" s="1116"/>
      <c r="XDU11" s="1116"/>
      <c r="XDV11" s="1116"/>
      <c r="XDW11" s="1116"/>
      <c r="XDX11" s="1116"/>
      <c r="XDY11" s="1116"/>
      <c r="XDZ11" s="1116"/>
      <c r="XEA11" s="1116"/>
      <c r="XEB11" s="1116"/>
      <c r="XEC11" s="1116"/>
      <c r="XED11" s="1116"/>
      <c r="XEE11" s="1116"/>
      <c r="XEF11" s="1116"/>
      <c r="XEG11" s="1116"/>
      <c r="XEH11" s="1116"/>
      <c r="XEI11" s="1116"/>
      <c r="XEJ11" s="1116"/>
      <c r="XEK11" s="1116"/>
      <c r="XEL11" s="1116"/>
      <c r="XEM11" s="1116"/>
      <c r="XEN11" s="1116"/>
      <c r="XEO11" s="1116"/>
      <c r="XEP11" s="1116"/>
      <c r="XEQ11" s="1116"/>
      <c r="XER11" s="1116"/>
      <c r="XES11" s="1116"/>
      <c r="XET11" s="1116"/>
      <c r="XEU11" s="1116"/>
      <c r="XEV11" s="1116"/>
      <c r="XEW11" s="1116"/>
      <c r="XEX11" s="1116"/>
      <c r="XEY11" s="1116"/>
      <c r="XEZ11" s="1116"/>
      <c r="XFA11" s="1116"/>
      <c r="XFB11" s="1116"/>
      <c r="XFC11" s="1116"/>
      <c r="XFD11" s="1116"/>
    </row>
    <row r="12" spans="1:16384" ht="15.5" x14ac:dyDescent="0.35">
      <c r="B12" s="1274" t="str">
        <f>HYPERLINK("#D142",D142)</f>
        <v>5. USING THE TRM</v>
      </c>
      <c r="D12" s="1344"/>
      <c r="E12" s="1344"/>
      <c r="F12" s="1344"/>
      <c r="G12" s="1344"/>
      <c r="H12" s="1344"/>
      <c r="I12" s="1344"/>
      <c r="J12" s="1344"/>
      <c r="K12" s="1344"/>
      <c r="L12" s="1344"/>
    </row>
    <row r="13" spans="1:16384" ht="15.5" x14ac:dyDescent="0.35">
      <c r="B13" s="1275"/>
      <c r="D13" s="1344"/>
      <c r="E13" s="1344"/>
      <c r="F13" s="1344"/>
      <c r="G13" s="1344"/>
      <c r="H13" s="1344"/>
      <c r="I13" s="1344"/>
      <c r="J13" s="1344"/>
      <c r="K13" s="1344"/>
      <c r="L13" s="1344"/>
    </row>
    <row r="14" spans="1:16384" x14ac:dyDescent="0.35">
      <c r="B14" s="1114"/>
      <c r="D14" s="1344"/>
      <c r="E14" s="1344"/>
      <c r="F14" s="1344"/>
      <c r="G14" s="1344"/>
      <c r="H14" s="1344"/>
      <c r="I14" s="1344"/>
      <c r="J14" s="1344"/>
      <c r="K14" s="1344"/>
      <c r="L14" s="1344"/>
    </row>
    <row r="15" spans="1:16384" x14ac:dyDescent="0.35">
      <c r="B15" s="1114"/>
      <c r="D15" s="1344"/>
      <c r="E15" s="1344"/>
      <c r="F15" s="1344"/>
      <c r="G15" s="1344"/>
      <c r="H15" s="1344"/>
      <c r="I15" s="1344"/>
      <c r="J15" s="1344"/>
      <c r="K15" s="1344"/>
      <c r="L15" s="1344"/>
    </row>
    <row r="16" spans="1:16384" x14ac:dyDescent="0.35">
      <c r="B16" s="1114"/>
      <c r="C16" s="1123"/>
      <c r="D16" s="1344"/>
      <c r="E16" s="1344"/>
      <c r="F16" s="1344"/>
      <c r="G16" s="1344"/>
      <c r="H16" s="1344"/>
      <c r="I16" s="1344"/>
      <c r="J16" s="1344"/>
      <c r="K16" s="1344"/>
      <c r="L16" s="1344"/>
    </row>
    <row r="17" spans="2:12" x14ac:dyDescent="0.35">
      <c r="B17" s="1114"/>
      <c r="D17" s="1344"/>
      <c r="E17" s="1344"/>
      <c r="F17" s="1344"/>
      <c r="G17" s="1344"/>
      <c r="H17" s="1344"/>
      <c r="I17" s="1344"/>
      <c r="J17" s="1344"/>
      <c r="K17" s="1344"/>
      <c r="L17" s="1344"/>
    </row>
    <row r="18" spans="2:12" x14ac:dyDescent="0.35">
      <c r="B18" s="1114"/>
      <c r="D18" s="1124"/>
      <c r="E18" s="1124"/>
      <c r="F18" s="1124"/>
      <c r="G18" s="1114"/>
      <c r="H18" s="1114"/>
      <c r="I18" s="1114"/>
      <c r="J18" s="1125"/>
      <c r="K18" s="1114"/>
      <c r="L18" s="1114"/>
    </row>
    <row r="19" spans="2:12" ht="18.5" x14ac:dyDescent="0.35">
      <c r="B19" s="1114"/>
      <c r="D19" s="1256" t="s">
        <v>2853</v>
      </c>
      <c r="E19" s="1085"/>
      <c r="F19" s="1085"/>
    </row>
    <row r="20" spans="2:12" x14ac:dyDescent="0.35">
      <c r="B20" s="1114"/>
      <c r="D20" s="1114"/>
      <c r="E20" s="1114"/>
      <c r="F20" s="1114"/>
      <c r="G20" s="1114"/>
      <c r="H20" s="1114"/>
      <c r="I20" s="1114"/>
      <c r="J20" s="1114"/>
      <c r="K20" s="1114"/>
      <c r="L20" s="1114"/>
    </row>
    <row r="21" spans="2:12" ht="15" customHeight="1" x14ac:dyDescent="0.35">
      <c r="B21" s="1114"/>
      <c r="D21" s="1345" t="s">
        <v>2862</v>
      </c>
      <c r="E21" s="1345"/>
      <c r="F21" s="1345"/>
      <c r="G21" s="1345"/>
      <c r="H21" s="1345"/>
      <c r="I21" s="1345"/>
      <c r="J21" s="1345"/>
      <c r="K21" s="1345"/>
      <c r="L21" s="1345"/>
    </row>
    <row r="22" spans="2:12" x14ac:dyDescent="0.35">
      <c r="B22" s="1114"/>
      <c r="D22" s="1345"/>
      <c r="E22" s="1345"/>
      <c r="F22" s="1345"/>
      <c r="G22" s="1345"/>
      <c r="H22" s="1345"/>
      <c r="I22" s="1345"/>
      <c r="J22" s="1345"/>
      <c r="K22" s="1345"/>
      <c r="L22" s="1345"/>
    </row>
    <row r="23" spans="2:12" x14ac:dyDescent="0.35">
      <c r="B23" s="1114"/>
      <c r="D23" s="1345"/>
      <c r="E23" s="1345"/>
      <c r="F23" s="1345"/>
      <c r="G23" s="1345"/>
      <c r="H23" s="1345"/>
      <c r="I23" s="1345"/>
      <c r="J23" s="1345"/>
      <c r="K23" s="1345"/>
      <c r="L23" s="1345"/>
    </row>
    <row r="24" spans="2:12" x14ac:dyDescent="0.35">
      <c r="B24" s="1114"/>
      <c r="D24" s="1345"/>
      <c r="E24" s="1345"/>
      <c r="F24" s="1345"/>
      <c r="G24" s="1345"/>
      <c r="H24" s="1345"/>
      <c r="I24" s="1345"/>
      <c r="J24" s="1345"/>
      <c r="K24" s="1345"/>
      <c r="L24" s="1345"/>
    </row>
    <row r="25" spans="2:12" x14ac:dyDescent="0.35">
      <c r="B25" s="1114"/>
      <c r="D25" s="1345"/>
      <c r="E25" s="1345"/>
      <c r="F25" s="1345"/>
      <c r="G25" s="1345"/>
      <c r="H25" s="1345"/>
      <c r="I25" s="1345"/>
      <c r="J25" s="1345"/>
      <c r="K25" s="1345"/>
      <c r="L25" s="1345"/>
    </row>
    <row r="26" spans="2:12" x14ac:dyDescent="0.35">
      <c r="B26" s="1114"/>
      <c r="D26" s="1345"/>
      <c r="E26" s="1345"/>
      <c r="F26" s="1345"/>
      <c r="G26" s="1345"/>
      <c r="H26" s="1345"/>
      <c r="I26" s="1345"/>
      <c r="J26" s="1345"/>
      <c r="K26" s="1345"/>
      <c r="L26" s="1345"/>
    </row>
    <row r="27" spans="2:12" x14ac:dyDescent="0.35">
      <c r="B27" s="1114"/>
      <c r="D27" s="1345"/>
      <c r="E27" s="1345"/>
      <c r="F27" s="1345"/>
      <c r="G27" s="1345"/>
      <c r="H27" s="1345"/>
      <c r="I27" s="1345"/>
      <c r="J27" s="1345"/>
      <c r="K27" s="1345"/>
      <c r="L27" s="1345"/>
    </row>
    <row r="28" spans="2:12" x14ac:dyDescent="0.35">
      <c r="B28" s="1114"/>
      <c r="D28" s="1345"/>
      <c r="E28" s="1345"/>
      <c r="F28" s="1345"/>
      <c r="G28" s="1345"/>
      <c r="H28" s="1345"/>
      <c r="I28" s="1345"/>
      <c r="J28" s="1345"/>
      <c r="K28" s="1345"/>
      <c r="L28" s="1345"/>
    </row>
    <row r="29" spans="2:12" x14ac:dyDescent="0.35">
      <c r="B29" s="1114"/>
      <c r="D29" s="1345"/>
      <c r="E29" s="1345"/>
      <c r="F29" s="1345"/>
      <c r="G29" s="1345"/>
      <c r="H29" s="1345"/>
      <c r="I29" s="1345"/>
      <c r="J29" s="1345"/>
      <c r="K29" s="1345"/>
      <c r="L29" s="1345"/>
    </row>
    <row r="30" spans="2:12" x14ac:dyDescent="0.35">
      <c r="B30" s="1114"/>
      <c r="D30" s="1345"/>
      <c r="E30" s="1345"/>
      <c r="F30" s="1345"/>
      <c r="G30" s="1345"/>
      <c r="H30" s="1345"/>
      <c r="I30" s="1345"/>
      <c r="J30" s="1345"/>
      <c r="K30" s="1345"/>
      <c r="L30" s="1345"/>
    </row>
    <row r="31" spans="2:12" x14ac:dyDescent="0.35">
      <c r="B31" s="1114"/>
      <c r="D31" s="1345"/>
      <c r="E31" s="1345"/>
      <c r="F31" s="1345"/>
      <c r="G31" s="1345"/>
      <c r="H31" s="1345"/>
      <c r="I31" s="1345"/>
      <c r="J31" s="1345"/>
      <c r="K31" s="1345"/>
      <c r="L31" s="1345"/>
    </row>
    <row r="32" spans="2:12" x14ac:dyDescent="0.35">
      <c r="B32" s="1114"/>
      <c r="D32" s="1345"/>
      <c r="E32" s="1345"/>
      <c r="F32" s="1345"/>
      <c r="G32" s="1345"/>
      <c r="H32" s="1345"/>
      <c r="I32" s="1345"/>
      <c r="J32" s="1345"/>
      <c r="K32" s="1345"/>
      <c r="L32" s="1345"/>
    </row>
    <row r="33" spans="2:12" x14ac:dyDescent="0.35">
      <c r="B33" s="1114"/>
      <c r="D33" s="1345"/>
      <c r="E33" s="1345"/>
      <c r="F33" s="1345"/>
      <c r="G33" s="1345"/>
      <c r="H33" s="1345"/>
      <c r="I33" s="1345"/>
      <c r="J33" s="1345"/>
      <c r="K33" s="1345"/>
      <c r="L33" s="1345"/>
    </row>
    <row r="34" spans="2:12" x14ac:dyDescent="0.35">
      <c r="B34" s="1114"/>
      <c r="D34" s="1345"/>
      <c r="E34" s="1345"/>
      <c r="F34" s="1345"/>
      <c r="G34" s="1345"/>
      <c r="H34" s="1345"/>
      <c r="I34" s="1345"/>
      <c r="J34" s="1345"/>
      <c r="K34" s="1345"/>
      <c r="L34" s="1345"/>
    </row>
    <row r="35" spans="2:12" x14ac:dyDescent="0.35">
      <c r="B35" s="1114"/>
      <c r="D35" s="1345"/>
      <c r="E35" s="1345"/>
      <c r="F35" s="1345"/>
      <c r="G35" s="1345"/>
      <c r="H35" s="1345"/>
      <c r="I35" s="1345"/>
      <c r="J35" s="1345"/>
      <c r="K35" s="1345"/>
      <c r="L35" s="1345"/>
    </row>
    <row r="36" spans="2:12" x14ac:dyDescent="0.35">
      <c r="B36" s="1114"/>
      <c r="D36" s="1345"/>
      <c r="E36" s="1345"/>
      <c r="F36" s="1345"/>
      <c r="G36" s="1345"/>
      <c r="H36" s="1345"/>
      <c r="I36" s="1345"/>
      <c r="J36" s="1345"/>
      <c r="K36" s="1345"/>
      <c r="L36" s="1345"/>
    </row>
    <row r="37" spans="2:12" x14ac:dyDescent="0.35">
      <c r="B37" s="1114"/>
      <c r="D37" s="1345"/>
      <c r="E37" s="1345"/>
      <c r="F37" s="1345"/>
      <c r="G37" s="1345"/>
      <c r="H37" s="1345"/>
      <c r="I37" s="1345"/>
      <c r="J37" s="1345"/>
      <c r="K37" s="1345"/>
      <c r="L37" s="1345"/>
    </row>
    <row r="38" spans="2:12" x14ac:dyDescent="0.35">
      <c r="B38" s="1114"/>
      <c r="D38" s="1345"/>
      <c r="E38" s="1345"/>
      <c r="F38" s="1345"/>
      <c r="G38" s="1345"/>
      <c r="H38" s="1345"/>
      <c r="I38" s="1345"/>
      <c r="J38" s="1345"/>
      <c r="K38" s="1345"/>
      <c r="L38" s="1345"/>
    </row>
    <row r="39" spans="2:12" x14ac:dyDescent="0.35">
      <c r="B39" s="1114"/>
      <c r="D39" s="1345"/>
      <c r="E39" s="1345"/>
      <c r="F39" s="1345"/>
      <c r="G39" s="1345"/>
      <c r="H39" s="1345"/>
      <c r="I39" s="1345"/>
      <c r="J39" s="1345"/>
      <c r="K39" s="1345"/>
      <c r="L39" s="1345"/>
    </row>
    <row r="40" spans="2:12" x14ac:dyDescent="0.35">
      <c r="B40" s="1114"/>
      <c r="D40" s="1345"/>
      <c r="E40" s="1345"/>
      <c r="F40" s="1345"/>
      <c r="G40" s="1345"/>
      <c r="H40" s="1345"/>
      <c r="I40" s="1345"/>
      <c r="J40" s="1345"/>
      <c r="K40" s="1345"/>
      <c r="L40" s="1345"/>
    </row>
    <row r="41" spans="2:12" x14ac:dyDescent="0.35">
      <c r="B41" s="1114"/>
      <c r="D41" s="1345"/>
      <c r="E41" s="1345"/>
      <c r="F41" s="1345"/>
      <c r="G41" s="1345"/>
      <c r="H41" s="1345"/>
      <c r="I41" s="1345"/>
      <c r="J41" s="1345"/>
      <c r="K41" s="1345"/>
      <c r="L41" s="1345"/>
    </row>
    <row r="42" spans="2:12" x14ac:dyDescent="0.35">
      <c r="B42" s="1114"/>
      <c r="D42" s="1345"/>
      <c r="E42" s="1345"/>
      <c r="F42" s="1345"/>
      <c r="G42" s="1345"/>
      <c r="H42" s="1345"/>
      <c r="I42" s="1345"/>
      <c r="J42" s="1345"/>
      <c r="K42" s="1345"/>
      <c r="L42" s="1345"/>
    </row>
    <row r="43" spans="2:12" x14ac:dyDescent="0.35">
      <c r="B43" s="1114"/>
      <c r="D43" s="1345"/>
      <c r="E43" s="1345"/>
      <c r="F43" s="1345"/>
      <c r="G43" s="1345"/>
      <c r="H43" s="1345"/>
      <c r="I43" s="1345"/>
      <c r="J43" s="1345"/>
      <c r="K43" s="1345"/>
      <c r="L43" s="1345"/>
    </row>
    <row r="44" spans="2:12" x14ac:dyDescent="0.35">
      <c r="B44" s="1114"/>
      <c r="D44" s="1124"/>
      <c r="E44" s="1124"/>
      <c r="F44" s="1124"/>
      <c r="G44" s="1114"/>
      <c r="H44" s="1114"/>
      <c r="I44" s="1114"/>
      <c r="J44" s="1125"/>
      <c r="K44" s="1114"/>
      <c r="L44" s="1114"/>
    </row>
    <row r="45" spans="2:12" ht="18.5" x14ac:dyDescent="0.35">
      <c r="B45" s="1114"/>
      <c r="D45" s="1256" t="s">
        <v>2854</v>
      </c>
      <c r="E45" s="1085"/>
      <c r="F45" s="1085"/>
    </row>
    <row r="46" spans="2:12" x14ac:dyDescent="0.35">
      <c r="B46" s="1114"/>
      <c r="D46" s="1114"/>
      <c r="E46" s="1114"/>
      <c r="F46" s="1114"/>
      <c r="G46" s="1114"/>
      <c r="H46" s="1114"/>
      <c r="I46" s="1114"/>
      <c r="J46" s="1114"/>
      <c r="K46" s="1114"/>
      <c r="L46" s="1114"/>
    </row>
    <row r="47" spans="2:12" x14ac:dyDescent="0.35">
      <c r="B47" s="1114"/>
      <c r="D47" s="1340" t="s">
        <v>2857</v>
      </c>
      <c r="E47" s="1340"/>
      <c r="F47" s="1340"/>
      <c r="G47" s="1340"/>
      <c r="H47" s="1340"/>
      <c r="I47" s="1340"/>
      <c r="J47" s="1340"/>
      <c r="K47" s="1340"/>
      <c r="L47" s="1340"/>
    </row>
    <row r="48" spans="2:12" x14ac:dyDescent="0.35">
      <c r="B48" s="1114"/>
      <c r="D48" s="1340"/>
      <c r="E48" s="1340"/>
      <c r="F48" s="1340"/>
      <c r="G48" s="1340"/>
      <c r="H48" s="1340"/>
      <c r="I48" s="1340"/>
      <c r="J48" s="1340"/>
      <c r="K48" s="1340"/>
      <c r="L48" s="1340"/>
    </row>
    <row r="49" spans="2:12" x14ac:dyDescent="0.35">
      <c r="B49" s="1114"/>
      <c r="D49" s="1340"/>
      <c r="E49" s="1340"/>
      <c r="F49" s="1340"/>
      <c r="G49" s="1340"/>
      <c r="H49" s="1340"/>
      <c r="I49" s="1340"/>
      <c r="J49" s="1340"/>
      <c r="K49" s="1340"/>
      <c r="L49" s="1340"/>
    </row>
    <row r="50" spans="2:12" x14ac:dyDescent="0.35">
      <c r="B50" s="1114"/>
      <c r="D50" s="1340"/>
      <c r="E50" s="1340"/>
      <c r="F50" s="1340"/>
      <c r="G50" s="1340"/>
      <c r="H50" s="1340"/>
      <c r="I50" s="1340"/>
      <c r="J50" s="1340"/>
      <c r="K50" s="1340"/>
      <c r="L50" s="1340"/>
    </row>
    <row r="51" spans="2:12" x14ac:dyDescent="0.35">
      <c r="B51" s="1114"/>
      <c r="D51" s="1340"/>
      <c r="E51" s="1340"/>
      <c r="F51" s="1340"/>
      <c r="G51" s="1340"/>
      <c r="H51" s="1340"/>
      <c r="I51" s="1340"/>
      <c r="J51" s="1340"/>
      <c r="K51" s="1340"/>
      <c r="L51" s="1340"/>
    </row>
    <row r="52" spans="2:12" x14ac:dyDescent="0.35">
      <c r="B52" s="1114"/>
      <c r="D52" s="1340"/>
      <c r="E52" s="1340"/>
      <c r="F52" s="1340"/>
      <c r="G52" s="1340"/>
      <c r="H52" s="1340"/>
      <c r="I52" s="1340"/>
      <c r="J52" s="1340"/>
      <c r="K52" s="1340"/>
      <c r="L52" s="1340"/>
    </row>
    <row r="53" spans="2:12" x14ac:dyDescent="0.35">
      <c r="B53" s="1114"/>
      <c r="D53" s="1340"/>
      <c r="E53" s="1340"/>
      <c r="F53" s="1340"/>
      <c r="G53" s="1340"/>
      <c r="H53" s="1340"/>
      <c r="I53" s="1340"/>
      <c r="J53" s="1340"/>
      <c r="K53" s="1340"/>
      <c r="L53" s="1340"/>
    </row>
    <row r="54" spans="2:12" x14ac:dyDescent="0.35">
      <c r="B54" s="1114"/>
      <c r="D54" s="1340"/>
      <c r="E54" s="1340"/>
      <c r="F54" s="1340"/>
      <c r="G54" s="1340"/>
      <c r="H54" s="1340"/>
      <c r="I54" s="1340"/>
      <c r="J54" s="1340"/>
      <c r="K54" s="1340"/>
      <c r="L54" s="1340"/>
    </row>
    <row r="55" spans="2:12" x14ac:dyDescent="0.35">
      <c r="B55" s="1114"/>
      <c r="D55" s="1340"/>
      <c r="E55" s="1340"/>
      <c r="F55" s="1340"/>
      <c r="G55" s="1340"/>
      <c r="H55" s="1340"/>
      <c r="I55" s="1340"/>
      <c r="J55" s="1340"/>
      <c r="K55" s="1340"/>
      <c r="L55" s="1340"/>
    </row>
    <row r="56" spans="2:12" x14ac:dyDescent="0.35">
      <c r="B56" s="1114"/>
      <c r="D56" s="1340"/>
      <c r="E56" s="1340"/>
      <c r="F56" s="1340"/>
      <c r="G56" s="1340"/>
      <c r="H56" s="1340"/>
      <c r="I56" s="1340"/>
      <c r="J56" s="1340"/>
      <c r="K56" s="1340"/>
      <c r="L56" s="1340"/>
    </row>
    <row r="57" spans="2:12" x14ac:dyDescent="0.35">
      <c r="B57" s="1114"/>
      <c r="D57" s="1340"/>
      <c r="E57" s="1340"/>
      <c r="F57" s="1340"/>
      <c r="G57" s="1340"/>
      <c r="H57" s="1340"/>
      <c r="I57" s="1340"/>
      <c r="J57" s="1340"/>
      <c r="K57" s="1340"/>
      <c r="L57" s="1340"/>
    </row>
    <row r="58" spans="2:12" x14ac:dyDescent="0.35">
      <c r="B58" s="1114"/>
      <c r="D58" s="1340"/>
      <c r="E58" s="1340"/>
      <c r="F58" s="1340"/>
      <c r="G58" s="1340"/>
      <c r="H58" s="1340"/>
      <c r="I58" s="1340"/>
      <c r="J58" s="1340"/>
      <c r="K58" s="1340"/>
      <c r="L58" s="1340"/>
    </row>
    <row r="59" spans="2:12" x14ac:dyDescent="0.35">
      <c r="B59" s="1114"/>
      <c r="D59" s="1340"/>
      <c r="E59" s="1340"/>
      <c r="F59" s="1340"/>
      <c r="G59" s="1340"/>
      <c r="H59" s="1340"/>
      <c r="I59" s="1340"/>
      <c r="J59" s="1340"/>
      <c r="K59" s="1340"/>
      <c r="L59" s="1340"/>
    </row>
    <row r="60" spans="2:12" x14ac:dyDescent="0.35">
      <c r="B60" s="1114"/>
      <c r="D60" s="1340"/>
      <c r="E60" s="1340"/>
      <c r="F60" s="1340"/>
      <c r="G60" s="1340"/>
      <c r="H60" s="1340"/>
      <c r="I60" s="1340"/>
      <c r="J60" s="1340"/>
      <c r="K60" s="1340"/>
      <c r="L60" s="1340"/>
    </row>
    <row r="61" spans="2:12" x14ac:dyDescent="0.35">
      <c r="B61" s="1114"/>
      <c r="D61" s="1340"/>
      <c r="E61" s="1340"/>
      <c r="F61" s="1340"/>
      <c r="G61" s="1340"/>
      <c r="H61" s="1340"/>
      <c r="I61" s="1340"/>
      <c r="J61" s="1340"/>
      <c r="K61" s="1340"/>
      <c r="L61" s="1340"/>
    </row>
    <row r="62" spans="2:12" x14ac:dyDescent="0.35">
      <c r="B62" s="1114"/>
      <c r="D62" s="1340"/>
      <c r="E62" s="1340"/>
      <c r="F62" s="1340"/>
      <c r="G62" s="1340"/>
      <c r="H62" s="1340"/>
      <c r="I62" s="1340"/>
      <c r="J62" s="1340"/>
      <c r="K62" s="1340"/>
      <c r="L62" s="1340"/>
    </row>
    <row r="63" spans="2:12" x14ac:dyDescent="0.35">
      <c r="B63" s="1114"/>
      <c r="D63" s="1340"/>
      <c r="E63" s="1340"/>
      <c r="F63" s="1340"/>
      <c r="G63" s="1340"/>
      <c r="H63" s="1340"/>
      <c r="I63" s="1340"/>
      <c r="J63" s="1340"/>
      <c r="K63" s="1340"/>
      <c r="L63" s="1340"/>
    </row>
    <row r="64" spans="2:12" x14ac:dyDescent="0.35">
      <c r="B64" s="1114"/>
      <c r="D64" s="1340"/>
      <c r="E64" s="1340"/>
      <c r="F64" s="1340"/>
      <c r="G64" s="1340"/>
      <c r="H64" s="1340"/>
      <c r="I64" s="1340"/>
      <c r="J64" s="1340"/>
      <c r="K64" s="1340"/>
      <c r="L64" s="1340"/>
    </row>
    <row r="65" spans="4:12" x14ac:dyDescent="0.35">
      <c r="D65" s="1340"/>
      <c r="E65" s="1340"/>
      <c r="F65" s="1340"/>
      <c r="G65" s="1340"/>
      <c r="H65" s="1340"/>
      <c r="I65" s="1340"/>
      <c r="J65" s="1340"/>
      <c r="K65" s="1340"/>
      <c r="L65" s="1340"/>
    </row>
    <row r="66" spans="4:12" x14ac:dyDescent="0.35">
      <c r="D66" s="1340"/>
      <c r="E66" s="1340"/>
      <c r="F66" s="1340"/>
      <c r="G66" s="1340"/>
      <c r="H66" s="1340"/>
      <c r="I66" s="1340"/>
      <c r="J66" s="1340"/>
      <c r="K66" s="1340"/>
      <c r="L66" s="1340"/>
    </row>
    <row r="67" spans="4:12" x14ac:dyDescent="0.35">
      <c r="D67" s="1340"/>
      <c r="E67" s="1340"/>
      <c r="F67" s="1340"/>
      <c r="G67" s="1340"/>
      <c r="H67" s="1340"/>
      <c r="I67" s="1340"/>
      <c r="J67" s="1340"/>
      <c r="K67" s="1340"/>
      <c r="L67" s="1340"/>
    </row>
    <row r="68" spans="4:12" x14ac:dyDescent="0.35">
      <c r="D68" s="1340"/>
      <c r="E68" s="1340"/>
      <c r="F68" s="1340"/>
      <c r="G68" s="1340"/>
      <c r="H68" s="1340"/>
      <c r="I68" s="1340"/>
      <c r="J68" s="1340"/>
      <c r="K68" s="1340"/>
      <c r="L68" s="1340"/>
    </row>
    <row r="69" spans="4:12" x14ac:dyDescent="0.35">
      <c r="D69" s="1340"/>
      <c r="E69" s="1340"/>
      <c r="F69" s="1340"/>
      <c r="G69" s="1340"/>
      <c r="H69" s="1340"/>
      <c r="I69" s="1340"/>
      <c r="J69" s="1340"/>
      <c r="K69" s="1340"/>
      <c r="L69" s="1340"/>
    </row>
    <row r="70" spans="4:12" x14ac:dyDescent="0.35">
      <c r="D70" s="1340"/>
      <c r="E70" s="1340"/>
      <c r="F70" s="1340"/>
      <c r="G70" s="1340"/>
      <c r="H70" s="1340"/>
      <c r="I70" s="1340"/>
      <c r="J70" s="1340"/>
      <c r="K70" s="1340"/>
      <c r="L70" s="1340"/>
    </row>
    <row r="71" spans="4:12" x14ac:dyDescent="0.35">
      <c r="D71" s="1340"/>
      <c r="E71" s="1340"/>
      <c r="F71" s="1340"/>
      <c r="G71" s="1340"/>
      <c r="H71" s="1340"/>
      <c r="I71" s="1340"/>
      <c r="J71" s="1340"/>
      <c r="K71" s="1340"/>
      <c r="L71" s="1340"/>
    </row>
    <row r="72" spans="4:12" x14ac:dyDescent="0.35">
      <c r="D72" s="1340"/>
      <c r="E72" s="1340"/>
      <c r="F72" s="1340"/>
      <c r="G72" s="1340"/>
      <c r="H72" s="1340"/>
      <c r="I72" s="1340"/>
      <c r="J72" s="1340"/>
      <c r="K72" s="1340"/>
      <c r="L72" s="1340"/>
    </row>
    <row r="73" spans="4:12" x14ac:dyDescent="0.35">
      <c r="D73" s="1340"/>
      <c r="E73" s="1340"/>
      <c r="F73" s="1340"/>
      <c r="G73" s="1340"/>
      <c r="H73" s="1340"/>
      <c r="I73" s="1340"/>
      <c r="J73" s="1340"/>
      <c r="K73" s="1340"/>
      <c r="L73" s="1340"/>
    </row>
    <row r="74" spans="4:12" x14ac:dyDescent="0.35">
      <c r="D74" s="1340"/>
      <c r="E74" s="1340"/>
      <c r="F74" s="1340"/>
      <c r="G74" s="1340"/>
      <c r="H74" s="1340"/>
      <c r="I74" s="1340"/>
      <c r="J74" s="1340"/>
      <c r="K74" s="1340"/>
      <c r="L74" s="1340"/>
    </row>
    <row r="75" spans="4:12" x14ac:dyDescent="0.35">
      <c r="D75" s="1340"/>
      <c r="E75" s="1340"/>
      <c r="F75" s="1340"/>
      <c r="G75" s="1340"/>
      <c r="H75" s="1340"/>
      <c r="I75" s="1340"/>
      <c r="J75" s="1340"/>
      <c r="K75" s="1340"/>
      <c r="L75" s="1340"/>
    </row>
    <row r="76" spans="4:12" x14ac:dyDescent="0.35">
      <c r="D76" s="1117"/>
      <c r="E76" s="1117"/>
      <c r="F76" s="1117"/>
      <c r="G76" s="1117"/>
      <c r="H76" s="1117"/>
      <c r="I76" s="1117"/>
      <c r="J76" s="1117"/>
      <c r="K76" s="1117"/>
      <c r="L76" s="1117"/>
    </row>
    <row r="77" spans="4:12" ht="18.5" x14ac:dyDescent="0.35">
      <c r="D77" s="1262" t="s">
        <v>2855</v>
      </c>
      <c r="E77" s="1261"/>
      <c r="F77" s="1261"/>
      <c r="G77" s="118"/>
      <c r="H77" s="118"/>
      <c r="I77" s="118"/>
      <c r="K77" s="118"/>
      <c r="L77" s="118"/>
    </row>
    <row r="78" spans="4:12" x14ac:dyDescent="0.35">
      <c r="D78" s="1113"/>
      <c r="E78" s="1113"/>
      <c r="F78" s="1113"/>
      <c r="G78" s="1113"/>
      <c r="H78" s="1113"/>
      <c r="I78" s="1113"/>
      <c r="J78" s="1113"/>
      <c r="K78" s="1113"/>
      <c r="L78" s="1113"/>
    </row>
    <row r="79" spans="4:12" x14ac:dyDescent="0.35">
      <c r="D79" s="1340" t="s">
        <v>2858</v>
      </c>
      <c r="E79" s="1340"/>
      <c r="F79" s="1340"/>
      <c r="G79" s="1340"/>
      <c r="H79" s="1340"/>
      <c r="I79" s="1340"/>
      <c r="J79" s="1340"/>
      <c r="K79" s="1340"/>
      <c r="L79" s="1340"/>
    </row>
    <row r="80" spans="4:12" x14ac:dyDescent="0.35">
      <c r="D80" s="1340"/>
      <c r="E80" s="1340"/>
      <c r="F80" s="1340"/>
      <c r="G80" s="1340"/>
      <c r="H80" s="1340"/>
      <c r="I80" s="1340"/>
      <c r="J80" s="1340"/>
      <c r="K80" s="1340"/>
      <c r="L80" s="1340"/>
    </row>
    <row r="81" spans="4:12" x14ac:dyDescent="0.35">
      <c r="D81" s="1340"/>
      <c r="E81" s="1340"/>
      <c r="F81" s="1340"/>
      <c r="G81" s="1340"/>
      <c r="H81" s="1340"/>
      <c r="I81" s="1340"/>
      <c r="J81" s="1340"/>
      <c r="K81" s="1340"/>
      <c r="L81" s="1340"/>
    </row>
    <row r="82" spans="4:12" x14ac:dyDescent="0.35">
      <c r="D82" s="1340"/>
      <c r="E82" s="1340"/>
      <c r="F82" s="1340"/>
      <c r="G82" s="1340"/>
      <c r="H82" s="1340"/>
      <c r="I82" s="1340"/>
      <c r="J82" s="1340"/>
      <c r="K82" s="1340"/>
      <c r="L82" s="1340"/>
    </row>
    <row r="83" spans="4:12" x14ac:dyDescent="0.35">
      <c r="D83" s="1340"/>
      <c r="E83" s="1340"/>
      <c r="F83" s="1340"/>
      <c r="G83" s="1340"/>
      <c r="H83" s="1340"/>
      <c r="I83" s="1340"/>
      <c r="J83" s="1340"/>
      <c r="K83" s="1340"/>
      <c r="L83" s="1340"/>
    </row>
    <row r="84" spans="4:12" x14ac:dyDescent="0.35">
      <c r="D84" s="1340"/>
      <c r="E84" s="1340"/>
      <c r="F84" s="1340"/>
      <c r="G84" s="1340"/>
      <c r="H84" s="1340"/>
      <c r="I84" s="1340"/>
      <c r="J84" s="1340"/>
      <c r="K84" s="1340"/>
      <c r="L84" s="1340"/>
    </row>
    <row r="85" spans="4:12" x14ac:dyDescent="0.35">
      <c r="D85" s="1340"/>
      <c r="E85" s="1340"/>
      <c r="F85" s="1340"/>
      <c r="G85" s="1340"/>
      <c r="H85" s="1340"/>
      <c r="I85" s="1340"/>
      <c r="J85" s="1340"/>
      <c r="K85" s="1340"/>
      <c r="L85" s="1340"/>
    </row>
    <row r="86" spans="4:12" x14ac:dyDescent="0.35">
      <c r="D86" s="1340"/>
      <c r="E86" s="1340"/>
      <c r="F86" s="1340"/>
      <c r="G86" s="1340"/>
      <c r="H86" s="1340"/>
      <c r="I86" s="1340"/>
      <c r="J86" s="1340"/>
      <c r="K86" s="1340"/>
      <c r="L86" s="1340"/>
    </row>
    <row r="87" spans="4:12" x14ac:dyDescent="0.35">
      <c r="D87" s="1340"/>
      <c r="E87" s="1340"/>
      <c r="F87" s="1340"/>
      <c r="G87" s="1340"/>
      <c r="H87" s="1340"/>
      <c r="I87" s="1340"/>
      <c r="J87" s="1340"/>
      <c r="K87" s="1340"/>
      <c r="L87" s="1340"/>
    </row>
    <row r="88" spans="4:12" x14ac:dyDescent="0.35">
      <c r="D88" s="1340"/>
      <c r="E88" s="1340"/>
      <c r="F88" s="1340"/>
      <c r="G88" s="1340"/>
      <c r="H88" s="1340"/>
      <c r="I88" s="1340"/>
      <c r="J88" s="1340"/>
      <c r="K88" s="1340"/>
      <c r="L88" s="1340"/>
    </row>
    <row r="89" spans="4:12" x14ac:dyDescent="0.35">
      <c r="D89" s="1340"/>
      <c r="E89" s="1340"/>
      <c r="F89" s="1340"/>
      <c r="G89" s="1340"/>
      <c r="H89" s="1340"/>
      <c r="I89" s="1340"/>
      <c r="J89" s="1340"/>
      <c r="K89" s="1340"/>
      <c r="L89" s="1340"/>
    </row>
    <row r="90" spans="4:12" x14ac:dyDescent="0.35">
      <c r="D90" s="1340"/>
      <c r="E90" s="1340"/>
      <c r="F90" s="1340"/>
      <c r="G90" s="1340"/>
      <c r="H90" s="1340"/>
      <c r="I90" s="1340"/>
      <c r="J90" s="1340"/>
      <c r="K90" s="1340"/>
      <c r="L90" s="1340"/>
    </row>
    <row r="91" spans="4:12" x14ac:dyDescent="0.35">
      <c r="D91" s="1340"/>
      <c r="E91" s="1340"/>
      <c r="F91" s="1340"/>
      <c r="G91" s="1340"/>
      <c r="H91" s="1340"/>
      <c r="I91" s="1340"/>
      <c r="J91" s="1340"/>
      <c r="K91" s="1340"/>
      <c r="L91" s="1340"/>
    </row>
    <row r="92" spans="4:12" x14ac:dyDescent="0.35">
      <c r="D92" s="1340"/>
      <c r="E92" s="1340"/>
      <c r="F92" s="1340"/>
      <c r="G92" s="1340"/>
      <c r="H92" s="1340"/>
      <c r="I92" s="1340"/>
      <c r="J92" s="1340"/>
      <c r="K92" s="1340"/>
      <c r="L92" s="1340"/>
    </row>
    <row r="93" spans="4:12" x14ac:dyDescent="0.35">
      <c r="D93" s="1340"/>
      <c r="E93" s="1340"/>
      <c r="F93" s="1340"/>
      <c r="G93" s="1340"/>
      <c r="H93" s="1340"/>
      <c r="I93" s="1340"/>
      <c r="J93" s="1340"/>
      <c r="K93" s="1340"/>
      <c r="L93" s="1340"/>
    </row>
    <row r="94" spans="4:12" x14ac:dyDescent="0.35">
      <c r="D94" s="1340"/>
      <c r="E94" s="1340"/>
      <c r="F94" s="1340"/>
      <c r="G94" s="1340"/>
      <c r="H94" s="1340"/>
      <c r="I94" s="1340"/>
      <c r="J94" s="1340"/>
      <c r="K94" s="1340"/>
      <c r="L94" s="1340"/>
    </row>
    <row r="95" spans="4:12" x14ac:dyDescent="0.35">
      <c r="D95" s="1340"/>
      <c r="E95" s="1340"/>
      <c r="F95" s="1340"/>
      <c r="G95" s="1340"/>
      <c r="H95" s="1340"/>
      <c r="I95" s="1340"/>
      <c r="J95" s="1340"/>
      <c r="K95" s="1340"/>
      <c r="L95" s="1340"/>
    </row>
    <row r="96" spans="4:12" x14ac:dyDescent="0.35">
      <c r="D96" s="1340"/>
      <c r="E96" s="1340"/>
      <c r="F96" s="1340"/>
      <c r="G96" s="1340"/>
      <c r="H96" s="1340"/>
      <c r="I96" s="1340"/>
      <c r="J96" s="1340"/>
      <c r="K96" s="1340"/>
      <c r="L96" s="1340"/>
    </row>
    <row r="97" spans="4:12" x14ac:dyDescent="0.35">
      <c r="D97" s="1340"/>
      <c r="E97" s="1340"/>
      <c r="F97" s="1340"/>
      <c r="G97" s="1340"/>
      <c r="H97" s="1340"/>
      <c r="I97" s="1340"/>
      <c r="J97" s="1340"/>
      <c r="K97" s="1340"/>
      <c r="L97" s="1340"/>
    </row>
    <row r="98" spans="4:12" x14ac:dyDescent="0.35">
      <c r="D98" s="1340"/>
      <c r="E98" s="1340"/>
      <c r="F98" s="1340"/>
      <c r="G98" s="1340"/>
      <c r="H98" s="1340"/>
      <c r="I98" s="1340"/>
      <c r="J98" s="1340"/>
      <c r="K98" s="1340"/>
      <c r="L98" s="1340"/>
    </row>
    <row r="99" spans="4:12" x14ac:dyDescent="0.35">
      <c r="D99" s="1340"/>
      <c r="E99" s="1340"/>
      <c r="F99" s="1340"/>
      <c r="G99" s="1340"/>
      <c r="H99" s="1340"/>
      <c r="I99" s="1340"/>
      <c r="J99" s="1340"/>
      <c r="K99" s="1340"/>
      <c r="L99" s="1340"/>
    </row>
    <row r="100" spans="4:12" x14ac:dyDescent="0.35">
      <c r="D100" s="1340"/>
      <c r="E100" s="1340"/>
      <c r="F100" s="1340"/>
      <c r="G100" s="1340"/>
      <c r="H100" s="1340"/>
      <c r="I100" s="1340"/>
      <c r="J100" s="1340"/>
      <c r="K100" s="1340"/>
      <c r="L100" s="1340"/>
    </row>
    <row r="101" spans="4:12" x14ac:dyDescent="0.35">
      <c r="D101" s="1340"/>
      <c r="E101" s="1340"/>
      <c r="F101" s="1340"/>
      <c r="G101" s="1340"/>
      <c r="H101" s="1340"/>
      <c r="I101" s="1340"/>
      <c r="J101" s="1340"/>
      <c r="K101" s="1340"/>
      <c r="L101" s="1340"/>
    </row>
    <row r="102" spans="4:12" x14ac:dyDescent="0.35">
      <c r="D102" s="1340"/>
      <c r="E102" s="1340"/>
      <c r="F102" s="1340"/>
      <c r="G102" s="1340"/>
      <c r="H102" s="1340"/>
      <c r="I102" s="1340"/>
      <c r="J102" s="1340"/>
      <c r="K102" s="1340"/>
      <c r="L102" s="1340"/>
    </row>
    <row r="103" spans="4:12" x14ac:dyDescent="0.35">
      <c r="D103" s="1340"/>
      <c r="E103" s="1340"/>
      <c r="F103" s="1340"/>
      <c r="G103" s="1340"/>
      <c r="H103" s="1340"/>
      <c r="I103" s="1340"/>
      <c r="J103" s="1340"/>
      <c r="K103" s="1340"/>
      <c r="L103" s="1340"/>
    </row>
    <row r="104" spans="4:12" x14ac:dyDescent="0.35">
      <c r="D104" s="1340"/>
      <c r="E104" s="1340"/>
      <c r="F104" s="1340"/>
      <c r="G104" s="1340"/>
      <c r="H104" s="1340"/>
      <c r="I104" s="1340"/>
      <c r="J104" s="1340"/>
      <c r="K104" s="1340"/>
      <c r="L104" s="1340"/>
    </row>
    <row r="105" spans="4:12" x14ac:dyDescent="0.35">
      <c r="D105" s="1340"/>
      <c r="E105" s="1340"/>
      <c r="F105" s="1340"/>
      <c r="G105" s="1340"/>
      <c r="H105" s="1340"/>
      <c r="I105" s="1340"/>
      <c r="J105" s="1340"/>
      <c r="K105" s="1340"/>
      <c r="L105" s="1340"/>
    </row>
    <row r="106" spans="4:12" x14ac:dyDescent="0.35">
      <c r="D106" s="1340"/>
      <c r="E106" s="1340"/>
      <c r="F106" s="1340"/>
      <c r="G106" s="1340"/>
      <c r="H106" s="1340"/>
      <c r="I106" s="1340"/>
      <c r="J106" s="1340"/>
      <c r="K106" s="1340"/>
      <c r="L106" s="1340"/>
    </row>
    <row r="107" spans="4:12" x14ac:dyDescent="0.35">
      <c r="D107" s="1340"/>
      <c r="E107" s="1340"/>
      <c r="F107" s="1340"/>
      <c r="G107" s="1340"/>
      <c r="H107" s="1340"/>
      <c r="I107" s="1340"/>
      <c r="J107" s="1340"/>
      <c r="K107" s="1340"/>
      <c r="L107" s="1340"/>
    </row>
    <row r="108" spans="4:12" x14ac:dyDescent="0.35">
      <c r="D108" s="1340"/>
      <c r="E108" s="1340"/>
      <c r="F108" s="1340"/>
      <c r="G108" s="1340"/>
      <c r="H108" s="1340"/>
      <c r="I108" s="1340"/>
      <c r="J108" s="1340"/>
      <c r="K108" s="1340"/>
      <c r="L108" s="1340"/>
    </row>
    <row r="109" spans="4:12" x14ac:dyDescent="0.35">
      <c r="D109" s="1340"/>
      <c r="E109" s="1340"/>
      <c r="F109" s="1340"/>
      <c r="G109" s="1340"/>
      <c r="H109" s="1340"/>
      <c r="I109" s="1340"/>
      <c r="J109" s="1340"/>
      <c r="K109" s="1340"/>
      <c r="L109" s="1340"/>
    </row>
    <row r="110" spans="4:12" x14ac:dyDescent="0.35">
      <c r="D110" s="1340"/>
      <c r="E110" s="1340"/>
      <c r="F110" s="1340"/>
      <c r="G110" s="1340"/>
      <c r="H110" s="1340"/>
      <c r="I110" s="1340"/>
      <c r="J110" s="1340"/>
      <c r="K110" s="1340"/>
      <c r="L110" s="1340"/>
    </row>
    <row r="111" spans="4:12" x14ac:dyDescent="0.35">
      <c r="D111" s="1340"/>
      <c r="E111" s="1340"/>
      <c r="F111" s="1340"/>
      <c r="G111" s="1340"/>
      <c r="H111" s="1340"/>
      <c r="I111" s="1340"/>
      <c r="J111" s="1340"/>
      <c r="K111" s="1340"/>
      <c r="L111" s="1340"/>
    </row>
    <row r="112" spans="4:12" x14ac:dyDescent="0.35">
      <c r="D112" s="1340"/>
      <c r="E112" s="1340"/>
      <c r="F112" s="1340"/>
      <c r="G112" s="1340"/>
      <c r="H112" s="1340"/>
      <c r="I112" s="1340"/>
      <c r="J112" s="1340"/>
      <c r="K112" s="1340"/>
      <c r="L112" s="1340"/>
    </row>
    <row r="113" spans="4:12" x14ac:dyDescent="0.35">
      <c r="D113" s="1340"/>
      <c r="E113" s="1340"/>
      <c r="F113" s="1340"/>
      <c r="G113" s="1340"/>
      <c r="H113" s="1340"/>
      <c r="I113" s="1340"/>
      <c r="J113" s="1340"/>
      <c r="K113" s="1340"/>
      <c r="L113" s="1340"/>
    </row>
    <row r="114" spans="4:12" x14ac:dyDescent="0.35">
      <c r="D114" s="1340"/>
      <c r="E114" s="1340"/>
      <c r="F114" s="1340"/>
      <c r="G114" s="1340"/>
      <c r="H114" s="1340"/>
      <c r="I114" s="1340"/>
      <c r="J114" s="1340"/>
      <c r="K114" s="1340"/>
      <c r="L114" s="1340"/>
    </row>
    <row r="115" spans="4:12" x14ac:dyDescent="0.35">
      <c r="D115" s="1340"/>
      <c r="E115" s="1340"/>
      <c r="F115" s="1340"/>
      <c r="G115" s="1340"/>
      <c r="H115" s="1340"/>
      <c r="I115" s="1340"/>
      <c r="J115" s="1340"/>
      <c r="K115" s="1340"/>
      <c r="L115" s="1340"/>
    </row>
    <row r="116" spans="4:12" x14ac:dyDescent="0.35">
      <c r="D116" s="1340"/>
      <c r="E116" s="1340"/>
      <c r="F116" s="1340"/>
      <c r="G116" s="1340"/>
      <c r="H116" s="1340"/>
      <c r="I116" s="1340"/>
      <c r="J116" s="1340"/>
      <c r="K116" s="1340"/>
      <c r="L116" s="1340"/>
    </row>
    <row r="117" spans="4:12" x14ac:dyDescent="0.35">
      <c r="D117" s="1340"/>
      <c r="E117" s="1340"/>
      <c r="F117" s="1340"/>
      <c r="G117" s="1340"/>
      <c r="H117" s="1340"/>
      <c r="I117" s="1340"/>
      <c r="J117" s="1340"/>
      <c r="K117" s="1340"/>
      <c r="L117" s="1340"/>
    </row>
    <row r="118" spans="4:12" x14ac:dyDescent="0.35">
      <c r="D118" s="1340"/>
      <c r="E118" s="1340"/>
      <c r="F118" s="1340"/>
      <c r="G118" s="1340"/>
      <c r="H118" s="1340"/>
      <c r="I118" s="1340"/>
      <c r="J118" s="1340"/>
      <c r="K118" s="1340"/>
      <c r="L118" s="1340"/>
    </row>
    <row r="119" spans="4:12" x14ac:dyDescent="0.35">
      <c r="D119" s="1340"/>
      <c r="E119" s="1340"/>
      <c r="F119" s="1340"/>
      <c r="G119" s="1340"/>
      <c r="H119" s="1340"/>
      <c r="I119" s="1340"/>
      <c r="J119" s="1340"/>
      <c r="K119" s="1340"/>
      <c r="L119" s="1340"/>
    </row>
    <row r="120" spans="4:12" x14ac:dyDescent="0.35">
      <c r="D120" s="1340"/>
      <c r="E120" s="1340"/>
      <c r="F120" s="1340"/>
      <c r="G120" s="1340"/>
      <c r="H120" s="1340"/>
      <c r="I120" s="1340"/>
      <c r="J120" s="1340"/>
      <c r="K120" s="1340"/>
      <c r="L120" s="1340"/>
    </row>
    <row r="121" spans="4:12" x14ac:dyDescent="0.35">
      <c r="D121" s="1340"/>
      <c r="E121" s="1340"/>
      <c r="F121" s="1340"/>
      <c r="G121" s="1340"/>
      <c r="H121" s="1340"/>
      <c r="I121" s="1340"/>
      <c r="J121" s="1340"/>
      <c r="K121" s="1340"/>
      <c r="L121" s="1340"/>
    </row>
    <row r="122" spans="4:12" x14ac:dyDescent="0.35">
      <c r="D122" s="1340"/>
      <c r="E122" s="1340"/>
      <c r="F122" s="1340"/>
      <c r="G122" s="1340"/>
      <c r="H122" s="1340"/>
      <c r="I122" s="1340"/>
      <c r="J122" s="1340"/>
      <c r="K122" s="1340"/>
      <c r="L122" s="1340"/>
    </row>
    <row r="123" spans="4:12" x14ac:dyDescent="0.35">
      <c r="D123" s="1340"/>
      <c r="E123" s="1340"/>
      <c r="F123" s="1340"/>
      <c r="G123" s="1340"/>
      <c r="H123" s="1340"/>
      <c r="I123" s="1340"/>
      <c r="J123" s="1340"/>
      <c r="K123" s="1340"/>
      <c r="L123" s="1340"/>
    </row>
    <row r="124" spans="4:12" x14ac:dyDescent="0.35">
      <c r="D124" s="1340"/>
      <c r="E124" s="1340"/>
      <c r="F124" s="1340"/>
      <c r="G124" s="1340"/>
      <c r="H124" s="1340"/>
      <c r="I124" s="1340"/>
      <c r="J124" s="1340"/>
      <c r="K124" s="1340"/>
      <c r="L124" s="1340"/>
    </row>
    <row r="125" spans="4:12" x14ac:dyDescent="0.35">
      <c r="D125" s="1340"/>
      <c r="E125" s="1340"/>
      <c r="F125" s="1340"/>
      <c r="G125" s="1340"/>
      <c r="H125" s="1340"/>
      <c r="I125" s="1340"/>
      <c r="J125" s="1340"/>
      <c r="K125" s="1340"/>
      <c r="L125" s="1340"/>
    </row>
    <row r="126" spans="4:12" x14ac:dyDescent="0.35">
      <c r="D126" s="1340"/>
      <c r="E126" s="1340"/>
      <c r="F126" s="1340"/>
      <c r="G126" s="1340"/>
      <c r="H126" s="1340"/>
      <c r="I126" s="1340"/>
      <c r="J126" s="1340"/>
      <c r="K126" s="1340"/>
      <c r="L126" s="1340"/>
    </row>
    <row r="127" spans="4:12" x14ac:dyDescent="0.35">
      <c r="D127" s="1340"/>
      <c r="E127" s="1340"/>
      <c r="F127" s="1340"/>
      <c r="G127" s="1340"/>
      <c r="H127" s="1340"/>
      <c r="I127" s="1340"/>
      <c r="J127" s="1340"/>
      <c r="K127" s="1340"/>
      <c r="L127" s="1340"/>
    </row>
    <row r="128" spans="4:12" x14ac:dyDescent="0.35">
      <c r="D128" s="1340"/>
      <c r="E128" s="1340"/>
      <c r="F128" s="1340"/>
      <c r="G128" s="1340"/>
      <c r="H128" s="1340"/>
      <c r="I128" s="1340"/>
      <c r="J128" s="1340"/>
      <c r="K128" s="1340"/>
      <c r="L128" s="1340"/>
    </row>
    <row r="129" spans="4:12" x14ac:dyDescent="0.35">
      <c r="D129" s="1340"/>
      <c r="E129" s="1340"/>
      <c r="F129" s="1340"/>
      <c r="G129" s="1340"/>
      <c r="H129" s="1340"/>
      <c r="I129" s="1340"/>
      <c r="J129" s="1340"/>
      <c r="K129" s="1340"/>
      <c r="L129" s="1340"/>
    </row>
    <row r="130" spans="4:12" x14ac:dyDescent="0.35">
      <c r="D130" s="1340"/>
      <c r="E130" s="1340"/>
      <c r="F130" s="1340"/>
      <c r="G130" s="1340"/>
      <c r="H130" s="1340"/>
      <c r="I130" s="1340"/>
      <c r="J130" s="1340"/>
      <c r="K130" s="1340"/>
      <c r="L130" s="1340"/>
    </row>
    <row r="131" spans="4:12" x14ac:dyDescent="0.35">
      <c r="D131" s="1340"/>
      <c r="E131" s="1340"/>
      <c r="F131" s="1340"/>
      <c r="G131" s="1340"/>
      <c r="H131" s="1340"/>
      <c r="I131" s="1340"/>
      <c r="J131" s="1340"/>
      <c r="K131" s="1340"/>
      <c r="L131" s="1340"/>
    </row>
    <row r="132" spans="4:12" x14ac:dyDescent="0.35">
      <c r="D132" s="1340"/>
      <c r="E132" s="1340"/>
      <c r="F132" s="1340"/>
      <c r="G132" s="1340"/>
      <c r="H132" s="1340"/>
      <c r="I132" s="1340"/>
      <c r="J132" s="1340"/>
      <c r="K132" s="1340"/>
      <c r="L132" s="1340"/>
    </row>
    <row r="133" spans="4:12" x14ac:dyDescent="0.35">
      <c r="D133" s="1340"/>
      <c r="E133" s="1340"/>
      <c r="F133" s="1340"/>
      <c r="G133" s="1340"/>
      <c r="H133" s="1340"/>
      <c r="I133" s="1340"/>
      <c r="J133" s="1340"/>
      <c r="K133" s="1340"/>
      <c r="L133" s="1340"/>
    </row>
    <row r="134" spans="4:12" x14ac:dyDescent="0.35">
      <c r="D134" s="1340"/>
      <c r="E134" s="1340"/>
      <c r="F134" s="1340"/>
      <c r="G134" s="1340"/>
      <c r="H134" s="1340"/>
      <c r="I134" s="1340"/>
      <c r="J134" s="1340"/>
      <c r="K134" s="1340"/>
      <c r="L134" s="1340"/>
    </row>
    <row r="135" spans="4:12" x14ac:dyDescent="0.35">
      <c r="D135" s="1340"/>
      <c r="E135" s="1340"/>
      <c r="F135" s="1340"/>
      <c r="G135" s="1340"/>
      <c r="H135" s="1340"/>
      <c r="I135" s="1340"/>
      <c r="J135" s="1340"/>
      <c r="K135" s="1340"/>
      <c r="L135" s="1340"/>
    </row>
    <row r="136" spans="4:12" x14ac:dyDescent="0.35">
      <c r="D136" s="1340"/>
      <c r="E136" s="1340"/>
      <c r="F136" s="1340"/>
      <c r="G136" s="1340"/>
      <c r="H136" s="1340"/>
      <c r="I136" s="1340"/>
      <c r="J136" s="1340"/>
      <c r="K136" s="1340"/>
      <c r="L136" s="1340"/>
    </row>
    <row r="137" spans="4:12" x14ac:dyDescent="0.35">
      <c r="D137" s="1340"/>
      <c r="E137" s="1340"/>
      <c r="F137" s="1340"/>
      <c r="G137" s="1340"/>
      <c r="H137" s="1340"/>
      <c r="I137" s="1340"/>
      <c r="J137" s="1340"/>
      <c r="K137" s="1340"/>
      <c r="L137" s="1340"/>
    </row>
    <row r="138" spans="4:12" x14ac:dyDescent="0.35">
      <c r="D138" s="1340"/>
      <c r="E138" s="1340"/>
      <c r="F138" s="1340"/>
      <c r="G138" s="1340"/>
      <c r="H138" s="1340"/>
      <c r="I138" s="1340"/>
      <c r="J138" s="1340"/>
      <c r="K138" s="1340"/>
      <c r="L138" s="1340"/>
    </row>
    <row r="139" spans="4:12" x14ac:dyDescent="0.35">
      <c r="D139" s="1340"/>
      <c r="E139" s="1340"/>
      <c r="F139" s="1340"/>
      <c r="G139" s="1340"/>
      <c r="H139" s="1340"/>
      <c r="I139" s="1340"/>
      <c r="J139" s="1340"/>
      <c r="K139" s="1340"/>
      <c r="L139" s="1340"/>
    </row>
    <row r="140" spans="4:12" x14ac:dyDescent="0.35">
      <c r="D140" s="1340"/>
      <c r="E140" s="1340"/>
      <c r="F140" s="1340"/>
      <c r="G140" s="1340"/>
      <c r="H140" s="1340"/>
      <c r="I140" s="1340"/>
      <c r="J140" s="1340"/>
      <c r="K140" s="1340"/>
      <c r="L140" s="1340"/>
    </row>
    <row r="141" spans="4:12" x14ac:dyDescent="0.35">
      <c r="D141" s="1113"/>
      <c r="E141" s="1113"/>
      <c r="F141" s="1113"/>
      <c r="G141" s="1113"/>
      <c r="H141" s="1113"/>
      <c r="I141" s="1113"/>
      <c r="J141" s="1113"/>
      <c r="K141" s="1113"/>
      <c r="L141" s="1113"/>
    </row>
    <row r="142" spans="4:12" ht="18.5" x14ac:dyDescent="0.35">
      <c r="D142" s="1262" t="s">
        <v>2860</v>
      </c>
      <c r="E142" s="1261"/>
      <c r="F142" s="1261"/>
      <c r="G142" s="118"/>
      <c r="H142" s="118"/>
      <c r="I142" s="118"/>
      <c r="K142" s="118"/>
      <c r="L142" s="118"/>
    </row>
    <row r="143" spans="4:12" x14ac:dyDescent="0.35">
      <c r="D143" s="1113"/>
      <c r="E143" s="1113"/>
      <c r="F143" s="1113"/>
      <c r="G143" s="1113"/>
      <c r="H143" s="1113"/>
      <c r="I143" s="1113"/>
      <c r="J143" s="1113"/>
      <c r="K143" s="1113"/>
      <c r="L143" s="1113"/>
    </row>
    <row r="144" spans="4:12" x14ac:dyDescent="0.35">
      <c r="D144" s="1341" t="s">
        <v>2859</v>
      </c>
      <c r="E144" s="1341"/>
      <c r="F144" s="1341"/>
      <c r="G144" s="1341"/>
      <c r="H144" s="1341"/>
      <c r="I144" s="1341"/>
      <c r="J144" s="1341"/>
      <c r="K144" s="1341"/>
      <c r="L144" s="1341"/>
    </row>
    <row r="145" spans="4:12" x14ac:dyDescent="0.35">
      <c r="D145" s="1341"/>
      <c r="E145" s="1341"/>
      <c r="F145" s="1341"/>
      <c r="G145" s="1341"/>
      <c r="H145" s="1341"/>
      <c r="I145" s="1341"/>
      <c r="J145" s="1341"/>
      <c r="K145" s="1341"/>
      <c r="L145" s="1341"/>
    </row>
    <row r="146" spans="4:12" x14ac:dyDescent="0.35">
      <c r="D146" s="1341"/>
      <c r="E146" s="1341"/>
      <c r="F146" s="1341"/>
      <c r="G146" s="1341"/>
      <c r="H146" s="1341"/>
      <c r="I146" s="1341"/>
      <c r="J146" s="1341"/>
      <c r="K146" s="1341"/>
      <c r="L146" s="1341"/>
    </row>
    <row r="147" spans="4:12" x14ac:dyDescent="0.35">
      <c r="D147" s="1341"/>
      <c r="E147" s="1341"/>
      <c r="F147" s="1341"/>
      <c r="G147" s="1341"/>
      <c r="H147" s="1341"/>
      <c r="I147" s="1341"/>
      <c r="J147" s="1341"/>
      <c r="K147" s="1341"/>
      <c r="L147" s="1341"/>
    </row>
    <row r="148" spans="4:12" x14ac:dyDescent="0.35">
      <c r="D148" s="1341"/>
      <c r="E148" s="1341"/>
      <c r="F148" s="1341"/>
      <c r="G148" s="1341"/>
      <c r="H148" s="1341"/>
      <c r="I148" s="1341"/>
      <c r="J148" s="1341"/>
      <c r="K148" s="1341"/>
      <c r="L148" s="1341"/>
    </row>
    <row r="149" spans="4:12" x14ac:dyDescent="0.35">
      <c r="D149" s="1341"/>
      <c r="E149" s="1341"/>
      <c r="F149" s="1341"/>
      <c r="G149" s="1341"/>
      <c r="H149" s="1341"/>
      <c r="I149" s="1341"/>
      <c r="J149" s="1341"/>
      <c r="K149" s="1341"/>
      <c r="L149" s="1341"/>
    </row>
    <row r="150" spans="4:12" x14ac:dyDescent="0.35">
      <c r="D150" s="1341"/>
      <c r="E150" s="1341"/>
      <c r="F150" s="1341"/>
      <c r="G150" s="1341"/>
      <c r="H150" s="1341"/>
      <c r="I150" s="1341"/>
      <c r="J150" s="1341"/>
      <c r="K150" s="1341"/>
      <c r="L150" s="1341"/>
    </row>
    <row r="151" spans="4:12" x14ac:dyDescent="0.35">
      <c r="D151" s="1341"/>
      <c r="E151" s="1341"/>
      <c r="F151" s="1341"/>
      <c r="G151" s="1341"/>
      <c r="H151" s="1341"/>
      <c r="I151" s="1341"/>
      <c r="J151" s="1341"/>
      <c r="K151" s="1341"/>
      <c r="L151" s="1341"/>
    </row>
    <row r="152" spans="4:12" x14ac:dyDescent="0.35">
      <c r="D152" s="1341"/>
      <c r="E152" s="1341"/>
      <c r="F152" s="1341"/>
      <c r="G152" s="1341"/>
      <c r="H152" s="1341"/>
      <c r="I152" s="1341"/>
      <c r="J152" s="1341"/>
      <c r="K152" s="1341"/>
      <c r="L152" s="1341"/>
    </row>
    <row r="153" spans="4:12" x14ac:dyDescent="0.35">
      <c r="D153" s="1341"/>
      <c r="E153" s="1341"/>
      <c r="F153" s="1341"/>
      <c r="G153" s="1341"/>
      <c r="H153" s="1341"/>
      <c r="I153" s="1341"/>
      <c r="J153" s="1341"/>
      <c r="K153" s="1341"/>
      <c r="L153" s="1341"/>
    </row>
    <row r="154" spans="4:12" x14ac:dyDescent="0.35">
      <c r="D154" s="1341"/>
      <c r="E154" s="1341"/>
      <c r="F154" s="1341"/>
      <c r="G154" s="1341"/>
      <c r="H154" s="1341"/>
      <c r="I154" s="1341"/>
      <c r="J154" s="1341"/>
      <c r="K154" s="1341"/>
      <c r="L154" s="1341"/>
    </row>
    <row r="155" spans="4:12" x14ac:dyDescent="0.35">
      <c r="D155" s="1341"/>
      <c r="E155" s="1341"/>
      <c r="F155" s="1341"/>
      <c r="G155" s="1341"/>
      <c r="H155" s="1341"/>
      <c r="I155" s="1341"/>
      <c r="J155" s="1341"/>
      <c r="K155" s="1341"/>
      <c r="L155" s="1341"/>
    </row>
    <row r="156" spans="4:12" x14ac:dyDescent="0.35">
      <c r="D156" s="1341"/>
      <c r="E156" s="1341"/>
      <c r="F156" s="1341"/>
      <c r="G156" s="1341"/>
      <c r="H156" s="1341"/>
      <c r="I156" s="1341"/>
      <c r="J156" s="1341"/>
      <c r="K156" s="1341"/>
      <c r="L156" s="1341"/>
    </row>
    <row r="157" spans="4:12" x14ac:dyDescent="0.35">
      <c r="D157" s="1341"/>
      <c r="E157" s="1341"/>
      <c r="F157" s="1341"/>
      <c r="G157" s="1341"/>
      <c r="H157" s="1341"/>
      <c r="I157" s="1341"/>
      <c r="J157" s="1341"/>
      <c r="K157" s="1341"/>
      <c r="L157" s="1341"/>
    </row>
    <row r="158" spans="4:12" x14ac:dyDescent="0.35">
      <c r="D158" s="1341"/>
      <c r="E158" s="1341"/>
      <c r="F158" s="1341"/>
      <c r="G158" s="1341"/>
      <c r="H158" s="1341"/>
      <c r="I158" s="1341"/>
      <c r="J158" s="1341"/>
      <c r="K158" s="1341"/>
      <c r="L158" s="1341"/>
    </row>
    <row r="159" spans="4:12" x14ac:dyDescent="0.35">
      <c r="D159" s="1341"/>
      <c r="E159" s="1341"/>
      <c r="F159" s="1341"/>
      <c r="G159" s="1341"/>
      <c r="H159" s="1341"/>
      <c r="I159" s="1341"/>
      <c r="J159" s="1341"/>
      <c r="K159" s="1341"/>
      <c r="L159" s="1341"/>
    </row>
    <row r="160" spans="4:12" x14ac:dyDescent="0.35">
      <c r="D160" s="1341"/>
      <c r="E160" s="1341"/>
      <c r="F160" s="1341"/>
      <c r="G160" s="1341"/>
      <c r="H160" s="1341"/>
      <c r="I160" s="1341"/>
      <c r="J160" s="1341"/>
      <c r="K160" s="1341"/>
      <c r="L160" s="1341"/>
    </row>
    <row r="161" spans="4:12" x14ac:dyDescent="0.35">
      <c r="D161" s="1341"/>
      <c r="E161" s="1341"/>
      <c r="F161" s="1341"/>
      <c r="G161" s="1341"/>
      <c r="H161" s="1341"/>
      <c r="I161" s="1341"/>
      <c r="J161" s="1341"/>
      <c r="K161" s="1341"/>
      <c r="L161" s="1341"/>
    </row>
    <row r="162" spans="4:12" x14ac:dyDescent="0.35">
      <c r="D162" s="1341"/>
      <c r="E162" s="1341"/>
      <c r="F162" s="1341"/>
      <c r="G162" s="1341"/>
      <c r="H162" s="1341"/>
      <c r="I162" s="1341"/>
      <c r="J162" s="1341"/>
      <c r="K162" s="1341"/>
      <c r="L162" s="1341"/>
    </row>
    <row r="163" spans="4:12" x14ac:dyDescent="0.35">
      <c r="D163" s="1341"/>
      <c r="E163" s="1341"/>
      <c r="F163" s="1341"/>
      <c r="G163" s="1341"/>
      <c r="H163" s="1341"/>
      <c r="I163" s="1341"/>
      <c r="J163" s="1341"/>
      <c r="K163" s="1341"/>
      <c r="L163" s="1341"/>
    </row>
    <row r="164" spans="4:12" x14ac:dyDescent="0.35">
      <c r="D164" s="1341"/>
      <c r="E164" s="1341"/>
      <c r="F164" s="1341"/>
      <c r="G164" s="1341"/>
      <c r="H164" s="1341"/>
      <c r="I164" s="1341"/>
      <c r="J164" s="1341"/>
      <c r="K164" s="1341"/>
      <c r="L164" s="1341"/>
    </row>
    <row r="165" spans="4:12" x14ac:dyDescent="0.35">
      <c r="D165" s="1341"/>
      <c r="E165" s="1341"/>
      <c r="F165" s="1341"/>
      <c r="G165" s="1341"/>
      <c r="H165" s="1341"/>
      <c r="I165" s="1341"/>
      <c r="J165" s="1341"/>
      <c r="K165" s="1341"/>
      <c r="L165" s="1341"/>
    </row>
    <row r="166" spans="4:12" x14ac:dyDescent="0.35">
      <c r="D166" s="1341"/>
      <c r="E166" s="1341"/>
      <c r="F166" s="1341"/>
      <c r="G166" s="1341"/>
      <c r="H166" s="1341"/>
      <c r="I166" s="1341"/>
      <c r="J166" s="1341"/>
      <c r="K166" s="1341"/>
      <c r="L166" s="1341"/>
    </row>
    <row r="167" spans="4:12" x14ac:dyDescent="0.35">
      <c r="D167" s="1341"/>
      <c r="E167" s="1341"/>
      <c r="F167" s="1341"/>
      <c r="G167" s="1341"/>
      <c r="H167" s="1341"/>
      <c r="I167" s="1341"/>
      <c r="J167" s="1341"/>
      <c r="K167" s="1341"/>
      <c r="L167" s="1341"/>
    </row>
    <row r="168" spans="4:12" x14ac:dyDescent="0.35">
      <c r="D168" s="1341"/>
      <c r="E168" s="1341"/>
      <c r="F168" s="1341"/>
      <c r="G168" s="1341"/>
      <c r="H168" s="1341"/>
      <c r="I168" s="1341"/>
      <c r="J168" s="1341"/>
      <c r="K168" s="1341"/>
      <c r="L168" s="1341"/>
    </row>
    <row r="169" spans="4:12" x14ac:dyDescent="0.35">
      <c r="D169" s="1341"/>
      <c r="E169" s="1341"/>
      <c r="F169" s="1341"/>
      <c r="G169" s="1341"/>
      <c r="H169" s="1341"/>
      <c r="I169" s="1341"/>
      <c r="J169" s="1341"/>
      <c r="K169" s="1341"/>
      <c r="L169" s="1341"/>
    </row>
    <row r="170" spans="4:12" x14ac:dyDescent="0.35">
      <c r="D170" s="1341"/>
      <c r="E170" s="1341"/>
      <c r="F170" s="1341"/>
      <c r="G170" s="1341"/>
      <c r="H170" s="1341"/>
      <c r="I170" s="1341"/>
      <c r="J170" s="1341"/>
      <c r="K170" s="1341"/>
      <c r="L170" s="1341"/>
    </row>
    <row r="171" spans="4:12" x14ac:dyDescent="0.35">
      <c r="D171" s="1341"/>
      <c r="E171" s="1341"/>
      <c r="F171" s="1341"/>
      <c r="G171" s="1341"/>
      <c r="H171" s="1341"/>
      <c r="I171" s="1341"/>
      <c r="J171" s="1341"/>
      <c r="K171" s="1341"/>
      <c r="L171" s="1341"/>
    </row>
    <row r="172" spans="4:12" x14ac:dyDescent="0.35">
      <c r="D172" s="1341"/>
      <c r="E172" s="1341"/>
      <c r="F172" s="1341"/>
      <c r="G172" s="1341"/>
      <c r="H172" s="1341"/>
      <c r="I172" s="1341"/>
      <c r="J172" s="1341"/>
      <c r="K172" s="1341"/>
      <c r="L172" s="1341"/>
    </row>
    <row r="173" spans="4:12" x14ac:dyDescent="0.35">
      <c r="D173" s="1341"/>
      <c r="E173" s="1341"/>
      <c r="F173" s="1341"/>
      <c r="G173" s="1341"/>
      <c r="H173" s="1341"/>
      <c r="I173" s="1341"/>
      <c r="J173" s="1341"/>
      <c r="K173" s="1341"/>
      <c r="L173" s="1341"/>
    </row>
    <row r="174" spans="4:12" x14ac:dyDescent="0.35">
      <c r="D174" s="1341"/>
      <c r="E174" s="1341"/>
      <c r="F174" s="1341"/>
      <c r="G174" s="1341"/>
      <c r="H174" s="1341"/>
      <c r="I174" s="1341"/>
      <c r="J174" s="1341"/>
      <c r="K174" s="1341"/>
      <c r="L174" s="1341"/>
    </row>
    <row r="175" spans="4:12" x14ac:dyDescent="0.35">
      <c r="D175" s="1341"/>
      <c r="E175" s="1341"/>
      <c r="F175" s="1341"/>
      <c r="G175" s="1341"/>
      <c r="H175" s="1341"/>
      <c r="I175" s="1341"/>
      <c r="J175" s="1341"/>
      <c r="K175" s="1341"/>
      <c r="L175" s="1341"/>
    </row>
    <row r="176" spans="4:12" x14ac:dyDescent="0.35">
      <c r="D176" s="1341"/>
      <c r="E176" s="1341"/>
      <c r="F176" s="1341"/>
      <c r="G176" s="1341"/>
      <c r="H176" s="1341"/>
      <c r="I176" s="1341"/>
      <c r="J176" s="1341"/>
      <c r="K176" s="1341"/>
      <c r="L176" s="1341"/>
    </row>
    <row r="177" spans="4:12" x14ac:dyDescent="0.35">
      <c r="D177" s="1341"/>
      <c r="E177" s="1341"/>
      <c r="F177" s="1341"/>
      <c r="G177" s="1341"/>
      <c r="H177" s="1341"/>
      <c r="I177" s="1341"/>
      <c r="J177" s="1341"/>
      <c r="K177" s="1341"/>
      <c r="L177" s="1341"/>
    </row>
    <row r="178" spans="4:12" x14ac:dyDescent="0.35">
      <c r="D178" s="1341"/>
      <c r="E178" s="1341"/>
      <c r="F178" s="1341"/>
      <c r="G178" s="1341"/>
      <c r="H178" s="1341"/>
      <c r="I178" s="1341"/>
      <c r="J178" s="1341"/>
      <c r="K178" s="1341"/>
      <c r="L178" s="1341"/>
    </row>
    <row r="179" spans="4:12" x14ac:dyDescent="0.35">
      <c r="D179" s="1341"/>
      <c r="E179" s="1341"/>
      <c r="F179" s="1341"/>
      <c r="G179" s="1341"/>
      <c r="H179" s="1341"/>
      <c r="I179" s="1341"/>
      <c r="J179" s="1341"/>
      <c r="K179" s="1341"/>
      <c r="L179" s="1341"/>
    </row>
    <row r="180" spans="4:12" x14ac:dyDescent="0.35">
      <c r="D180" s="1341"/>
      <c r="E180" s="1341"/>
      <c r="F180" s="1341"/>
      <c r="G180" s="1341"/>
      <c r="H180" s="1341"/>
      <c r="I180" s="1341"/>
      <c r="J180" s="1341"/>
      <c r="K180" s="1341"/>
      <c r="L180" s="1341"/>
    </row>
  </sheetData>
  <sheetProtection algorithmName="SHA-512" hashValue="3cdk/ABJW8g3LJj9FZeTxB+1XmFGja90UML1NK0Lgk2srjvJZuTc95m1oddS4T2bDI+L4WtP1lg1tNeXhBDSvQ==" saltValue="V5SXZpjhA+IoZYNriHQkcA==" spinCount="100000" sheet="1" objects="1" scenarios="1"/>
  <mergeCells count="7">
    <mergeCell ref="D47:L75"/>
    <mergeCell ref="D79:L140"/>
    <mergeCell ref="D144:L180"/>
    <mergeCell ref="B1:B4"/>
    <mergeCell ref="D2:L3"/>
    <mergeCell ref="D7:L17"/>
    <mergeCell ref="D21:L43"/>
  </mergeCells>
  <conditionalFormatting sqref="D7 D21 D47 D77 K77:L77 D79">
    <cfRule type="cellIs" dxfId="4686" priority="2" operator="equal">
      <formula>""</formula>
    </cfRule>
  </conditionalFormatting>
  <conditionalFormatting sqref="D142 K142:L142">
    <cfRule type="cellIs" dxfId="4685" priority="1" operator="equal">
      <formula>""</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66CAC-42E0-4141-A93C-D22D0DFE3FD3}">
  <sheetPr codeName="Sheet405"/>
  <dimension ref="A2:R120"/>
  <sheetViews>
    <sheetView zoomScale="90" zoomScaleNormal="90" workbookViewId="0">
      <selection activeCell="C26" sqref="C26"/>
    </sheetView>
  </sheetViews>
  <sheetFormatPr defaultColWidth="9.08984375" defaultRowHeight="18.75" customHeight="1" x14ac:dyDescent="0.3"/>
  <cols>
    <col min="1" max="1" width="2.36328125" style="488" customWidth="1"/>
    <col min="2" max="2" width="42.08984375" style="488" bestFit="1" customWidth="1"/>
    <col min="3" max="3" width="25.7265625" style="488" customWidth="1"/>
    <col min="4" max="4" width="21.6328125" style="488" customWidth="1"/>
    <col min="5" max="5" width="15.81640625" style="488" customWidth="1"/>
    <col min="6" max="6" width="15.6328125" style="488" customWidth="1"/>
    <col min="7" max="7" width="19.6328125" style="488" customWidth="1"/>
    <col min="8" max="8" width="16"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R-HC-003</v>
      </c>
      <c r="D3" s="1367"/>
      <c r="E3" s="1367"/>
      <c r="F3" s="1367"/>
    </row>
    <row r="4" spans="1:18" ht="18.75" customHeight="1" x14ac:dyDescent="0.3">
      <c r="B4" s="490" t="s">
        <v>11</v>
      </c>
      <c r="C4" s="1367" t="str" cm="1">
        <f t="array" ref="C4">_xlfn.SWITCH(LEFT(C8,1),"R","Residential","C","Commercial","ERROR")</f>
        <v>Residential</v>
      </c>
      <c r="D4" s="1367"/>
      <c r="E4" s="1367"/>
      <c r="F4" s="1367"/>
    </row>
    <row r="5" spans="1:18" ht="29.25" customHeight="1" x14ac:dyDescent="0.3">
      <c r="B5" s="490" t="s">
        <v>408</v>
      </c>
      <c r="C5" s="1530" t="s">
        <v>220</v>
      </c>
      <c r="D5" s="1531"/>
      <c r="E5" s="1531"/>
      <c r="F5" s="1532"/>
      <c r="R5" s="488"/>
    </row>
    <row r="6" spans="1:18" ht="18.75" customHeight="1" x14ac:dyDescent="0.3">
      <c r="A6" s="573"/>
    </row>
    <row r="7" spans="1:18" ht="18.75" customHeight="1" x14ac:dyDescent="0.3">
      <c r="B7" s="1193" t="s">
        <v>507</v>
      </c>
      <c r="C7" s="493" t="s">
        <v>406</v>
      </c>
      <c r="D7" s="1366" t="s">
        <v>410</v>
      </c>
      <c r="E7" s="1366"/>
      <c r="F7" s="1366"/>
      <c r="R7" s="488"/>
    </row>
    <row r="8" spans="1:18" ht="18.75" customHeight="1" x14ac:dyDescent="0.3">
      <c r="B8" s="490" t="s">
        <v>411</v>
      </c>
      <c r="C8" s="1194" t="s">
        <v>154</v>
      </c>
      <c r="D8" s="1521"/>
      <c r="E8" s="1522"/>
      <c r="F8" s="1523"/>
      <c r="R8" s="488"/>
    </row>
    <row r="9" spans="1:18" ht="18.75" customHeight="1" x14ac:dyDescent="0.3">
      <c r="B9" s="490" t="s">
        <v>49</v>
      </c>
      <c r="C9" s="1194" t="s">
        <v>579</v>
      </c>
      <c r="D9" s="1524"/>
      <c r="E9" s="1525"/>
      <c r="F9" s="1526"/>
      <c r="R9" s="488"/>
    </row>
    <row r="10" spans="1:18" ht="18.75" customHeight="1" x14ac:dyDescent="0.3">
      <c r="B10" s="490" t="s">
        <v>412</v>
      </c>
      <c r="C10" s="1194"/>
      <c r="D10" s="1524"/>
      <c r="E10" s="1525"/>
      <c r="F10" s="1526"/>
      <c r="R10" s="488"/>
    </row>
    <row r="11" spans="1:18" ht="18.75" customHeight="1" x14ac:dyDescent="0.3">
      <c r="B11" s="490" t="s">
        <v>413</v>
      </c>
      <c r="C11" s="1194"/>
      <c r="D11" s="1524"/>
      <c r="E11" s="1525"/>
      <c r="F11" s="1526"/>
      <c r="R11" s="488"/>
    </row>
    <row r="12" spans="1:18" ht="18.75" customHeight="1" x14ac:dyDescent="0.3">
      <c r="B12" s="490" t="s">
        <v>414</v>
      </c>
      <c r="C12" s="602"/>
      <c r="D12" s="1524"/>
      <c r="E12" s="1525"/>
      <c r="F12" s="1526"/>
      <c r="R12" s="488"/>
    </row>
    <row r="13" spans="1:18" ht="18.75" customHeight="1" x14ac:dyDescent="0.3">
      <c r="B13" s="494" t="s">
        <v>415</v>
      </c>
      <c r="C13" s="495">
        <f>N43</f>
        <v>0</v>
      </c>
      <c r="D13" s="1524"/>
      <c r="E13" s="1525"/>
      <c r="F13" s="1526"/>
      <c r="R13" s="488"/>
    </row>
    <row r="14" spans="1:18" ht="18.75" customHeight="1" x14ac:dyDescent="0.3">
      <c r="B14" s="494" t="s">
        <v>416</v>
      </c>
      <c r="C14" s="495">
        <f>N42</f>
        <v>0</v>
      </c>
      <c r="D14" s="1524"/>
      <c r="E14" s="1525"/>
      <c r="F14" s="1526"/>
      <c r="R14" s="488"/>
    </row>
    <row r="15" spans="1:18" ht="18.75" customHeight="1" x14ac:dyDescent="0.3">
      <c r="B15" s="494" t="s">
        <v>417</v>
      </c>
      <c r="C15" s="495">
        <f>N44</f>
        <v>0.34715760571818427</v>
      </c>
      <c r="D15" s="1524"/>
      <c r="E15" s="1525"/>
      <c r="F15" s="1526"/>
      <c r="R15" s="488"/>
    </row>
    <row r="16" spans="1:18" ht="18.75" customHeight="1" x14ac:dyDescent="0.3">
      <c r="B16" s="494" t="s">
        <v>418</v>
      </c>
      <c r="C16" s="496">
        <f>C37</f>
        <v>0</v>
      </c>
      <c r="D16" s="1527"/>
      <c r="E16" s="1528"/>
      <c r="F16" s="1529"/>
      <c r="R16" s="488"/>
    </row>
    <row r="17" spans="2:18" ht="18.75" customHeight="1" x14ac:dyDescent="0.3">
      <c r="B17" s="490" t="s">
        <v>48</v>
      </c>
      <c r="C17" s="1194" t="s">
        <v>509</v>
      </c>
      <c r="D17" s="1366" t="s">
        <v>419</v>
      </c>
      <c r="E17" s="1366"/>
      <c r="F17" s="1366"/>
      <c r="R17" s="488"/>
    </row>
    <row r="18" spans="2:18" ht="18.75" customHeight="1" x14ac:dyDescent="0.3">
      <c r="B18" s="490" t="s">
        <v>420</v>
      </c>
      <c r="C18" s="541">
        <v>20</v>
      </c>
      <c r="D18" s="1520" t="s">
        <v>580</v>
      </c>
      <c r="E18" s="1520"/>
      <c r="F18" s="1520"/>
      <c r="R18" s="488"/>
    </row>
    <row r="19" spans="2:18" ht="18.75" customHeight="1" x14ac:dyDescent="0.3">
      <c r="B19" s="497"/>
      <c r="C19" s="576"/>
      <c r="F19" s="489"/>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42.75" customHeight="1" x14ac:dyDescent="0.3">
      <c r="B21" s="499" t="s">
        <v>422</v>
      </c>
      <c r="C21" s="1533" t="s">
        <v>354</v>
      </c>
      <c r="D21" s="1533"/>
      <c r="E21" s="1533"/>
      <c r="F21" s="1533"/>
      <c r="G21" s="1533"/>
      <c r="H21" s="1533"/>
      <c r="I21" s="1533"/>
      <c r="J21" s="1533"/>
      <c r="K21" s="1533"/>
      <c r="L21" s="1533"/>
      <c r="M21" s="1533"/>
      <c r="N21" s="1533"/>
      <c r="O21" s="1533"/>
      <c r="P21" s="1533"/>
      <c r="Q21" s="1533"/>
      <c r="R21" s="488"/>
    </row>
    <row r="22" spans="2:18" ht="36.75" customHeight="1" x14ac:dyDescent="0.3">
      <c r="B22" s="500" t="s">
        <v>423</v>
      </c>
      <c r="C22" s="1534" t="s">
        <v>355</v>
      </c>
      <c r="D22" s="1535"/>
      <c r="E22" s="1535"/>
      <c r="F22" s="1535"/>
      <c r="G22" s="1535"/>
      <c r="H22" s="1535"/>
      <c r="I22" s="1535"/>
      <c r="J22" s="1535"/>
      <c r="K22" s="1535"/>
      <c r="L22" s="1535"/>
      <c r="M22" s="1535"/>
      <c r="N22" s="1535"/>
      <c r="O22" s="1535"/>
      <c r="P22" s="1535"/>
      <c r="Q22" s="1535"/>
      <c r="R22" s="488"/>
    </row>
    <row r="23" spans="2:18" ht="18.75" customHeight="1"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581</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Default.BuildingType.R</f>
        <v>Home - detached</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603"/>
      <c r="D33" s="586" t="s">
        <v>430</v>
      </c>
      <c r="E33" s="1475"/>
      <c r="F33" s="1476"/>
      <c r="G33" s="1476"/>
      <c r="H33" s="1476"/>
      <c r="I33" s="1476"/>
      <c r="J33" s="1476"/>
      <c r="K33" s="1476"/>
      <c r="L33" s="1476"/>
      <c r="M33" s="1476"/>
      <c r="N33" s="1476"/>
      <c r="O33" s="1476"/>
      <c r="P33" s="1476"/>
      <c r="Q33" s="1477"/>
      <c r="R33" s="488"/>
    </row>
    <row r="34" spans="2:18" ht="42" customHeight="1" x14ac:dyDescent="0.3">
      <c r="B34" s="494" t="s">
        <v>431</v>
      </c>
      <c r="C34" s="603"/>
      <c r="D34" s="586" t="s">
        <v>430</v>
      </c>
      <c r="E34" s="1512"/>
      <c r="F34" s="1442"/>
      <c r="G34" s="1442"/>
      <c r="H34" s="1442"/>
      <c r="I34" s="1442"/>
      <c r="J34" s="1442"/>
      <c r="K34" s="1442"/>
      <c r="L34" s="1442"/>
      <c r="M34" s="1442"/>
      <c r="N34" s="1442"/>
      <c r="O34" s="1442"/>
      <c r="P34" s="1442"/>
      <c r="Q34" s="1442"/>
    </row>
    <row r="35" spans="2:18" ht="18.75" customHeight="1" x14ac:dyDescent="0.3">
      <c r="B35" s="490" t="s">
        <v>432</v>
      </c>
      <c r="C35" s="603"/>
      <c r="D35" s="586" t="s">
        <v>430</v>
      </c>
      <c r="E35" s="1475"/>
      <c r="F35" s="1476"/>
      <c r="G35" s="1476"/>
      <c r="H35" s="1476"/>
      <c r="I35" s="1476"/>
      <c r="J35" s="1476"/>
      <c r="K35" s="1476"/>
      <c r="L35" s="1476"/>
      <c r="M35" s="1476"/>
      <c r="N35" s="1476"/>
      <c r="O35" s="1476"/>
      <c r="P35" s="1476"/>
      <c r="Q35" s="1477"/>
    </row>
    <row r="36" spans="2:18" ht="18.75" customHeight="1" x14ac:dyDescent="0.3">
      <c r="B36" s="494" t="s">
        <v>433</v>
      </c>
      <c r="C36" s="504">
        <f>SUM(C33:C34)</f>
        <v>0</v>
      </c>
      <c r="D36" s="586" t="s">
        <v>430</v>
      </c>
      <c r="E36" s="1442"/>
      <c r="F36" s="1442"/>
      <c r="G36" s="1442"/>
      <c r="H36" s="1442"/>
      <c r="I36" s="1442"/>
      <c r="J36" s="1442"/>
      <c r="K36" s="1442"/>
      <c r="L36" s="1442"/>
      <c r="M36" s="1442"/>
      <c r="N36" s="1442"/>
      <c r="O36" s="1442"/>
      <c r="P36" s="1442"/>
      <c r="Q36" s="1442"/>
    </row>
    <row r="37" spans="2:18" ht="52.5" customHeight="1" x14ac:dyDescent="0.3">
      <c r="B37" s="494" t="s">
        <v>434</v>
      </c>
      <c r="C37" s="504">
        <f>IF(C27="RET",C33+(C34-C35),C34-C35)</f>
        <v>0</v>
      </c>
      <c r="D37" s="586" t="s">
        <v>430</v>
      </c>
      <c r="E37" s="151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5">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0</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5">
        <f>N50+N56</f>
        <v>0.34715760571818427</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5">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455</v>
      </c>
      <c r="D49" s="1505"/>
      <c r="E49" s="1505"/>
      <c r="F49" s="1505"/>
      <c r="G49" s="1505"/>
      <c r="H49" s="1505"/>
      <c r="I49" s="1505"/>
      <c r="J49" s="1505"/>
      <c r="K49" s="1505"/>
      <c r="L49" s="1505"/>
      <c r="M49" s="1506"/>
      <c r="N49" s="592"/>
      <c r="O49" s="1243" t="s">
        <v>443</v>
      </c>
      <c r="P49" s="1511"/>
      <c r="Q49" s="1511"/>
      <c r="R49" s="488"/>
    </row>
    <row r="50" spans="2:18" ht="18.75" customHeight="1" x14ac:dyDescent="0.3">
      <c r="B50" s="582" t="s">
        <v>456</v>
      </c>
      <c r="C50" s="1504" t="s">
        <v>582</v>
      </c>
      <c r="D50" s="1505"/>
      <c r="E50" s="1505"/>
      <c r="F50" s="1505"/>
      <c r="G50" s="1505"/>
      <c r="H50" s="1505"/>
      <c r="I50" s="1505"/>
      <c r="J50" s="1505"/>
      <c r="K50" s="1505"/>
      <c r="L50" s="1505"/>
      <c r="M50" s="1506"/>
      <c r="N50" s="591">
        <f>H62*H67/(1-H66)*(   H65*(1-H66) / (H63*(1-H64))   -1)*GJ_per_BTU</f>
        <v>0.34715760571818427</v>
      </c>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c r="R53" s="488"/>
    </row>
    <row r="54" spans="2:18" ht="18.75" customHeight="1" x14ac:dyDescent="0.3">
      <c r="B54" s="582" t="s">
        <v>462</v>
      </c>
      <c r="C54" s="1504" t="s">
        <v>463</v>
      </c>
      <c r="D54" s="1505"/>
      <c r="E54" s="1505"/>
      <c r="F54" s="1505"/>
      <c r="G54" s="1505"/>
      <c r="H54" s="1505"/>
      <c r="I54" s="1505"/>
      <c r="J54" s="1505"/>
      <c r="K54" s="1505"/>
      <c r="L54" s="1505"/>
      <c r="M54" s="1506"/>
      <c r="N54" s="592"/>
      <c r="O54" s="1243" t="s">
        <v>440</v>
      </c>
      <c r="P54" s="1511"/>
      <c r="Q54" s="1511"/>
      <c r="R54" s="488"/>
    </row>
    <row r="55" spans="2:18" ht="18.75" customHeight="1" x14ac:dyDescent="0.3">
      <c r="B55" s="582" t="s">
        <v>464</v>
      </c>
      <c r="C55" s="1504" t="s">
        <v>465</v>
      </c>
      <c r="D55" s="1505"/>
      <c r="E55" s="1505"/>
      <c r="F55" s="1505"/>
      <c r="G55" s="1505"/>
      <c r="H55" s="1505"/>
      <c r="I55" s="1505"/>
      <c r="J55" s="1505"/>
      <c r="K55" s="1505"/>
      <c r="L55" s="1505"/>
      <c r="M55" s="1506"/>
      <c r="N55" s="592"/>
      <c r="O55" s="1243" t="s">
        <v>443</v>
      </c>
      <c r="P55" s="1537"/>
      <c r="Q55" s="1538"/>
      <c r="R55" s="488"/>
    </row>
    <row r="56" spans="2:18" ht="18.75" customHeight="1" x14ac:dyDescent="0.3">
      <c r="B56" s="582" t="s">
        <v>466</v>
      </c>
      <c r="C56" s="1504" t="s">
        <v>516</v>
      </c>
      <c r="D56" s="1505"/>
      <c r="E56" s="1505"/>
      <c r="F56" s="1505"/>
      <c r="G56" s="1505"/>
      <c r="H56" s="1505"/>
      <c r="I56" s="1505"/>
      <c r="J56" s="1505"/>
      <c r="K56" s="1505"/>
      <c r="L56" s="1505"/>
      <c r="M56" s="1506"/>
      <c r="N56" s="592"/>
      <c r="O56" s="1243" t="s">
        <v>446</v>
      </c>
      <c r="P56" s="1537"/>
      <c r="Q56" s="1538"/>
      <c r="R56" s="488"/>
    </row>
    <row r="57" spans="2:18" ht="18.75" customHeight="1" x14ac:dyDescent="0.3">
      <c r="B57" s="582" t="s">
        <v>468</v>
      </c>
      <c r="C57" s="1504" t="s">
        <v>469</v>
      </c>
      <c r="D57" s="1505"/>
      <c r="E57" s="1505"/>
      <c r="F57" s="1505"/>
      <c r="G57" s="1505"/>
      <c r="H57" s="1505"/>
      <c r="I57" s="1505"/>
      <c r="J57" s="1505"/>
      <c r="K57" s="1505"/>
      <c r="L57" s="1505"/>
      <c r="M57" s="1506"/>
      <c r="N57" s="592"/>
      <c r="O57" s="1243" t="s">
        <v>449</v>
      </c>
      <c r="P57" s="1511"/>
      <c r="Q57" s="1511"/>
      <c r="R57" s="488"/>
    </row>
    <row r="58" spans="2:18" ht="18.75" customHeight="1" x14ac:dyDescent="0.3">
      <c r="B58" s="599"/>
      <c r="C58" s="577"/>
      <c r="D58" s="578"/>
      <c r="E58" s="578"/>
      <c r="F58" s="578"/>
      <c r="G58" s="578"/>
      <c r="H58" s="578"/>
      <c r="I58" s="578"/>
      <c r="J58" s="578"/>
      <c r="K58" s="578"/>
      <c r="L58" s="578"/>
      <c r="M58" s="578"/>
      <c r="N58" s="578"/>
      <c r="O58" s="578"/>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506" t="s">
        <v>406</v>
      </c>
      <c r="I61" s="506" t="s">
        <v>428</v>
      </c>
      <c r="J61" s="1396" t="s">
        <v>476</v>
      </c>
      <c r="K61" s="1397"/>
      <c r="L61" s="1397"/>
      <c r="M61" s="1397"/>
      <c r="N61" s="1397"/>
      <c r="O61" s="1397"/>
      <c r="P61" s="1397"/>
      <c r="Q61" s="1398"/>
    </row>
    <row r="62" spans="2:18" ht="37.5" customHeight="1" x14ac:dyDescent="0.3">
      <c r="B62" s="533">
        <v>1</v>
      </c>
      <c r="C62" s="546" t="s">
        <v>530</v>
      </c>
      <c r="D62" s="1539" t="s">
        <v>531</v>
      </c>
      <c r="E62" s="1539"/>
      <c r="F62" s="604" t="str">
        <f>C28</f>
        <v>Home - detached</v>
      </c>
      <c r="G62" s="605" t="str">
        <f>$C$26</f>
        <v>Average</v>
      </c>
      <c r="H62" s="606">
        <f>INDEX(EFLH[#All],MATCH(F62,EFLH[[#All],[EFLH]],0),MATCH(G62,EFLH[#Headers],0))</f>
        <v>2617.8472419520012</v>
      </c>
      <c r="I62" s="1238" t="s">
        <v>532</v>
      </c>
      <c r="J62" s="1462" t="s">
        <v>533</v>
      </c>
      <c r="K62" s="1470"/>
      <c r="L62" s="1470"/>
      <c r="M62" s="1470"/>
      <c r="N62" s="1470"/>
      <c r="O62" s="1470"/>
      <c r="P62" s="1470"/>
      <c r="Q62" s="1471"/>
      <c r="R62" s="488"/>
    </row>
    <row r="63" spans="2:18" ht="30" customHeight="1" x14ac:dyDescent="0.3">
      <c r="B63" s="533">
        <v>2</v>
      </c>
      <c r="C63" s="546" t="s">
        <v>583</v>
      </c>
      <c r="D63" s="1539" t="s">
        <v>584</v>
      </c>
      <c r="E63" s="1539"/>
      <c r="F63" s="1217"/>
      <c r="G63" s="1217"/>
      <c r="H63" s="607">
        <f>SpaceHeatingEfficiency.R.NG</f>
        <v>0.85</v>
      </c>
      <c r="I63" s="1238" t="s">
        <v>519</v>
      </c>
      <c r="J63" s="1465" t="s">
        <v>520</v>
      </c>
      <c r="K63" s="1466"/>
      <c r="L63" s="1466"/>
      <c r="M63" s="1466"/>
      <c r="N63" s="1466"/>
      <c r="O63" s="1466"/>
      <c r="P63" s="1466"/>
      <c r="Q63" s="1467"/>
      <c r="R63" s="488"/>
    </row>
    <row r="64" spans="2:18" ht="13.15" customHeight="1" x14ac:dyDescent="0.3">
      <c r="B64" s="533">
        <v>3</v>
      </c>
      <c r="C64" s="546" t="s">
        <v>585</v>
      </c>
      <c r="D64" s="1539" t="s">
        <v>586</v>
      </c>
      <c r="E64" s="1539"/>
      <c r="F64" s="1217"/>
      <c r="G64" s="1217"/>
      <c r="H64" s="608">
        <f>SpaceHeatingDerating.R.NG</f>
        <v>6.4000000000000001E-2</v>
      </c>
      <c r="I64" s="1217" t="s">
        <v>519</v>
      </c>
      <c r="J64" s="1540" t="s">
        <v>587</v>
      </c>
      <c r="K64" s="1540"/>
      <c r="L64" s="1540"/>
      <c r="M64" s="1540"/>
      <c r="N64" s="1540"/>
      <c r="O64" s="1540"/>
      <c r="P64" s="1540"/>
      <c r="Q64" s="1540"/>
      <c r="R64" s="488"/>
    </row>
    <row r="65" spans="2:17" s="488" customFormat="1" ht="13.15" customHeight="1" x14ac:dyDescent="0.3">
      <c r="B65" s="533">
        <v>4</v>
      </c>
      <c r="C65" s="546" t="s">
        <v>588</v>
      </c>
      <c r="D65" s="1539" t="s">
        <v>589</v>
      </c>
      <c r="E65" s="1539"/>
      <c r="F65" s="1217"/>
      <c r="G65" s="1217" t="s">
        <v>517</v>
      </c>
      <c r="H65" s="609">
        <f>INDEX($B$97:$N$117,MATCH($H68,$C$97:$C$117,0),MATCH(G65,$B$96:$N$96,0))</f>
        <v>0.95</v>
      </c>
      <c r="I65" s="1217" t="s">
        <v>519</v>
      </c>
      <c r="J65" s="1468" t="s">
        <v>590</v>
      </c>
      <c r="K65" s="1541"/>
      <c r="L65" s="1541"/>
      <c r="M65" s="1541"/>
      <c r="N65" s="1541"/>
      <c r="O65" s="1541"/>
      <c r="P65" s="1541"/>
      <c r="Q65" s="1542"/>
    </row>
    <row r="66" spans="2:17" s="488" customFormat="1" ht="29.25" customHeight="1" x14ac:dyDescent="0.3">
      <c r="B66" s="533">
        <v>5</v>
      </c>
      <c r="C66" s="546" t="s">
        <v>591</v>
      </c>
      <c r="D66" s="1539" t="s">
        <v>592</v>
      </c>
      <c r="E66" s="1539"/>
      <c r="F66" s="1217"/>
      <c r="G66" s="1217"/>
      <c r="H66" s="554">
        <v>6.4000000000000001E-2</v>
      </c>
      <c r="I66" s="1217" t="s">
        <v>519</v>
      </c>
      <c r="J66" s="1468" t="s">
        <v>593</v>
      </c>
      <c r="K66" s="1478"/>
      <c r="L66" s="1478"/>
      <c r="M66" s="1478"/>
      <c r="N66" s="1478"/>
      <c r="O66" s="1478"/>
      <c r="P66" s="1478"/>
      <c r="Q66" s="1469"/>
    </row>
    <row r="67" spans="2:17" s="488" customFormat="1" ht="14.5" customHeight="1" x14ac:dyDescent="0.3">
      <c r="B67" s="535">
        <v>6</v>
      </c>
      <c r="C67" s="551" t="s">
        <v>534</v>
      </c>
      <c r="D67" s="1543" t="s">
        <v>535</v>
      </c>
      <c r="E67" s="1543"/>
      <c r="F67" s="552"/>
      <c r="G67" s="552"/>
      <c r="H67" s="610">
        <v>1000</v>
      </c>
      <c r="I67" s="552" t="s">
        <v>536</v>
      </c>
      <c r="J67" s="1482" t="s">
        <v>537</v>
      </c>
      <c r="K67" s="1544"/>
      <c r="L67" s="1544"/>
      <c r="M67" s="1544"/>
      <c r="N67" s="1544"/>
      <c r="O67" s="1544"/>
      <c r="P67" s="1544"/>
      <c r="Q67" s="1545"/>
    </row>
    <row r="68" spans="2:17" s="488" customFormat="1" ht="13" x14ac:dyDescent="0.3">
      <c r="B68" s="533">
        <v>7</v>
      </c>
      <c r="C68" s="546" t="s">
        <v>594</v>
      </c>
      <c r="D68" s="1539" t="s">
        <v>595</v>
      </c>
      <c r="E68" s="1539"/>
      <c r="F68" s="1217"/>
      <c r="G68" s="1217"/>
      <c r="H68" s="554" t="s">
        <v>596</v>
      </c>
      <c r="I68" s="1217" t="s">
        <v>597</v>
      </c>
      <c r="J68" s="1507"/>
      <c r="K68" s="1514"/>
      <c r="L68" s="1514"/>
      <c r="M68" s="1514"/>
      <c r="N68" s="1514"/>
      <c r="O68" s="1514"/>
      <c r="P68" s="1514"/>
      <c r="Q68" s="1515"/>
    </row>
    <row r="69" spans="2:17" s="488" customFormat="1" ht="13" x14ac:dyDescent="0.3">
      <c r="B69" s="533">
        <v>8</v>
      </c>
      <c r="C69" s="546"/>
      <c r="D69" s="1539"/>
      <c r="E69" s="1539"/>
      <c r="F69" s="1217"/>
      <c r="G69" s="1217"/>
      <c r="H69" s="554"/>
      <c r="I69" s="1217"/>
      <c r="J69" s="1468"/>
      <c r="K69" s="1478"/>
      <c r="L69" s="1478"/>
      <c r="M69" s="1478"/>
      <c r="N69" s="1478"/>
      <c r="O69" s="1478"/>
      <c r="P69" s="1478"/>
      <c r="Q69" s="1469"/>
    </row>
    <row r="70" spans="2:17" s="488" customFormat="1" ht="13" x14ac:dyDescent="0.3">
      <c r="B70" s="533">
        <v>9</v>
      </c>
      <c r="C70" s="546"/>
      <c r="D70" s="1539"/>
      <c r="E70" s="1539"/>
      <c r="F70" s="1217"/>
      <c r="G70" s="1217"/>
      <c r="H70" s="611"/>
      <c r="I70" s="1217"/>
      <c r="J70" s="1468"/>
      <c r="K70" s="1478"/>
      <c r="L70" s="1478"/>
      <c r="M70" s="1478"/>
      <c r="N70" s="1478"/>
      <c r="O70" s="1478"/>
      <c r="P70" s="1478"/>
      <c r="Q70" s="1469"/>
    </row>
    <row r="71" spans="2:17" s="488" customFormat="1" ht="13" x14ac:dyDescent="0.3">
      <c r="B71" s="533">
        <v>10</v>
      </c>
      <c r="C71" s="546"/>
      <c r="D71" s="1539"/>
      <c r="E71" s="1539"/>
      <c r="F71" s="1217"/>
      <c r="G71" s="1217"/>
      <c r="H71" s="559"/>
      <c r="I71" s="1217"/>
      <c r="J71" s="1507"/>
      <c r="K71" s="1514"/>
      <c r="L71" s="1514"/>
      <c r="M71" s="1514"/>
      <c r="N71" s="1514"/>
      <c r="O71" s="1514"/>
      <c r="P71" s="1514"/>
      <c r="Q71" s="1515"/>
    </row>
    <row r="72" spans="2:17" s="491" customFormat="1" ht="13" x14ac:dyDescent="0.3">
      <c r="B72" s="536">
        <v>11</v>
      </c>
      <c r="C72" s="555"/>
      <c r="D72" s="1437"/>
      <c r="E72" s="1438"/>
      <c r="F72" s="556"/>
      <c r="G72" s="557"/>
      <c r="H72" s="556"/>
      <c r="I72" s="557"/>
      <c r="J72" s="1437"/>
      <c r="K72" s="1448"/>
      <c r="L72" s="1448"/>
      <c r="M72" s="1448"/>
      <c r="N72" s="1448"/>
      <c r="O72" s="1448"/>
      <c r="P72" s="1448"/>
      <c r="Q72" s="1438"/>
    </row>
    <row r="73" spans="2:17" s="491" customFormat="1" ht="13" x14ac:dyDescent="0.3">
      <c r="B73" s="536">
        <v>12</v>
      </c>
      <c r="C73" s="555"/>
      <c r="D73" s="1437"/>
      <c r="E73" s="1438"/>
      <c r="F73" s="556"/>
      <c r="G73" s="557"/>
      <c r="H73" s="558"/>
      <c r="I73" s="557"/>
      <c r="J73" s="1472"/>
      <c r="K73" s="1473"/>
      <c r="L73" s="1473"/>
      <c r="M73" s="1473"/>
      <c r="N73" s="1473"/>
      <c r="O73" s="1473"/>
      <c r="P73" s="1473"/>
      <c r="Q73" s="1474"/>
    </row>
    <row r="74" spans="2:17" s="491" customFormat="1" ht="13" x14ac:dyDescent="0.3">
      <c r="B74" s="536">
        <v>13</v>
      </c>
      <c r="C74" s="555"/>
      <c r="D74" s="1437"/>
      <c r="E74" s="1438"/>
      <c r="F74" s="556"/>
      <c r="G74" s="557"/>
      <c r="H74" s="556"/>
      <c r="I74" s="557"/>
      <c r="J74" s="1472"/>
      <c r="K74" s="1473"/>
      <c r="L74" s="1473"/>
      <c r="M74" s="1473"/>
      <c r="N74" s="1473"/>
      <c r="O74" s="1473"/>
      <c r="P74" s="1473"/>
      <c r="Q74" s="1474"/>
    </row>
    <row r="75" spans="2:17" s="489" customFormat="1" ht="13.15" customHeight="1" x14ac:dyDescent="0.3">
      <c r="B75" s="536">
        <v>14</v>
      </c>
      <c r="C75" s="555"/>
      <c r="D75" s="1437"/>
      <c r="E75" s="1438"/>
      <c r="F75" s="556"/>
      <c r="G75" s="557"/>
      <c r="H75" s="556"/>
      <c r="I75" s="557"/>
      <c r="J75" s="1472"/>
      <c r="K75" s="1473"/>
      <c r="L75" s="1473"/>
      <c r="M75" s="1473"/>
      <c r="N75" s="1473"/>
      <c r="O75" s="1473"/>
      <c r="P75" s="1473"/>
      <c r="Q75" s="1474"/>
    </row>
    <row r="76" spans="2:17" s="489" customFormat="1" ht="13" x14ac:dyDescent="0.3">
      <c r="B76" s="536">
        <v>15</v>
      </c>
      <c r="C76" s="555"/>
      <c r="D76" s="1437"/>
      <c r="E76" s="1438"/>
      <c r="F76" s="556"/>
      <c r="G76" s="557"/>
      <c r="H76" s="559"/>
      <c r="I76" s="557"/>
      <c r="J76" s="1472"/>
      <c r="K76" s="1473"/>
      <c r="L76" s="1473"/>
      <c r="M76" s="1473"/>
      <c r="N76" s="1473"/>
      <c r="O76" s="1473"/>
      <c r="P76" s="1473"/>
      <c r="Q76" s="1474"/>
    </row>
    <row r="77" spans="2:17" s="488" customFormat="1" ht="18.75" customHeight="1" x14ac:dyDescent="0.3"/>
    <row r="78" spans="2:17" s="488" customFormat="1" ht="18.75" customHeight="1" x14ac:dyDescent="0.3">
      <c r="B78" s="511" t="s">
        <v>477</v>
      </c>
      <c r="C78" s="512"/>
      <c r="D78" s="512"/>
      <c r="E78" s="512"/>
      <c r="F78" s="512"/>
      <c r="G78" s="512"/>
      <c r="H78" s="513"/>
      <c r="I78" s="513"/>
      <c r="J78" s="513"/>
      <c r="K78" s="513"/>
      <c r="L78" s="513"/>
      <c r="M78" s="513"/>
      <c r="N78" s="513"/>
      <c r="O78" s="513"/>
      <c r="P78" s="513"/>
      <c r="Q78" s="514"/>
    </row>
    <row r="79" spans="2:17" s="488" customFormat="1" ht="18.75" customHeight="1" x14ac:dyDescent="0.3"/>
    <row r="80" spans="2:17" s="488" customFormat="1"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row>
    <row r="81" spans="2:17" s="488" customFormat="1" ht="13" x14ac:dyDescent="0.3">
      <c r="B81" s="533">
        <v>1</v>
      </c>
      <c r="C81" s="560"/>
      <c r="D81" s="561"/>
      <c r="E81" s="1182"/>
      <c r="F81" s="1486"/>
      <c r="G81" s="1487"/>
      <c r="H81" s="1487"/>
      <c r="I81" s="1487"/>
      <c r="J81" s="1487"/>
      <c r="K81" s="1487"/>
      <c r="L81" s="1487"/>
      <c r="M81" s="1487"/>
      <c r="N81" s="1487"/>
      <c r="O81" s="1487"/>
      <c r="P81" s="1487"/>
      <c r="Q81" s="1488"/>
    </row>
    <row r="82" spans="2:17" s="488" customFormat="1" ht="13" x14ac:dyDescent="0.3">
      <c r="B82" s="533">
        <v>2</v>
      </c>
      <c r="C82" s="560"/>
      <c r="D82" s="562"/>
      <c r="E82" s="1182"/>
      <c r="F82" s="1489"/>
      <c r="G82" s="1490"/>
      <c r="H82" s="1490"/>
      <c r="I82" s="1490"/>
      <c r="J82" s="1490"/>
      <c r="K82" s="1490"/>
      <c r="L82" s="1490"/>
      <c r="M82" s="1490"/>
      <c r="N82" s="1490"/>
      <c r="O82" s="1490"/>
      <c r="P82" s="1490"/>
      <c r="Q82" s="1491"/>
    </row>
    <row r="83" spans="2:17" s="488" customFormat="1" ht="13" x14ac:dyDescent="0.3">
      <c r="B83" s="533">
        <v>3</v>
      </c>
      <c r="C83" s="560"/>
      <c r="D83" s="562"/>
      <c r="E83" s="1182"/>
      <c r="F83" s="1489"/>
      <c r="G83" s="1490"/>
      <c r="H83" s="1490"/>
      <c r="I83" s="1490"/>
      <c r="J83" s="1490"/>
      <c r="K83" s="1490"/>
      <c r="L83" s="1490"/>
      <c r="M83" s="1490"/>
      <c r="N83" s="1490"/>
      <c r="O83" s="1490"/>
      <c r="P83" s="1490"/>
      <c r="Q83" s="1491"/>
    </row>
    <row r="84" spans="2:17" s="488" customFormat="1" ht="13" x14ac:dyDescent="0.3">
      <c r="B84" s="533">
        <v>4</v>
      </c>
      <c r="C84" s="560"/>
      <c r="D84" s="562"/>
      <c r="E84" s="1182"/>
      <c r="F84" s="1489"/>
      <c r="G84" s="1490"/>
      <c r="H84" s="1490"/>
      <c r="I84" s="1490"/>
      <c r="J84" s="1490"/>
      <c r="K84" s="1490"/>
      <c r="L84" s="1490"/>
      <c r="M84" s="1490"/>
      <c r="N84" s="1490"/>
      <c r="O84" s="1490"/>
      <c r="P84" s="1490"/>
      <c r="Q84" s="1491"/>
    </row>
    <row r="85" spans="2:17" s="488" customFormat="1" ht="13" x14ac:dyDescent="0.3">
      <c r="B85" s="533">
        <v>5</v>
      </c>
      <c r="C85" s="560"/>
      <c r="D85" s="562"/>
      <c r="E85" s="1182"/>
      <c r="F85" s="1489"/>
      <c r="G85" s="1490"/>
      <c r="H85" s="1490"/>
      <c r="I85" s="1490"/>
      <c r="J85" s="1490"/>
      <c r="K85" s="1490"/>
      <c r="L85" s="1490"/>
      <c r="M85" s="1490"/>
      <c r="N85" s="1490"/>
      <c r="O85" s="1490"/>
      <c r="P85" s="1490"/>
      <c r="Q85" s="1491"/>
    </row>
    <row r="86" spans="2:17" s="488" customFormat="1" ht="13" x14ac:dyDescent="0.3">
      <c r="B86" s="533">
        <v>6</v>
      </c>
      <c r="C86" s="563"/>
      <c r="D86" s="564"/>
      <c r="E86" s="1182"/>
      <c r="F86" s="1489"/>
      <c r="G86" s="1490"/>
      <c r="H86" s="1490"/>
      <c r="I86" s="1490"/>
      <c r="J86" s="1490"/>
      <c r="K86" s="1490"/>
      <c r="L86" s="1490"/>
      <c r="M86" s="1490"/>
      <c r="N86" s="1490"/>
      <c r="O86" s="1490"/>
      <c r="P86" s="1490"/>
      <c r="Q86" s="1491"/>
    </row>
    <row r="87" spans="2:17" s="488" customFormat="1" ht="13" x14ac:dyDescent="0.3">
      <c r="B87" s="533">
        <v>7</v>
      </c>
      <c r="C87" s="563"/>
      <c r="D87" s="1233"/>
      <c r="E87" s="1182"/>
      <c r="F87" s="1489"/>
      <c r="G87" s="1490"/>
      <c r="H87" s="1490"/>
      <c r="I87" s="1490"/>
      <c r="J87" s="1490"/>
      <c r="K87" s="1490"/>
      <c r="L87" s="1490"/>
      <c r="M87" s="1490"/>
      <c r="N87" s="1490"/>
      <c r="O87" s="1490"/>
      <c r="P87" s="1490"/>
      <c r="Q87" s="1491"/>
    </row>
    <row r="88" spans="2:17" s="488" customFormat="1" ht="13" x14ac:dyDescent="0.3">
      <c r="B88" s="533">
        <v>8</v>
      </c>
      <c r="C88" s="563"/>
      <c r="D88" s="564"/>
      <c r="E88" s="1182"/>
      <c r="F88" s="1489"/>
      <c r="G88" s="1490"/>
      <c r="H88" s="1490"/>
      <c r="I88" s="1490"/>
      <c r="J88" s="1490"/>
      <c r="K88" s="1490"/>
      <c r="L88" s="1490"/>
      <c r="M88" s="1490"/>
      <c r="N88" s="1490"/>
      <c r="O88" s="1490"/>
      <c r="P88" s="1490"/>
      <c r="Q88" s="1491"/>
    </row>
    <row r="89" spans="2:17" s="488" customFormat="1" ht="13" x14ac:dyDescent="0.3">
      <c r="B89" s="533">
        <v>9</v>
      </c>
      <c r="C89" s="563"/>
      <c r="D89" s="1233"/>
      <c r="E89" s="1182"/>
      <c r="F89" s="1489"/>
      <c r="G89" s="1490"/>
      <c r="H89" s="1490"/>
      <c r="I89" s="1490"/>
      <c r="J89" s="1490"/>
      <c r="K89" s="1490"/>
      <c r="L89" s="1490"/>
      <c r="M89" s="1490"/>
      <c r="N89" s="1490"/>
      <c r="O89" s="1490"/>
      <c r="P89" s="1490"/>
      <c r="Q89" s="1491"/>
    </row>
    <row r="90" spans="2:17" s="488" customFormat="1" ht="13" x14ac:dyDescent="0.3">
      <c r="B90" s="533">
        <v>10</v>
      </c>
      <c r="C90" s="563"/>
      <c r="D90" s="564"/>
      <c r="E90" s="1182"/>
      <c r="F90" s="1489"/>
      <c r="G90" s="1490"/>
      <c r="H90" s="1490"/>
      <c r="I90" s="1490"/>
      <c r="J90" s="1490"/>
      <c r="K90" s="1490"/>
      <c r="L90" s="1490"/>
      <c r="M90" s="1490"/>
      <c r="N90" s="1490"/>
      <c r="O90" s="1490"/>
      <c r="P90" s="1490"/>
      <c r="Q90" s="1491"/>
    </row>
    <row r="91" spans="2:17" s="488" customFormat="1" ht="18.75" customHeight="1" x14ac:dyDescent="0.3"/>
    <row r="92" spans="2:17" s="488" customFormat="1" ht="18.75" customHeight="1" x14ac:dyDescent="0.3">
      <c r="B92" s="511" t="s">
        <v>492</v>
      </c>
      <c r="C92" s="512"/>
      <c r="D92" s="512"/>
      <c r="E92" s="512"/>
      <c r="F92" s="512"/>
      <c r="G92" s="512"/>
      <c r="H92" s="513"/>
      <c r="I92" s="513"/>
      <c r="J92" s="513"/>
      <c r="K92" s="513"/>
      <c r="L92" s="513"/>
      <c r="M92" s="513"/>
      <c r="N92" s="513"/>
      <c r="O92" s="513"/>
      <c r="P92" s="513"/>
      <c r="Q92" s="514"/>
    </row>
    <row r="93" spans="2:17" s="488" customFormat="1" ht="18.75" customHeight="1" x14ac:dyDescent="0.3"/>
    <row r="94" spans="2:17" s="488" customFormat="1" ht="18.75" customHeight="1" x14ac:dyDescent="0.3">
      <c r="B94" s="523" t="s">
        <v>493</v>
      </c>
      <c r="E94" s="1402" t="s">
        <v>494</v>
      </c>
      <c r="F94" s="1403"/>
      <c r="G94" s="1403"/>
      <c r="H94" s="1403"/>
      <c r="I94" s="1403"/>
      <c r="J94" s="1403"/>
      <c r="K94" s="1403"/>
      <c r="L94" s="1403"/>
      <c r="M94" s="1403"/>
      <c r="N94" s="1403"/>
      <c r="O94" s="1404" t="s">
        <v>476</v>
      </c>
      <c r="P94" s="1405"/>
      <c r="Q94" s="1406"/>
    </row>
    <row r="95" spans="2:17" s="488" customFormat="1" ht="25.5" customHeight="1" x14ac:dyDescent="0.3">
      <c r="B95" s="1498" t="s">
        <v>598</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row>
    <row r="96" spans="2:17" s="488" customFormat="1" ht="36.75" customHeight="1" x14ac:dyDescent="0.3">
      <c r="B96" s="1188" t="s">
        <v>478</v>
      </c>
      <c r="C96" s="1402" t="s">
        <v>538</v>
      </c>
      <c r="D96" s="1431"/>
      <c r="E96" s="565" t="s">
        <v>431</v>
      </c>
      <c r="F96" s="565" t="s">
        <v>432</v>
      </c>
      <c r="G96" s="565" t="s">
        <v>434</v>
      </c>
      <c r="H96" s="565" t="s">
        <v>517</v>
      </c>
      <c r="I96" s="565"/>
      <c r="J96" s="565"/>
      <c r="K96" s="565"/>
      <c r="L96" s="565"/>
      <c r="M96" s="565"/>
      <c r="N96" s="566"/>
      <c r="O96" s="1410"/>
      <c r="P96" s="1411"/>
      <c r="Q96" s="1412"/>
    </row>
    <row r="97" spans="2:17" s="488" customFormat="1" ht="13" x14ac:dyDescent="0.3">
      <c r="B97" s="533">
        <v>1</v>
      </c>
      <c r="C97" s="1217" t="s">
        <v>599</v>
      </c>
      <c r="D97" s="1184"/>
      <c r="E97" s="612">
        <v>2011</v>
      </c>
      <c r="F97" s="612"/>
      <c r="G97" s="612"/>
      <c r="H97" s="559">
        <v>0.8</v>
      </c>
      <c r="I97" s="568"/>
      <c r="J97" s="568"/>
      <c r="K97" s="568"/>
      <c r="L97" s="568"/>
      <c r="M97" s="568"/>
      <c r="N97" s="568"/>
      <c r="O97" s="1501"/>
      <c r="P97" s="1502"/>
      <c r="Q97" s="1503"/>
    </row>
    <row r="98" spans="2:17" s="488" customFormat="1" ht="13" x14ac:dyDescent="0.3">
      <c r="B98" s="533">
        <v>2</v>
      </c>
      <c r="C98" s="1217" t="s">
        <v>600</v>
      </c>
      <c r="D98" s="1184"/>
      <c r="E98" s="612">
        <v>2641</v>
      </c>
      <c r="F98" s="612">
        <f t="shared" ref="F98:F104" si="0">E98-G98</f>
        <v>2011</v>
      </c>
      <c r="G98" s="612">
        <v>630</v>
      </c>
      <c r="H98" s="559">
        <v>0.9</v>
      </c>
      <c r="I98" s="568"/>
      <c r="J98" s="568"/>
      <c r="K98" s="568"/>
      <c r="L98" s="568"/>
      <c r="M98" s="568"/>
      <c r="N98" s="568"/>
      <c r="O98" s="1495"/>
      <c r="P98" s="1496"/>
      <c r="Q98" s="1497"/>
    </row>
    <row r="99" spans="2:17" s="488" customFormat="1" ht="13" x14ac:dyDescent="0.3">
      <c r="B99" s="533">
        <v>3</v>
      </c>
      <c r="C99" s="1217" t="s">
        <v>601</v>
      </c>
      <c r="D99" s="1184"/>
      <c r="E99" s="612">
        <v>2727</v>
      </c>
      <c r="F99" s="612">
        <f t="shared" si="0"/>
        <v>2011</v>
      </c>
      <c r="G99" s="612">
        <v>716</v>
      </c>
      <c r="H99" s="559">
        <v>0.91</v>
      </c>
      <c r="I99" s="568"/>
      <c r="J99" s="568"/>
      <c r="K99" s="568"/>
      <c r="L99" s="568"/>
      <c r="M99" s="568"/>
      <c r="N99" s="568"/>
      <c r="O99" s="1495"/>
      <c r="P99" s="1496"/>
      <c r="Q99" s="1497"/>
    </row>
    <row r="100" spans="2:17" s="488" customFormat="1" ht="13" x14ac:dyDescent="0.3">
      <c r="B100" s="533">
        <v>4</v>
      </c>
      <c r="C100" s="1217" t="s">
        <v>602</v>
      </c>
      <c r="D100" s="1184"/>
      <c r="E100" s="612">
        <v>2813</v>
      </c>
      <c r="F100" s="612">
        <f t="shared" si="0"/>
        <v>2011</v>
      </c>
      <c r="G100" s="612">
        <v>802</v>
      </c>
      <c r="H100" s="559">
        <v>0.92</v>
      </c>
      <c r="I100" s="568"/>
      <c r="J100" s="568"/>
      <c r="K100" s="568"/>
      <c r="L100" s="568"/>
      <c r="M100" s="568"/>
      <c r="N100" s="568"/>
      <c r="O100" s="1495"/>
      <c r="P100" s="1496"/>
      <c r="Q100" s="1497"/>
    </row>
    <row r="101" spans="2:17" s="488" customFormat="1" ht="13" x14ac:dyDescent="0.3">
      <c r="B101" s="533">
        <v>5</v>
      </c>
      <c r="C101" s="1217" t="s">
        <v>603</v>
      </c>
      <c r="D101" s="1184"/>
      <c r="E101" s="612">
        <v>3025</v>
      </c>
      <c r="F101" s="612">
        <f t="shared" si="0"/>
        <v>2011</v>
      </c>
      <c r="G101" s="612">
        <v>1014</v>
      </c>
      <c r="H101" s="559">
        <v>0.93</v>
      </c>
      <c r="I101" s="568"/>
      <c r="J101" s="568"/>
      <c r="K101" s="568"/>
      <c r="L101" s="568"/>
      <c r="M101" s="568"/>
      <c r="N101" s="568"/>
      <c r="O101" s="1495"/>
      <c r="P101" s="1496"/>
      <c r="Q101" s="1497"/>
    </row>
    <row r="102" spans="2:17" s="488" customFormat="1" ht="13" x14ac:dyDescent="0.3">
      <c r="B102" s="533">
        <v>6</v>
      </c>
      <c r="C102" s="1217" t="s">
        <v>604</v>
      </c>
      <c r="D102" s="570"/>
      <c r="E102" s="612">
        <v>3237</v>
      </c>
      <c r="F102" s="612">
        <f t="shared" si="0"/>
        <v>2011</v>
      </c>
      <c r="G102" s="612">
        <v>1226</v>
      </c>
      <c r="H102" s="559">
        <v>0.94</v>
      </c>
      <c r="I102" s="569"/>
      <c r="J102" s="569"/>
      <c r="K102" s="569"/>
      <c r="L102" s="569"/>
      <c r="M102" s="569"/>
      <c r="N102" s="569"/>
      <c r="O102" s="1492"/>
      <c r="P102" s="1493"/>
      <c r="Q102" s="1494"/>
    </row>
    <row r="103" spans="2:17" s="488" customFormat="1" ht="13" x14ac:dyDescent="0.3">
      <c r="B103" s="533">
        <v>7</v>
      </c>
      <c r="C103" s="1217" t="s">
        <v>596</v>
      </c>
      <c r="D103" s="570"/>
      <c r="E103" s="612">
        <v>3449</v>
      </c>
      <c r="F103" s="612">
        <f t="shared" si="0"/>
        <v>2011</v>
      </c>
      <c r="G103" s="612">
        <v>1438</v>
      </c>
      <c r="H103" s="559">
        <v>0.95</v>
      </c>
      <c r="I103" s="569"/>
      <c r="J103" s="569"/>
      <c r="K103" s="569"/>
      <c r="L103" s="569"/>
      <c r="M103" s="569"/>
      <c r="N103" s="569"/>
      <c r="O103" s="1492"/>
      <c r="P103" s="1493"/>
      <c r="Q103" s="1494"/>
    </row>
    <row r="104" spans="2:17" s="488" customFormat="1" ht="13" x14ac:dyDescent="0.3">
      <c r="B104" s="533">
        <v>8</v>
      </c>
      <c r="C104" s="1217" t="s">
        <v>605</v>
      </c>
      <c r="D104" s="570"/>
      <c r="E104" s="612">
        <v>3661</v>
      </c>
      <c r="F104" s="612">
        <f t="shared" si="0"/>
        <v>2011</v>
      </c>
      <c r="G104" s="612">
        <v>1650</v>
      </c>
      <c r="H104" s="559">
        <v>0.96</v>
      </c>
      <c r="I104" s="569"/>
      <c r="J104" s="569"/>
      <c r="K104" s="569"/>
      <c r="L104" s="569"/>
      <c r="M104" s="569"/>
      <c r="N104" s="569"/>
      <c r="O104" s="1492"/>
      <c r="P104" s="1493"/>
      <c r="Q104" s="1494"/>
    </row>
    <row r="105" spans="2:17" s="488" customFormat="1" ht="13" x14ac:dyDescent="0.3">
      <c r="B105" s="533">
        <v>9</v>
      </c>
      <c r="C105" s="546"/>
      <c r="D105" s="570"/>
      <c r="E105" s="1190"/>
      <c r="F105" s="1217"/>
      <c r="G105" s="1217"/>
      <c r="H105" s="1217"/>
      <c r="I105" s="569"/>
      <c r="J105" s="569"/>
      <c r="K105" s="569"/>
      <c r="L105" s="569"/>
      <c r="M105" s="569"/>
      <c r="N105" s="569"/>
      <c r="O105" s="1492"/>
      <c r="P105" s="1493"/>
      <c r="Q105" s="1494"/>
    </row>
    <row r="106" spans="2:17" s="488" customFormat="1" ht="13" x14ac:dyDescent="0.3">
      <c r="B106" s="533">
        <v>10</v>
      </c>
      <c r="C106" s="546"/>
      <c r="D106" s="570"/>
      <c r="E106" s="1217"/>
      <c r="F106" s="1217"/>
      <c r="G106" s="1217"/>
      <c r="H106" s="1217"/>
      <c r="I106" s="569"/>
      <c r="J106" s="569"/>
      <c r="K106" s="569"/>
      <c r="L106" s="569"/>
      <c r="M106" s="569"/>
      <c r="N106" s="569"/>
      <c r="O106" s="1492"/>
      <c r="P106" s="1493"/>
      <c r="Q106" s="1494"/>
    </row>
    <row r="107" spans="2:17" s="488" customFormat="1" ht="13" x14ac:dyDescent="0.3">
      <c r="B107" s="533">
        <v>11</v>
      </c>
      <c r="C107" s="546"/>
      <c r="D107" s="570"/>
      <c r="E107" s="571"/>
      <c r="F107" s="1190"/>
      <c r="G107" s="571"/>
      <c r="H107" s="571"/>
      <c r="I107" s="569"/>
      <c r="J107" s="569"/>
      <c r="K107" s="569"/>
      <c r="L107" s="569"/>
      <c r="M107" s="569"/>
      <c r="N107" s="569"/>
      <c r="O107" s="1492"/>
      <c r="P107" s="1493"/>
      <c r="Q107" s="1494"/>
    </row>
    <row r="108" spans="2:17" s="488" customFormat="1" ht="13" x14ac:dyDescent="0.3">
      <c r="B108" s="533">
        <v>12</v>
      </c>
      <c r="C108" s="546"/>
      <c r="D108" s="570"/>
      <c r="E108" s="1217"/>
      <c r="F108" s="1190"/>
      <c r="G108" s="1217"/>
      <c r="H108" s="1217"/>
      <c r="I108" s="569"/>
      <c r="J108" s="569"/>
      <c r="K108" s="569"/>
      <c r="L108" s="569"/>
      <c r="M108" s="569"/>
      <c r="N108" s="569"/>
      <c r="O108" s="1492"/>
      <c r="P108" s="1493"/>
      <c r="Q108" s="1494"/>
    </row>
    <row r="109" spans="2:17" s="488" customFormat="1" ht="13" x14ac:dyDescent="0.3">
      <c r="B109" s="533">
        <v>13</v>
      </c>
      <c r="C109" s="546"/>
      <c r="D109" s="570"/>
      <c r="E109" s="1217"/>
      <c r="F109" s="1217"/>
      <c r="G109" s="1217"/>
      <c r="H109" s="1217"/>
      <c r="I109" s="569"/>
      <c r="J109" s="569"/>
      <c r="K109" s="569"/>
      <c r="L109" s="569"/>
      <c r="M109" s="569"/>
      <c r="N109" s="569"/>
      <c r="O109" s="1492"/>
      <c r="P109" s="1493"/>
      <c r="Q109" s="1494"/>
    </row>
    <row r="110" spans="2:17" s="488" customFormat="1" ht="13" x14ac:dyDescent="0.3">
      <c r="B110" s="533">
        <v>14</v>
      </c>
      <c r="C110" s="546"/>
      <c r="D110" s="570"/>
      <c r="E110" s="572"/>
      <c r="F110" s="572"/>
      <c r="G110" s="572"/>
      <c r="H110" s="572"/>
      <c r="I110" s="569"/>
      <c r="J110" s="569"/>
      <c r="K110" s="569"/>
      <c r="L110" s="569"/>
      <c r="M110" s="569"/>
      <c r="N110" s="569"/>
      <c r="O110" s="1492"/>
      <c r="P110" s="1493"/>
      <c r="Q110" s="1494"/>
    </row>
    <row r="111" spans="2:17" s="488" customFormat="1" ht="13" x14ac:dyDescent="0.3">
      <c r="B111" s="533">
        <v>15</v>
      </c>
      <c r="C111" s="546"/>
      <c r="D111" s="570"/>
      <c r="E111" s="572"/>
      <c r="F111" s="572"/>
      <c r="G111" s="572"/>
      <c r="H111" s="572"/>
      <c r="I111" s="569"/>
      <c r="J111" s="569"/>
      <c r="K111" s="569"/>
      <c r="L111" s="569"/>
      <c r="M111" s="569"/>
      <c r="N111" s="569"/>
      <c r="O111" s="1492"/>
      <c r="P111" s="1493"/>
      <c r="Q111" s="1494"/>
    </row>
    <row r="112" spans="2:17" s="488" customFormat="1" ht="13" x14ac:dyDescent="0.3">
      <c r="B112" s="533">
        <v>16</v>
      </c>
      <c r="C112" s="546"/>
      <c r="D112" s="570"/>
      <c r="E112" s="572"/>
      <c r="F112" s="572"/>
      <c r="G112" s="572"/>
      <c r="H112" s="572"/>
      <c r="I112" s="569"/>
      <c r="J112" s="569"/>
      <c r="K112" s="569"/>
      <c r="L112" s="569"/>
      <c r="M112" s="569"/>
      <c r="N112" s="569"/>
      <c r="O112" s="1492"/>
      <c r="P112" s="1493"/>
      <c r="Q112" s="1494"/>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row r="118" spans="2:18" ht="18.75" customHeight="1" x14ac:dyDescent="0.3">
      <c r="B118" s="601"/>
      <c r="O118" s="601"/>
      <c r="P118" s="601"/>
      <c r="Q118" s="601"/>
    </row>
    <row r="119" spans="2:18" ht="18.75" customHeight="1" x14ac:dyDescent="0.3">
      <c r="N119" s="601"/>
      <c r="O119" s="601"/>
      <c r="P119" s="601"/>
      <c r="Q119" s="601"/>
    </row>
    <row r="120" spans="2:18" ht="18.75" customHeight="1" x14ac:dyDescent="0.3">
      <c r="C120" s="601"/>
      <c r="O120" s="601"/>
      <c r="P120" s="601"/>
      <c r="Q120" s="601"/>
    </row>
  </sheetData>
  <sheetProtection algorithmName="SHA-512" hashValue="HvCGJ5jAyrHcop4TildaKwR/qg5DmauJ1RZWZwHCwqYc4P9JHeW8ltt7PzYW5XLE5lozE4bpfoPpSM4rOMgG7Q==" saltValue="q5n3G5kI7OuDJTXicNCMBQ==" spinCount="100000" sheet="1" objects="1" scenarios="1" selectLockedCells="1" selectUnlockedCells="1"/>
  <mergeCells count="121">
    <mergeCell ref="O113:Q113"/>
    <mergeCell ref="O114:Q114"/>
    <mergeCell ref="O115:Q115"/>
    <mergeCell ref="O116:Q116"/>
    <mergeCell ref="O107:Q107"/>
    <mergeCell ref="O108:Q108"/>
    <mergeCell ref="O109:Q109"/>
    <mergeCell ref="O110:Q110"/>
    <mergeCell ref="O111:Q111"/>
    <mergeCell ref="O112:Q112"/>
    <mergeCell ref="O101:Q101"/>
    <mergeCell ref="O102:Q102"/>
    <mergeCell ref="O103:Q103"/>
    <mergeCell ref="O104:Q104"/>
    <mergeCell ref="O105:Q105"/>
    <mergeCell ref="O106:Q106"/>
    <mergeCell ref="B95:D95"/>
    <mergeCell ref="C96:D96"/>
    <mergeCell ref="O97:Q97"/>
    <mergeCell ref="O98:Q98"/>
    <mergeCell ref="O99:Q99"/>
    <mergeCell ref="O100:Q100"/>
    <mergeCell ref="E94:N94"/>
    <mergeCell ref="O94:Q96"/>
    <mergeCell ref="F80:Q80"/>
    <mergeCell ref="F81:Q81"/>
    <mergeCell ref="F82:Q82"/>
    <mergeCell ref="F83:Q83"/>
    <mergeCell ref="F84:Q84"/>
    <mergeCell ref="F85:Q85"/>
    <mergeCell ref="F86:Q86"/>
    <mergeCell ref="F87:Q87"/>
    <mergeCell ref="F88:Q88"/>
    <mergeCell ref="F89:Q89"/>
    <mergeCell ref="F90:Q90"/>
    <mergeCell ref="D69:E69"/>
    <mergeCell ref="J69:Q69"/>
    <mergeCell ref="D70:E70"/>
    <mergeCell ref="J70:Q70"/>
    <mergeCell ref="D71:E71"/>
    <mergeCell ref="J71:Q71"/>
    <mergeCell ref="D66:E66"/>
    <mergeCell ref="J66:Q66"/>
    <mergeCell ref="D67:E67"/>
    <mergeCell ref="J67:Q67"/>
    <mergeCell ref="D68:E68"/>
    <mergeCell ref="J68:Q68"/>
    <mergeCell ref="C51:M51"/>
    <mergeCell ref="P51:Q51"/>
    <mergeCell ref="C53:M53"/>
    <mergeCell ref="P53:Q53"/>
    <mergeCell ref="D63:E63"/>
    <mergeCell ref="J63:Q63"/>
    <mergeCell ref="D64:E64"/>
    <mergeCell ref="J64:Q64"/>
    <mergeCell ref="D65:E65"/>
    <mergeCell ref="J65:Q65"/>
    <mergeCell ref="C57:M57"/>
    <mergeCell ref="P57:Q57"/>
    <mergeCell ref="D61:E61"/>
    <mergeCell ref="J61:Q61"/>
    <mergeCell ref="D62:E62"/>
    <mergeCell ref="J62:Q62"/>
    <mergeCell ref="D73:E73"/>
    <mergeCell ref="J73:Q73"/>
    <mergeCell ref="D74:E74"/>
    <mergeCell ref="J74:Q74"/>
    <mergeCell ref="D75:E75"/>
    <mergeCell ref="J75:Q75"/>
    <mergeCell ref="D76:E76"/>
    <mergeCell ref="J76:Q76"/>
    <mergeCell ref="E32:Q32"/>
    <mergeCell ref="E33:Q33"/>
    <mergeCell ref="E34:Q34"/>
    <mergeCell ref="C47:M47"/>
    <mergeCell ref="P47:Q47"/>
    <mergeCell ref="C48:M48"/>
    <mergeCell ref="P48:Q48"/>
    <mergeCell ref="C49:M49"/>
    <mergeCell ref="P49:Q49"/>
    <mergeCell ref="C43:M43"/>
    <mergeCell ref="P43:Q43"/>
    <mergeCell ref="C44:M44"/>
    <mergeCell ref="P44:Q44"/>
    <mergeCell ref="C45:M45"/>
    <mergeCell ref="P45:Q45"/>
    <mergeCell ref="C54:M54"/>
    <mergeCell ref="D72:E72"/>
    <mergeCell ref="B20:Q20"/>
    <mergeCell ref="C21:Q21"/>
    <mergeCell ref="C22:Q22"/>
    <mergeCell ref="C23:Q23"/>
    <mergeCell ref="D25:Q25"/>
    <mergeCell ref="E35:Q35"/>
    <mergeCell ref="E36:Q36"/>
    <mergeCell ref="E37:Q37"/>
    <mergeCell ref="C41:M41"/>
    <mergeCell ref="P41:Q41"/>
    <mergeCell ref="C42:M42"/>
    <mergeCell ref="P42:Q42"/>
    <mergeCell ref="D26:Q26"/>
    <mergeCell ref="D27:Q27"/>
    <mergeCell ref="D28:Q28"/>
    <mergeCell ref="J72:Q72"/>
    <mergeCell ref="P54:Q54"/>
    <mergeCell ref="C55:M55"/>
    <mergeCell ref="P55:Q55"/>
    <mergeCell ref="C56:M56"/>
    <mergeCell ref="P56:Q56"/>
    <mergeCell ref="C50:M50"/>
    <mergeCell ref="P50:Q50"/>
    <mergeCell ref="D29:Q29"/>
    <mergeCell ref="D30:Q30"/>
    <mergeCell ref="C2:F2"/>
    <mergeCell ref="C3:F3"/>
    <mergeCell ref="C4:F4"/>
    <mergeCell ref="D7:F7"/>
    <mergeCell ref="D17:F17"/>
    <mergeCell ref="D18:F18"/>
    <mergeCell ref="D8:F16"/>
    <mergeCell ref="C5:F5"/>
  </mergeCells>
  <conditionalFormatting sqref="H71">
    <cfRule type="expression" dxfId="4222" priority="41">
      <formula>IF(OR(#REF!="L",#REF!="C"),TRUE,FALSE)</formula>
    </cfRule>
  </conditionalFormatting>
  <conditionalFormatting sqref="H70">
    <cfRule type="expression" dxfId="4221" priority="39">
      <formula>IF(OR(#REF!="L",#REF!="C"),TRUE,FALSE)</formula>
    </cfRule>
  </conditionalFormatting>
  <conditionalFormatting sqref="F109:F116 G105:H116">
    <cfRule type="expression" dxfId="4220" priority="38">
      <formula>IF(OR(#REF!="L",#REF!="C"),TRUE,FALSE)</formula>
    </cfRule>
  </conditionalFormatting>
  <conditionalFormatting sqref="E110:E116">
    <cfRule type="expression" dxfId="4219" priority="37">
      <formula>IF(OR(#REF!="L",#REF!="C"),TRUE,FALSE)</formula>
    </cfRule>
  </conditionalFormatting>
  <conditionalFormatting sqref="E107">
    <cfRule type="expression" dxfId="4218" priority="36">
      <formula>IF(OR(#REF!="L",#REF!="C"),TRUE,FALSE)</formula>
    </cfRule>
  </conditionalFormatting>
  <conditionalFormatting sqref="E108">
    <cfRule type="expression" dxfId="4217" priority="35">
      <formula>IF(OR(#REF!="L",#REF!="C"),TRUE,FALSE)</formula>
    </cfRule>
  </conditionalFormatting>
  <conditionalFormatting sqref="E109">
    <cfRule type="expression" dxfId="4216" priority="34">
      <formula>IF(OR(#REF!="L",#REF!="C"),TRUE,FALSE)</formula>
    </cfRule>
  </conditionalFormatting>
  <conditionalFormatting sqref="E106">
    <cfRule type="expression" dxfId="4215" priority="33">
      <formula>IF(OR(#REF!="L",#REF!="C"),TRUE,FALSE)</formula>
    </cfRule>
  </conditionalFormatting>
  <conditionalFormatting sqref="E95 G95 I95 K95 M95">
    <cfRule type="duplicateValues" dxfId="4214" priority="32"/>
  </conditionalFormatting>
  <conditionalFormatting sqref="M104:M116">
    <cfRule type="expression" dxfId="4213" priority="22">
      <formula>IF(OR(#REF!="L",#REF!="C"),TRUE,FALSE)</formula>
    </cfRule>
  </conditionalFormatting>
  <conditionalFormatting sqref="F105:F106">
    <cfRule type="expression" dxfId="4212" priority="31">
      <formula>IF(OR(#REF!="L",#REF!="C"),TRUE,FALSE)</formula>
    </cfRule>
  </conditionalFormatting>
  <conditionalFormatting sqref="I102:I103">
    <cfRule type="expression" dxfId="4211" priority="29">
      <formula>IF(OR(#REF!="L",#REF!="C"),TRUE,FALSE)</formula>
    </cfRule>
  </conditionalFormatting>
  <conditionalFormatting sqref="N102:N103">
    <cfRule type="expression" dxfId="4210" priority="19">
      <formula>IF(OR(#REF!="L",#REF!="C"),TRUE,FALSE)</formula>
    </cfRule>
  </conditionalFormatting>
  <conditionalFormatting sqref="I104:I116">
    <cfRule type="expression" dxfId="4209" priority="30">
      <formula>IF(OR(#REF!="L",#REF!="C"),TRUE,FALSE)</formula>
    </cfRule>
  </conditionalFormatting>
  <conditionalFormatting sqref="J102:J103">
    <cfRule type="expression" dxfId="4208" priority="27">
      <formula>IF(OR(#REF!="L",#REF!="C"),TRUE,FALSE)</formula>
    </cfRule>
  </conditionalFormatting>
  <conditionalFormatting sqref="J104:J116">
    <cfRule type="expression" dxfId="4207" priority="28">
      <formula>IF(OR(#REF!="L",#REF!="C"),TRUE,FALSE)</formula>
    </cfRule>
  </conditionalFormatting>
  <conditionalFormatting sqref="K102:K103">
    <cfRule type="expression" dxfId="4206" priority="25">
      <formula>IF(OR(#REF!="L",#REF!="C"),TRUE,FALSE)</formula>
    </cfRule>
  </conditionalFormatting>
  <conditionalFormatting sqref="K104:K116">
    <cfRule type="expression" dxfId="4205" priority="26">
      <formula>IF(OR(#REF!="L",#REF!="C"),TRUE,FALSE)</formula>
    </cfRule>
  </conditionalFormatting>
  <conditionalFormatting sqref="L102:L103">
    <cfRule type="expression" dxfId="4204" priority="23">
      <formula>IF(OR(#REF!="L",#REF!="C"),TRUE,FALSE)</formula>
    </cfRule>
  </conditionalFormatting>
  <conditionalFormatting sqref="L104:L116">
    <cfRule type="expression" dxfId="4203" priority="24">
      <formula>IF(OR(#REF!="L",#REF!="C"),TRUE,FALSE)</formula>
    </cfRule>
  </conditionalFormatting>
  <conditionalFormatting sqref="M102:M103">
    <cfRule type="expression" dxfId="4202" priority="21">
      <formula>IF(OR(#REF!="L",#REF!="C"),TRUE,FALSE)</formula>
    </cfRule>
  </conditionalFormatting>
  <conditionalFormatting sqref="N104:N116">
    <cfRule type="expression" dxfId="4201" priority="20">
      <formula>IF(OR(#REF!="L",#REF!="C"),TRUE,FALSE)</formula>
    </cfRule>
  </conditionalFormatting>
  <conditionalFormatting sqref="O104:O116">
    <cfRule type="expression" dxfId="4200" priority="18">
      <formula>IF(OR(#REF!="L",#REF!="C"),TRUE,FALSE)</formula>
    </cfRule>
  </conditionalFormatting>
  <conditionalFormatting sqref="O102:O103">
    <cfRule type="expression" dxfId="4199" priority="17">
      <formula>IF(OR(#REF!="L",#REF!="C"),TRUE,FALSE)</formula>
    </cfRule>
  </conditionalFormatting>
  <conditionalFormatting sqref="I96:N96">
    <cfRule type="duplicateValues" dxfId="4198" priority="16"/>
  </conditionalFormatting>
  <conditionalFormatting sqref="E96">
    <cfRule type="duplicateValues" dxfId="4197" priority="15"/>
  </conditionalFormatting>
  <conditionalFormatting sqref="H67">
    <cfRule type="expression" dxfId="4196" priority="13">
      <formula>IF(OR(#REF!="L",#REF!="C"),TRUE,FALSE)</formula>
    </cfRule>
  </conditionalFormatting>
  <conditionalFormatting sqref="H66">
    <cfRule type="expression" dxfId="4195" priority="12">
      <formula>IF(OR(#REF!="L",#REF!="C"),TRUE,FALSE)</formula>
    </cfRule>
  </conditionalFormatting>
  <conditionalFormatting sqref="H72">
    <cfRule type="expression" dxfId="4194" priority="11">
      <formula>IF(OR(#REF!="L",#REF!="C"),TRUE,FALSE)</formula>
    </cfRule>
  </conditionalFormatting>
  <conditionalFormatting sqref="H73">
    <cfRule type="expression" dxfId="4193" priority="10">
      <formula>IF(OR(#REF!="L",#REF!="C"),TRUE,FALSE)</formula>
    </cfRule>
  </conditionalFormatting>
  <conditionalFormatting sqref="H74">
    <cfRule type="expression" dxfId="4192" priority="9">
      <formula>IF(OR(#REF!="L",#REF!="C"),TRUE,FALSE)</formula>
    </cfRule>
  </conditionalFormatting>
  <conditionalFormatting sqref="H75">
    <cfRule type="expression" dxfId="4191" priority="8">
      <formula>IF(OR(#REF!="L",#REF!="C"),TRUE,FALSE)</formula>
    </cfRule>
  </conditionalFormatting>
  <conditionalFormatting sqref="H76">
    <cfRule type="expression" dxfId="4190" priority="6">
      <formula>IF(OR(#REF!="L",#REF!="C"),TRUE,FALSE)</formula>
    </cfRule>
  </conditionalFormatting>
  <conditionalFormatting sqref="H68">
    <cfRule type="expression" dxfId="4189" priority="5">
      <formula>IF(OR(#REF!="L",#REF!="C"),TRUE,FALSE)</formula>
    </cfRule>
  </conditionalFormatting>
  <conditionalFormatting sqref="H96">
    <cfRule type="duplicateValues" dxfId="4188" priority="4"/>
  </conditionalFormatting>
  <conditionalFormatting sqref="G96">
    <cfRule type="duplicateValues" dxfId="4187" priority="3"/>
  </conditionalFormatting>
  <conditionalFormatting sqref="F96">
    <cfRule type="duplicateValues" dxfId="4186" priority="2"/>
  </conditionalFormatting>
  <conditionalFormatting sqref="H69">
    <cfRule type="expression" dxfId="4185" priority="1">
      <formula>IF(OR(#REF!="L",#REF!="C"),TRUE,FALSE)</formula>
    </cfRule>
  </conditionalFormatting>
  <dataValidations count="8">
    <dataValidation type="list" allowBlank="1" showInputMessage="1" showErrorMessage="1" sqref="F72:F74" xr:uid="{EE3BFD63-897B-431B-A59D-E2F369A33D7B}">
      <formula1>$C$102:$C$107</formula1>
    </dataValidation>
    <dataValidation type="list" allowBlank="1" showInputMessage="1" showErrorMessage="1" sqref="C4" xr:uid="{D10617BD-6BBC-494D-B620-B4F2BA80D6D5}">
      <formula1>"COM,RES"</formula1>
    </dataValidation>
    <dataValidation type="list" allowBlank="1" showInputMessage="1" showErrorMessage="1" sqref="H68" xr:uid="{0ECECC28-5E9A-4491-AD8F-8193C1F7A9EB}">
      <formula1>$C$97:$C$116</formula1>
    </dataValidation>
    <dataValidation type="list" allowBlank="1" showInputMessage="1" showErrorMessage="1" sqref="C9" xr:uid="{B7D6D895-C5DA-4C69-8D88-5C738CBC5151}">
      <formula1>INDIRECT("MeasureTypeList[Index]")</formula1>
    </dataValidation>
    <dataValidation type="list" allowBlank="1" showInputMessage="1" showErrorMessage="1" sqref="C26" xr:uid="{0A402FB5-EEB9-40F6-8561-0CDF2ADE0B08}">
      <formula1>INDIRECT("RegionList[Index]")</formula1>
    </dataValidation>
    <dataValidation type="list" allowBlank="1" showInputMessage="1" showErrorMessage="1" sqref="C27" xr:uid="{8433B172-1DD6-4DAC-BC87-23DC407CDAF9}">
      <formula1>INDIRECT("ReplacementTypeList[Index]")</formula1>
    </dataValidation>
    <dataValidation type="list" allowBlank="1" showInputMessage="1" showErrorMessage="1" sqref="C28" xr:uid="{BE6D8EF2-AEFC-4646-BE3B-7023C3A50EFD}">
      <formula1>INDIRECT("BuildingType[Building]")</formula1>
    </dataValidation>
    <dataValidation type="list" allowBlank="1" showInputMessage="1" showErrorMessage="1" sqref="C29:C30" xr:uid="{A3CC4DC1-3618-49E5-8150-A40900FA2BFC}">
      <formula1>INDIRECT("FuelTypeList[Index]")</formula1>
    </dataValidation>
  </dataValidations>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F0F33-0D24-4322-9132-BBB7635DAA4E}">
  <sheetPr codeName="Sheet62" filterMode="1">
    <tabColor rgb="FFFF0000"/>
  </sheetPr>
  <dimension ref="A1:J74"/>
  <sheetViews>
    <sheetView topLeftCell="B1" zoomScale="70" zoomScaleNormal="70" workbookViewId="0">
      <selection activeCell="I73" sqref="I73"/>
    </sheetView>
  </sheetViews>
  <sheetFormatPr defaultRowHeight="14.5" x14ac:dyDescent="0.35"/>
  <cols>
    <col min="1" max="1" width="18.6328125" customWidth="1"/>
    <col min="2" max="2" width="31.7265625" style="236" customWidth="1"/>
    <col min="3" max="3" width="24.26953125" style="236" customWidth="1"/>
    <col min="4" max="4" width="17.36328125" style="144" customWidth="1"/>
    <col min="5" max="5" width="35" customWidth="1"/>
    <col min="6" max="6" width="18.6328125" customWidth="1"/>
    <col min="7" max="7" width="40.6328125" style="123" customWidth="1"/>
    <col min="8" max="8" width="58.6328125" style="236" customWidth="1"/>
    <col min="9" max="10" width="45.08984375" style="236" customWidth="1"/>
  </cols>
  <sheetData>
    <row r="1" spans="1:10" s="1129" customFormat="1" ht="29" x14ac:dyDescent="0.35">
      <c r="A1" s="1129" t="str">
        <f>'Measure Summary'!A2</f>
        <v>Measure ID</v>
      </c>
      <c r="B1" s="1129" t="str">
        <f>'Measure Summary'!F2</f>
        <v>Measure Name</v>
      </c>
      <c r="C1" s="1129" t="str">
        <f>'Measure Summary'!G2</f>
        <v>Unit Basis</v>
      </c>
      <c r="D1" s="1138" t="s">
        <v>2845</v>
      </c>
      <c r="E1" s="1129" t="str">
        <f>'Measure Summary'!H2</f>
        <v>Measure Type</v>
      </c>
      <c r="F1" s="1129" t="str">
        <f>'Measure Summary'!B2</f>
        <v>Sector</v>
      </c>
      <c r="G1" s="1129" t="s">
        <v>473</v>
      </c>
      <c r="H1" s="1129" t="s">
        <v>193</v>
      </c>
      <c r="I1" s="1129" t="s">
        <v>194</v>
      </c>
      <c r="J1" s="1129" t="s">
        <v>195</v>
      </c>
    </row>
    <row r="2" spans="1:10" s="1" customFormat="1" ht="87" hidden="1" x14ac:dyDescent="0.35">
      <c r="A2" s="1" t="str">
        <f>'Measure Summary'!A3</f>
        <v>C-WB-001</v>
      </c>
      <c r="B2" s="1" t="str">
        <f ca="1">'Measure Summary'!F3</f>
        <v>Air curtain for overhead doors</v>
      </c>
      <c r="C2" s="1" t="str">
        <f ca="1">'Measure Summary'!G3</f>
        <v>ft^2 of Doorway Area</v>
      </c>
      <c r="D2" s="1">
        <f ca="1">'Measure Summary'!R3</f>
        <v>15</v>
      </c>
      <c r="E2" s="1" t="str">
        <f ca="1">'Measure Summary'!H3</f>
        <v>Whole Building</v>
      </c>
      <c r="F2" s="1" t="str">
        <f ca="1">'Measure Summary'!B3</f>
        <v>Commercial</v>
      </c>
      <c r="G2" s="1130" t="str">
        <f>_xlfn.XLOOKUP($A2,Definitions!$B:$B,Definitions!E:E)</f>
        <v>An air curtain installed for outside overhead doors reduces exfiltration of warm air through the door opening and infiltration of colder air. This reduces heating energy needed to compensate for heat losses every time a door is opened.</v>
      </c>
      <c r="H2" s="1130" t="str">
        <f>_xlfn.XLOOKUP($A2,Definitions!$B:$B,Definitions!F:F)</f>
        <v xml:space="preserve">The overhead air curtain is designed for commercial and industrial applications and must be certified to the ANSI/AMCA 220 standard. Only standard models without added heating are eligible. Curtain must be installed where there is an overhead door opening without existing curtain, and where it separates a conditioned space from an unconditioned space with small negative/positive pressure. </v>
      </c>
      <c r="I2" s="1130" t="e">
        <f>_xlfn.XLOOKUP($A2,Definitions!$B:$B,Definitions!#REF!)</f>
        <v>#REF!</v>
      </c>
      <c r="J2" s="1130" t="e">
        <f>_xlfn.XLOOKUP($A2,Definitions!$B:$B,Definitions!#REF!)</f>
        <v>#REF!</v>
      </c>
    </row>
    <row r="3" spans="1:10" s="1" customFormat="1" ht="116" hidden="1" x14ac:dyDescent="0.35">
      <c r="A3" s="1" t="str">
        <f>'Measure Summary'!A4</f>
        <v>C-WB-003</v>
      </c>
      <c r="B3" s="1" t="str">
        <f ca="1">'Measure Summary'!F4</f>
        <v>Air infiltration / sealing and pressurization</v>
      </c>
      <c r="C3" s="1" t="str">
        <f ca="1">'Measure Summary'!G4</f>
        <v>Custom</v>
      </c>
      <c r="D3" s="1">
        <f ca="1">'Measure Summary'!R4</f>
        <v>15</v>
      </c>
      <c r="E3" s="1" t="str">
        <f ca="1">'Measure Summary'!H4</f>
        <v>Whole Building</v>
      </c>
      <c r="F3" s="1" t="str">
        <f ca="1">'Measure Summary'!B4</f>
        <v>Commercial</v>
      </c>
      <c r="G3" s="1130" t="str">
        <f>_xlfn.XLOOKUP($A3,Definitions!$B:$B,Definitions!E:E)</f>
        <v>Air infiltration / sealing and pressurization reduce the amount of air that leaks in and out of the building. It is a cost-effective way to cut heating and cooling energy consumption, increase comfort, and create a healthier indoor environment. Poor building pressurization also causes unnecessary leaks and can be corrected through HVAC system optimization.</v>
      </c>
      <c r="H3" s="1130" t="str">
        <f>_xlfn.XLOOKUP($A3,Definitions!$B:$B,Definitions!F:F)</f>
        <v>To be eligible, ASTM E783, ASTM E779, ASTM E1105 and ASTM E1186 testing methodologies to detect air leakage and pressurization issues must be used. Upgrades include all equipment and labour needed to reduce air leakage by at least 5%.</v>
      </c>
      <c r="I3" s="1130" t="e">
        <f>_xlfn.XLOOKUP($A3,Definitions!$B:$B,Definitions!#REF!)</f>
        <v>#REF!</v>
      </c>
      <c r="J3" s="1130" t="e">
        <f>_xlfn.XLOOKUP($A3,Definitions!$B:$B,Definitions!#REF!)</f>
        <v>#REF!</v>
      </c>
    </row>
    <row r="4" spans="1:10" s="1" customFormat="1" ht="87" hidden="1" x14ac:dyDescent="0.35">
      <c r="A4" s="1" t="str">
        <f>'Measure Summary'!A5</f>
        <v>R-WB-006</v>
      </c>
      <c r="B4" s="1" t="str">
        <f ca="1">'Measure Summary'!F5</f>
        <v>Air sealing (infiltration reduction)</v>
      </c>
      <c r="C4" s="1" t="str">
        <f ca="1">'Measure Summary'!G5</f>
        <v>Custom</v>
      </c>
      <c r="D4" s="1">
        <f ca="1">'Measure Summary'!R5</f>
        <v>15</v>
      </c>
      <c r="E4" s="1" t="str">
        <f ca="1">'Measure Summary'!H5</f>
        <v>Whole Building</v>
      </c>
      <c r="F4" s="1" t="str">
        <f ca="1">'Measure Summary'!B5</f>
        <v>Residential</v>
      </c>
      <c r="G4" s="1130" t="str">
        <f>_xlfn.XLOOKUP($A4,Definitions!$B:$B,Definitions!E:E)</f>
        <v xml:space="preserve">Reducing air leakage is a cost-effective way to reduce heating and cooling energy consumption, increase comfort, and create a healthier indoor environment. Caulking and weatherstripping are common air-sealing techniques. </v>
      </c>
      <c r="H4" s="1130" t="str">
        <f>_xlfn.XLOOKUP($A4,Definitions!$B:$B,Definitions!F:F)</f>
        <v xml:space="preserve">A Pre-and Post-Retrofit Home Energy Evaluation must be completed with an analysis of energy savings. A minimum 20% reduction in air leakage must be achieved as indicated by a blower door test. </v>
      </c>
      <c r="I4" s="1130" t="e">
        <f>_xlfn.XLOOKUP($A4,Definitions!$B:$B,Definitions!#REF!)</f>
        <v>#REF!</v>
      </c>
      <c r="J4" s="1130" t="e">
        <f>_xlfn.XLOOKUP($A4,Definitions!$B:$B,Definitions!#REF!)</f>
        <v>#REF!</v>
      </c>
    </row>
    <row r="5" spans="1:10" s="1" customFormat="1" ht="58" hidden="1" x14ac:dyDescent="0.35">
      <c r="A5" s="1" t="str">
        <f>'Measure Summary'!A6</f>
        <v>R-HC-007</v>
      </c>
      <c r="B5" s="1" t="str">
        <f ca="1">'Measure Summary'!F6</f>
        <v>Air source heat pump replacing natural gas furnace</v>
      </c>
      <c r="C5" s="1" t="str">
        <f ca="1">'Measure Summary'!G6</f>
        <v>kBTU/hour of Heating</v>
      </c>
      <c r="D5" s="1">
        <f ca="1">'Measure Summary'!R6</f>
        <v>16</v>
      </c>
      <c r="E5" s="1" t="str">
        <f ca="1">'Measure Summary'!H6</f>
        <v>HVAC - Heating</v>
      </c>
      <c r="F5" s="1" t="str">
        <f ca="1">'Measure Summary'!B6</f>
        <v>Residential</v>
      </c>
      <c r="G5" s="1130" t="str">
        <f>_xlfn.XLOOKUP($A5,Definitions!$B:$B,Definitions!E:E)</f>
        <v>A heat pump is a year-round space conditioning systems that provide heating and cooling. An air-source heat pump moves heat from and to outside air.</v>
      </c>
      <c r="H5" s="1130" t="str">
        <f>_xlfn.XLOOKUP($A5,Definitions!$B:$B,Definitions!F:F)</f>
        <v>The residential air source heat pump must meet ENERGY STAR requirements.</v>
      </c>
      <c r="I5" s="1130" t="e">
        <f>_xlfn.XLOOKUP($A5,Definitions!$B:$B,Definitions!#REF!)</f>
        <v>#REF!</v>
      </c>
      <c r="J5" s="1130" t="e">
        <f>_xlfn.XLOOKUP($A5,Definitions!$B:$B,Definitions!#REF!)</f>
        <v>#REF!</v>
      </c>
    </row>
    <row r="6" spans="1:10" s="1" customFormat="1" ht="58" hidden="1" x14ac:dyDescent="0.35">
      <c r="A6" s="1" t="str">
        <f>'Measure Summary'!A7</f>
        <v>R-WB-001</v>
      </c>
      <c r="B6" s="1" t="str">
        <f ca="1">'Measure Summary'!F7</f>
        <v>Attic insulation</v>
      </c>
      <c r="C6" s="1" t="str">
        <f ca="1">'Measure Summary'!G7</f>
        <v>ft^2 of Insulation</v>
      </c>
      <c r="D6" s="1">
        <f ca="1">'Measure Summary'!R7</f>
        <v>20</v>
      </c>
      <c r="E6" s="1" t="str">
        <f ca="1">'Measure Summary'!H7</f>
        <v>Whole Building</v>
      </c>
      <c r="F6" s="1" t="str">
        <f ca="1">'Measure Summary'!B7</f>
        <v>Residential</v>
      </c>
      <c r="G6" s="1130" t="str">
        <f>_xlfn.XLOOKUP($A6,Definitions!$B:$B,Definitions!E:E)</f>
        <v>Attic insulation reduces heat loss through the attic area of the building envelope. This reduces the load on the heating and/or cooling system.</v>
      </c>
      <c r="H6" s="1130" t="str">
        <f>_xlfn.XLOOKUP($A6,Definitions!$B:$B,Definitions!F:F)</f>
        <v>The new insulation must be added to an attic with less than R-30 existing insulation, or less than or equal to 8” of insulation. A minimum of R-19 or 6" of insulation must be added.</v>
      </c>
      <c r="I6" s="1130" t="e">
        <f>_xlfn.XLOOKUP($A6,Definitions!$B:$B,Definitions!#REF!)</f>
        <v>#REF!</v>
      </c>
      <c r="J6" s="1130" t="e">
        <f>_xlfn.XLOOKUP($A6,Definitions!$B:$B,Definitions!#REF!)</f>
        <v>#REF!</v>
      </c>
    </row>
    <row r="7" spans="1:10" s="1" customFormat="1" ht="72.5" hidden="1" x14ac:dyDescent="0.35">
      <c r="A7" s="1" t="str">
        <f>'Measure Summary'!A8</f>
        <v>C-R-001</v>
      </c>
      <c r="B7" s="1" t="str">
        <f ca="1">'Measure Summary'!F8</f>
        <v>Automatic door for walk-in freezer</v>
      </c>
      <c r="C7" s="1" t="str">
        <f ca="1">'Measure Summary'!G8</f>
        <v>Door</v>
      </c>
      <c r="D7" s="1">
        <f ca="1">'Measure Summary'!R8</f>
        <v>8</v>
      </c>
      <c r="E7" s="1" t="str">
        <f ca="1">'Measure Summary'!H8</f>
        <v>Refrigeration - Door</v>
      </c>
      <c r="F7" s="1" t="str">
        <f ca="1">'Measure Summary'!B8</f>
        <v>Commercial</v>
      </c>
      <c r="G7" s="1130" t="str">
        <f>_xlfn.XLOOKUP($A7,Definitions!$B:$B,Definitions!E:E)</f>
        <v>Automatic, hydraulic-type door closer on the main insulated opaque door(s) of a walk-in freezer. These closers save energy by reducing the infiltration of warm outside air into the freezer area.</v>
      </c>
      <c r="H7" s="1130" t="str">
        <f>_xlfn.XLOOKUP($A7,Definitions!$B:$B,Definitions!F:F)</f>
        <v>The product must be an automatic, hydraulic-type door closer installed on an existing walk-in or reach-in freezer.</v>
      </c>
      <c r="I7" s="1130" t="e">
        <f>_xlfn.XLOOKUP($A7,Definitions!$B:$B,Definitions!#REF!)</f>
        <v>#REF!</v>
      </c>
      <c r="J7" s="1130" t="e">
        <f>_xlfn.XLOOKUP($A7,Definitions!$B:$B,Definitions!#REF!)</f>
        <v>#REF!</v>
      </c>
    </row>
    <row r="8" spans="1:10" s="1" customFormat="1" ht="72.5" hidden="1" x14ac:dyDescent="0.35">
      <c r="A8" s="1" t="str">
        <f>'Measure Summary'!A9</f>
        <v>C-R-006</v>
      </c>
      <c r="B8" s="1" t="str">
        <f ca="1">'Measure Summary'!F9</f>
        <v>Automatic door for walk-in refrigerator</v>
      </c>
      <c r="C8" s="1" t="str">
        <f ca="1">'Measure Summary'!G9</f>
        <v>Door</v>
      </c>
      <c r="D8" s="1">
        <f ca="1">'Measure Summary'!R9</f>
        <v>8</v>
      </c>
      <c r="E8" s="1" t="str">
        <f ca="1">'Measure Summary'!H9</f>
        <v>Refrigeration - Door</v>
      </c>
      <c r="F8" s="1" t="str">
        <f ca="1">'Measure Summary'!B9</f>
        <v>Commercial</v>
      </c>
      <c r="G8" s="1130" t="str">
        <f>_xlfn.XLOOKUP($A8,Definitions!$B:$B,Definitions!E:E)</f>
        <v>Automatic, hydraulic-type door closer on the main insulated opaque door(s) of a walk-in refrigerator. These closers save energy by reducing the infiltration of warm outside air into the refrigerator area.</v>
      </c>
      <c r="H8" s="1130" t="str">
        <f>_xlfn.XLOOKUP($A8,Definitions!$B:$B,Definitions!F:F)</f>
        <v>The product must be an automatic, hydraulic-type door closer installed on an existing walk-in or reach-in refrigerator.</v>
      </c>
      <c r="I8" s="1130" t="e">
        <f>_xlfn.XLOOKUP($A8,Definitions!$B:$B,Definitions!#REF!)</f>
        <v>#REF!</v>
      </c>
      <c r="J8" s="1130" t="e">
        <f>_xlfn.XLOOKUP($A8,Definitions!$B:$B,Definitions!#REF!)</f>
        <v>#REF!</v>
      </c>
    </row>
    <row r="9" spans="1:10" s="1" customFormat="1" ht="58" hidden="1" x14ac:dyDescent="0.35">
      <c r="A9" s="1" t="str">
        <f>'Measure Summary'!A10</f>
        <v>C-L-004</v>
      </c>
      <c r="B9" s="1" t="str">
        <f ca="1">'Measure Summary'!F10</f>
        <v>Bay fixture and retrofit kit</v>
      </c>
      <c r="C9" s="1" t="str">
        <f ca="1">'Measure Summary'!G10</f>
        <v>Fixture</v>
      </c>
      <c r="D9" s="1">
        <f ca="1">'Measure Summary'!R10</f>
        <v>9</v>
      </c>
      <c r="E9" s="1" t="str">
        <f ca="1">'Measure Summary'!H10</f>
        <v>Lighting - Indoor fixture</v>
      </c>
      <c r="F9" s="1" t="str">
        <f ca="1">'Measure Summary'!B10</f>
        <v>Commercial</v>
      </c>
      <c r="G9" s="1130" t="str">
        <f>_xlfn.XLOOKUP($A9,Definitions!$B:$B,Definitions!E:E)</f>
        <v>Bay fixtures and retrofit kits include various LED lighting fixtures that replace high pressure sodium, metal halide and fluorescent bay lighting.</v>
      </c>
      <c r="H9" s="1130" t="str">
        <f>_xlfn.XLOOKUP($A9,Definitions!$B:$B,Definitions!F:F)</f>
        <v>The product must include Design Lights Consortium (DLC) qualified indoor low- and high-bay lighting fixtures, and retrofit kits. Replacement lamps are standard bay lighting fixtures, which includes high-pressure sodium lighting.</v>
      </c>
      <c r="I9" s="1130" t="e">
        <f>_xlfn.XLOOKUP($A9,Definitions!$B:$B,Definitions!#REF!)</f>
        <v>#REF!</v>
      </c>
      <c r="J9" s="1130" t="e">
        <f>_xlfn.XLOOKUP($A9,Definitions!$B:$B,Definitions!#REF!)</f>
        <v>#REF!</v>
      </c>
    </row>
    <row r="10" spans="1:10" s="1" customFormat="1" ht="130.5" hidden="1" x14ac:dyDescent="0.35">
      <c r="A10" s="1" t="str">
        <f>'Measure Summary'!A11</f>
        <v>C-WB-004</v>
      </c>
      <c r="B10" s="1" t="str">
        <f ca="1">'Measure Summary'!F11</f>
        <v>Building automation system upgrade</v>
      </c>
      <c r="C10" s="1" t="str">
        <f ca="1">'Measure Summary'!G11</f>
        <v>Custom</v>
      </c>
      <c r="D10" s="1">
        <f ca="1">'Measure Summary'!R11</f>
        <v>15</v>
      </c>
      <c r="E10" s="1" t="str">
        <f ca="1">'Measure Summary'!H11</f>
        <v>Whole Building</v>
      </c>
      <c r="F10" s="1" t="str">
        <f ca="1">'Measure Summary'!B11</f>
        <v>Commercial</v>
      </c>
      <c r="G10" s="1130" t="str">
        <f>_xlfn.XLOOKUP($A10,Definitions!$B:$B,Definitions!E:E)</f>
        <v>Building automation is the automatic centralized control of a building's heating, ventilation and air conditioning, lighting and other systems. It enables optimum control of these systems meeting occupant needs. The upgrade may include new, replacement and/or optimization.</v>
      </c>
      <c r="H10" s="1130" t="str">
        <f>_xlfn.XLOOKUP($A10,Definitions!$B:$B,Definitions!F:F)</f>
        <v>The upgraded building automation system (BAS) may consist of a network of Building Controllers (BC), Advanced Application Controllers (AAC), Application Specific Controllers (ASC), and Smart Actuators (SA).  Every device in the system which executes control logic and directly controls HVAC equipment must conform to a standard BACnet Device profile asspecified in ANSI/ASHRAE 135-2004, BACnet Annex L. Hardwired actuators and sensors may be used in lieu of BACnet Smart Actuators and Smart Sensors. New pneumatic control is not eligible.</v>
      </c>
      <c r="I10" s="1130" t="e">
        <f>_xlfn.XLOOKUP($A10,Definitions!$B:$B,Definitions!#REF!)</f>
        <v>#REF!</v>
      </c>
      <c r="J10" s="1130" t="e">
        <f>_xlfn.XLOOKUP($A10,Definitions!$B:$B,Definitions!#REF!)</f>
        <v>#REF!</v>
      </c>
    </row>
    <row r="11" spans="1:10" s="1" customFormat="1" ht="130.5" hidden="1" x14ac:dyDescent="0.35">
      <c r="A11" s="1" t="str">
        <f>'Measure Summary'!A12</f>
        <v>DER-003</v>
      </c>
      <c r="B11" s="1" t="str">
        <f ca="1">'Measure Summary'!F12</f>
        <v>Combined heat and power</v>
      </c>
      <c r="C11" s="1" t="str">
        <f ca="1">'Measure Summary'!G12</f>
        <v>Custom</v>
      </c>
      <c r="D11" s="1">
        <f ca="1">'Measure Summary'!R12</f>
        <v>15</v>
      </c>
      <c r="E11" s="1" t="str">
        <f ca="1">'Measure Summary'!H12</f>
        <v>Alternative Energy</v>
      </c>
      <c r="F11" s="1" t="str">
        <f ca="1">'Measure Summary'!B12</f>
        <v>DER</v>
      </c>
      <c r="G11" s="1130" t="str">
        <f>_xlfn.XLOOKUP($A11,Definitions!$B:$B,Definitions!E:E)</f>
        <v>Combined heat and power converts fossil fuel and/or biomass energy into both heat and electricity.</v>
      </c>
      <c r="H11" s="1130" t="str">
        <f>_xlfn.XLOOKUP($A11,Definitions!$B:$B,Definitions!F:F)</f>
        <v>The combined heat and power system is entirely grid-connected. All system component(s) warranty period(s) must be a minimum of 5 years. Residential projects require a letter of approval from their Electricity Provider and a signed Microgeneration Agreement. Commercial projects sized up to 150 KW need an operating agreement (or equivalent). For any residential or commercial system sized greater than 150 KW, the operating procedures or equivalent are required. For purposes of sizing, the output is defined as the electrical output of the combined heat and power system.</v>
      </c>
      <c r="I11" s="1130" t="e">
        <f>_xlfn.XLOOKUP($A11,Definitions!$B:$B,Definitions!#REF!)</f>
        <v>#REF!</v>
      </c>
      <c r="J11" s="1130" t="e">
        <f>_xlfn.XLOOKUP($A11,Definitions!$B:$B,Definitions!#REF!)</f>
        <v>#REF!</v>
      </c>
    </row>
    <row r="12" spans="1:10" s="1" customFormat="1" ht="87" hidden="1" x14ac:dyDescent="0.35">
      <c r="A12" s="1" t="str">
        <f>'Measure Summary'!A13</f>
        <v>C-WB-005</v>
      </c>
      <c r="B12" s="1" t="str">
        <f ca="1">'Measure Summary'!F13</f>
        <v>Commercial insulation</v>
      </c>
      <c r="C12" s="1" t="str">
        <f ca="1">'Measure Summary'!G13</f>
        <v>Custom</v>
      </c>
      <c r="D12" s="1">
        <f ca="1">'Measure Summary'!R13</f>
        <v>20</v>
      </c>
      <c r="E12" s="1" t="str">
        <f ca="1">'Measure Summary'!H13</f>
        <v>Whole Building</v>
      </c>
      <c r="F12" s="1" t="str">
        <f ca="1">'Measure Summary'!B13</f>
        <v>Commercial</v>
      </c>
      <c r="G12" s="1130" t="str">
        <f>_xlfn.XLOOKUP($A12,Definitions!$B:$B,Definitions!E:E)</f>
        <v>Insulation is used to slow the transfer of heat from inside and outside of the building. Insulation may be added to the roof, walls, and other components of the building envelope. The insulation reduces heat and cooling energy consumption.</v>
      </c>
      <c r="H12" s="1130" t="str">
        <f>_xlfn.XLOOKUP($A12,Definitions!$B:$B,Definitions!F:F)</f>
        <v>No eligibility requirements at this time.</v>
      </c>
      <c r="I12" s="1130" t="e">
        <f>_xlfn.XLOOKUP($A12,Definitions!$B:$B,Definitions!#REF!)</f>
        <v>#REF!</v>
      </c>
      <c r="J12" s="1130" t="e">
        <f>_xlfn.XLOOKUP($A12,Definitions!$B:$B,Definitions!#REF!)</f>
        <v>#REF!</v>
      </c>
    </row>
    <row r="13" spans="1:10" s="1" customFormat="1" ht="58" hidden="1" x14ac:dyDescent="0.35">
      <c r="A13" s="1" t="str">
        <f>'Measure Summary'!A14</f>
        <v>R-WB-003</v>
      </c>
      <c r="B13" s="1" t="str">
        <f ca="1">'Measure Summary'!F14</f>
        <v>Crawlspace insulation</v>
      </c>
      <c r="C13" s="1" t="str">
        <f ca="1">'Measure Summary'!G14</f>
        <v>ft^2 of Insulation</v>
      </c>
      <c r="D13" s="1">
        <f ca="1">'Measure Summary'!R14</f>
        <v>20</v>
      </c>
      <c r="E13" s="1" t="str">
        <f ca="1">'Measure Summary'!H14</f>
        <v>Whole Building</v>
      </c>
      <c r="F13" s="1" t="str">
        <f ca="1">'Measure Summary'!B14</f>
        <v>Residential</v>
      </c>
      <c r="G13" s="1130" t="str">
        <f>_xlfn.XLOOKUP($A13,Definitions!$B:$B,Definitions!E:E)</f>
        <v>Crawlspace insulation reduces heat loss through the crawlspace areas of the building envelope. This reduces the load on the heating and/or cooling system.</v>
      </c>
      <c r="H13" s="1130" t="str">
        <f>_xlfn.XLOOKUP($A13,Definitions!$B:$B,Definitions!F:F)</f>
        <v>The new insulation must be added to crawlspaces where there is no existing insulation. A minimum of R-5 or 2" of insulation must be added. Floor and crawl space insulation requires lapped and sealed vapour barrier.</v>
      </c>
      <c r="I13" s="1130" t="e">
        <f>_xlfn.XLOOKUP($A13,Definitions!$B:$B,Definitions!#REF!)</f>
        <v>#REF!</v>
      </c>
      <c r="J13" s="1130" t="e">
        <f>_xlfn.XLOOKUP($A13,Definitions!$B:$B,Definitions!#REF!)</f>
        <v>#REF!</v>
      </c>
    </row>
    <row r="14" spans="1:10" s="1" customFormat="1" ht="130.5" hidden="1" x14ac:dyDescent="0.35">
      <c r="A14" s="1" t="str">
        <f>'Measure Summary'!A15</f>
        <v>C-HC-001</v>
      </c>
      <c r="B14" s="1" t="str">
        <f ca="1">'Measure Summary'!F15</f>
        <v>Demand control building ventilation</v>
      </c>
      <c r="C14" s="1" t="str">
        <f ca="1">'Measure Summary'!G15</f>
        <v>ft^2 of Conditioned Space</v>
      </c>
      <c r="D14" s="1">
        <f ca="1">'Measure Summary'!R15</f>
        <v>10</v>
      </c>
      <c r="E14" s="1" t="str">
        <f ca="1">'Measure Summary'!H15</f>
        <v>HVAC - Control</v>
      </c>
      <c r="F14" s="1" t="str">
        <f ca="1">'Measure Summary'!B15</f>
        <v>Commercial</v>
      </c>
      <c r="G14" s="1130" t="str">
        <f>_xlfn.XLOOKUP($A14,Definitions!$B:$B,Definitions!E:E)</f>
        <v>Demand control building ventilation consists of controls that adjust heating and ventilation air rates based on occupancy using sensor technologies. Sensor technologies include those that sense carbon dioxide levels and room occupancy. Control strategies are adjusted to reduce heating load and ventilation rates. Illustrative energy savings for ventilation control.</v>
      </c>
      <c r="H14" s="1130" t="str">
        <f>_xlfn.XLOOKUP($A14,Definitions!$B:$B,Definitions!F:F)</f>
        <v>Ventilation controls must involve carbon dioxide sensors installed on return air systems where no other sensors were previously installed. Systems with terminal reheat (constant volume or variable air volume) are not eligible. For a terminal reheat system, a custom savings calculation should be used.</v>
      </c>
      <c r="I14" s="1130" t="e">
        <f>_xlfn.XLOOKUP($A14,Definitions!$B:$B,Definitions!#REF!)</f>
        <v>#REF!</v>
      </c>
      <c r="J14" s="1130" t="e">
        <f>_xlfn.XLOOKUP($A14,Definitions!$B:$B,Definitions!#REF!)</f>
        <v>#REF!</v>
      </c>
    </row>
    <row r="15" spans="1:10" s="1" customFormat="1" ht="72.5" hidden="1" x14ac:dyDescent="0.35">
      <c r="A15" s="1" t="str">
        <f>'Measure Summary'!A16</f>
        <v>C-K-001</v>
      </c>
      <c r="B15" s="1" t="str">
        <f ca="1">'Measure Summary'!F16</f>
        <v>Demand control kitchen ventilation</v>
      </c>
      <c r="C15" s="1" t="str">
        <f ca="1">'Measure Summary'!G16</f>
        <v>Horsepower of Exhaust Fan</v>
      </c>
      <c r="D15" s="1">
        <f ca="1">'Measure Summary'!R16</f>
        <v>15</v>
      </c>
      <c r="E15" s="1" t="str">
        <f ca="1">'Measure Summary'!H16</f>
        <v>Commerical Kitchen - Control</v>
      </c>
      <c r="F15" s="1" t="str">
        <f ca="1">'Measure Summary'!B16</f>
        <v>Commercial</v>
      </c>
      <c r="G15" s="1130" t="str">
        <f>_xlfn.XLOOKUP($A15,Definitions!$B:$B,Definitions!E:E)</f>
        <v>Commercial kitchen demand ventilation controls the rate of air ventilation based on cooking load and/or time of day. Illustrative energy savings for a typical commercial kitchen.</v>
      </c>
      <c r="H15" s="1130" t="str">
        <f>_xlfn.XLOOKUP($A15,Definitions!$B:$B,Definitions!F:F)</f>
        <v>The demand control kitchen ventilation must be installed for zones where ventilation operates 5,000 or more hours per year. The equipment must be installed in a dedicated commercial kitchen, exhaust hood and make-up air system and used in conjunction with variable-speed fan motor controls.</v>
      </c>
      <c r="I15" s="1130" t="e">
        <f>_xlfn.XLOOKUP($A15,Definitions!$B:$B,Definitions!#REF!)</f>
        <v>#REF!</v>
      </c>
      <c r="J15" s="1130" t="e">
        <f>_xlfn.XLOOKUP($A15,Definitions!$B:$B,Definitions!#REF!)</f>
        <v>#REF!</v>
      </c>
    </row>
    <row r="16" spans="1:10" s="1" customFormat="1" ht="87" hidden="1" x14ac:dyDescent="0.35">
      <c r="A16" s="1" t="str">
        <f>'Measure Summary'!A17</f>
        <v>C-HC-007</v>
      </c>
      <c r="B16" s="1" t="str">
        <f ca="1">'Measure Summary'!F17</f>
        <v>Destratification fan</v>
      </c>
      <c r="C16" s="1" t="str">
        <f ca="1">'Measure Summary'!G17</f>
        <v>ft^2 of Conditioned Space</v>
      </c>
      <c r="D16" s="1">
        <f ca="1">'Measure Summary'!R17</f>
        <v>10</v>
      </c>
      <c r="E16" s="1" t="str">
        <f ca="1">'Measure Summary'!H17</f>
        <v>HVAC - Heating</v>
      </c>
      <c r="F16" s="1" t="str">
        <f ca="1">'Measure Summary'!B17</f>
        <v>Commercial</v>
      </c>
      <c r="G16" s="1130" t="str">
        <f>_xlfn.XLOOKUP($A16,Definitions!$B:$B,Definitions!E:E)</f>
        <v>Heat introduced into a space with high ceilings forms temperature layers or strata. The warmest air is at the ceiling; the coolest is near the floor. A destratification fan removes these temperature strata by circulating heated air thereby reducing the heating system load.</v>
      </c>
      <c r="H16" s="1130" t="str">
        <f>_xlfn.XLOOKUP($A16,Definitions!$B:$B,Definitions!F:F)</f>
        <v>Eligible destratification fans must be high-velocity low-speed (HVLS) fans with a minimum diameter of 14 feet for use in conditioned spaced with a minimum of 25-foot ceilings.</v>
      </c>
      <c r="I16" s="1130" t="e">
        <f>_xlfn.XLOOKUP($A16,Definitions!$B:$B,Definitions!#REF!)</f>
        <v>#REF!</v>
      </c>
      <c r="J16" s="1130" t="e">
        <f>_xlfn.XLOOKUP($A16,Definitions!$B:$B,Definitions!#REF!)</f>
        <v>#REF!</v>
      </c>
    </row>
    <row r="17" spans="1:10" s="1" customFormat="1" ht="58" hidden="1" x14ac:dyDescent="0.35">
      <c r="A17" s="1" t="str">
        <f>'Measure Summary'!A18</f>
        <v>C-L-003</v>
      </c>
      <c r="B17" s="1" t="str">
        <f ca="1">'Measure Summary'!F18</f>
        <v>Downlight fixture and retrofit kit</v>
      </c>
      <c r="C17" s="1" t="str">
        <f ca="1">'Measure Summary'!G18</f>
        <v>Fixture</v>
      </c>
      <c r="D17" s="1">
        <f ca="1">'Measure Summary'!R18</f>
        <v>9</v>
      </c>
      <c r="E17" s="1" t="str">
        <f ca="1">'Measure Summary'!H18</f>
        <v>Lighting - Indoor fixture</v>
      </c>
      <c r="F17" s="1" t="str">
        <f ca="1">'Measure Summary'!B18</f>
        <v>Commercial</v>
      </c>
      <c r="G17" s="1130" t="str">
        <f>_xlfn.XLOOKUP($A17,Definitions!$B:$B,Definitions!E:E)</f>
        <v>Downlight fixtures and retrofit kits include various LED lighting fixtures that replace halogen, fluorescent and incandescent fixture equivalents.</v>
      </c>
      <c r="H17" s="1130" t="str">
        <f>_xlfn.XLOOKUP($A17,Definitions!$B:$B,Definitions!F:F)</f>
        <v>The product must be an ENERGY STAR certified downlighting fixture with a total light output equal to or greater than 400 lumens. Eligible lighting types include downlight recessed, downlight solid-state retrofit, downlight pendant or downlight surface mount.</v>
      </c>
      <c r="I17" s="1130" t="e">
        <f>_xlfn.XLOOKUP($A17,Definitions!$B:$B,Definitions!#REF!)</f>
        <v>#REF!</v>
      </c>
      <c r="J17" s="1130" t="e">
        <f>_xlfn.XLOOKUP($A17,Definitions!$B:$B,Definitions!#REF!)</f>
        <v>#REF!</v>
      </c>
    </row>
    <row r="18" spans="1:10" s="1" customFormat="1" ht="87" hidden="1" x14ac:dyDescent="0.35">
      <c r="A18" s="1" t="str">
        <f>'Measure Summary'!A19</f>
        <v>C-W-004</v>
      </c>
      <c r="B18" s="1" t="str">
        <f ca="1">'Measure Summary'!F19</f>
        <v>Drain water heat recovery</v>
      </c>
      <c r="C18" s="1" t="str">
        <f ca="1">'Measure Summary'!G19</f>
        <v>Drain</v>
      </c>
      <c r="D18" s="1">
        <f ca="1">'Measure Summary'!R19</f>
        <v>20</v>
      </c>
      <c r="E18" s="1" t="str">
        <f ca="1">'Measure Summary'!H19</f>
        <v>Water - Heating</v>
      </c>
      <c r="F18" s="1" t="str">
        <f ca="1">'Measure Summary'!B19</f>
        <v>Commercial</v>
      </c>
      <c r="G18" s="1130" t="str">
        <f>_xlfn.XLOOKUP($A18,Definitions!$B:$B,Definitions!E:E)</f>
        <v>Drain water heat recovery systems use heat exchangers to recover heat from hot water that is typically lost to greywater systems. The recovered heat is used to pre-heat shower water, significantly reducing water-heating energy consumption.</v>
      </c>
      <c r="H18" s="1130" t="str">
        <f>_xlfn.XLOOKUP($A18,Definitions!$B:$B,Definitions!F:F)</f>
        <v>The drain water heat recovery equipment must be listed in the NRCan list of drain-water heat recovery products.</v>
      </c>
      <c r="I18" s="1130" t="e">
        <f>_xlfn.XLOOKUP($A18,Definitions!$B:$B,Definitions!#REF!)</f>
        <v>#REF!</v>
      </c>
      <c r="J18" s="1130" t="e">
        <f>_xlfn.XLOOKUP($A18,Definitions!$B:$B,Definitions!#REF!)</f>
        <v>#REF!</v>
      </c>
    </row>
    <row r="19" spans="1:10" s="1" customFormat="1" ht="58" hidden="1" x14ac:dyDescent="0.35">
      <c r="A19" s="1" t="str">
        <f>'Measure Summary'!A20</f>
        <v>R-W-001</v>
      </c>
      <c r="B19" s="1" t="str">
        <f ca="1">'Measure Summary'!F20</f>
        <v>Drain water heat recovery</v>
      </c>
      <c r="C19" s="1" t="str">
        <f ca="1">'Measure Summary'!G20</f>
        <v>Drain</v>
      </c>
      <c r="D19" s="1">
        <f ca="1">'Measure Summary'!R20</f>
        <v>20</v>
      </c>
      <c r="E19" s="1" t="str">
        <f ca="1">'Measure Summary'!H20</f>
        <v>Water - Heating</v>
      </c>
      <c r="F19" s="1" t="str">
        <f ca="1">'Measure Summary'!B20</f>
        <v>Residential</v>
      </c>
      <c r="G19" s="1130" t="str">
        <f>_xlfn.XLOOKUP($A19,Definitions!$B:$B,Definitions!E:E)</f>
        <v>Drain water heat recovery transfers heat from shower drain water to pre-warm the cold supply water before it goes into the water heater.</v>
      </c>
      <c r="H19" s="1130" t="str">
        <f>_xlfn.XLOOKUP($A19,Definitions!$B:$B,Definitions!F:F)</f>
        <v>The drain water heat recovery equipment must be listed in the NRCan approved list of drain-water heat recovery products.</v>
      </c>
      <c r="I19" s="1130" t="e">
        <f>_xlfn.XLOOKUP($A19,Definitions!$B:$B,Definitions!#REF!)</f>
        <v>#REF!</v>
      </c>
      <c r="J19" s="1130" t="e">
        <f>_xlfn.XLOOKUP($A19,Definitions!$B:$B,Definitions!#REF!)</f>
        <v>#REF!</v>
      </c>
    </row>
    <row r="20" spans="1:10" s="1" customFormat="1" ht="58" hidden="1" x14ac:dyDescent="0.35">
      <c r="A20" s="1" t="str">
        <f>'Measure Summary'!A21</f>
        <v>R-HC-004</v>
      </c>
      <c r="B20" s="1" t="str">
        <f ca="1">'Measure Summary'!F21</f>
        <v>ECM motor for residential furnace</v>
      </c>
      <c r="C20" s="1" t="str">
        <f ca="1">'Measure Summary'!G21</f>
        <v>Furnace Motor</v>
      </c>
      <c r="D20" s="1">
        <f ca="1">'Measure Summary'!R21</f>
        <v>6</v>
      </c>
      <c r="E20" s="1" t="str">
        <f ca="1">'Measure Summary'!H21</f>
        <v>HVAC - Heating</v>
      </c>
      <c r="F20" s="1" t="str">
        <f ca="1">'Measure Summary'!B21</f>
        <v>Residential</v>
      </c>
      <c r="G20" s="1130" t="str">
        <f>_xlfn.XLOOKUP($A20,Definitions!$B:$B,Definitions!E:E)</f>
        <v>An efficient fan motor adjusts the rate at which furnace heat is delivered to the home. Efficient fan motors with variable speed control use significantly less electricity.</v>
      </c>
      <c r="H20" s="1130" t="str">
        <f>_xlfn.XLOOKUP($A20,Definitions!$B:$B,Definitions!F:F)</f>
        <v>The fan motor must replace a constant speed motor installed in a natural gas furnace . The new motor must have a variable input. A brushless DC motor, also known as an ECM, qualifies.</v>
      </c>
      <c r="I20" s="1130" t="e">
        <f>_xlfn.XLOOKUP($A20,Definitions!$B:$B,Definitions!#REF!)</f>
        <v>#REF!</v>
      </c>
      <c r="J20" s="1130" t="e">
        <f>_xlfn.XLOOKUP($A20,Definitions!$B:$B,Definitions!#REF!)</f>
        <v>#REF!</v>
      </c>
    </row>
    <row r="21" spans="1:10" s="1" customFormat="1" ht="58" hidden="1" x14ac:dyDescent="0.35">
      <c r="A21" s="1" t="str">
        <f>'Measure Summary'!A22</f>
        <v>DER-004</v>
      </c>
      <c r="B21" s="1" t="str">
        <f ca="1">'Measure Summary'!F22</f>
        <v>Electric vehicle charging infrastructure</v>
      </c>
      <c r="C21" s="1" t="str">
        <f ca="1">'Measure Summary'!G22</f>
        <v>Custom</v>
      </c>
      <c r="D21" s="1">
        <f ca="1">'Measure Summary'!R22</f>
        <v>10</v>
      </c>
      <c r="E21" s="1" t="str">
        <f ca="1">'Measure Summary'!H22</f>
        <v>Electric Vehicle</v>
      </c>
      <c r="F21" s="1" t="str">
        <f ca="1">'Measure Summary'!B22</f>
        <v>DER</v>
      </c>
      <c r="G21" s="1130" t="str">
        <f>_xlfn.XLOOKUP($A21,Definitions!$B:$B,Definitions!E:E)</f>
        <v>Electric vehicle charging infrastructure is capable of charging one or more electric vehicles.</v>
      </c>
      <c r="H21" s="1130" t="str">
        <f>_xlfn.XLOOKUP($A21,Definitions!$B:$B,Definitions!F:F)</f>
        <v>The electric vehicle charging infrastructure must be either a level 2 (240 Volt-AC) or DC fast charging unit. The EV charging unit(s) must be networkable (e.g., wireless or ethernet connectivity), be CSA or UL certified, and have a minimum current rating of 16 Amps.</v>
      </c>
      <c r="I21" s="1130" t="e">
        <f>_xlfn.XLOOKUP($A21,Definitions!$B:$B,Definitions!#REF!)</f>
        <v>#REF!</v>
      </c>
      <c r="J21" s="1130" t="e">
        <f>_xlfn.XLOOKUP($A21,Definitions!$B:$B,Definitions!#REF!)</f>
        <v>#REF!</v>
      </c>
    </row>
    <row r="22" spans="1:10" s="1" customFormat="1" ht="101.5" hidden="1" x14ac:dyDescent="0.35">
      <c r="A22" s="1" t="str">
        <f>'Measure Summary'!A23</f>
        <v>C-R-008</v>
      </c>
      <c r="B22" s="1" t="str">
        <f ca="1">'Measure Summary'!F23</f>
        <v>Evaporator fan control for motors</v>
      </c>
      <c r="C22" s="1" t="str">
        <f ca="1">'Measure Summary'!G23</f>
        <v>Horsepower of Motor</v>
      </c>
      <c r="D22" s="1">
        <f ca="1">'Measure Summary'!R23</f>
        <v>13</v>
      </c>
      <c r="E22" s="1" t="str">
        <f ca="1">'Measure Summary'!H23</f>
        <v>Refrigeration - Control</v>
      </c>
      <c r="F22" s="1" t="str">
        <f ca="1">'Measure Summary'!B23</f>
        <v>Commercial</v>
      </c>
      <c r="G22" s="1130" t="str">
        <f>_xlfn.XLOOKUP($A22,Definitions!$B:$B,Definitions!E:E)</f>
        <v>Fan control for evaporator fan motors in existing walk-in refrigerators reduces the airflow of the evaporator when there is no refrigerant flow from the compressor.</v>
      </c>
      <c r="H22" s="1130" t="str">
        <f>_xlfn.XLOOKUP($A22,Definitions!$B:$B,Definitions!F:F)</f>
        <v>The fan control must reduce the airflow of the evaporator fan in an existing walk-in refrigerator or freezer when the compressor cycles off. The fan must control a minimum of 1/20 HP of electronically commutated motors where fans operate continuously at full speed. The control must reduce fan motor power by at least 75% during the compressor off cycle. The compressor must run more than 4,380 hours annually.</v>
      </c>
      <c r="I22" s="1130" t="e">
        <f>_xlfn.XLOOKUP($A22,Definitions!$B:$B,Definitions!#REF!)</f>
        <v>#REF!</v>
      </c>
      <c r="J22" s="1130" t="e">
        <f>_xlfn.XLOOKUP($A22,Definitions!$B:$B,Definitions!#REF!)</f>
        <v>#REF!</v>
      </c>
    </row>
    <row r="23" spans="1:10" s="1" customFormat="1" ht="101.5" hidden="1" x14ac:dyDescent="0.35">
      <c r="A23" s="1" t="str">
        <f>'Measure Summary'!A24</f>
        <v>C-L-006</v>
      </c>
      <c r="B23" s="1" t="str">
        <f ca="1">'Measure Summary'!F24</f>
        <v>General service and specialty lamp</v>
      </c>
      <c r="C23" s="1" t="str">
        <f ca="1">'Measure Summary'!G24</f>
        <v>Lamp</v>
      </c>
      <c r="D23" s="1">
        <f ca="1">'Measure Summary'!R24</f>
        <v>15</v>
      </c>
      <c r="E23" s="1" t="str">
        <f ca="1">'Measure Summary'!H24</f>
        <v>Lighting - Indoor lamp</v>
      </c>
      <c r="F23" s="1" t="str">
        <f ca="1">'Measure Summary'!B24</f>
        <v>Commercial</v>
      </c>
      <c r="G23" s="1130" t="str">
        <f>_xlfn.XLOOKUP($A23,Definitions!$B:$B,Definitions!E:E)</f>
        <v>These lighting measures include high-efficiency LED general service lamps (e.g. A-type 10 watt LED bulb) and specialty lighting (e.g. pin-based MR16 lamps).</v>
      </c>
      <c r="H23" s="1130" t="str">
        <f>_xlfn.XLOOKUP($A23,Definitions!$B:$B,Definitions!F:F)</f>
        <v>The product must meet ENERGY STAR, CEE or Design Lights Consortium (DLC) requirements. Eligible lamps include CEE T8 replacements, DLC lamps and luminaires, and ENERGY STAR shelf-mounted display and task lights, surface mount and recessed downlights, and desk lamps. Lamps and luminaires are for general purpose replacement and include E21 and E26 or standard, and pin base types.</v>
      </c>
      <c r="I23" s="1130" t="e">
        <f>_xlfn.XLOOKUP($A23,Definitions!$B:$B,Definitions!#REF!)</f>
        <v>#REF!</v>
      </c>
      <c r="J23" s="1130" t="e">
        <f>_xlfn.XLOOKUP($A23,Definitions!$B:$B,Definitions!#REF!)</f>
        <v>#REF!</v>
      </c>
    </row>
    <row r="24" spans="1:10" s="1" customFormat="1" ht="43.5" hidden="1" x14ac:dyDescent="0.35">
      <c r="A24" s="1" t="str">
        <f>'Measure Summary'!A25</f>
        <v>R-L-003</v>
      </c>
      <c r="B24" s="1" t="str">
        <f ca="1">'Measure Summary'!F25</f>
        <v>General service and specialty lamp</v>
      </c>
      <c r="C24" s="1" t="str">
        <f ca="1">'Measure Summary'!G25</f>
        <v>Lamp</v>
      </c>
      <c r="D24" s="1">
        <f ca="1">'Measure Summary'!R25</f>
        <v>15</v>
      </c>
      <c r="E24" s="1" t="str">
        <f ca="1">'Measure Summary'!H25</f>
        <v>Lighting - Indoor lamp</v>
      </c>
      <c r="F24" s="1" t="str">
        <f ca="1">'Measure Summary'!B25</f>
        <v>Residential</v>
      </c>
      <c r="G24" s="1130" t="str">
        <f>_xlfn.XLOOKUP($A24,Definitions!$B:$B,Definitions!E:E)</f>
        <v>LED general service lamp (e.g. A-type LED bulb) or specialty lighting (e.g. pin-based MR16 lamp).</v>
      </c>
      <c r="H24" s="1130" t="str">
        <f>_xlfn.XLOOKUP($A24,Definitions!$B:$B,Definitions!F:F)</f>
        <v>The lamp must meet ENERGY STAR requirements. All types of LED general service lamp and specialty pin-based lighting are eligible.</v>
      </c>
      <c r="I24" s="1130" t="e">
        <f>_xlfn.XLOOKUP($A24,Definitions!$B:$B,Definitions!#REF!)</f>
        <v>#REF!</v>
      </c>
      <c r="J24" s="1130" t="e">
        <f>_xlfn.XLOOKUP($A24,Definitions!$B:$B,Definitions!#REF!)</f>
        <v>#REF!</v>
      </c>
    </row>
    <row r="25" spans="1:10" s="1" customFormat="1" ht="72.5" hidden="1" x14ac:dyDescent="0.35">
      <c r="A25" s="1" t="str">
        <f>'Measure Summary'!A26</f>
        <v>R-HC-008</v>
      </c>
      <c r="B25" s="1" t="str">
        <f ca="1">'Measure Summary'!F26</f>
        <v>Heat and energy recovery ventilation</v>
      </c>
      <c r="C25" s="1" t="str">
        <f ca="1">'Measure Summary'!G26</f>
        <v>Custom</v>
      </c>
      <c r="D25" s="1">
        <f ca="1">'Measure Summary'!R26</f>
        <v>18</v>
      </c>
      <c r="E25" s="1" t="str">
        <f ca="1">'Measure Summary'!H26</f>
        <v>HVAC - Heating</v>
      </c>
      <c r="F25" s="1" t="str">
        <f ca="1">'Measure Summary'!B26</f>
        <v>Residential</v>
      </c>
      <c r="G25" s="1130" t="str">
        <f>_xlfn.XLOOKUP($A25,Definitions!$B:$B,Definitions!E:E)</f>
        <v>Heat and energy recovery equipment extracts heat and/or energy from stale air exhausted to the outside of the home. The recovered energy is used to reduce the heating of fresh air delivered to the home.</v>
      </c>
      <c r="H25" s="1130" t="str">
        <f>_xlfn.XLOOKUP($A25,Definitions!$B:$B,Definitions!F:F)</f>
        <v>Heat or energy recovery ventilator must be a factory-assembled, packaged unit including fans or blowers that transfer heat between two isolated airstreams. Excludes portable units.</v>
      </c>
      <c r="I25" s="1130" t="e">
        <f>_xlfn.XLOOKUP($A25,Definitions!$B:$B,Definitions!#REF!)</f>
        <v>#REF!</v>
      </c>
      <c r="J25" s="1130" t="e">
        <f>_xlfn.XLOOKUP($A25,Definitions!$B:$B,Definitions!#REF!)</f>
        <v>#REF!</v>
      </c>
    </row>
    <row r="26" spans="1:10" s="1" customFormat="1" ht="87" hidden="1" x14ac:dyDescent="0.35">
      <c r="A26" s="1" t="str">
        <f>'Measure Summary'!A27</f>
        <v>R-W-003</v>
      </c>
      <c r="B26" s="1" t="str">
        <f ca="1">'Measure Summary'!F27</f>
        <v>Heat pump water heater</v>
      </c>
      <c r="C26" s="1" t="str">
        <f ca="1">'Measure Summary'!G27</f>
        <v>Water Heater</v>
      </c>
      <c r="D26" s="1">
        <f ca="1">'Measure Summary'!R27</f>
        <v>15</v>
      </c>
      <c r="E26" s="1" t="str">
        <f ca="1">'Measure Summary'!H27</f>
        <v>Water - Heating</v>
      </c>
      <c r="F26" s="1" t="str">
        <f ca="1">'Measure Summary'!B27</f>
        <v>Residential</v>
      </c>
      <c r="G26" s="1130" t="str">
        <f>_xlfn.XLOOKUP($A26,Definitions!$B:$B,Definitions!E:E)</f>
        <v>A heat pump water heater replaces a conventional electric storage hot water heater. Typically, heat is sourced from the furnace room and delivers hot water at much higher efficiencies than conventional tank-based heaters.</v>
      </c>
      <c r="H26" s="1130" t="str">
        <f>_xlfn.XLOOKUP($A26,Definitions!$B:$B,Definitions!F:F)</f>
        <v>The heat pump water heater must meet ENERGY STAR requirements, and must replace existing electric storage hot water heater only.</v>
      </c>
      <c r="I26" s="1130" t="e">
        <f>_xlfn.XLOOKUP($A26,Definitions!$B:$B,Definitions!#REF!)</f>
        <v>#REF!</v>
      </c>
      <c r="J26" s="1130" t="e">
        <f>_xlfn.XLOOKUP($A26,Definitions!$B:$B,Definitions!#REF!)</f>
        <v>#REF!</v>
      </c>
    </row>
    <row r="27" spans="1:10" s="1" customFormat="1" ht="58" hidden="1" x14ac:dyDescent="0.35">
      <c r="A27" s="1" t="str">
        <f>'Measure Summary'!A28</f>
        <v>R-HC-006</v>
      </c>
      <c r="B27" s="1" t="str">
        <f ca="1">'Measure Summary'!F28</f>
        <v>High-efficiency air source heat pump</v>
      </c>
      <c r="C27" s="1" t="str">
        <f ca="1">'Measure Summary'!G28</f>
        <v>kBTU/hour of Heating</v>
      </c>
      <c r="D27" s="1">
        <f ca="1">'Measure Summary'!R28</f>
        <v>16</v>
      </c>
      <c r="E27" s="1" t="str">
        <f ca="1">'Measure Summary'!H28</f>
        <v>HVAC - Heating</v>
      </c>
      <c r="F27" s="1" t="str">
        <f ca="1">'Measure Summary'!B28</f>
        <v>Residential</v>
      </c>
      <c r="G27" s="1130" t="str">
        <f>_xlfn.XLOOKUP($A27,Definitions!$B:$B,Definitions!E:E)</f>
        <v>A heat pump is a year-round space conditioning systems that provide heating and cooling. An air-source heat pump moves heat from and to outside air.</v>
      </c>
      <c r="H27" s="1130" t="str">
        <f>_xlfn.XLOOKUP($A27,Definitions!$B:$B,Definitions!F:F)</f>
        <v>The residential air source heat pump must meet ENERGY STAR requirements.</v>
      </c>
      <c r="I27" s="1130" t="e">
        <f>_xlfn.XLOOKUP($A27,Definitions!$B:$B,Definitions!#REF!)</f>
        <v>#REF!</v>
      </c>
      <c r="J27" s="1130" t="e">
        <f>_xlfn.XLOOKUP($A27,Definitions!$B:$B,Definitions!#REF!)</f>
        <v>#REF!</v>
      </c>
    </row>
    <row r="28" spans="1:10" s="1" customFormat="1" ht="58" hidden="1" x14ac:dyDescent="0.35">
      <c r="A28" s="1" t="str">
        <f>'Measure Summary'!A29</f>
        <v>R-HC-002</v>
      </c>
      <c r="B28" s="1" t="str">
        <f ca="1">'Measure Summary'!F29</f>
        <v>High-efficiency central air conditioner</v>
      </c>
      <c r="C28" s="1" t="str">
        <f ca="1">'Measure Summary'!G29</f>
        <v>Ton of Cooling</v>
      </c>
      <c r="D28" s="1">
        <f ca="1">'Measure Summary'!R29</f>
        <v>18</v>
      </c>
      <c r="E28" s="1" t="str">
        <f ca="1">'Measure Summary'!H29</f>
        <v>HVAC - Cooling</v>
      </c>
      <c r="F28" s="1" t="str">
        <f ca="1">'Measure Summary'!B29</f>
        <v>Residential</v>
      </c>
      <c r="G28" s="1130" t="str">
        <f>_xlfn.XLOOKUP($A28,Definitions!$B:$B,Definitions!E:E)</f>
        <v>Air conditioning equipment that is centrally installed in the home. High-efficiency technology uses less electricity to move indoor heat to the outside of the home.</v>
      </c>
      <c r="H28" s="1130" t="str">
        <f>_xlfn.XLOOKUP($A28,Definitions!$B:$B,Definitions!F:F)</f>
        <v>The central air conditioner must be a ducted and split tunit hat meets ENERGY STAR requirements.   SEER must be equal or greater than 15, or EER equal or greater than 12.</v>
      </c>
      <c r="I28" s="1130" t="e">
        <f>_xlfn.XLOOKUP($A28,Definitions!$B:$B,Definitions!#REF!)</f>
        <v>#REF!</v>
      </c>
      <c r="J28" s="1130" t="e">
        <f>_xlfn.XLOOKUP($A28,Definitions!$B:$B,Definitions!#REF!)</f>
        <v>#REF!</v>
      </c>
    </row>
    <row r="29" spans="1:10" s="1" customFormat="1" ht="72.5" hidden="1" x14ac:dyDescent="0.35">
      <c r="A29" s="1" t="str">
        <f>'Measure Summary'!A30</f>
        <v>C-R-003</v>
      </c>
      <c r="B29" s="1" t="str">
        <f ca="1">'Measure Summary'!F30</f>
        <v>High-efficiency door for reach-in freezer</v>
      </c>
      <c r="C29" s="1" t="str">
        <f ca="1">'Measure Summary'!G30</f>
        <v>Door</v>
      </c>
      <c r="D29" s="1">
        <f ca="1">'Measure Summary'!R30</f>
        <v>12</v>
      </c>
      <c r="E29" s="1" t="str">
        <f ca="1">'Measure Summary'!H30</f>
        <v>Refrigeration - Door</v>
      </c>
      <c r="F29" s="1" t="str">
        <f ca="1">'Measure Summary'!B30</f>
        <v>Commercial</v>
      </c>
      <c r="G29" s="1130" t="str">
        <f>_xlfn.XLOOKUP($A29,Definitions!$B:$B,Definitions!E:E)</f>
        <v>Installation of energy efficient doors for freezers without existing door. Doors save energy by reducing the infiltration of warm outside air into the freezer area.</v>
      </c>
      <c r="H29" s="1130" t="str">
        <f>_xlfn.XLOOKUP($A29,Definitions!$B:$B,Definitions!F:F)</f>
        <v>The product must meet ENERGY STAR efficiency standards and CEE Tier 1 or 2 requirements. New glass and solid doors replace open (single/multi-deck) display cases. Doors for reach-in display cases include one, two and three glass door reach-in, roll-in/through and pass-through commercial freezers.</v>
      </c>
      <c r="I29" s="1130" t="e">
        <f>_xlfn.XLOOKUP($A29,Definitions!$B:$B,Definitions!#REF!)</f>
        <v>#REF!</v>
      </c>
      <c r="J29" s="1130" t="e">
        <f>_xlfn.XLOOKUP($A29,Definitions!$B:$B,Definitions!#REF!)</f>
        <v>#REF!</v>
      </c>
    </row>
    <row r="30" spans="1:10" s="1" customFormat="1" ht="72.5" hidden="1" x14ac:dyDescent="0.35">
      <c r="A30" s="1" t="str">
        <f>'Measure Summary'!A31</f>
        <v>C-R-011</v>
      </c>
      <c r="B30" s="1" t="str">
        <f ca="1">'Measure Summary'!F31</f>
        <v>High-efficiency door for reach-in refrigerator</v>
      </c>
      <c r="C30" s="1" t="str">
        <f ca="1">'Measure Summary'!G31</f>
        <v>Door</v>
      </c>
      <c r="D30" s="1">
        <f ca="1">'Measure Summary'!R31</f>
        <v>12</v>
      </c>
      <c r="E30" s="1" t="str">
        <f ca="1">'Measure Summary'!H31</f>
        <v>Refrigeration - Door</v>
      </c>
      <c r="F30" s="1" t="str">
        <f ca="1">'Measure Summary'!B31</f>
        <v>Commercial</v>
      </c>
      <c r="G30" s="1130" t="str">
        <f>_xlfn.XLOOKUP($A30,Definitions!$B:$B,Definitions!E:E)</f>
        <v>Installation of energy efficient doors for refrigerator without existing door. Doors save energy by reducing the infiltration of warm outside air into the refrigerator area.</v>
      </c>
      <c r="H30" s="1130" t="str">
        <f>_xlfn.XLOOKUP($A30,Definitions!$B:$B,Definitions!F:F)</f>
        <v>The product must meet ENERGY STAR efficiency standards and CEE Tier 1 or 2 requirements. New glass and solid doors replace open (single/multi-deck) display cases. Doors for reach-in display cases include one, two and three glass door reach-in, roll-in/through and pass-through commercial refrigerators.</v>
      </c>
      <c r="I30" s="1130" t="e">
        <f>_xlfn.XLOOKUP($A30,Definitions!$B:$B,Definitions!#REF!)</f>
        <v>#REF!</v>
      </c>
      <c r="J30" s="1130" t="e">
        <f>_xlfn.XLOOKUP($A30,Definitions!$B:$B,Definitions!#REF!)</f>
        <v>#REF!</v>
      </c>
    </row>
    <row r="31" spans="1:10" s="1" customFormat="1" ht="58" hidden="1" x14ac:dyDescent="0.35">
      <c r="A31" s="1" t="str">
        <f>'Measure Summary'!A32</f>
        <v>C-HC-003</v>
      </c>
      <c r="B31" s="1" t="str">
        <f ca="1">'Measure Summary'!F32</f>
        <v>High-efficiency electric air cooled chiller</v>
      </c>
      <c r="C31" s="1" t="str">
        <f ca="1">'Measure Summary'!G32</f>
        <v>Ton of Chiller</v>
      </c>
      <c r="D31" s="1">
        <f ca="1">'Measure Summary'!R32</f>
        <v>23</v>
      </c>
      <c r="E31" s="1" t="str">
        <f ca="1">'Measure Summary'!H32</f>
        <v>HVAC - Cooling</v>
      </c>
      <c r="F31" s="1" t="str">
        <f ca="1">'Measure Summary'!B32</f>
        <v>Commercial</v>
      </c>
      <c r="G31" s="1130" t="str">
        <f>_xlfn.XLOOKUP($A31,Definitions!$B:$B,Definitions!E:E)</f>
        <v>High-efficiency electric air cooled chillers are able to remove more heat using less electricity than a standard efficiency unit as part of a comprehensive HVAC system.</v>
      </c>
      <c r="H31" s="1130" t="str">
        <f>_xlfn.XLOOKUP($A31,Definitions!$B:$B,Definitions!F:F)</f>
        <v>Chiller is air cooled and electric, and meets minimum efficiency standards as per IECC code (most recent). Only single-chiller applications are eligible. Chillers equipped with variable speed drives are not eligible.</v>
      </c>
      <c r="I31" s="1130" t="e">
        <f>_xlfn.XLOOKUP($A31,Definitions!$B:$B,Definitions!#REF!)</f>
        <v>#REF!</v>
      </c>
      <c r="J31" s="1130" t="e">
        <f>_xlfn.XLOOKUP($A31,Definitions!$B:$B,Definitions!#REF!)</f>
        <v>#REF!</v>
      </c>
    </row>
    <row r="32" spans="1:10" s="1" customFormat="1" ht="145" hidden="1" x14ac:dyDescent="0.35">
      <c r="A32" s="1" t="str">
        <f>'Measure Summary'!A33</f>
        <v>C-HC-008</v>
      </c>
      <c r="B32" s="1" t="str">
        <f ca="1">'Measure Summary'!F33</f>
        <v>High-efficiency heat pump</v>
      </c>
      <c r="C32" s="1" t="str">
        <f ca="1">'Measure Summary'!G33</f>
        <v>kBTU/hour of Heating and Cooling</v>
      </c>
      <c r="D32" s="1">
        <f ca="1">'Measure Summary'!R33</f>
        <v>15</v>
      </c>
      <c r="E32" s="1" t="str">
        <f ca="1">'Measure Summary'!H33</f>
        <v>HVAC - Heating</v>
      </c>
      <c r="F32" s="1" t="str">
        <f ca="1">'Measure Summary'!B33</f>
        <v>Commercial</v>
      </c>
      <c r="G32" s="1130" t="str">
        <f>_xlfn.XLOOKUP($A32,Definitions!$B:$B,Definitions!E:E)</f>
        <v>Heat pumps are year-round electric space conditioning systems that heat and cool from a single piece of equipment. Their cooling efficiency is like that of conventional air conditioners. Heat pumps provide heat at 100% or greater efficiencies, but the actual efficiency depends on where the heat pump sources its heat. Typical options include outside air, and shallow ground (also referred to as geo-exchange).</v>
      </c>
      <c r="H32" s="1130" t="str">
        <f>_xlfn.XLOOKUP($A32,Definitions!$B:$B,Definitions!F:F)</f>
        <v xml:space="preserve">High-efficiency heat pumps must meet Consortium for Energy Efficiency (CEE) Tier 1, 2 or Advanced Tier requirements for Unitary and Multi-split Air Conditioner and Heat Pumps. Eligible options include outside air, and shallow ground (also referred to as geo-exchange). </v>
      </c>
      <c r="I32" s="1130" t="e">
        <f>_xlfn.XLOOKUP($A32,Definitions!$B:$B,Definitions!#REF!)</f>
        <v>#REF!</v>
      </c>
      <c r="J32" s="1130" t="e">
        <f>_xlfn.XLOOKUP($A32,Definitions!$B:$B,Definitions!#REF!)</f>
        <v>#REF!</v>
      </c>
    </row>
    <row r="33" spans="1:10" s="1" customFormat="1" ht="87" hidden="1" x14ac:dyDescent="0.35">
      <c r="A33" s="1" t="str">
        <f>'Measure Summary'!A34</f>
        <v>C-R-004</v>
      </c>
      <c r="B33" s="1" t="str">
        <f ca="1">'Measure Summary'!F34</f>
        <v>High-efficiency motor for walk/reach-in freezers</v>
      </c>
      <c r="C33" s="1" t="str">
        <f ca="1">'Measure Summary'!G34</f>
        <v>Motor</v>
      </c>
      <c r="D33" s="1">
        <f ca="1">'Measure Summary'!R34</f>
        <v>10</v>
      </c>
      <c r="E33" s="1" t="str">
        <f ca="1">'Measure Summary'!H34</f>
        <v>Refrigeration - Motor</v>
      </c>
      <c r="F33" s="1" t="str">
        <f ca="1">'Measure Summary'!B34</f>
        <v>Commercial</v>
      </c>
      <c r="G33" s="1130" t="str">
        <f>_xlfn.XLOOKUP($A33,Definitions!$B:$B,Definitions!E:E)</f>
        <v xml:space="preserve">Replacement of an existing, uncontrolled, and continuously operating standard-efficiency shaded-pole, permanent split capacitor (PSC) and electronically commutated (EC) evaporator fan motor in freezer display cases or evaporator of walk-in freezers. </v>
      </c>
      <c r="H33" s="1130" t="str">
        <f>_xlfn.XLOOKUP($A33,Definitions!$B:$B,Definitions!F:F)</f>
        <v>The new motor must be a 9-12 watt high-efficiency motor with a minimum of 73% efficiency, or a 38-50 watt motor with a minimum of 81% efficiency.</v>
      </c>
      <c r="I33" s="1130" t="e">
        <f>_xlfn.XLOOKUP($A33,Definitions!$B:$B,Definitions!#REF!)</f>
        <v>#REF!</v>
      </c>
      <c r="J33" s="1130" t="e">
        <f>_xlfn.XLOOKUP($A33,Definitions!$B:$B,Definitions!#REF!)</f>
        <v>#REF!</v>
      </c>
    </row>
    <row r="34" spans="1:10" s="1" customFormat="1" ht="87" hidden="1" x14ac:dyDescent="0.35">
      <c r="A34" s="1" t="str">
        <f>'Measure Summary'!A35</f>
        <v>C-R-009</v>
      </c>
      <c r="B34" s="1" t="str">
        <f ca="1">'Measure Summary'!F35</f>
        <v>High-efficiency motor for walk/reach-in refrigerators</v>
      </c>
      <c r="C34" s="1" t="str">
        <f ca="1">'Measure Summary'!G35</f>
        <v>Motor</v>
      </c>
      <c r="D34" s="1">
        <f ca="1">'Measure Summary'!R35</f>
        <v>10</v>
      </c>
      <c r="E34" s="1" t="str">
        <f ca="1">'Measure Summary'!H35</f>
        <v>Refrigeration - Motor</v>
      </c>
      <c r="F34" s="1" t="str">
        <f ca="1">'Measure Summary'!B35</f>
        <v>Commercial</v>
      </c>
      <c r="G34" s="1130" t="str">
        <f>_xlfn.XLOOKUP($A34,Definitions!$B:$B,Definitions!E:E)</f>
        <v>Replacement of an existing, uncontrolled, and continuously operating standard-efficiency shaded-pole, permanent split capacitor (PSC) and electronically commutated (EC) evaporator fan motor in refrigerator display cases or evaporator of walk-in refrigerators.</v>
      </c>
      <c r="H34" s="1130" t="str">
        <f>_xlfn.XLOOKUP($A34,Definitions!$B:$B,Definitions!F:F)</f>
        <v>The new motor must be a 9-12 watt high-efficiency motor with a minimum of 73% efficiency, or a 38-50 watt motor with a minimum of 81% efficiency.</v>
      </c>
      <c r="I34" s="1130" t="e">
        <f>_xlfn.XLOOKUP($A34,Definitions!$B:$B,Definitions!#REF!)</f>
        <v>#REF!</v>
      </c>
      <c r="J34" s="1130" t="e">
        <f>_xlfn.XLOOKUP($A34,Definitions!$B:$B,Definitions!#REF!)</f>
        <v>#REF!</v>
      </c>
    </row>
    <row r="35" spans="1:10" s="1" customFormat="1" ht="87" hidden="1" x14ac:dyDescent="0.35">
      <c r="A35" s="1" t="str">
        <f>'Measure Summary'!A36</f>
        <v>C-HC-005</v>
      </c>
      <c r="B35" s="1" t="str">
        <f ca="1">'Measure Summary'!F36</f>
        <v>High-efficiency natural gas boiler</v>
      </c>
      <c r="C35" s="1" t="str">
        <f ca="1">'Measure Summary'!G36</f>
        <v>kBTU/hour of Heating</v>
      </c>
      <c r="D35" s="1">
        <f ca="1">'Measure Summary'!R36</f>
        <v>25</v>
      </c>
      <c r="E35" s="1" t="str">
        <f ca="1">'Measure Summary'!H36</f>
        <v>HVAC - Heating</v>
      </c>
      <c r="F35" s="1" t="str">
        <f ca="1">'Measure Summary'!B36</f>
        <v>Commercial</v>
      </c>
      <c r="G35" s="1130" t="str">
        <f>_xlfn.XLOOKUP($A35,Definitions!$B:$B,Definitions!E:E)</f>
        <v>A high-efficiency boiler extracts the maximum amount of heat from burning natural gas by using condensing technology. This means heat from condensing water in the exhaust is extracted in addition to regular combustion.</v>
      </c>
      <c r="H35" s="1130" t="str">
        <f>_xlfn.XLOOKUP($A35,Definitions!$B:$B,Definitions!F:F)</f>
        <v>The product must meet ENERGY STAR requirements, and certified to the CSA 4.9/ANSI Z21.13 CSA 4.9/ANSI Z21.13 standards for gas-fired low-pressure steam and hot water boilers. The high-efficiency boiler must have a thermal efficiency (AFUE) equal to or greater than 90%, use natural gas fuel and used in a hydronic (hot water) system. Steam and oil-fired boilers are not eligible.</v>
      </c>
      <c r="I35" s="1130" t="e">
        <f>_xlfn.XLOOKUP($A35,Definitions!$B:$B,Definitions!#REF!)</f>
        <v>#REF!</v>
      </c>
      <c r="J35" s="1130" t="e">
        <f>_xlfn.XLOOKUP($A35,Definitions!$B:$B,Definitions!#REF!)</f>
        <v>#REF!</v>
      </c>
    </row>
    <row r="36" spans="1:10" s="1" customFormat="1" ht="72.5" hidden="1" x14ac:dyDescent="0.35">
      <c r="A36" s="1" t="str">
        <f>'Measure Summary'!A37</f>
        <v>R-HC-005</v>
      </c>
      <c r="B36" s="1" t="str">
        <f ca="1">'Measure Summary'!F37</f>
        <v>High-efficiency natural gas boiler</v>
      </c>
      <c r="C36" s="1" t="str">
        <f ca="1">'Measure Summary'!G37</f>
        <v>kBTU/hour of Heating</v>
      </c>
      <c r="D36" s="1">
        <f ca="1">'Measure Summary'!R37</f>
        <v>25</v>
      </c>
      <c r="E36" s="1" t="str">
        <f ca="1">'Measure Summary'!H37</f>
        <v>HVAC - Heating</v>
      </c>
      <c r="F36" s="1" t="str">
        <f ca="1">'Measure Summary'!B37</f>
        <v>Residential</v>
      </c>
      <c r="G36" s="1130" t="str">
        <f>_xlfn.XLOOKUP($A36,Definitions!$B:$B,Definitions!E:E)</f>
        <v>A high-efficiency boiler extracts the maximum amount of heat from natural gas by using condensing technology. This means heat from condensing water in the exhaust is extracted in addition to regular combustion.</v>
      </c>
      <c r="H36" s="1130" t="str">
        <f>_xlfn.XLOOKUP($A36,Definitions!$B:$B,Definitions!F:F)</f>
        <v>The residential natural gas boiler must meet ENERGY STAR requirements. It must include outdoor reset control and have an AFUE equal to or greater than 95%.  </v>
      </c>
      <c r="I36" s="1130" t="e">
        <f>_xlfn.XLOOKUP($A36,Definitions!$B:$B,Definitions!#REF!)</f>
        <v>#REF!</v>
      </c>
      <c r="J36" s="1130" t="e">
        <f>_xlfn.XLOOKUP($A36,Definitions!$B:$B,Definitions!#REF!)</f>
        <v>#REF!</v>
      </c>
    </row>
    <row r="37" spans="1:10" s="1" customFormat="1" ht="87" hidden="1" x14ac:dyDescent="0.35">
      <c r="A37" s="1" t="str">
        <f>'Measure Summary'!A38</f>
        <v>C-HC-009</v>
      </c>
      <c r="B37" s="1" t="str">
        <f ca="1">'Measure Summary'!F38</f>
        <v>High-efficiency natural gas furnace</v>
      </c>
      <c r="C37" s="1" t="str">
        <f ca="1">'Measure Summary'!G38</f>
        <v>kBTU/hour of Heating</v>
      </c>
      <c r="D37" s="1">
        <f ca="1">'Measure Summary'!R38</f>
        <v>17</v>
      </c>
      <c r="E37" s="1" t="str">
        <f ca="1">'Measure Summary'!H38</f>
        <v>HVAC - Heating</v>
      </c>
      <c r="F37" s="1" t="str">
        <f ca="1">'Measure Summary'!B38</f>
        <v>Commercial</v>
      </c>
      <c r="G37" s="1130" t="str">
        <f>_xlfn.XLOOKUP($A37,Definitions!$B:$B,Definitions!E:E)</f>
        <v>A high-efficiency furnace extracts the maximum amount of heat from burning natural gas by using condensing technology. This means heat from condensing water in the exhaust is extracted in addition to regular combustion.</v>
      </c>
      <c r="H37" s="1130" t="str">
        <f>_xlfn.XLOOKUP($A37,Definitions!$B:$B,Definitions!F:F)</f>
        <v>The product must meet ENERGY STAR requirements. That product must have an input energy value of less than 225,000 Btu/hr, an AFUE rating greater or equal to 96% and the product must be fueled by natural gas or propane gas. Oil-fired models are not eligible</v>
      </c>
      <c r="I37" s="1130" t="e">
        <f>_xlfn.XLOOKUP($A37,Definitions!$B:$B,Definitions!#REF!)</f>
        <v>#REF!</v>
      </c>
      <c r="J37" s="1130" t="e">
        <f>_xlfn.XLOOKUP($A37,Definitions!$B:$B,Definitions!#REF!)</f>
        <v>#REF!</v>
      </c>
    </row>
    <row r="38" spans="1:10" s="1" customFormat="1" ht="87" hidden="1" x14ac:dyDescent="0.35">
      <c r="A38" s="1" t="str">
        <f>'Measure Summary'!A39</f>
        <v>R-HC-003</v>
      </c>
      <c r="B38" s="1" t="str">
        <f ca="1">'Measure Summary'!F39</f>
        <v>High-efficiency natural gas furnace</v>
      </c>
      <c r="C38" s="1" t="str">
        <f ca="1">'Measure Summary'!G39</f>
        <v>kBTU/hour of Heating</v>
      </c>
      <c r="D38" s="1">
        <f ca="1">'Measure Summary'!R39</f>
        <v>20</v>
      </c>
      <c r="E38" s="1" t="str">
        <f ca="1">'Measure Summary'!H39</f>
        <v>HVAC - Heating</v>
      </c>
      <c r="F38" s="1" t="str">
        <f ca="1">'Measure Summary'!B39</f>
        <v>Residential</v>
      </c>
      <c r="G38" s="1130" t="str">
        <f>_xlfn.XLOOKUP($A38,Definitions!$B:$B,Definitions!E:E)</f>
        <v>A high-efficiency furnace extracts the maximum amount of heat from burning natural gas by using condensing technology. This means heat from condensed water in the exhaust is extracted in addition to regular combustion.</v>
      </c>
      <c r="H38" s="1130" t="str">
        <f>_xlfn.XLOOKUP($A38,Definitions!$B:$B,Definitions!F:F)</f>
        <v>The product must meet ENERGY STAR for Northern Climate Zone requirements. It must be equipped with a high-efficiency electronically commutated fan motor. AFUE must be equal or greater than 95%.</v>
      </c>
      <c r="I38" s="1130" t="e">
        <f>_xlfn.XLOOKUP($A38,Definitions!$B:$B,Definitions!#REF!)</f>
        <v>#REF!</v>
      </c>
      <c r="J38" s="1130" t="e">
        <f>_xlfn.XLOOKUP($A38,Definitions!$B:$B,Definitions!#REF!)</f>
        <v>#REF!</v>
      </c>
    </row>
    <row r="39" spans="1:10" s="1" customFormat="1" ht="43.5" hidden="1" x14ac:dyDescent="0.35">
      <c r="A39" s="1" t="str">
        <f>'Measure Summary'!A40</f>
        <v>C-HC-011</v>
      </c>
      <c r="B39" s="1" t="str">
        <f ca="1">'Measure Summary'!F40</f>
        <v>High-efficiency natural gas make-up air furnace</v>
      </c>
      <c r="C39" s="1" t="str">
        <f ca="1">'Measure Summary'!G40</f>
        <v>CFM of Ventilation</v>
      </c>
      <c r="D39" s="1">
        <f ca="1">'Measure Summary'!R40</f>
        <v>15</v>
      </c>
      <c r="E39" s="1" t="str">
        <f ca="1">'Measure Summary'!H40</f>
        <v>HVAC - Heating</v>
      </c>
      <c r="F39" s="1" t="str">
        <f ca="1">'Measure Summary'!B40</f>
        <v>Commercial</v>
      </c>
      <c r="G39" s="1130" t="str">
        <f>_xlfn.XLOOKUP($A39,Definitions!$B:$B,Definitions!E:E)</f>
        <v>Make-up air units ensure fresh outdoor air used for ventilation is delivered to the building at the desired indoor temperature.</v>
      </c>
      <c r="H39" s="1130" t="str">
        <f>_xlfn.XLOOKUP($A39,Definitions!$B:$B,Definitions!F:F)</f>
        <v>The installed product must be a condensing make-up air unit that uses 100% outside air. It must have a thermal efficiency greater or equal to 90%.</v>
      </c>
      <c r="I39" s="1130" t="e">
        <f>_xlfn.XLOOKUP($A39,Definitions!$B:$B,Definitions!#REF!)</f>
        <v>#REF!</v>
      </c>
      <c r="J39" s="1130" t="e">
        <f>_xlfn.XLOOKUP($A39,Definitions!$B:$B,Definitions!#REF!)</f>
        <v>#REF!</v>
      </c>
    </row>
    <row r="40" spans="1:10" s="1" customFormat="1" ht="87" hidden="1" x14ac:dyDescent="0.35">
      <c r="A40" s="1" t="str">
        <f>'Measure Summary'!A41</f>
        <v>C-W-002</v>
      </c>
      <c r="B40" s="1" t="str">
        <f ca="1">'Measure Summary'!F41</f>
        <v>High-efficiency natural gas storage water heater</v>
      </c>
      <c r="C40" s="1" t="str">
        <f ca="1">'Measure Summary'!G41</f>
        <v>Water Heater</v>
      </c>
      <c r="D40" s="1">
        <f ca="1">'Measure Summary'!R41</f>
        <v>15</v>
      </c>
      <c r="E40" s="1" t="str">
        <f ca="1">'Measure Summary'!H41</f>
        <v>Water - Heating</v>
      </c>
      <c r="F40" s="1" t="str">
        <f ca="1">'Measure Summary'!B41</f>
        <v>Commercial</v>
      </c>
      <c r="G40" s="1130" t="str">
        <f>_xlfn.XLOOKUP($A40,Definitions!$B:$B,Definitions!E:E)</f>
        <v>High-efficiency storage (tank-based) water heaters extract the maximum amount of heat from burning natural gas by using condensing technology. This means heat from condensing water in the exhaust is extracted in addition to regular combustion.</v>
      </c>
      <c r="H40" s="1130" t="str">
        <f>_xlfn.XLOOKUP($A40,Definitions!$B:$B,Definitions!F:F)</f>
        <v>The storage water heater must be ENERGY STAR certified with thermal efficiency greater than or equal to 90% and fueled by natural gas.</v>
      </c>
      <c r="I40" s="1130" t="e">
        <f>_xlfn.XLOOKUP($A40,Definitions!$B:$B,Definitions!#REF!)</f>
        <v>#REF!</v>
      </c>
      <c r="J40" s="1130" t="e">
        <f>_xlfn.XLOOKUP($A40,Definitions!$B:$B,Definitions!#REF!)</f>
        <v>#REF!</v>
      </c>
    </row>
    <row r="41" spans="1:10" s="1" customFormat="1" ht="87" hidden="1" x14ac:dyDescent="0.35">
      <c r="A41" s="1" t="str">
        <f>'Measure Summary'!A42</f>
        <v>C-HC-006</v>
      </c>
      <c r="B41" s="1" t="str">
        <f ca="1">'Measure Summary'!F42</f>
        <v>High-efficiency natural gas unit heater</v>
      </c>
      <c r="C41" s="1" t="str">
        <f ca="1">'Measure Summary'!G42</f>
        <v>kBTU/hour of Heating</v>
      </c>
      <c r="D41" s="1">
        <f ca="1">'Measure Summary'!R42</f>
        <v>12</v>
      </c>
      <c r="E41" s="1" t="str">
        <f ca="1">'Measure Summary'!H42</f>
        <v>HVAC - Heating</v>
      </c>
      <c r="F41" s="1" t="str">
        <f ca="1">'Measure Summary'!B42</f>
        <v>Commercial</v>
      </c>
      <c r="G41" s="1130" t="str">
        <f>_xlfn.XLOOKUP($A41,Definitions!$B:$B,Definitions!E:E)</f>
        <v>High-efficiency unit heaters extract the maximum amount of heat from burning natural gas by using condensing technology. This means heat from condensing water in the exhaust is extracted in addition to regular combustion.</v>
      </c>
      <c r="H41" s="1130" t="str">
        <f>_xlfn.XLOOKUP($A41,Definitions!$B:$B,Definitions!F:F)</f>
        <v>The unit heater must be included on the NRCan energy efficient products list, use condensing technology, have a thermal efficiency equal to or greater than 90% and be fueled by natural gas fuel.</v>
      </c>
      <c r="I41" s="1130" t="e">
        <f>_xlfn.XLOOKUP($A41,Definitions!$B:$B,Definitions!#REF!)</f>
        <v>#REF!</v>
      </c>
      <c r="J41" s="1130" t="e">
        <f>_xlfn.XLOOKUP($A41,Definitions!$B:$B,Definitions!#REF!)</f>
        <v>#REF!</v>
      </c>
    </row>
    <row r="42" spans="1:10" s="1" customFormat="1" ht="87" hidden="1" x14ac:dyDescent="0.35">
      <c r="A42" s="1" t="str">
        <f>'Measure Summary'!A43</f>
        <v>C-K-002</v>
      </c>
      <c r="B42" s="1" t="str">
        <f ca="1">'Measure Summary'!F43</f>
        <v>High-efficiency pre-rinse spray valve</v>
      </c>
      <c r="C42" s="1" t="str">
        <f ca="1">'Measure Summary'!G43</f>
        <v>Valve</v>
      </c>
      <c r="D42" s="1">
        <f ca="1">'Measure Summary'!R43</f>
        <v>5</v>
      </c>
      <c r="E42" s="1" t="str">
        <f ca="1">'Measure Summary'!H43</f>
        <v>Commercial Kitchen - Control</v>
      </c>
      <c r="F42" s="1" t="str">
        <f ca="1">'Measure Summary'!B43</f>
        <v>Commercial</v>
      </c>
      <c r="G42" s="1130" t="str">
        <f>_xlfn.XLOOKUP($A42,Definitions!$B:$B,Definitions!E:E)</f>
        <v>Pre-rise valves use a spray of water to remove food waste from dishes before cleaning in a dishwasher. More efficient spray valves use less water thereby reducing water consumption and related water heating energy.</v>
      </c>
      <c r="H42" s="1130" t="str">
        <f>_xlfn.XLOOKUP($A42,Definitions!$B:$B,Definitions!F:F)</f>
        <v>The product must be a new or replacement low-flow pre-rinse spray valve with a low flow rate of less than or equal to 6 Litres per minute (1.6 gpm). The product must also replace a standard valve.</v>
      </c>
      <c r="I42" s="1130" t="e">
        <f>_xlfn.XLOOKUP($A42,Definitions!$B:$B,Definitions!#REF!)</f>
        <v>#REF!</v>
      </c>
      <c r="J42" s="1130" t="e">
        <f>_xlfn.XLOOKUP($A42,Definitions!$B:$B,Definitions!#REF!)</f>
        <v>#REF!</v>
      </c>
    </row>
    <row r="43" spans="1:10" s="1" customFormat="1" ht="58" hidden="1" x14ac:dyDescent="0.35">
      <c r="A43" s="1" t="str">
        <f>'Measure Summary'!A44</f>
        <v>C-HC-004</v>
      </c>
      <c r="B43" s="1" t="str">
        <f ca="1">'Measure Summary'!F44</f>
        <v>High-efficiency unitary air conditioner</v>
      </c>
      <c r="C43" s="1" t="str">
        <f ca="1">'Measure Summary'!G44</f>
        <v>Ton of Cooling</v>
      </c>
      <c r="D43" s="1">
        <f ca="1">'Measure Summary'!R44</f>
        <v>15</v>
      </c>
      <c r="E43" s="1" t="str">
        <f ca="1">'Measure Summary'!H44</f>
        <v>HVAC - Cooling</v>
      </c>
      <c r="F43" s="1" t="str">
        <f ca="1">'Measure Summary'!B44</f>
        <v>Commercial</v>
      </c>
      <c r="G43" s="1130" t="str">
        <f>_xlfn.XLOOKUP($A43,Definitions!$B:$B,Definitions!E:E)</f>
        <v>Unitary air conditioners are self-contained space conditioning equipment that deliver cooling to specific indoor spaces. Some units are split into outside and indoor modules.</v>
      </c>
      <c r="H43" s="1130" t="str">
        <f>_xlfn.XLOOKUP($A43,Definitions!$B:$B,Definitions!F:F)</f>
        <v>Meet Consortium for Energy Efficiency (CEE) Tier 1, 2 or Advanced Tier requirements for Unitary and Multi-split Air Conditioner and Heat Pumps.</v>
      </c>
      <c r="I43" s="1130" t="e">
        <f>_xlfn.XLOOKUP($A43,Definitions!$B:$B,Definitions!#REF!)</f>
        <v>#REF!</v>
      </c>
      <c r="J43" s="1130" t="e">
        <f>_xlfn.XLOOKUP($A43,Definitions!$B:$B,Definitions!#REF!)</f>
        <v>#REF!</v>
      </c>
    </row>
    <row r="44" spans="1:10" s="1" customFormat="1" ht="72.5" hidden="1" x14ac:dyDescent="0.35">
      <c r="A44" s="1" t="str">
        <f>'Measure Summary'!A45</f>
        <v>C-WB-002</v>
      </c>
      <c r="B44" s="1" t="str">
        <f ca="1">'Measure Summary'!F45</f>
        <v>High-efficiency window</v>
      </c>
      <c r="C44" s="1" t="str">
        <f ca="1">'Measure Summary'!G45</f>
        <v>Custom</v>
      </c>
      <c r="D44" s="1">
        <f ca="1">'Measure Summary'!R45</f>
        <v>15</v>
      </c>
      <c r="E44" s="1" t="str">
        <f ca="1">'Measure Summary'!H45</f>
        <v>Whole Building</v>
      </c>
      <c r="F44" s="1" t="str">
        <f ca="1">'Measure Summary'!B45</f>
        <v>Commercial</v>
      </c>
      <c r="G44" s="1130" t="str">
        <f>_xlfn.XLOOKUP($A44,Definitions!$B:$B,Definitions!E:E)</f>
        <v>When installed correctly, window upgrades increase air-tightness, reduce energy loss and reduce road noise. For example, upgrading to triple-pane, low-e, argon windows will provide greater energy savings.</v>
      </c>
      <c r="H44" s="1130" t="str">
        <f>_xlfn.XLOOKUP($A44,Definitions!$B:$B,Definitions!F:F)</f>
        <v>The product must meet ENERGY STAR requirements.</v>
      </c>
      <c r="I44" s="1130" t="e">
        <f>_xlfn.XLOOKUP($A44,Definitions!$B:$B,Definitions!#REF!)</f>
        <v>#REF!</v>
      </c>
      <c r="J44" s="1130" t="e">
        <f>_xlfn.XLOOKUP($A44,Definitions!$B:$B,Definitions!#REF!)</f>
        <v>#REF!</v>
      </c>
    </row>
    <row r="45" spans="1:10" s="1" customFormat="1" ht="72.5" hidden="1" x14ac:dyDescent="0.35">
      <c r="A45" s="1" t="str">
        <f>'Measure Summary'!A46</f>
        <v>C-L-001</v>
      </c>
      <c r="B45" s="1" t="str">
        <f ca="1">'Measure Summary'!F46</f>
        <v>Indoor lighting control</v>
      </c>
      <c r="C45" s="1" t="str">
        <f ca="1">'Measure Summary'!G46</f>
        <v>Sensor</v>
      </c>
      <c r="D45" s="1">
        <f ca="1">'Measure Summary'!R46</f>
        <v>8</v>
      </c>
      <c r="E45" s="1" t="str">
        <f ca="1">'Measure Summary'!H46</f>
        <v>Lighting - Control</v>
      </c>
      <c r="F45" s="1" t="str">
        <f ca="1">'Measure Summary'!B46</f>
        <v>Commercial</v>
      </c>
      <c r="G45" s="1130" t="str">
        <f>_xlfn.XLOOKUP($A45,Definitions!$B:$B,Definitions!E:E)</f>
        <v>Indoor lighting controls include daylight, occupancy and integrated lighting controls. These may be wall, remote, fixture and switch mounted.</v>
      </c>
      <c r="H45" s="1130" t="str">
        <f>_xlfn.XLOOKUP($A45,Definitions!$B:$B,Definitions!F:F)</f>
        <v>The product must be a Design Lights Consortium (DLC) qualified lighting control. Sensors with "manual on override" are not eligible. Controls may not be stepped or dimming, and daylight controls must vary the light output based on the level of sunlight received. The product must control a minimum load of 30 watts.</v>
      </c>
      <c r="I45" s="1130" t="e">
        <f>_xlfn.XLOOKUP($A45,Definitions!$B:$B,Definitions!#REF!)</f>
        <v>#REF!</v>
      </c>
      <c r="J45" s="1130" t="e">
        <f>_xlfn.XLOOKUP($A45,Definitions!$B:$B,Definitions!#REF!)</f>
        <v>#REF!</v>
      </c>
    </row>
    <row r="46" spans="1:10" s="1" customFormat="1" ht="87" hidden="1" x14ac:dyDescent="0.35">
      <c r="A46" s="1" t="str">
        <f>'Measure Summary'!A47</f>
        <v>R-L-001</v>
      </c>
      <c r="B46" s="1" t="str">
        <f ca="1">'Measure Summary'!F47</f>
        <v>Indoor lighting control</v>
      </c>
      <c r="C46" s="1" t="str">
        <f ca="1">'Measure Summary'!G47</f>
        <v>Sensor</v>
      </c>
      <c r="D46" s="1">
        <f ca="1">'Measure Summary'!R47</f>
        <v>10</v>
      </c>
      <c r="E46" s="1" t="str">
        <f ca="1">'Measure Summary'!H47</f>
        <v>Lighting - Control</v>
      </c>
      <c r="F46" s="1" t="str">
        <f ca="1">'Measure Summary'!B47</f>
        <v>Residential</v>
      </c>
      <c r="G46" s="1130" t="str">
        <f>_xlfn.XLOOKUP($A46,Definitions!$B:$B,Definitions!E:E)</f>
        <v>Lighting controls use motion and daylight sensing to control indoor lighting. Multiple fixtures may be controlled through one sensor or each fixture may have its own. These sensors are an effective way to control lighting use in low occupancy areas.</v>
      </c>
      <c r="H46" s="1130" t="str">
        <f>_xlfn.XLOOKUP($A46,Definitions!$B:$B,Definitions!F:F)</f>
        <v>Lighting controls including timers, occupancy and daylight sensors must be Design Lights Consortium (DLC) qualified. Sensors with "manual on override", stepped and dimming controls are not eligible.</v>
      </c>
      <c r="I46" s="1130" t="e">
        <f>_xlfn.XLOOKUP($A46,Definitions!$B:$B,Definitions!#REF!)</f>
        <v>#REF!</v>
      </c>
      <c r="J46" s="1130" t="e">
        <f>_xlfn.XLOOKUP($A46,Definitions!$B:$B,Definitions!#REF!)</f>
        <v>#REF!</v>
      </c>
    </row>
    <row r="47" spans="1:10" s="1" customFormat="1" ht="58" hidden="1" x14ac:dyDescent="0.35">
      <c r="A47" s="1" t="str">
        <f>'Measure Summary'!A48</f>
        <v>C-L-009</v>
      </c>
      <c r="B47" s="1" t="str">
        <f ca="1">'Measure Summary'!F48</f>
        <v>LED exit sign</v>
      </c>
      <c r="C47" s="1" t="str">
        <f ca="1">'Measure Summary'!G48</f>
        <v>Sign</v>
      </c>
      <c r="D47" s="1">
        <f ca="1">'Measure Summary'!R48</f>
        <v>15</v>
      </c>
      <c r="E47" s="1" t="str">
        <f ca="1">'Measure Summary'!H48</f>
        <v>Lighting - Specialty</v>
      </c>
      <c r="F47" s="1" t="str">
        <f ca="1">'Measure Summary'!B48</f>
        <v>Commercial</v>
      </c>
      <c r="G47" s="1130" t="str">
        <f>_xlfn.XLOOKUP($A47,Definitions!$B:$B,Definitions!E:E)</f>
        <v>This lighting measure consists of LED-equipped emergency exit signs that replace incandescent exit signs.</v>
      </c>
      <c r="H47" s="1130" t="str">
        <f>_xlfn.XLOOKUP($A47,Definitions!$B:$B,Definitions!F:F)</f>
        <v>The product must be a UL 924 certified LED exit sign with a wattage of less than or equal to 4 watts. The product must be listed under Standard C22.2 No. 141-15. Retrofit kits and screw-in lamps are not eligible.</v>
      </c>
      <c r="I47" s="1130" t="e">
        <f>_xlfn.XLOOKUP($A47,Definitions!$B:$B,Definitions!#REF!)</f>
        <v>#REF!</v>
      </c>
      <c r="J47" s="1130" t="e">
        <f>_xlfn.XLOOKUP($A47,Definitions!$B:$B,Definitions!#REF!)</f>
        <v>#REF!</v>
      </c>
    </row>
    <row r="48" spans="1:10" s="1" customFormat="1" ht="58" hidden="1" x14ac:dyDescent="0.35">
      <c r="A48" s="1" t="str">
        <f>'Measure Summary'!A49</f>
        <v>R-L-002</v>
      </c>
      <c r="B48" s="1" t="str">
        <f ca="1">'Measure Summary'!F49</f>
        <v>Lighting fixture</v>
      </c>
      <c r="C48" s="1" t="str">
        <f ca="1">'Measure Summary'!G49</f>
        <v>Fixture</v>
      </c>
      <c r="D48" s="1">
        <f ca="1">'Measure Summary'!R49</f>
        <v>15</v>
      </c>
      <c r="E48" s="1" t="str">
        <f ca="1">'Measure Summary'!H49</f>
        <v>Lighting - Indoor fixture</v>
      </c>
      <c r="F48" s="1" t="str">
        <f ca="1">'Measure Summary'!B49</f>
        <v>Residential</v>
      </c>
      <c r="G48" s="1130" t="str">
        <f>_xlfn.XLOOKUP($A48,Definitions!$B:$B,Definitions!E:E)</f>
        <v xml:space="preserve">Permanently installed and hardwired LED lighting fixture including a downlight, track light fixture, ceiling and wall-mounted fixture or porchlight fixture. </v>
      </c>
      <c r="H48" s="1130" t="str">
        <f>_xlfn.XLOOKUP($A48,Definitions!$B:$B,Definitions!F:F)</f>
        <v>The LED lighting fixture must meet ENERGY STAR requirements. Plug-in fixtures such as table lamps and floor lamps are not eligible.</v>
      </c>
      <c r="I48" s="1130" t="e">
        <f>_xlfn.XLOOKUP($A48,Definitions!$B:$B,Definitions!#REF!)</f>
        <v>#REF!</v>
      </c>
      <c r="J48" s="1130" t="e">
        <f>_xlfn.XLOOKUP($A48,Definitions!$B:$B,Definitions!#REF!)</f>
        <v>#REF!</v>
      </c>
    </row>
    <row r="49" spans="1:10" s="1" customFormat="1" ht="58" hidden="1" x14ac:dyDescent="0.35">
      <c r="A49" s="1" t="str">
        <f>'Measure Summary'!A50</f>
        <v>C-L-007</v>
      </c>
      <c r="B49" s="1" t="str">
        <f ca="1">'Measure Summary'!F50</f>
        <v>Linear LED tube replacing fluorescent tube</v>
      </c>
      <c r="C49" s="1" t="str">
        <f ca="1">'Measure Summary'!G50</f>
        <v>Lamp</v>
      </c>
      <c r="D49" s="1">
        <f ca="1">'Measure Summary'!R50</f>
        <v>18</v>
      </c>
      <c r="E49" s="1" t="str">
        <f ca="1">'Measure Summary'!H50</f>
        <v>Lighting - Indoor lamp</v>
      </c>
      <c r="F49" s="1" t="str">
        <f ca="1">'Measure Summary'!B50</f>
        <v>Commercial</v>
      </c>
      <c r="G49" s="1130" t="str">
        <f>_xlfn.XLOOKUP($A49,Definitions!$B:$B,Definitions!E:E)</f>
        <v>Linear LED tube lighting replaces linear fluorescent tube lighting with LED equivalents.</v>
      </c>
      <c r="H49" s="1130" t="str">
        <f>_xlfn.XLOOKUP($A49,Definitions!$B:$B,Definitions!F:F)</f>
        <v xml:space="preserve">The product must be a Design Lights Consortium (DLC) qualified LED lamp and must replace 4 ft. linear fluorescent tubes, including UL Type A and Type C. LED tubes must be compatible with existing ballasts. </v>
      </c>
      <c r="I49" s="1130" t="e">
        <f>_xlfn.XLOOKUP($A49,Definitions!$B:$B,Definitions!#REF!)</f>
        <v>#REF!</v>
      </c>
      <c r="J49" s="1130" t="e">
        <f>_xlfn.XLOOKUP($A49,Definitions!$B:$B,Definitions!#REF!)</f>
        <v>#REF!</v>
      </c>
    </row>
    <row r="50" spans="1:10" s="1" customFormat="1" ht="130.5" hidden="1" x14ac:dyDescent="0.35">
      <c r="A50" s="1" t="str">
        <f>'Measure Summary'!A51</f>
        <v>C-W-003</v>
      </c>
      <c r="B50" s="1" t="str">
        <f ca="1">'Measure Summary'!F51</f>
        <v>Multi-residential hot water demand control</v>
      </c>
      <c r="C50" s="1" t="str">
        <f ca="1">'Measure Summary'!G51</f>
        <v>Dwelling Unit</v>
      </c>
      <c r="D50" s="1">
        <f ca="1">'Measure Summary'!R51</f>
        <v>15</v>
      </c>
      <c r="E50" s="1" t="str">
        <f ca="1">'Measure Summary'!H51</f>
        <v>Water - Heating</v>
      </c>
      <c r="F50" s="1" t="str">
        <f ca="1">'Measure Summary'!B51</f>
        <v>Commercial</v>
      </c>
      <c r="G50" s="1130" t="str">
        <f>_xlfn.XLOOKUP($A50,Definitions!$B:$B,Definitions!E:E)</f>
        <v>Domestic Hot Water (DHW) recirculating pumps installed in multi-unit residential buildings shorten the amount of time it would otherwise take for hot water to reach each unit. These pumps can be operated continuously or be controlled. Advanced recirculation controls allow pumps to turn on only when the water temperature falls below a certain setpoint.</v>
      </c>
      <c r="H50" s="1130" t="str">
        <f>_xlfn.XLOOKUP($A50,Definitions!$B:$B,Definitions!F:F)</f>
        <v>Only hot water recirculation pump controls in multi-unit residential buildings are eligible for this upgrade.</v>
      </c>
      <c r="I50" s="1130" t="e">
        <f>_xlfn.XLOOKUP($A50,Definitions!$B:$B,Definitions!#REF!)</f>
        <v>#REF!</v>
      </c>
      <c r="J50" s="1130" t="e">
        <f>_xlfn.XLOOKUP($A50,Definitions!$B:$B,Definitions!#REF!)</f>
        <v>#REF!</v>
      </c>
    </row>
    <row r="51" spans="1:10" s="1" customFormat="1" ht="72.5" hidden="1" x14ac:dyDescent="0.35">
      <c r="A51" s="1" t="str">
        <f>'Measure Summary'!A52</f>
        <v>C-L-008</v>
      </c>
      <c r="B51" s="1" t="str">
        <f ca="1">'Measure Summary'!F52</f>
        <v>Outdoor LED fixture and retrofit kit</v>
      </c>
      <c r="C51" s="1" t="str">
        <f ca="1">'Measure Summary'!G52</f>
        <v>Fixture</v>
      </c>
      <c r="D51" s="1">
        <f ca="1">'Measure Summary'!R52</f>
        <v>15</v>
      </c>
      <c r="E51" s="1" t="str">
        <f ca="1">'Measure Summary'!H52</f>
        <v>Lighting - Outdoor fixture</v>
      </c>
      <c r="F51" s="1" t="str">
        <f ca="1">'Measure Summary'!B52</f>
        <v>Commercial</v>
      </c>
      <c r="G51" s="1130" t="str">
        <f>_xlfn.XLOOKUP($A51,Definitions!$B:$B,Definitions!E:E)</f>
        <v>Outdoor LED lighting fixtures equivalents replace the lighting in previous outdoor lighting fixtures, including troffers, wall packs and luminaires (e.g. canopy, wall, pole- and arm-mounted, parking and passageway luminaires).</v>
      </c>
      <c r="H51" s="1130" t="str">
        <f>_xlfn.XLOOKUP($A51,Definitions!$B:$B,Definitions!F:F)</f>
        <v>The product must meet ENERGY STAR, CEE or Design Lights Consortium (DLC) requirements.</v>
      </c>
      <c r="I51" s="1130" t="e">
        <f>_xlfn.XLOOKUP($A51,Definitions!$B:$B,Definitions!#REF!)</f>
        <v>#REF!</v>
      </c>
      <c r="J51" s="1130" t="e">
        <f>_xlfn.XLOOKUP($A51,Definitions!$B:$B,Definitions!#REF!)</f>
        <v>#REF!</v>
      </c>
    </row>
    <row r="52" spans="1:10" s="1" customFormat="1" ht="58" hidden="1" x14ac:dyDescent="0.35">
      <c r="A52" s="1" t="str">
        <f>'Measure Summary'!A53</f>
        <v>C-L-002</v>
      </c>
      <c r="B52" s="1" t="str">
        <f ca="1">'Measure Summary'!F53</f>
        <v>Outdoor lighting control</v>
      </c>
      <c r="C52" s="1" t="str">
        <f ca="1">'Measure Summary'!G53</f>
        <v>Sensor</v>
      </c>
      <c r="D52" s="1">
        <f ca="1">'Measure Summary'!R53</f>
        <v>8</v>
      </c>
      <c r="E52" s="1" t="str">
        <f ca="1">'Measure Summary'!H53</f>
        <v>Lighting - Control</v>
      </c>
      <c r="F52" s="1" t="str">
        <f ca="1">'Measure Summary'!B53</f>
        <v>Commercial</v>
      </c>
      <c r="G52" s="1130" t="str">
        <f>_xlfn.XLOOKUP($A52,Definitions!$B:$B,Definitions!E:E)</f>
        <v>Outdoor lighting controls can switch on/off outdoor lighting based on motion detection and daylight.</v>
      </c>
      <c r="H52" s="1130" t="str">
        <f>_xlfn.XLOOKUP($A52,Definitions!$B:$B,Definitions!F:F)</f>
        <v>The product must be a Design Lights Consortium (DLC) qualified lighting control. Sensors with "manual on override" that can disable the automatic off feature are not eligible. The product must control a minimum load of 30 watts.</v>
      </c>
      <c r="I52" s="1130" t="e">
        <f>_xlfn.XLOOKUP($A52,Definitions!$B:$B,Definitions!#REF!)</f>
        <v>#REF!</v>
      </c>
      <c r="J52" s="1130" t="e">
        <f>_xlfn.XLOOKUP($A52,Definitions!$B:$B,Definitions!#REF!)</f>
        <v>#REF!</v>
      </c>
    </row>
    <row r="53" spans="1:10" s="1" customFormat="1" ht="174" hidden="1" x14ac:dyDescent="0.35">
      <c r="A53" s="1" t="str">
        <f>'Measure Summary'!A54</f>
        <v>DER-001</v>
      </c>
      <c r="B53" s="1" t="str">
        <f ca="1">'Measure Summary'!F54</f>
        <v>Photovoltaic solar system and related components</v>
      </c>
      <c r="C53" s="1" t="str">
        <f ca="1">'Measure Summary'!G54</f>
        <v>Custom</v>
      </c>
      <c r="D53" s="1">
        <f ca="1">'Measure Summary'!R54</f>
        <v>25</v>
      </c>
      <c r="E53" s="1" t="str">
        <f ca="1">'Measure Summary'!H54</f>
        <v>Alternative Energy</v>
      </c>
      <c r="F53" s="1" t="str">
        <f ca="1">'Measure Summary'!B54</f>
        <v>DER</v>
      </c>
      <c r="G53" s="1130" t="str">
        <f>_xlfn.XLOOKUP($A53,Definitions!$B:$B,Definitions!E:E)</f>
        <v>Solar photovoltaic systems convert solar energy into electricity for use by the building. Additional components include smart inverters that optimize electricity generation from the sun and can control electric output based on grid requirements.</v>
      </c>
      <c r="H53" s="1130" t="str">
        <f>_xlfn.XLOOKUP($A53,Definitions!$B:$B,Definitions!F:F)</f>
        <v xml:space="preserve">All solar photovoltaic systems must meed these requirements: All modules/systems are grid-connected; all module/system inverter warranty period(s) must be a minimum of 10 years; all PV modules must be CSA or UL certified and warranty period must be a minimum of 25 years. Residential projects require a letter of approval from their Electricity Provider and a signed Microgeneration Agreement. Commercial projects sized up to 150 KW need an operating agreement (or equivalent). For any residential or commercial system sized greater than 150 KW, the operating procedures or equivalent are required. For purposes of sizing, the output is defined as the combined storage and microgeneration (e.g. solar PV system) outputs. </v>
      </c>
      <c r="I53" s="1130" t="e">
        <f>_xlfn.XLOOKUP($A53,Definitions!$B:$B,Definitions!#REF!)</f>
        <v>#REF!</v>
      </c>
      <c r="J53" s="1130" t="e">
        <f>_xlfn.XLOOKUP($A53,Definitions!$B:$B,Definitions!#REF!)</f>
        <v>#REF!</v>
      </c>
    </row>
    <row r="54" spans="1:10" s="1" customFormat="1" ht="145" hidden="1" x14ac:dyDescent="0.35">
      <c r="A54" s="1" t="str">
        <f>'Measure Summary'!A55</f>
        <v>C-HC-016</v>
      </c>
      <c r="B54" s="1" t="str">
        <f ca="1">'Measure Summary'!F55</f>
        <v>Pipe and duct insulation</v>
      </c>
      <c r="C54" s="1" t="str">
        <f ca="1">'Measure Summary'!G55</f>
        <v>Custom</v>
      </c>
      <c r="D54" s="1">
        <f ca="1">'Measure Summary'!R55</f>
        <v>15</v>
      </c>
      <c r="E54" s="1" t="str">
        <f ca="1">'Measure Summary'!H55</f>
        <v>HVAC - Heating</v>
      </c>
      <c r="F54" s="1" t="str">
        <f ca="1">'Measure Summary'!B55</f>
        <v>Commercial</v>
      </c>
      <c r="G54" s="1130" t="str">
        <f>_xlfn.XLOOKUP($A54,Definitions!$B:$B,Definitions!E:E)</f>
        <v>Duct and pipe insulation ensures minimal heat is lost before it is delivered to conditioned spaces or water. Pipe insulation is installed using fibreglass, foam, calcium silicate or other types of insulation. The types of insulation used have similar insulating properties to existing bare pipe on straight piping as well as other pipe components (e.g. elbows, tees, valves, and flanges) for all non-residential installations.</v>
      </c>
      <c r="H54" s="1130" t="str">
        <f>_xlfn.XLOOKUP($A54,Definitions!$B:$B,Definitions!F:F)</f>
        <v>Indoor piping must have at least 1” of insulation (or equivalent R-value) and outdoor piping must have at least 2” of insulation (or equivalent R-value) and include an all-weather protective jacket. Insulation must be continuous and contiguous over fittings that directly connect to straight pipe, including elbows and tees.</v>
      </c>
      <c r="I54" s="1130" t="e">
        <f>_xlfn.XLOOKUP($A54,Definitions!$B:$B,Definitions!#REF!)</f>
        <v>#REF!</v>
      </c>
      <c r="J54" s="1130" t="e">
        <f>_xlfn.XLOOKUP($A54,Definitions!$B:$B,Definitions!#REF!)</f>
        <v>#REF!</v>
      </c>
    </row>
    <row r="55" spans="1:10" s="1" customFormat="1" ht="43.5" hidden="1" x14ac:dyDescent="0.35">
      <c r="A55" s="1" t="str">
        <f>'Measure Summary'!A56</f>
        <v>R-HC-009</v>
      </c>
      <c r="B55" s="1" t="str">
        <f ca="1">'Measure Summary'!F56</f>
        <v>Pipe and duct insulation</v>
      </c>
      <c r="C55" s="1" t="str">
        <f ca="1">'Measure Summary'!G56</f>
        <v>Custom</v>
      </c>
      <c r="D55" s="1">
        <f ca="1">'Measure Summary'!R56</f>
        <v>18</v>
      </c>
      <c r="E55" s="1" t="str">
        <f ca="1">'Measure Summary'!H56</f>
        <v>HVAC - Heating</v>
      </c>
      <c r="F55" s="1" t="str">
        <f ca="1">'Measure Summary'!B56</f>
        <v>Residential</v>
      </c>
      <c r="G55" s="1130" t="str">
        <f>_xlfn.XLOOKUP($A55,Definitions!$B:$B,Definitions!E:E)</f>
        <v>Duct and pipe insulation ensures minimal heat is lost before it is delivered to conditioned spaces or water.</v>
      </c>
      <c r="H55" s="1130" t="str">
        <f>_xlfn.XLOOKUP($A55,Definitions!$B:$B,Definitions!F:F)</f>
        <v>The insulation must be installed on pipe or duct with no existing insulation. A minimum of R-5 or 2" of insulation must be added.</v>
      </c>
      <c r="I55" s="1130" t="e">
        <f>_xlfn.XLOOKUP($A55,Definitions!$B:$B,Definitions!#REF!)</f>
        <v>#REF!</v>
      </c>
      <c r="J55" s="1130" t="e">
        <f>_xlfn.XLOOKUP($A55,Definitions!$B:$B,Definitions!#REF!)</f>
        <v>#REF!</v>
      </c>
    </row>
    <row r="56" spans="1:10" s="1" customFormat="1" ht="87" hidden="1" x14ac:dyDescent="0.35">
      <c r="A56" s="1" t="str">
        <f>'Measure Summary'!A57</f>
        <v>C-R-010</v>
      </c>
      <c r="B56" s="1" t="str">
        <f ca="1">'Measure Summary'!F57</f>
        <v>Refrigeration economizer</v>
      </c>
      <c r="C56" s="1" t="str">
        <f ca="1">'Measure Summary'!G57</f>
        <v>Horsepower of Compressor</v>
      </c>
      <c r="D56" s="1">
        <f ca="1">'Measure Summary'!R57</f>
        <v>15</v>
      </c>
      <c r="E56" s="1" t="str">
        <f ca="1">'Measure Summary'!H57</f>
        <v>Refrigeration - Control</v>
      </c>
      <c r="F56" s="1" t="str">
        <f ca="1">'Measure Summary'!B57</f>
        <v>Commercial</v>
      </c>
      <c r="G56" s="1130" t="str">
        <f>_xlfn.XLOOKUP($A56,Definitions!$B:$B,Definitions!E:E)</f>
        <v>An economizer brings in outside air when weather conditions allow  rather than operating the refrigeration system's compressor. The upgrade also includes evaporator fan control (see evaporator fan control for details).</v>
      </c>
      <c r="H56" s="1130" t="str">
        <f>_xlfn.XLOOKUP($A56,Definitions!$B:$B,Definitions!F:F)</f>
        <v>The refrigeration economizer must be installed on a walk-in refrigeration system.</v>
      </c>
      <c r="I56" s="1130" t="e">
        <f>_xlfn.XLOOKUP($A56,Definitions!$B:$B,Definitions!#REF!)</f>
        <v>#REF!</v>
      </c>
      <c r="J56" s="1130" t="e">
        <f>_xlfn.XLOOKUP($A56,Definitions!$B:$B,Definitions!#REF!)</f>
        <v>#REF!</v>
      </c>
    </row>
    <row r="57" spans="1:10" s="1" customFormat="1" ht="43.5" hidden="1" x14ac:dyDescent="0.35">
      <c r="A57" s="1" t="str">
        <f>'Measure Summary'!A58</f>
        <v>C-R-005</v>
      </c>
      <c r="B57" s="1" t="str">
        <f ca="1">'Measure Summary'!F58</f>
        <v>Refrigerator and freezer LED case lighting</v>
      </c>
      <c r="C57" s="1" t="str">
        <f ca="1">'Measure Summary'!G58</f>
        <v>Fixture</v>
      </c>
      <c r="D57" s="1">
        <f ca="1">'Measure Summary'!R58</f>
        <v>10</v>
      </c>
      <c r="E57" s="1" t="str">
        <f ca="1">'Measure Summary'!H58</f>
        <v>Refrigeration - Lighting</v>
      </c>
      <c r="F57" s="1" t="str">
        <f ca="1">'Measure Summary'!B58</f>
        <v>Commercial</v>
      </c>
      <c r="G57" s="1130" t="str">
        <f>_xlfn.XLOOKUP($A57,Definitions!$B:$B,Definitions!E:E)</f>
        <v>Replacement of existing fixtures in refrigerator cases with LED lighting equivalents.</v>
      </c>
      <c r="H57" s="1130" t="str">
        <f>_xlfn.XLOOKUP($A57,Definitions!$B:$B,Definitions!F:F)</f>
        <v>The product must be listed by the Design Lights Consortium (DLC) and must replace fluorescent or incandescent refrigerated case lighting with LED alternatives.</v>
      </c>
      <c r="I57" s="1130" t="e">
        <f>_xlfn.XLOOKUP($A57,Definitions!$B:$B,Definitions!#REF!)</f>
        <v>#REF!</v>
      </c>
      <c r="J57" s="1130" t="e">
        <f>_xlfn.XLOOKUP($A57,Definitions!$B:$B,Definitions!#REF!)</f>
        <v>#REF!</v>
      </c>
    </row>
    <row r="58" spans="1:10" s="1" customFormat="1" ht="101.5" hidden="1" x14ac:dyDescent="0.35">
      <c r="A58" s="1" t="str">
        <f>'Measure Summary'!A59</f>
        <v>R-HC-001</v>
      </c>
      <c r="B58" s="1" t="str">
        <f ca="1">'Measure Summary'!F59</f>
        <v>Residential smart thermostat</v>
      </c>
      <c r="C58" s="1" t="str">
        <f ca="1">'Measure Summary'!G59</f>
        <v>kBTU/hour of Heating</v>
      </c>
      <c r="D58" s="1">
        <f ca="1">'Measure Summary'!R59</f>
        <v>11</v>
      </c>
      <c r="E58" s="1" t="str">
        <f ca="1">'Measure Summary'!H59</f>
        <v>HVAC - Control</v>
      </c>
      <c r="F58" s="1" t="str">
        <f ca="1">'Measure Summary'!B59</f>
        <v>Residential</v>
      </c>
      <c r="G58" s="1130" t="str">
        <f>_xlfn.XLOOKUP($A58,Definitions!$B:$B,Definitions!E:E)</f>
        <v>Smart thermostats are used to reduce home cooling and heating loads through a configurable schedule of temperature setpoints (like a programmable thermostat) and automatic scheduling to better match heating and cooling to meet occupant comfort needs.</v>
      </c>
      <c r="H58" s="1130" t="str">
        <f>_xlfn.XLOOKUP($A58,Definitions!$B:$B,Definitions!F:F)</f>
        <v>The smart thermostat must meet ENERGY STAR requirements.</v>
      </c>
      <c r="I58" s="1130" t="e">
        <f>_xlfn.XLOOKUP($A58,Definitions!$B:$B,Definitions!#REF!)</f>
        <v>#REF!</v>
      </c>
      <c r="J58" s="1130" t="e">
        <f>_xlfn.XLOOKUP($A58,Definitions!$B:$B,Definitions!#REF!)</f>
        <v>#REF!</v>
      </c>
    </row>
    <row r="59" spans="1:10" s="1" customFormat="1" ht="58" hidden="1" x14ac:dyDescent="0.35">
      <c r="A59" s="1" t="str">
        <f>'Measure Summary'!A60</f>
        <v>R-WB-004</v>
      </c>
      <c r="B59" s="1" t="str">
        <f ca="1">'Measure Summary'!F60</f>
        <v>Rim joist insulation</v>
      </c>
      <c r="C59" s="1" t="str">
        <f ca="1">'Measure Summary'!G60</f>
        <v>ft^2 of Insulation</v>
      </c>
      <c r="D59" s="1">
        <f ca="1">'Measure Summary'!R60</f>
        <v>20</v>
      </c>
      <c r="E59" s="1" t="str">
        <f ca="1">'Measure Summary'!H60</f>
        <v>Whole Building</v>
      </c>
      <c r="F59" s="1" t="str">
        <f ca="1">'Measure Summary'!B60</f>
        <v>Residential</v>
      </c>
      <c r="G59" s="1130" t="str">
        <f>_xlfn.XLOOKUP($A59,Definitions!$B:$B,Definitions!E:E)</f>
        <v>Insulation added to the caveties around rim joists reduces heat loss through these areas of the building envelope. This reduces the load on the heating and/or cooling system.</v>
      </c>
      <c r="H59" s="1130" t="str">
        <f>_xlfn.XLOOKUP($A59,Definitions!$B:$B,Definitions!F:F)</f>
        <v>The new insulation must be added to cavities around rim joists where there is no existing insulation. A minimum of R10 value spray foam or all joints must be air sealed with caulk or spray foam and insulated with a minimum of R-10 value.</v>
      </c>
      <c r="I59" s="1130" t="e">
        <f>_xlfn.XLOOKUP($A59,Definitions!$B:$B,Definitions!#REF!)</f>
        <v>#REF!</v>
      </c>
      <c r="J59" s="1130" t="e">
        <f>_xlfn.XLOOKUP($A59,Definitions!$B:$B,Definitions!#REF!)</f>
        <v>#REF!</v>
      </c>
    </row>
    <row r="60" spans="1:10" s="1" customFormat="1" ht="101.5" hidden="1" x14ac:dyDescent="0.35">
      <c r="A60" s="1" t="str">
        <f>'Measure Summary'!A61</f>
        <v>C-HC-002</v>
      </c>
      <c r="B60" s="1" t="str">
        <f ca="1">'Measure Summary'!F61</f>
        <v>Small commercial smart thermostat</v>
      </c>
      <c r="C60" s="1" t="str">
        <f ca="1">'Measure Summary'!G61</f>
        <v>kBTU/hour of Capacity</v>
      </c>
      <c r="D60" s="1">
        <f ca="1">'Measure Summary'!R61</f>
        <v>11</v>
      </c>
      <c r="E60" s="1" t="str">
        <f ca="1">'Measure Summary'!H61</f>
        <v>HVAC - Control</v>
      </c>
      <c r="F60" s="1" t="str">
        <f ca="1">'Measure Summary'!B61</f>
        <v>Commercial</v>
      </c>
      <c r="G60" s="1130" t="str">
        <f>_xlfn.XLOOKUP($A60,Definitions!$B:$B,Definitions!E:E)</f>
        <v>Smart thermostats are used to reduce cooling and heating energy consumption through a configurable schedule of temperature setpoints (like a programmable thermostat), and automatic variations to that schedule to better match HVAC system runtimes to meet occupant comfort needs.</v>
      </c>
      <c r="H60" s="1130" t="str">
        <f>_xlfn.XLOOKUP($A60,Definitions!$B:$B,Definitions!F:F)</f>
        <v>The product must replace a manual-only thermostat and meet ENERGY STAR requirements.</v>
      </c>
      <c r="I60" s="1130" t="e">
        <f>_xlfn.XLOOKUP($A60,Definitions!$B:$B,Definitions!#REF!)</f>
        <v>#REF!</v>
      </c>
      <c r="J60" s="1130" t="e">
        <f>_xlfn.XLOOKUP($A60,Definitions!$B:$B,Definitions!#REF!)</f>
        <v>#REF!</v>
      </c>
    </row>
    <row r="61" spans="1:10" s="1" customFormat="1" ht="72.5" hidden="1" x14ac:dyDescent="0.35">
      <c r="A61" s="1" t="str">
        <f>'Measure Summary'!A62</f>
        <v>DER-002</v>
      </c>
      <c r="B61" s="1" t="str">
        <f ca="1">'Measure Summary'!F62</f>
        <v>Solar thermal water heating</v>
      </c>
      <c r="C61" s="1" t="str">
        <f ca="1">'Measure Summary'!G62</f>
        <v>Custom</v>
      </c>
      <c r="D61" s="1">
        <f ca="1">'Measure Summary'!R62</f>
        <v>12</v>
      </c>
      <c r="E61" s="1" t="str">
        <f ca="1">'Measure Summary'!H62</f>
        <v>Alternative Energy</v>
      </c>
      <c r="F61" s="1" t="str">
        <f ca="1">'Measure Summary'!B62</f>
        <v>DER</v>
      </c>
      <c r="G61" s="1130" t="str">
        <f>_xlfn.XLOOKUP($A61,Definitions!$B:$B,Definitions!E:E)</f>
        <v>Solar thermal water heating includes thermal tubes that capture solar energy and convert this into hot water. This may be used for domestic hot water and space heating and cooling.</v>
      </c>
      <c r="H61" s="1130" t="str">
        <f>_xlfn.XLOOKUP($A61,Definitions!$B:$B,Definitions!F:F)</f>
        <v xml:space="preserve">All solar thermal collectors must be CSA or UL certified. A residential minimum of SRCC OG-100 rating; and a commercial minimum of SRCC OG-300 rating; and solar thermal system components must have a minimum warranty period of 5 years. </v>
      </c>
      <c r="I61" s="1130" t="e">
        <f>_xlfn.XLOOKUP($A61,Definitions!$B:$B,Definitions!#REF!)</f>
        <v>#REF!</v>
      </c>
      <c r="J61" s="1130" t="e">
        <f>_xlfn.XLOOKUP($A61,Definitions!$B:$B,Definitions!#REF!)</f>
        <v>#REF!</v>
      </c>
    </row>
    <row r="62" spans="1:10" s="1" customFormat="1" ht="72.5" hidden="1" x14ac:dyDescent="0.35">
      <c r="A62" s="1" t="str">
        <f>'Measure Summary'!A63</f>
        <v>C-R-002</v>
      </c>
      <c r="B62" s="1" t="str">
        <f ca="1">'Measure Summary'!F63</f>
        <v>Strip curtain for walk-in freezer</v>
      </c>
      <c r="C62" s="1" t="str">
        <f ca="1">'Measure Summary'!G63</f>
        <v>ft^2 of Doorway Area</v>
      </c>
      <c r="D62" s="1">
        <f ca="1">'Measure Summary'!R63</f>
        <v>4</v>
      </c>
      <c r="E62" s="1" t="str">
        <f ca="1">'Measure Summary'!H63</f>
        <v>Refrigeration - Door</v>
      </c>
      <c r="F62" s="1" t="str">
        <f ca="1">'Measure Summary'!B63</f>
        <v>Commercial</v>
      </c>
      <c r="G62" s="1130" t="str">
        <f>_xlfn.XLOOKUP($A62,Definitions!$B:$B,Definitions!E:E)</f>
        <v>Strip curtain barrier for a walk-in freezer. These curtains save energy by reducing the infiltration of warm outside air into the freezer area.</v>
      </c>
      <c r="H62" s="1130" t="str">
        <f>_xlfn.XLOOKUP($A62,Definitions!$B:$B,Definitions!F:F)</f>
        <v>To be eligible, the measure must be installed where there was no strip curtain previously, or where the existing strip curtain covers less than 85% of the door area. The new strip curtain must be installed to a walk-in freezer, be at least 0.06 inches thick and must cover the entire area of the doorway when the door is opened.</v>
      </c>
      <c r="I62" s="1130" t="e">
        <f>_xlfn.XLOOKUP($A62,Definitions!$B:$B,Definitions!#REF!)</f>
        <v>#REF!</v>
      </c>
      <c r="J62" s="1130" t="e">
        <f>_xlfn.XLOOKUP($A62,Definitions!$B:$B,Definitions!#REF!)</f>
        <v>#REF!</v>
      </c>
    </row>
    <row r="63" spans="1:10" s="1" customFormat="1" ht="72.5" hidden="1" x14ac:dyDescent="0.35">
      <c r="A63" s="1" t="str">
        <f>'Measure Summary'!A64</f>
        <v>C-R-007</v>
      </c>
      <c r="B63" s="1" t="str">
        <f ca="1">'Measure Summary'!F64</f>
        <v>Strip curtain for walk-in refrigerator</v>
      </c>
      <c r="C63" s="1" t="str">
        <f ca="1">'Measure Summary'!G64</f>
        <v>ft^2 of Doorway Area</v>
      </c>
      <c r="D63" s="1">
        <f ca="1">'Measure Summary'!R64</f>
        <v>4</v>
      </c>
      <c r="E63" s="1" t="str">
        <f ca="1">'Measure Summary'!H64</f>
        <v>Refrigeration - Door</v>
      </c>
      <c r="F63" s="1" t="str">
        <f ca="1">'Measure Summary'!B64</f>
        <v>Commercial</v>
      </c>
      <c r="G63" s="1130" t="str">
        <f>_xlfn.XLOOKUP($A63,Definitions!$B:$B,Definitions!E:E)</f>
        <v>Strip curtain barrier for a walk-in refrigerator. These curtains save energy by reducing the infiltration of warm outside air into the refrigerator area.</v>
      </c>
      <c r="H63" s="1130" t="str">
        <f>_xlfn.XLOOKUP($A63,Definitions!$B:$B,Definitions!F:F)</f>
        <v>The strip curtain must be installed where there was no strip curtain previously, or where the existing strip curtain covers less than 85% of the door area. The new strip curtain must be installed to a walk-in refrigerator, be at least 0.06 inches thick and must cover the entire area of the doorway when the door is opened.</v>
      </c>
      <c r="I63" s="1130" t="e">
        <f>_xlfn.XLOOKUP($A63,Definitions!$B:$B,Definitions!#REF!)</f>
        <v>#REF!</v>
      </c>
      <c r="J63" s="1130" t="e">
        <f>_xlfn.XLOOKUP($A63,Definitions!$B:$B,Definitions!#REF!)</f>
        <v>#REF!</v>
      </c>
    </row>
    <row r="64" spans="1:10" s="1" customFormat="1" ht="116" hidden="1" x14ac:dyDescent="0.35">
      <c r="A64" s="1" t="str">
        <f>'Measure Summary'!A65</f>
        <v>C-W-001</v>
      </c>
      <c r="B64" s="1" t="str">
        <f ca="1">'Measure Summary'!F65</f>
        <v>Tankless natural gas water heater</v>
      </c>
      <c r="C64" s="1" t="str">
        <f ca="1">'Measure Summary'!G65</f>
        <v>Water Heater</v>
      </c>
      <c r="D64" s="1">
        <f ca="1">'Measure Summary'!R65</f>
        <v>20</v>
      </c>
      <c r="E64" s="1" t="str">
        <f ca="1">'Measure Summary'!H65</f>
        <v>Water - Heating</v>
      </c>
      <c r="F64" s="1" t="str">
        <f ca="1">'Measure Summary'!B65</f>
        <v>Commercial</v>
      </c>
      <c r="G64" s="1130" t="str">
        <f>_xlfn.XLOOKUP($A64,Definitions!$B:$B,Definitions!E:E)</f>
        <v>Tankless, also called instantaneous or on-demand, water heaters provide hot water without using a storage tank. The tankless system avoids heat losses from water stored in the tank for longer periods. But the system must be sized appropriately to deliver the necessary instantaneous heat to water (e.g. shower, faucets, etc.).</v>
      </c>
      <c r="H64" s="1130" t="str">
        <f>_xlfn.XLOOKUP($A64,Definitions!$B:$B,Definitions!F:F)</f>
        <v>ENERGY STAR certified tankless hot water heater fueled by natural gas, with a minimum 75,000 BTU/hour capacity and 90% thermal efficiency. Only existing storage water heaters are eligible for this upgrade.</v>
      </c>
      <c r="I64" s="1130" t="e">
        <f>_xlfn.XLOOKUP($A64,Definitions!$B:$B,Definitions!#REF!)</f>
        <v>#REF!</v>
      </c>
      <c r="J64" s="1130" t="e">
        <f>_xlfn.XLOOKUP($A64,Definitions!$B:$B,Definitions!#REF!)</f>
        <v>#REF!</v>
      </c>
    </row>
    <row r="65" spans="1:10" s="1" customFormat="1" ht="101.5" hidden="1" x14ac:dyDescent="0.35">
      <c r="A65" s="1" t="str">
        <f>'Measure Summary'!A66</f>
        <v>R-W-002</v>
      </c>
      <c r="B65" s="1" t="str">
        <f ca="1">'Measure Summary'!F66</f>
        <v>Tankless natural gas water heater</v>
      </c>
      <c r="C65" s="1" t="str">
        <f ca="1">'Measure Summary'!G66</f>
        <v>Water Heater</v>
      </c>
      <c r="D65" s="1">
        <f ca="1">'Measure Summary'!R66</f>
        <v>13</v>
      </c>
      <c r="E65" s="1" t="str">
        <f ca="1">'Measure Summary'!H66</f>
        <v>Water - Heating</v>
      </c>
      <c r="F65" s="1" t="str">
        <f ca="1">'Measure Summary'!B66</f>
        <v>Residential</v>
      </c>
      <c r="G65" s="1130" t="str">
        <f>_xlfn.XLOOKUP($A65,Definitions!$B:$B,Definitions!E:E)</f>
        <v>Tankless (also called instantaneous or on-demand) water heaters supply hot domestic water to the home without using a storage tank. The tankless system avoids heat loss from water stored a tank that must be regularly re-heated to maintain a safe water temperature.</v>
      </c>
      <c r="H65" s="1130" t="str">
        <f>_xlfn.XLOOKUP($A65,Definitions!$B:$B,Definitions!F:F)</f>
        <v>The tankless natural gas water heater must meet ENERGY STAR requirements.</v>
      </c>
      <c r="I65" s="1130" t="e">
        <f>_xlfn.XLOOKUP($A65,Definitions!$B:$B,Definitions!#REF!)</f>
        <v>#REF!</v>
      </c>
      <c r="J65" s="1130" t="e">
        <f>_xlfn.XLOOKUP($A65,Definitions!$B:$B,Definitions!#REF!)</f>
        <v>#REF!</v>
      </c>
    </row>
    <row r="66" spans="1:10" s="1" customFormat="1" ht="43.5" hidden="1" x14ac:dyDescent="0.35">
      <c r="A66" s="1" t="str">
        <f>'Measure Summary'!A67</f>
        <v>R-WB-005</v>
      </c>
      <c r="B66" s="1" t="str">
        <f ca="1">'Measure Summary'!F67</f>
        <v>Triple pane low-e window</v>
      </c>
      <c r="C66" s="1" t="str">
        <f ca="1">'Measure Summary'!G67</f>
        <v>ft^2 of Window</v>
      </c>
      <c r="D66" s="1">
        <f ca="1">'Measure Summary'!R67</f>
        <v>15</v>
      </c>
      <c r="E66" s="1" t="str">
        <f ca="1">'Measure Summary'!H67</f>
        <v>Whole Building</v>
      </c>
      <c r="F66" s="1" t="str">
        <f ca="1">'Measure Summary'!B67</f>
        <v>Residential</v>
      </c>
      <c r="G66" s="1130" t="str">
        <f>_xlfn.XLOOKUP($A66,Definitions!$B:$B,Definitions!E:E)</f>
        <v>Tripple pane window using a low-e glazing that increase air-tightness and reduce energy loss through window.</v>
      </c>
      <c r="H66" s="1130" t="str">
        <f>_xlfn.XLOOKUP($A66,Definitions!$B:$B,Definitions!F:F)</f>
        <v>The window must have three or more panes with a low-e glazing and meet ENERGY STAR for Northern Climate Zone requirements.</v>
      </c>
      <c r="I66" s="1130" t="e">
        <f>_xlfn.XLOOKUP($A66,Definitions!$B:$B,Definitions!#REF!)</f>
        <v>#REF!</v>
      </c>
      <c r="J66" s="1130" t="e">
        <f>_xlfn.XLOOKUP($A66,Definitions!$B:$B,Definitions!#REF!)</f>
        <v>#REF!</v>
      </c>
    </row>
    <row r="67" spans="1:10" s="1" customFormat="1" ht="58" hidden="1" x14ac:dyDescent="0.35">
      <c r="A67" s="1" t="str">
        <f>'Measure Summary'!A68</f>
        <v>C-L-005</v>
      </c>
      <c r="B67" s="1" t="str">
        <f ca="1">'Measure Summary'!F68</f>
        <v>Troffer fixture and retrofit kit</v>
      </c>
      <c r="C67" s="1" t="str">
        <f ca="1">'Measure Summary'!G68</f>
        <v>Fixture</v>
      </c>
      <c r="D67" s="1">
        <f ca="1">'Measure Summary'!R68</f>
        <v>15</v>
      </c>
      <c r="E67" s="1" t="str">
        <f ca="1">'Measure Summary'!H68</f>
        <v>Lighting - Indoor fixture</v>
      </c>
      <c r="F67" s="1" t="str">
        <f ca="1">'Measure Summary'!B68</f>
        <v>Commercial</v>
      </c>
      <c r="G67" s="1130" t="str">
        <f>_xlfn.XLOOKUP($A67,Definitions!$B:$B,Definitions!E:E)</f>
        <v xml:space="preserve">Retrofit kits replace the fluorescent lamps and other luminaire components of an existing troffer lighting fixture (e.g. 2x2 fluorescent tubes) with LED lighting technology. </v>
      </c>
      <c r="H67" s="1130" t="str">
        <f>_xlfn.XLOOKUP($A67,Definitions!$B:$B,Definitions!F:F)</f>
        <v>The product must be a Design Lights Consortium (DLC) qualified indoor troffer fixtures or retrofit kit including 1x2, 1x4 and 2x2 fixtures.</v>
      </c>
      <c r="I67" s="1130" t="e">
        <f>_xlfn.XLOOKUP($A67,Definitions!$B:$B,Definitions!#REF!)</f>
        <v>#REF!</v>
      </c>
      <c r="J67" s="1130" t="e">
        <f>_xlfn.XLOOKUP($A67,Definitions!$B:$B,Definitions!#REF!)</f>
        <v>#REF!</v>
      </c>
    </row>
    <row r="68" spans="1:10" s="1" customFormat="1" ht="58" hidden="1" x14ac:dyDescent="0.35">
      <c r="A68" s="1" t="str">
        <f>'Measure Summary'!A69</f>
        <v>C-HC-013</v>
      </c>
      <c r="B68" s="1" t="str">
        <f ca="1">'Measure Summary'!F69</f>
        <v>Variable speed drive for motors in chilled water pumps</v>
      </c>
      <c r="C68" s="1" t="str">
        <f ca="1">'Measure Summary'!G69</f>
        <v>Horsepower of Motor</v>
      </c>
      <c r="D68" s="1">
        <f ca="1">'Measure Summary'!R69</f>
        <v>15</v>
      </c>
      <c r="E68" s="1" t="str">
        <f ca="1">'Measure Summary'!H69</f>
        <v>Motors and drives</v>
      </c>
      <c r="F68" s="1" t="str">
        <f ca="1">'Measure Summary'!B69</f>
        <v>Commercial</v>
      </c>
      <c r="G68" s="1130" t="str">
        <f>_xlfn.XLOOKUP($A68,Definitions!$B:$B,Definitions!E:E)</f>
        <v>Variable frequency/speed drives can adjust the flow of water in chilled water pumps.  Adjusting flow by slowing the pump reduces the motor load and saves electricity.</v>
      </c>
      <c r="H68" s="1130" t="str">
        <f>_xlfn.XLOOKUP($A68,Definitions!$B:$B,Definitions!F:F)</f>
        <v>Only for variable speed drives installed for hot water applications.  Motor capacity maximum is 100 Horsepower, and annual operating hours of motors must be at least 2,000 hours per year.</v>
      </c>
      <c r="I68" s="1130" t="e">
        <f>_xlfn.XLOOKUP($A68,Definitions!$B:$B,Definitions!#REF!)</f>
        <v>#REF!</v>
      </c>
      <c r="J68" s="1130" t="e">
        <f>_xlfn.XLOOKUP($A68,Definitions!$B:$B,Definitions!#REF!)</f>
        <v>#REF!</v>
      </c>
    </row>
    <row r="69" spans="1:10" s="1" customFormat="1" ht="58" hidden="1" x14ac:dyDescent="0.35">
      <c r="A69" s="1" t="str">
        <f>'Measure Summary'!A70</f>
        <v>C-HC-015</v>
      </c>
      <c r="B69" s="1" t="str">
        <f ca="1">'Measure Summary'!F70</f>
        <v>Variable speed drive for motors in cooling tower fans</v>
      </c>
      <c r="C69" s="1" t="str">
        <f ca="1">'Measure Summary'!G70</f>
        <v>Horsepower of Motor</v>
      </c>
      <c r="D69" s="1">
        <f ca="1">'Measure Summary'!R70</f>
        <v>15</v>
      </c>
      <c r="E69" s="1" t="str">
        <f ca="1">'Measure Summary'!H70</f>
        <v>Motors and drives</v>
      </c>
      <c r="F69" s="1" t="str">
        <f ca="1">'Measure Summary'!B70</f>
        <v>Commercial</v>
      </c>
      <c r="G69" s="1130" t="str">
        <f>_xlfn.XLOOKUP($A69,Definitions!$B:$B,Definitions!E:E)</f>
        <v>Variable frequency/speed drives can adjust the speed of cooling tower fans.  Adjusting flow by slowing the fan reduces the motor load and saves electricity.</v>
      </c>
      <c r="H69" s="1130" t="str">
        <f>_xlfn.XLOOKUP($A69,Definitions!$B:$B,Definitions!F:F)</f>
        <v>Only for variable speed drives installed for HVAC cooling tower fan applications.  Motor capacity maximum is 100 Horsepower, and annual operating hours of motors must be at least 2,000 hours per year.</v>
      </c>
      <c r="I69" s="1130" t="e">
        <f>_xlfn.XLOOKUP($A69,Definitions!$B:$B,Definitions!#REF!)</f>
        <v>#REF!</v>
      </c>
      <c r="J69" s="1130" t="e">
        <f>_xlfn.XLOOKUP($A69,Definitions!$B:$B,Definitions!#REF!)</f>
        <v>#REF!</v>
      </c>
    </row>
    <row r="70" spans="1:10" s="1" customFormat="1" ht="58" hidden="1" x14ac:dyDescent="0.35">
      <c r="A70" s="1" t="str">
        <f>'Measure Summary'!A71</f>
        <v>C-HC-014</v>
      </c>
      <c r="B70" s="1" t="str">
        <f ca="1">'Measure Summary'!F71</f>
        <v>Variable speed drive for motors in hot water pumps</v>
      </c>
      <c r="C70" s="1" t="str">
        <f ca="1">'Measure Summary'!G71</f>
        <v>Horsepower of Motor</v>
      </c>
      <c r="D70" s="1">
        <f ca="1">'Measure Summary'!R71</f>
        <v>15</v>
      </c>
      <c r="E70" s="1" t="str">
        <f ca="1">'Measure Summary'!H71</f>
        <v>Motors and drives</v>
      </c>
      <c r="F70" s="1" t="str">
        <f ca="1">'Measure Summary'!B71</f>
        <v>Commercial</v>
      </c>
      <c r="G70" s="1130" t="str">
        <f>_xlfn.XLOOKUP($A70,Definitions!$B:$B,Definitions!E:E)</f>
        <v>Variable frequency/speed drives can adjust the flow of water in hot water pumps.  Adjusting flow by slowing the pump reduces the motor load and saves electricity.</v>
      </c>
      <c r="H70" s="1130" t="str">
        <f>_xlfn.XLOOKUP($A70,Definitions!$B:$B,Definitions!F:F)</f>
        <v>Only for variable speed drives installed for hot water applications.  Motor capacity maximum is 100 Horsepower, and annual operating hours of motors must be at least 2,000 hours per year.</v>
      </c>
      <c r="I70" s="1130" t="e">
        <f>_xlfn.XLOOKUP($A70,Definitions!$B:$B,Definitions!#REF!)</f>
        <v>#REF!</v>
      </c>
      <c r="J70" s="1130" t="e">
        <f>_xlfn.XLOOKUP($A70,Definitions!$B:$B,Definitions!#REF!)</f>
        <v>#REF!</v>
      </c>
    </row>
    <row r="71" spans="1:10" s="1" customFormat="1" ht="101.5" x14ac:dyDescent="0.35">
      <c r="A71" s="1" t="str">
        <f>'Measure Summary'!A72</f>
        <v>C-HC-012</v>
      </c>
      <c r="B71" s="1130" t="str">
        <f ca="1">'Measure Summary'!F72</f>
        <v>Variable speed drive for motors in supply and return fan applications</v>
      </c>
      <c r="C71" s="1130" t="str">
        <f ca="1">'Measure Summary'!G72</f>
        <v>Horsepower of Motor</v>
      </c>
      <c r="D71" s="3">
        <f ca="1">'Measure Summary'!R72</f>
        <v>15</v>
      </c>
      <c r="E71" s="1" t="str">
        <f ca="1">'Measure Summary'!H72</f>
        <v>Motors and drives</v>
      </c>
      <c r="F71" s="1" t="str">
        <f ca="1">'Measure Summary'!B72</f>
        <v>Commercial</v>
      </c>
      <c r="G71" s="1130" t="str">
        <f>_xlfn.XLOOKUP($A71,Definitions!$B:$B,Definitions!E:E)</f>
        <v>Variable frequency/speed drives can adjust the flow of air in heating and cooling applications, unlike traditional drives that run on constant speed but use dampers and vanes to adjust flow. Adjusting flow by slowing the fan using a variable speed drive reduces the motor load and saves electricity.</v>
      </c>
      <c r="H71" s="1130" t="str">
        <f>_xlfn.XLOOKUP($A71,Definitions!$B:$B,Definitions!F:F)</f>
        <v>Only for variable speed drives installed for HVAC pumps and cooling tower fan application are eligible. The motor capacity maximum is 100 horsepower, and the annual operating hours of motors must be at least 2,000 hours per year. Variable speed drives installed for HVAC pumps and cooling tower fans are not eligible. Constant torque or installation on fans with forward curved inlet guide vanes is also not eligible.</v>
      </c>
      <c r="I71" s="1130" t="e">
        <f>_xlfn.XLOOKUP($A71,Definitions!$B:$B,Definitions!#REF!)</f>
        <v>#REF!</v>
      </c>
      <c r="J71" s="1130" t="e">
        <f>_xlfn.XLOOKUP($A71,Definitions!$B:$B,Definitions!#REF!)</f>
        <v>#REF!</v>
      </c>
    </row>
    <row r="72" spans="1:10" s="1" customFormat="1" ht="130.5" x14ac:dyDescent="0.35">
      <c r="A72" s="1" t="str">
        <f>'Measure Summary'!A73</f>
        <v>C-HC-010</v>
      </c>
      <c r="B72" s="1130" t="str">
        <f ca="1">'Measure Summary'!F73</f>
        <v>Ventilation heat/energy recovery</v>
      </c>
      <c r="C72" s="1130" t="str">
        <f ca="1">'Measure Summary'!G73</f>
        <v>CFM of Ventilation</v>
      </c>
      <c r="D72" s="3">
        <f ca="1">'Measure Summary'!R73</f>
        <v>15</v>
      </c>
      <c r="E72" s="1" t="str">
        <f ca="1">'Measure Summary'!H73</f>
        <v>HVAC - Heating</v>
      </c>
      <c r="F72" s="1" t="str">
        <f ca="1">'Measure Summary'!B73</f>
        <v>Commercial</v>
      </c>
      <c r="G72" s="1130" t="str">
        <f>_xlfn.XLOOKUP($A72,Definitions!$B:$B,Definitions!E:E)</f>
        <v>Variable frequency/speed drives can adjust the flow of air in heating and cooling applications, unlike traditional drives that run on constant speed but use dampers and vanes to adjust flow. Adjusting flow by slowing the fan using a variable speed drive reduces the motor load and saves electricity.</v>
      </c>
      <c r="H72" s="1130" t="str">
        <f>_xlfn.XLOOKUP($A72,Definitions!$B:$B,Definitions!F:F)</f>
        <v xml:space="preserve">Only variable speed drives installed for supply and return fan applications are eligible. Variable speed drives installed for HVAC pumps and cooling tower fans are not eligible. Motor capacity maximum is 100 horsepower, and annual operating hours of motors must be at least 2,000 hours per year. Constant torque or installation on fans with forward curved inlet guide vanes is not eligible. Minimum sensible heat recovery effectiveness must be 65% at 0 degrees C. the product cannot be used to recover energy from areas where 100% fresh air is required. </v>
      </c>
      <c r="I72" s="1130" t="e">
        <f>_xlfn.XLOOKUP($A72,Definitions!$B:$B,Definitions!#REF!)</f>
        <v>#REF!</v>
      </c>
      <c r="J72" s="1130" t="e">
        <f>_xlfn.XLOOKUP($A72,Definitions!$B:$B,Definitions!#REF!)</f>
        <v>#REF!</v>
      </c>
    </row>
    <row r="73" spans="1:10" s="1" customFormat="1" ht="58" x14ac:dyDescent="0.35">
      <c r="A73" s="1" t="str">
        <f>'Measure Summary'!A74</f>
        <v>R-WB-002</v>
      </c>
      <c r="B73" s="1130" t="str">
        <f ca="1">'Measure Summary'!F74</f>
        <v>Wall insulation</v>
      </c>
      <c r="C73" s="1130" t="str">
        <f ca="1">'Measure Summary'!G74</f>
        <v>ft^2 of Insulation</v>
      </c>
      <c r="D73" s="3">
        <f ca="1">'Measure Summary'!R74</f>
        <v>20</v>
      </c>
      <c r="E73" s="1" t="str">
        <f ca="1">'Measure Summary'!H74</f>
        <v>Whole Building</v>
      </c>
      <c r="F73" s="1" t="str">
        <f ca="1">'Measure Summary'!B74</f>
        <v>Residential</v>
      </c>
      <c r="G73" s="1130" t="str">
        <f>_xlfn.XLOOKUP($A73,Definitions!$B:$B,Definitions!E:E)</f>
        <v>Wall insulation reduces heat loss through the wall areas of the building envelope. This reduces the load on the heating and/or cooling system.</v>
      </c>
      <c r="H73" s="1130" t="str">
        <f>_xlfn.XLOOKUP($A73,Definitions!$B:$B,Definitions!F:F)</f>
        <v>The new insulation must be added to wall areas where there is no existing insulation. A minimum of R-13 or 4" of insulation must be added.</v>
      </c>
      <c r="I73" s="1130" t="e">
        <f>_xlfn.XLOOKUP($A73,Definitions!$B:$B,Definitions!#REF!)</f>
        <v>#REF!</v>
      </c>
      <c r="J73" s="1130" t="e">
        <f>_xlfn.XLOOKUP($A73,Definitions!$B:$B,Definitions!#REF!)</f>
        <v>#REF!</v>
      </c>
    </row>
    <row r="74" spans="1:10" s="1" customFormat="1" ht="72.5" x14ac:dyDescent="0.35">
      <c r="A74" s="1" t="str">
        <f>'Measure Summary'!A75</f>
        <v>R-WB-007</v>
      </c>
      <c r="B74" s="1130" t="str">
        <f ca="1">'Measure Summary'!F75</f>
        <v>Window shading device</v>
      </c>
      <c r="C74" s="1130" t="str">
        <f ca="1">'Measure Summary'!G75</f>
        <v>Custom</v>
      </c>
      <c r="D74" s="3">
        <f ca="1">'Measure Summary'!R75</f>
        <v>15</v>
      </c>
      <c r="E74" s="1" t="str">
        <f ca="1">'Measure Summary'!H75</f>
        <v>Whole Building</v>
      </c>
      <c r="F74" s="1" t="str">
        <f ca="1">'Measure Summary'!B75</f>
        <v>Residential</v>
      </c>
      <c r="G74" s="1130" t="str">
        <f>_xlfn.XLOOKUP($A74,Definitions!$B:$B,Definitions!E:E)</f>
        <v>A window shading device installed in on the exterior or interior of a window controls solar energy gain into the home. Some devices also have insulating properties that reduce heat losses.</v>
      </c>
      <c r="H74" s="1130" t="str">
        <f>_xlfn.XLOOKUP($A74,Definitions!$B:$B,Definitions!F:F)</f>
        <v>A Pre- and Post- Retrofit Home Energy Evaluation must be completed and must include an analysis of energy savings.</v>
      </c>
      <c r="I74" s="1130" t="e">
        <f>_xlfn.XLOOKUP($A74,Definitions!$B:$B,Definitions!#REF!)</f>
        <v>#REF!</v>
      </c>
      <c r="J74" s="1130" t="e">
        <f>_xlfn.XLOOKUP($A74,Definitions!$B:$B,Definitions!#REF!)</f>
        <v>#REF!</v>
      </c>
    </row>
  </sheetData>
  <sheetProtection algorithmName="SHA-512" hashValue="xCtFqsJSltopC0YtVdCFe94YV18FD0lcBZ31PZCdxugW85Hjx4IX1xUPEIKe0buGF35ZlK1J1TDtw0MsAne1KQ==" saltValue="OsFzERRqLaDpD8SPn+X8dg==" spinCount="100000" sheet="1" objects="1" scenarios="1" selectLockedCells="1" selectUnlockedCells="1"/>
  <autoFilter ref="A1:J74" xr:uid="{80305AB6-90F5-4C72-B6A1-3AE27696991E}">
    <filterColumn colId="0">
      <filters>
        <filter val="DER-001"/>
        <filter val="DER-002"/>
        <filter val="DER-003"/>
        <filter val="DER-004"/>
      </filters>
    </filterColumn>
  </autoFilter>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20472-AA84-434A-891A-DE4E2EB2E937}">
  <sheetPr codeName="Sheet396"/>
  <dimension ref="A2:R116"/>
  <sheetViews>
    <sheetView workbookViewId="0">
      <selection activeCell="C11" sqref="C11"/>
    </sheetView>
  </sheetViews>
  <sheetFormatPr defaultColWidth="9.08984375" defaultRowHeight="18.75" customHeight="1" x14ac:dyDescent="0.3"/>
  <cols>
    <col min="1" max="1" width="2.36328125" style="488" customWidth="1"/>
    <col min="2" max="2" width="44.36328125" style="488" bestFit="1" customWidth="1"/>
    <col min="3" max="6" width="18.26953125" style="488" customWidth="1"/>
    <col min="7" max="7" width="19.6328125" style="488" customWidth="1"/>
    <col min="8" max="8" width="16"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R-HC-004</v>
      </c>
      <c r="D3" s="1367"/>
      <c r="E3" s="1367"/>
      <c r="F3" s="1367"/>
    </row>
    <row r="4" spans="1:18" ht="18.75" customHeight="1" x14ac:dyDescent="0.3">
      <c r="B4" s="490" t="s">
        <v>11</v>
      </c>
      <c r="C4" s="1367" t="str" cm="1">
        <f t="array" ref="C4">_xlfn.SWITCH(LEFT(C8,1),"R","Residential","C","Commercial","ERROR")</f>
        <v>Residential</v>
      </c>
      <c r="D4" s="1367"/>
      <c r="E4" s="1367"/>
      <c r="F4" s="1367"/>
    </row>
    <row r="5" spans="1:18" ht="44.25" customHeight="1" x14ac:dyDescent="0.3">
      <c r="B5" s="490" t="s">
        <v>408</v>
      </c>
      <c r="C5" s="1530" t="s">
        <v>356</v>
      </c>
      <c r="D5" s="1531"/>
      <c r="E5" s="1531"/>
      <c r="F5" s="1532"/>
      <c r="R5" s="488"/>
    </row>
    <row r="6" spans="1:18" ht="18.75" customHeight="1" x14ac:dyDescent="0.3">
      <c r="A6" s="573"/>
    </row>
    <row r="7" spans="1:18" ht="18.75" customHeight="1" x14ac:dyDescent="0.3">
      <c r="B7" s="1193" t="s">
        <v>507</v>
      </c>
      <c r="C7" s="493" t="s">
        <v>406</v>
      </c>
      <c r="D7" s="1366" t="s">
        <v>410</v>
      </c>
      <c r="E7" s="1366"/>
      <c r="F7" s="1366"/>
      <c r="R7" s="488"/>
    </row>
    <row r="8" spans="1:18" ht="18.75" customHeight="1" x14ac:dyDescent="0.3">
      <c r="B8" s="490" t="s">
        <v>411</v>
      </c>
      <c r="C8" s="1194" t="s">
        <v>155</v>
      </c>
      <c r="D8" s="1547"/>
      <c r="E8" s="1548"/>
      <c r="F8" s="1549"/>
      <c r="R8" s="488"/>
    </row>
    <row r="9" spans="1:18" ht="18.75" customHeight="1" x14ac:dyDescent="0.3">
      <c r="B9" s="490" t="s">
        <v>49</v>
      </c>
      <c r="C9" s="1194" t="s">
        <v>579</v>
      </c>
      <c r="D9" s="1550"/>
      <c r="E9" s="1551"/>
      <c r="F9" s="1552"/>
      <c r="R9" s="488"/>
    </row>
    <row r="10" spans="1:18" ht="18.75" customHeight="1" x14ac:dyDescent="0.3">
      <c r="B10" s="490" t="s">
        <v>412</v>
      </c>
      <c r="C10" s="1194"/>
      <c r="D10" s="1550"/>
      <c r="E10" s="1551"/>
      <c r="F10" s="1552"/>
      <c r="R10" s="488"/>
    </row>
    <row r="11" spans="1:18" ht="18.75" customHeight="1" x14ac:dyDescent="0.3">
      <c r="B11" s="490" t="s">
        <v>413</v>
      </c>
      <c r="C11" s="1194"/>
      <c r="D11" s="1550"/>
      <c r="E11" s="1551"/>
      <c r="F11" s="1552"/>
      <c r="R11" s="488"/>
    </row>
    <row r="12" spans="1:18" ht="18.75" customHeight="1" x14ac:dyDescent="0.3">
      <c r="B12" s="490" t="s">
        <v>414</v>
      </c>
      <c r="C12" s="1194"/>
      <c r="D12" s="1550"/>
      <c r="E12" s="1551"/>
      <c r="F12" s="1552"/>
      <c r="R12" s="488"/>
    </row>
    <row r="13" spans="1:18" ht="18.75" customHeight="1" x14ac:dyDescent="0.3">
      <c r="B13" s="494" t="s">
        <v>415</v>
      </c>
      <c r="C13" s="495">
        <f>N43</f>
        <v>775.2442885616781</v>
      </c>
      <c r="D13" s="1550"/>
      <c r="E13" s="1551"/>
      <c r="F13" s="1552"/>
      <c r="R13" s="488"/>
    </row>
    <row r="14" spans="1:18" ht="18.75" customHeight="1" x14ac:dyDescent="0.3">
      <c r="B14" s="494" t="s">
        <v>416</v>
      </c>
      <c r="C14" s="495">
        <f>N42</f>
        <v>0</v>
      </c>
      <c r="D14" s="1550"/>
      <c r="E14" s="1551"/>
      <c r="F14" s="1552"/>
      <c r="R14" s="488"/>
    </row>
    <row r="15" spans="1:18" ht="18.75" customHeight="1" x14ac:dyDescent="0.3">
      <c r="B15" s="494" t="s">
        <v>417</v>
      </c>
      <c r="C15" s="495">
        <f>N44</f>
        <v>0</v>
      </c>
      <c r="D15" s="1550"/>
      <c r="E15" s="1551"/>
      <c r="F15" s="1552"/>
      <c r="R15" s="488"/>
    </row>
    <row r="16" spans="1:18" ht="18.75" customHeight="1" x14ac:dyDescent="0.3">
      <c r="B16" s="494" t="s">
        <v>418</v>
      </c>
      <c r="C16" s="496">
        <f>C37</f>
        <v>0</v>
      </c>
      <c r="D16" s="1553"/>
      <c r="E16" s="1554"/>
      <c r="F16" s="1555"/>
      <c r="R16" s="488"/>
    </row>
    <row r="17" spans="2:18" ht="18.75" customHeight="1" x14ac:dyDescent="0.3">
      <c r="B17" s="490" t="s">
        <v>48</v>
      </c>
      <c r="C17" s="1194" t="s">
        <v>606</v>
      </c>
      <c r="D17" s="1366" t="s">
        <v>419</v>
      </c>
      <c r="E17" s="1366"/>
      <c r="F17" s="1366"/>
      <c r="R17" s="488"/>
    </row>
    <row r="18" spans="2:18" ht="18.75" customHeight="1" x14ac:dyDescent="0.3">
      <c r="B18" s="490" t="s">
        <v>420</v>
      </c>
      <c r="C18" s="615">
        <v>6</v>
      </c>
      <c r="D18" s="1520" t="s">
        <v>607</v>
      </c>
      <c r="E18" s="1520"/>
      <c r="F18" s="1520"/>
      <c r="R18" s="488"/>
    </row>
    <row r="19" spans="2:18" ht="18.75" customHeight="1" x14ac:dyDescent="0.3">
      <c r="B19" s="613"/>
      <c r="C19" s="614"/>
      <c r="F19" s="489"/>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18.75" customHeight="1" x14ac:dyDescent="0.3">
      <c r="B21" s="499" t="s">
        <v>422</v>
      </c>
      <c r="C21" s="1546" t="s">
        <v>357</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46" t="s">
        <v>358</v>
      </c>
      <c r="D22" s="1546"/>
      <c r="E22" s="1546"/>
      <c r="F22" s="1546"/>
      <c r="G22" s="1546"/>
      <c r="H22" s="1546"/>
      <c r="I22" s="1546"/>
      <c r="J22" s="1546"/>
      <c r="K22" s="1546"/>
      <c r="L22" s="1546"/>
      <c r="M22" s="1546"/>
      <c r="N22" s="1546"/>
      <c r="O22" s="1546"/>
      <c r="P22" s="1546"/>
      <c r="Q22" s="1546"/>
      <c r="R22" s="488"/>
    </row>
    <row r="23" spans="2:18" ht="18.75" customHeight="1" x14ac:dyDescent="0.3">
      <c r="B23" s="500" t="s">
        <v>424</v>
      </c>
      <c r="C23" s="1546"/>
      <c r="D23" s="1546"/>
      <c r="E23" s="1546"/>
      <c r="F23" s="1546"/>
      <c r="G23" s="1546"/>
      <c r="H23" s="1546"/>
      <c r="I23" s="1546"/>
      <c r="J23" s="1546"/>
      <c r="K23" s="1546"/>
      <c r="L23" s="1546"/>
      <c r="M23" s="1546"/>
      <c r="N23" s="1546"/>
      <c r="O23" s="1546"/>
      <c r="P23" s="1546"/>
      <c r="Q23" s="154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Default.BuildingType.R</f>
        <v>Home - detached</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603"/>
      <c r="D33" s="586" t="s">
        <v>430</v>
      </c>
      <c r="E33" s="1475"/>
      <c r="F33" s="1476"/>
      <c r="G33" s="1476"/>
      <c r="H33" s="1476"/>
      <c r="I33" s="1476"/>
      <c r="J33" s="1476"/>
      <c r="K33" s="1476"/>
      <c r="L33" s="1476"/>
      <c r="M33" s="1476"/>
      <c r="N33" s="1476"/>
      <c r="O33" s="1476"/>
      <c r="P33" s="1476"/>
      <c r="Q33" s="1477"/>
      <c r="R33" s="488"/>
    </row>
    <row r="34" spans="2:18" ht="18.75" customHeight="1" x14ac:dyDescent="0.3">
      <c r="B34" s="494" t="s">
        <v>431</v>
      </c>
      <c r="C34" s="603"/>
      <c r="D34" s="586" t="s">
        <v>430</v>
      </c>
      <c r="E34" s="1475"/>
      <c r="F34" s="1476"/>
      <c r="G34" s="1476"/>
      <c r="H34" s="1476"/>
      <c r="I34" s="1476"/>
      <c r="J34" s="1476"/>
      <c r="K34" s="1476"/>
      <c r="L34" s="1476"/>
      <c r="M34" s="1476"/>
      <c r="N34" s="1476"/>
      <c r="O34" s="1476"/>
      <c r="P34" s="1476"/>
      <c r="Q34" s="1477"/>
    </row>
    <row r="35" spans="2:18" ht="18.75" customHeight="1" x14ac:dyDescent="0.3">
      <c r="B35" s="490" t="s">
        <v>432</v>
      </c>
      <c r="C35" s="603"/>
      <c r="D35" s="586" t="s">
        <v>430</v>
      </c>
      <c r="E35" s="1475"/>
      <c r="F35" s="1476"/>
      <c r="G35" s="1476"/>
      <c r="H35" s="1476"/>
      <c r="I35" s="1476"/>
      <c r="J35" s="1476"/>
      <c r="K35" s="1476"/>
      <c r="L35" s="1476"/>
      <c r="M35" s="1476"/>
      <c r="N35" s="1476"/>
      <c r="O35" s="1476"/>
      <c r="P35" s="1476"/>
      <c r="Q35" s="1477"/>
    </row>
    <row r="36" spans="2:18" ht="18.75" customHeight="1" x14ac:dyDescent="0.3">
      <c r="B36" s="494" t="s">
        <v>433</v>
      </c>
      <c r="C36" s="504">
        <f>SUM(C33:C34)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504">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775.2442885616781</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608</v>
      </c>
      <c r="D49" s="1505"/>
      <c r="E49" s="1505"/>
      <c r="F49" s="1505"/>
      <c r="G49" s="1505"/>
      <c r="H49" s="1505"/>
      <c r="I49" s="1505"/>
      <c r="J49" s="1505"/>
      <c r="K49" s="1505"/>
      <c r="L49" s="1505"/>
      <c r="M49" s="1506"/>
      <c r="N49" s="592">
        <f>H62*H63</f>
        <v>775.2442885616781</v>
      </c>
      <c r="O49" s="1243" t="s">
        <v>443</v>
      </c>
      <c r="P49" s="1511"/>
      <c r="Q49" s="1511"/>
      <c r="R49" s="488"/>
    </row>
    <row r="50" spans="2:18" ht="18.75" customHeight="1" x14ac:dyDescent="0.3">
      <c r="B50" s="582" t="s">
        <v>456</v>
      </c>
      <c r="C50" s="1504" t="s">
        <v>516</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609</v>
      </c>
      <c r="D56" s="1505"/>
      <c r="E56" s="1505"/>
      <c r="F56" s="1505"/>
      <c r="G56" s="1505"/>
      <c r="H56" s="1505"/>
      <c r="I56" s="1505"/>
      <c r="J56" s="1505"/>
      <c r="K56" s="1505"/>
      <c r="L56" s="1505"/>
      <c r="M56" s="1506"/>
      <c r="N56" s="592">
        <f>-H64*H62/H65*D82</f>
        <v>0</v>
      </c>
      <c r="O56" s="1243" t="s">
        <v>446</v>
      </c>
      <c r="P56" s="1511"/>
      <c r="Q56" s="1511"/>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506" t="s">
        <v>406</v>
      </c>
      <c r="I61" s="506" t="s">
        <v>428</v>
      </c>
      <c r="J61" s="1396" t="s">
        <v>476</v>
      </c>
      <c r="K61" s="1397"/>
      <c r="L61" s="1397"/>
      <c r="M61" s="1397"/>
      <c r="N61" s="1397"/>
      <c r="O61" s="1397"/>
      <c r="P61" s="1397"/>
      <c r="Q61" s="1398"/>
    </row>
    <row r="62" spans="2:18" ht="96" customHeight="1" x14ac:dyDescent="0.3">
      <c r="B62" s="534">
        <v>1</v>
      </c>
      <c r="C62" s="549" t="s">
        <v>610</v>
      </c>
      <c r="D62" s="1556" t="s">
        <v>611</v>
      </c>
      <c r="E62" s="1556"/>
      <c r="F62" s="1238"/>
      <c r="G62" s="1238"/>
      <c r="H62" s="616">
        <f>2*65%+3*21%+12%*4</f>
        <v>2.41</v>
      </c>
      <c r="I62" s="1238" t="s">
        <v>612</v>
      </c>
      <c r="J62" s="1462" t="s">
        <v>613</v>
      </c>
      <c r="K62" s="1464"/>
      <c r="L62" s="1464"/>
      <c r="M62" s="1464"/>
      <c r="N62" s="1464"/>
      <c r="O62" s="1464"/>
      <c r="P62" s="1464"/>
      <c r="Q62" s="1463"/>
      <c r="R62" s="488"/>
    </row>
    <row r="63" spans="2:18" ht="43.9" customHeight="1" x14ac:dyDescent="0.3">
      <c r="B63" s="533">
        <v>2</v>
      </c>
      <c r="C63" s="546" t="s">
        <v>614</v>
      </c>
      <c r="D63" s="1539" t="s">
        <v>615</v>
      </c>
      <c r="E63" s="1539"/>
      <c r="F63" s="1217" t="str">
        <f>C63</f>
        <v>CoolingkWhSavings</v>
      </c>
      <c r="G63" s="1217" t="str">
        <f>$C$26</f>
        <v>Average</v>
      </c>
      <c r="H63" s="617">
        <f>INDEX(kWhSavings_Ton[#All],MATCH(F63,kWhSavings_Ton[[#All],[kWhSavingsPerTon]],0),MATCH(G63,kWhSavings_Ton[#Headers],0))</f>
        <v>321.67812803389131</v>
      </c>
      <c r="I63" s="557" t="s">
        <v>443</v>
      </c>
      <c r="J63" s="1468" t="s">
        <v>616</v>
      </c>
      <c r="K63" s="1478"/>
      <c r="L63" s="1478"/>
      <c r="M63" s="1478"/>
      <c r="N63" s="1478"/>
      <c r="O63" s="1478"/>
      <c r="P63" s="1478"/>
      <c r="Q63" s="1469"/>
      <c r="R63" s="488"/>
    </row>
    <row r="64" spans="2:18" ht="63.75" customHeight="1" x14ac:dyDescent="0.3">
      <c r="B64" s="533">
        <v>3</v>
      </c>
      <c r="C64" s="546" t="s">
        <v>617</v>
      </c>
      <c r="D64" s="1468" t="s">
        <v>618</v>
      </c>
      <c r="E64" s="1469"/>
      <c r="F64" s="1217" t="str">
        <f>C64</f>
        <v>HeatingkWhSavings</v>
      </c>
      <c r="G64" s="1217" t="str">
        <f>$C$26</f>
        <v>Average</v>
      </c>
      <c r="H64" s="617">
        <f>INDEX(kWhSavings_Ton[#All],MATCH(F64,kWhSavings_Ton[[#All],[kWhSavingsPerTon]],0),MATCH(G64,kWhSavings_Ton[#Headers],0))</f>
        <v>93.439837190797007</v>
      </c>
      <c r="I64" s="1217" t="s">
        <v>443</v>
      </c>
      <c r="J64" s="1468" t="s">
        <v>619</v>
      </c>
      <c r="K64" s="1478"/>
      <c r="L64" s="1478"/>
      <c r="M64" s="1478"/>
      <c r="N64" s="1478"/>
      <c r="O64" s="1478"/>
      <c r="P64" s="1478"/>
      <c r="Q64" s="1469"/>
      <c r="R64" s="488"/>
    </row>
    <row r="65" spans="2:17" s="488" customFormat="1" ht="13" x14ac:dyDescent="0.3">
      <c r="B65" s="533">
        <v>4</v>
      </c>
      <c r="C65" s="546" t="s">
        <v>517</v>
      </c>
      <c r="D65" s="1539" t="s">
        <v>620</v>
      </c>
      <c r="E65" s="1539"/>
      <c r="F65" s="1217"/>
      <c r="G65" s="1217"/>
      <c r="H65" s="559">
        <f>SpaceHeatingEfficiency.R.NG</f>
        <v>0.85</v>
      </c>
      <c r="I65" s="1217" t="s">
        <v>519</v>
      </c>
      <c r="J65" s="1468" t="s">
        <v>621</v>
      </c>
      <c r="K65" s="1478"/>
      <c r="L65" s="1478"/>
      <c r="M65" s="1478"/>
      <c r="N65" s="1478"/>
      <c r="O65" s="1478"/>
      <c r="P65" s="1478"/>
      <c r="Q65" s="1469"/>
    </row>
    <row r="66" spans="2:17" s="488" customFormat="1" ht="12.75" customHeight="1" x14ac:dyDescent="0.3">
      <c r="B66" s="533">
        <v>5</v>
      </c>
      <c r="C66" s="546"/>
      <c r="D66" s="1539"/>
      <c r="E66" s="1539"/>
      <c r="F66" s="1217"/>
      <c r="G66" s="1217"/>
      <c r="H66" s="609"/>
      <c r="I66" s="1217"/>
      <c r="J66" s="1507"/>
      <c r="K66" s="1514"/>
      <c r="L66" s="1514"/>
      <c r="M66" s="1514"/>
      <c r="N66" s="1514"/>
      <c r="O66" s="1514"/>
      <c r="P66" s="1514"/>
      <c r="Q66" s="1515"/>
    </row>
    <row r="67" spans="2:17" s="488" customFormat="1" ht="13" x14ac:dyDescent="0.3">
      <c r="B67" s="533">
        <v>6</v>
      </c>
      <c r="C67" s="546"/>
      <c r="D67" s="1539"/>
      <c r="E67" s="1539"/>
      <c r="F67" s="1217"/>
      <c r="G67" s="1217"/>
      <c r="H67" s="609"/>
      <c r="I67" s="1217"/>
      <c r="J67" s="1507"/>
      <c r="K67" s="1514"/>
      <c r="L67" s="1514"/>
      <c r="M67" s="1514"/>
      <c r="N67" s="1514"/>
      <c r="O67" s="1514"/>
      <c r="P67" s="1514"/>
      <c r="Q67" s="1515"/>
    </row>
    <row r="68" spans="2:17" s="488" customFormat="1" ht="13" x14ac:dyDescent="0.3">
      <c r="B68" s="533">
        <v>7</v>
      </c>
      <c r="C68" s="546"/>
      <c r="D68" s="1539"/>
      <c r="E68" s="1539"/>
      <c r="F68" s="1217"/>
      <c r="G68" s="1217"/>
      <c r="H68" s="609"/>
      <c r="I68" s="1217"/>
      <c r="J68" s="1507"/>
      <c r="K68" s="1514"/>
      <c r="L68" s="1514"/>
      <c r="M68" s="1514"/>
      <c r="N68" s="1514"/>
      <c r="O68" s="1514"/>
      <c r="P68" s="1514"/>
      <c r="Q68" s="1515"/>
    </row>
    <row r="69" spans="2:17" s="488" customFormat="1" ht="13" x14ac:dyDescent="0.3">
      <c r="B69" s="533">
        <v>8</v>
      </c>
      <c r="C69" s="546"/>
      <c r="D69" s="1539"/>
      <c r="E69" s="1539"/>
      <c r="F69" s="1217"/>
      <c r="G69" s="1217"/>
      <c r="H69" s="1217"/>
      <c r="I69" s="1217"/>
      <c r="J69" s="1507"/>
      <c r="K69" s="1514"/>
      <c r="L69" s="1514"/>
      <c r="M69" s="1514"/>
      <c r="N69" s="1514"/>
      <c r="O69" s="1514"/>
      <c r="P69" s="1514"/>
      <c r="Q69" s="1515"/>
    </row>
    <row r="70" spans="2:17" s="488" customFormat="1" ht="13" x14ac:dyDescent="0.3">
      <c r="B70" s="533">
        <v>9</v>
      </c>
      <c r="C70" s="546"/>
      <c r="D70" s="1539"/>
      <c r="E70" s="1539"/>
      <c r="F70" s="1217"/>
      <c r="G70" s="1217"/>
      <c r="H70" s="1217"/>
      <c r="I70" s="1217"/>
      <c r="J70" s="1507"/>
      <c r="K70" s="1514"/>
      <c r="L70" s="1514"/>
      <c r="M70" s="1514"/>
      <c r="N70" s="1514"/>
      <c r="O70" s="1514"/>
      <c r="P70" s="1514"/>
      <c r="Q70" s="1515"/>
    </row>
    <row r="71" spans="2:17" s="488" customFormat="1" ht="13" x14ac:dyDescent="0.3">
      <c r="B71" s="533">
        <v>10</v>
      </c>
      <c r="C71" s="546"/>
      <c r="D71" s="1539"/>
      <c r="E71" s="1539"/>
      <c r="F71" s="1217"/>
      <c r="G71" s="1217"/>
      <c r="H71" s="1217"/>
      <c r="I71" s="1217"/>
      <c r="J71" s="1507"/>
      <c r="K71" s="1514"/>
      <c r="L71" s="1514"/>
      <c r="M71" s="1514"/>
      <c r="N71" s="1514"/>
      <c r="O71" s="1514"/>
      <c r="P71" s="1514"/>
      <c r="Q71" s="1515"/>
    </row>
    <row r="72" spans="2:17" s="488" customFormat="1" ht="13" x14ac:dyDescent="0.3">
      <c r="B72" s="533">
        <v>11</v>
      </c>
      <c r="C72" s="546"/>
      <c r="D72" s="1539"/>
      <c r="E72" s="1539"/>
      <c r="F72" s="1217"/>
      <c r="G72" s="1217"/>
      <c r="H72" s="1217"/>
      <c r="I72" s="1217"/>
      <c r="J72" s="1507"/>
      <c r="K72" s="1514"/>
      <c r="L72" s="1514"/>
      <c r="M72" s="1514"/>
      <c r="N72" s="1514"/>
      <c r="O72" s="1514"/>
      <c r="P72" s="1514"/>
      <c r="Q72" s="1515"/>
    </row>
    <row r="73" spans="2:17" s="488" customFormat="1" ht="13" x14ac:dyDescent="0.3">
      <c r="B73" s="533">
        <v>12</v>
      </c>
      <c r="C73" s="546"/>
      <c r="D73" s="1539"/>
      <c r="E73" s="1539"/>
      <c r="F73" s="1217"/>
      <c r="G73" s="1217"/>
      <c r="H73" s="1217"/>
      <c r="I73" s="1217"/>
      <c r="J73" s="1507"/>
      <c r="K73" s="1514"/>
      <c r="L73" s="1514"/>
      <c r="M73" s="1514"/>
      <c r="N73" s="1514"/>
      <c r="O73" s="1514"/>
      <c r="P73" s="1514"/>
      <c r="Q73" s="1515"/>
    </row>
    <row r="74" spans="2:17" s="488" customFormat="1" ht="13" x14ac:dyDescent="0.3">
      <c r="B74" s="533">
        <v>13</v>
      </c>
      <c r="C74" s="546"/>
      <c r="D74" s="1539"/>
      <c r="E74" s="1539"/>
      <c r="F74" s="1217"/>
      <c r="G74" s="1217"/>
      <c r="H74" s="571"/>
      <c r="I74" s="1217"/>
      <c r="J74" s="1507"/>
      <c r="K74" s="1514"/>
      <c r="L74" s="1514"/>
      <c r="M74" s="1514"/>
      <c r="N74" s="1514"/>
      <c r="O74" s="1514"/>
      <c r="P74" s="1514"/>
      <c r="Q74" s="1515"/>
    </row>
    <row r="75" spans="2:17" s="489" customFormat="1" ht="13.15" customHeight="1" x14ac:dyDescent="0.3">
      <c r="B75" s="536">
        <v>14</v>
      </c>
      <c r="C75" s="555"/>
      <c r="D75" s="1437"/>
      <c r="E75" s="1438"/>
      <c r="F75" s="556"/>
      <c r="G75" s="557"/>
      <c r="H75" s="556"/>
      <c r="I75" s="557"/>
      <c r="J75" s="1472"/>
      <c r="K75" s="1473"/>
      <c r="L75" s="1473"/>
      <c r="M75" s="1473"/>
      <c r="N75" s="1473"/>
      <c r="O75" s="1473"/>
      <c r="P75" s="1473"/>
      <c r="Q75" s="1474"/>
    </row>
    <row r="76" spans="2:17" s="489" customFormat="1" ht="13" x14ac:dyDescent="0.3">
      <c r="B76" s="536">
        <v>15</v>
      </c>
      <c r="C76" s="555"/>
      <c r="D76" s="1437"/>
      <c r="E76" s="1438"/>
      <c r="F76" s="556"/>
      <c r="G76" s="557"/>
      <c r="H76" s="559"/>
      <c r="I76" s="557"/>
      <c r="J76" s="1472"/>
      <c r="K76" s="1473"/>
      <c r="L76" s="1473"/>
      <c r="M76" s="1473"/>
      <c r="N76" s="1473"/>
      <c r="O76" s="1473"/>
      <c r="P76" s="1473"/>
      <c r="Q76" s="1474"/>
    </row>
    <row r="77" spans="2:17" s="488" customFormat="1" ht="18.75" customHeight="1" x14ac:dyDescent="0.3"/>
    <row r="78" spans="2:17" s="488" customFormat="1" ht="18.75" customHeight="1" x14ac:dyDescent="0.3">
      <c r="B78" s="511" t="s">
        <v>477</v>
      </c>
      <c r="C78" s="512"/>
      <c r="D78" s="512"/>
      <c r="E78" s="512"/>
      <c r="F78" s="512"/>
      <c r="G78" s="512"/>
      <c r="H78" s="513"/>
      <c r="I78" s="513"/>
      <c r="J78" s="513"/>
      <c r="K78" s="513"/>
      <c r="L78" s="513"/>
      <c r="M78" s="513"/>
      <c r="N78" s="513"/>
      <c r="O78" s="513"/>
      <c r="P78" s="513"/>
      <c r="Q78" s="514"/>
    </row>
    <row r="79" spans="2:17" s="488" customFormat="1" ht="18.75" customHeight="1" x14ac:dyDescent="0.3"/>
    <row r="80" spans="2:17" s="488" customFormat="1"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row>
    <row r="81" spans="2:17" s="488" customFormat="1" ht="13" x14ac:dyDescent="0.3">
      <c r="B81" s="533">
        <v>1</v>
      </c>
      <c r="C81" s="560"/>
      <c r="D81" s="561"/>
      <c r="E81" s="1182"/>
      <c r="F81" s="1486"/>
      <c r="G81" s="1487"/>
      <c r="H81" s="1487"/>
      <c r="I81" s="1487"/>
      <c r="J81" s="1487"/>
      <c r="K81" s="1487"/>
      <c r="L81" s="1487"/>
      <c r="M81" s="1487"/>
      <c r="N81" s="1487"/>
      <c r="O81" s="1487"/>
      <c r="P81" s="1487"/>
      <c r="Q81" s="1488"/>
    </row>
    <row r="82" spans="2:17" s="488" customFormat="1" ht="13" x14ac:dyDescent="0.3">
      <c r="B82" s="533">
        <v>2</v>
      </c>
      <c r="C82" s="560"/>
      <c r="D82" s="562"/>
      <c r="E82" s="1182"/>
      <c r="F82" s="1489"/>
      <c r="G82" s="1490"/>
      <c r="H82" s="1490"/>
      <c r="I82" s="1490"/>
      <c r="J82" s="1490"/>
      <c r="K82" s="1490"/>
      <c r="L82" s="1490"/>
      <c r="M82" s="1490"/>
      <c r="N82" s="1490"/>
      <c r="O82" s="1490"/>
      <c r="P82" s="1490"/>
      <c r="Q82" s="1491"/>
    </row>
    <row r="83" spans="2:17" s="488" customFormat="1" ht="13" x14ac:dyDescent="0.3">
      <c r="B83" s="533">
        <v>3</v>
      </c>
      <c r="C83" s="560"/>
      <c r="D83" s="562"/>
      <c r="E83" s="1182"/>
      <c r="F83" s="1489"/>
      <c r="G83" s="1490"/>
      <c r="H83" s="1490"/>
      <c r="I83" s="1490"/>
      <c r="J83" s="1490"/>
      <c r="K83" s="1490"/>
      <c r="L83" s="1490"/>
      <c r="M83" s="1490"/>
      <c r="N83" s="1490"/>
      <c r="O83" s="1490"/>
      <c r="P83" s="1490"/>
      <c r="Q83" s="1491"/>
    </row>
    <row r="84" spans="2:17" s="488" customFormat="1" ht="13" x14ac:dyDescent="0.3">
      <c r="B84" s="533">
        <v>4</v>
      </c>
      <c r="C84" s="560"/>
      <c r="D84" s="562"/>
      <c r="E84" s="1182"/>
      <c r="F84" s="1489"/>
      <c r="G84" s="1490"/>
      <c r="H84" s="1490"/>
      <c r="I84" s="1490"/>
      <c r="J84" s="1490"/>
      <c r="K84" s="1490"/>
      <c r="L84" s="1490"/>
      <c r="M84" s="1490"/>
      <c r="N84" s="1490"/>
      <c r="O84" s="1490"/>
      <c r="P84" s="1490"/>
      <c r="Q84" s="1491"/>
    </row>
    <row r="85" spans="2:17" s="488" customFormat="1" ht="13" x14ac:dyDescent="0.3">
      <c r="B85" s="533">
        <v>5</v>
      </c>
      <c r="C85" s="560"/>
      <c r="D85" s="562"/>
      <c r="E85" s="1182"/>
      <c r="F85" s="1489"/>
      <c r="G85" s="1490"/>
      <c r="H85" s="1490"/>
      <c r="I85" s="1490"/>
      <c r="J85" s="1490"/>
      <c r="K85" s="1490"/>
      <c r="L85" s="1490"/>
      <c r="M85" s="1490"/>
      <c r="N85" s="1490"/>
      <c r="O85" s="1490"/>
      <c r="P85" s="1490"/>
      <c r="Q85" s="1491"/>
    </row>
    <row r="86" spans="2:17" s="488" customFormat="1" ht="13" x14ac:dyDescent="0.3">
      <c r="B86" s="533">
        <v>6</v>
      </c>
      <c r="C86" s="563"/>
      <c r="D86" s="564"/>
      <c r="E86" s="1182"/>
      <c r="F86" s="1489"/>
      <c r="G86" s="1490"/>
      <c r="H86" s="1490"/>
      <c r="I86" s="1490"/>
      <c r="J86" s="1490"/>
      <c r="K86" s="1490"/>
      <c r="L86" s="1490"/>
      <c r="M86" s="1490"/>
      <c r="N86" s="1490"/>
      <c r="O86" s="1490"/>
      <c r="P86" s="1490"/>
      <c r="Q86" s="1491"/>
    </row>
    <row r="87" spans="2:17" s="488" customFormat="1" ht="13" x14ac:dyDescent="0.3">
      <c r="B87" s="533">
        <v>7</v>
      </c>
      <c r="C87" s="563"/>
      <c r="D87" s="1233"/>
      <c r="E87" s="1182"/>
      <c r="F87" s="1489"/>
      <c r="G87" s="1490"/>
      <c r="H87" s="1490"/>
      <c r="I87" s="1490"/>
      <c r="J87" s="1490"/>
      <c r="K87" s="1490"/>
      <c r="L87" s="1490"/>
      <c r="M87" s="1490"/>
      <c r="N87" s="1490"/>
      <c r="O87" s="1490"/>
      <c r="P87" s="1490"/>
      <c r="Q87" s="1491"/>
    </row>
    <row r="88" spans="2:17" s="488" customFormat="1" ht="13" x14ac:dyDescent="0.3">
      <c r="B88" s="533">
        <v>8</v>
      </c>
      <c r="C88" s="563"/>
      <c r="D88" s="564"/>
      <c r="E88" s="1182"/>
      <c r="F88" s="1489"/>
      <c r="G88" s="1490"/>
      <c r="H88" s="1490"/>
      <c r="I88" s="1490"/>
      <c r="J88" s="1490"/>
      <c r="K88" s="1490"/>
      <c r="L88" s="1490"/>
      <c r="M88" s="1490"/>
      <c r="N88" s="1490"/>
      <c r="O88" s="1490"/>
      <c r="P88" s="1490"/>
      <c r="Q88" s="1491"/>
    </row>
    <row r="89" spans="2:17" s="488" customFormat="1" ht="13" x14ac:dyDescent="0.3">
      <c r="B89" s="533">
        <v>9</v>
      </c>
      <c r="C89" s="563"/>
      <c r="D89" s="1233"/>
      <c r="E89" s="1182"/>
      <c r="F89" s="1489"/>
      <c r="G89" s="1490"/>
      <c r="H89" s="1490"/>
      <c r="I89" s="1490"/>
      <c r="J89" s="1490"/>
      <c r="K89" s="1490"/>
      <c r="L89" s="1490"/>
      <c r="M89" s="1490"/>
      <c r="N89" s="1490"/>
      <c r="O89" s="1490"/>
      <c r="P89" s="1490"/>
      <c r="Q89" s="1491"/>
    </row>
    <row r="90" spans="2:17" s="488" customFormat="1" ht="13" x14ac:dyDescent="0.3">
      <c r="B90" s="533">
        <v>10</v>
      </c>
      <c r="C90" s="563"/>
      <c r="D90" s="564"/>
      <c r="E90" s="1182"/>
      <c r="F90" s="1489"/>
      <c r="G90" s="1490"/>
      <c r="H90" s="1490"/>
      <c r="I90" s="1490"/>
      <c r="J90" s="1490"/>
      <c r="K90" s="1490"/>
      <c r="L90" s="1490"/>
      <c r="M90" s="1490"/>
      <c r="N90" s="1490"/>
      <c r="O90" s="1490"/>
      <c r="P90" s="1490"/>
      <c r="Q90" s="1491"/>
    </row>
    <row r="91" spans="2:17" s="488" customFormat="1" ht="18.75" customHeight="1" x14ac:dyDescent="0.3"/>
    <row r="92" spans="2:17" s="488" customFormat="1" ht="18.75" customHeight="1" x14ac:dyDescent="0.3">
      <c r="B92" s="511" t="s">
        <v>492</v>
      </c>
      <c r="C92" s="512"/>
      <c r="D92" s="512"/>
      <c r="E92" s="512"/>
      <c r="F92" s="512"/>
      <c r="G92" s="512"/>
      <c r="H92" s="513"/>
      <c r="I92" s="513"/>
      <c r="J92" s="513"/>
      <c r="K92" s="513"/>
      <c r="L92" s="513"/>
      <c r="M92" s="513"/>
      <c r="N92" s="513"/>
      <c r="O92" s="513"/>
      <c r="P92" s="513"/>
      <c r="Q92" s="514"/>
    </row>
    <row r="93" spans="2:17" s="488" customFormat="1" ht="18.75" customHeight="1" x14ac:dyDescent="0.3"/>
    <row r="94" spans="2:17" s="488" customFormat="1" ht="18.75" customHeight="1" x14ac:dyDescent="0.3">
      <c r="B94" s="523" t="s">
        <v>493</v>
      </c>
      <c r="E94" s="1402" t="s">
        <v>494</v>
      </c>
      <c r="F94" s="1403"/>
      <c r="G94" s="1403"/>
      <c r="H94" s="1403"/>
      <c r="I94" s="1403"/>
      <c r="J94" s="1403"/>
      <c r="K94" s="1403"/>
      <c r="L94" s="1403"/>
      <c r="M94" s="1403"/>
      <c r="N94" s="1403"/>
      <c r="O94" s="1404" t="s">
        <v>476</v>
      </c>
      <c r="P94" s="1405"/>
      <c r="Q94" s="1406"/>
    </row>
    <row r="95" spans="2:17" s="488" customFormat="1" ht="25.5" customHeight="1" x14ac:dyDescent="0.3">
      <c r="B95" s="1177"/>
      <c r="C95" s="1178"/>
      <c r="D95" s="1179"/>
      <c r="E95" s="524" t="s">
        <v>495</v>
      </c>
      <c r="F95" s="524" t="s">
        <v>496</v>
      </c>
      <c r="G95" s="524" t="s">
        <v>497</v>
      </c>
      <c r="H95" s="524" t="s">
        <v>498</v>
      </c>
      <c r="I95" s="524" t="s">
        <v>499</v>
      </c>
      <c r="J95" s="524" t="s">
        <v>500</v>
      </c>
      <c r="K95" s="524" t="s">
        <v>501</v>
      </c>
      <c r="L95" s="524" t="s">
        <v>502</v>
      </c>
      <c r="M95" s="524" t="s">
        <v>503</v>
      </c>
      <c r="N95" s="1180" t="s">
        <v>504</v>
      </c>
      <c r="O95" s="1407"/>
      <c r="P95" s="1408"/>
      <c r="Q95" s="1409"/>
    </row>
    <row r="96" spans="2:17" s="488" customFormat="1" ht="25.5" customHeight="1" x14ac:dyDescent="0.3">
      <c r="B96" s="1188" t="s">
        <v>478</v>
      </c>
      <c r="C96" s="1402" t="s">
        <v>538</v>
      </c>
      <c r="D96" s="1431"/>
      <c r="E96" s="565"/>
      <c r="F96" s="565"/>
      <c r="G96" s="565"/>
      <c r="H96" s="565"/>
      <c r="I96" s="565"/>
      <c r="J96" s="565"/>
      <c r="K96" s="565"/>
      <c r="L96" s="565"/>
      <c r="M96" s="565"/>
      <c r="N96" s="566"/>
      <c r="O96" s="1410"/>
      <c r="P96" s="1411"/>
      <c r="Q96" s="1412"/>
    </row>
    <row r="97" spans="2:17" s="488" customFormat="1" ht="13" x14ac:dyDescent="0.3">
      <c r="B97" s="533">
        <v>1</v>
      </c>
      <c r="C97" s="546"/>
      <c r="D97" s="1184"/>
      <c r="E97" s="1184"/>
      <c r="F97" s="1184"/>
      <c r="G97" s="1184"/>
      <c r="H97" s="1184"/>
      <c r="I97" s="570"/>
      <c r="J97" s="570"/>
      <c r="K97" s="568"/>
      <c r="L97" s="568"/>
      <c r="M97" s="568"/>
      <c r="N97" s="568"/>
      <c r="O97" s="1501"/>
      <c r="P97" s="1502"/>
      <c r="Q97" s="1503"/>
    </row>
    <row r="98" spans="2:17" s="488" customFormat="1" ht="13" x14ac:dyDescent="0.3">
      <c r="B98" s="533">
        <v>2</v>
      </c>
      <c r="C98" s="546"/>
      <c r="D98" s="570"/>
      <c r="E98" s="570"/>
      <c r="F98" s="570"/>
      <c r="G98" s="570"/>
      <c r="H98" s="570"/>
      <c r="I98" s="570"/>
      <c r="J98" s="570"/>
      <c r="K98" s="568"/>
      <c r="L98" s="568"/>
      <c r="M98" s="568"/>
      <c r="N98" s="568"/>
      <c r="O98" s="1495"/>
      <c r="P98" s="1496"/>
      <c r="Q98" s="1497"/>
    </row>
    <row r="99" spans="2:17" s="488" customFormat="1" ht="13" x14ac:dyDescent="0.3">
      <c r="B99" s="533">
        <v>3</v>
      </c>
      <c r="C99" s="546"/>
      <c r="D99" s="1184"/>
      <c r="E99" s="570"/>
      <c r="F99" s="570"/>
      <c r="G99" s="570"/>
      <c r="H99" s="570"/>
      <c r="I99" s="570"/>
      <c r="J99" s="618"/>
      <c r="K99" s="568"/>
      <c r="L99" s="568"/>
      <c r="M99" s="568"/>
      <c r="N99" s="568"/>
      <c r="O99" s="1495"/>
      <c r="P99" s="1496"/>
      <c r="Q99" s="1497"/>
    </row>
    <row r="100" spans="2:17" s="488" customFormat="1" ht="13" x14ac:dyDescent="0.3">
      <c r="B100" s="533">
        <v>4</v>
      </c>
      <c r="C100" s="546"/>
      <c r="D100" s="1184"/>
      <c r="E100" s="1190"/>
      <c r="F100" s="1190"/>
      <c r="G100" s="1190"/>
      <c r="H100" s="1190"/>
      <c r="I100" s="568"/>
      <c r="J100" s="568"/>
      <c r="K100" s="568"/>
      <c r="L100" s="568"/>
      <c r="M100" s="568"/>
      <c r="N100" s="568"/>
      <c r="O100" s="1495"/>
      <c r="P100" s="1496"/>
      <c r="Q100" s="1497"/>
    </row>
    <row r="101" spans="2:17" s="488" customFormat="1" ht="13" x14ac:dyDescent="0.3">
      <c r="B101" s="533">
        <v>5</v>
      </c>
      <c r="C101" s="546"/>
      <c r="D101" s="1184"/>
      <c r="E101" s="1190"/>
      <c r="F101" s="1190"/>
      <c r="G101" s="1190"/>
      <c r="H101" s="1190"/>
      <c r="I101" s="568"/>
      <c r="J101" s="568"/>
      <c r="K101" s="568"/>
      <c r="L101" s="568"/>
      <c r="M101" s="568"/>
      <c r="N101" s="568"/>
      <c r="O101" s="1495"/>
      <c r="P101" s="1496"/>
      <c r="Q101" s="1497"/>
    </row>
    <row r="102" spans="2:17" s="488" customFormat="1" ht="13" x14ac:dyDescent="0.3">
      <c r="B102" s="533">
        <v>6</v>
      </c>
      <c r="C102" s="546"/>
      <c r="D102" s="570"/>
      <c r="E102" s="1190"/>
      <c r="F102" s="1190"/>
      <c r="G102" s="1190"/>
      <c r="H102" s="1190"/>
      <c r="I102" s="1190"/>
      <c r="J102" s="1190"/>
      <c r="K102" s="569"/>
      <c r="L102" s="569"/>
      <c r="M102" s="569"/>
      <c r="N102" s="569"/>
      <c r="O102" s="1492"/>
      <c r="P102" s="1493"/>
      <c r="Q102" s="1494"/>
    </row>
    <row r="103" spans="2:17" s="488" customFormat="1" ht="13" x14ac:dyDescent="0.3">
      <c r="B103" s="533">
        <v>7</v>
      </c>
      <c r="C103" s="546"/>
      <c r="D103" s="570"/>
      <c r="E103" s="1190"/>
      <c r="F103" s="569"/>
      <c r="G103" s="569"/>
      <c r="H103" s="1190"/>
      <c r="I103" s="569"/>
      <c r="J103" s="569"/>
      <c r="K103" s="569"/>
      <c r="L103" s="569"/>
      <c r="M103" s="569"/>
      <c r="N103" s="569"/>
      <c r="O103" s="1492"/>
      <c r="P103" s="1493"/>
      <c r="Q103" s="1494"/>
    </row>
    <row r="104" spans="2:17" s="488" customFormat="1" ht="13" x14ac:dyDescent="0.3">
      <c r="B104" s="533">
        <v>8</v>
      </c>
      <c r="C104" s="546"/>
      <c r="D104" s="618"/>
      <c r="E104" s="1190"/>
      <c r="F104" s="569"/>
      <c r="G104" s="569"/>
      <c r="H104" s="569"/>
      <c r="I104" s="569"/>
      <c r="J104" s="569"/>
      <c r="K104" s="569"/>
      <c r="L104" s="569"/>
      <c r="M104" s="569"/>
      <c r="N104" s="569"/>
      <c r="O104" s="1492"/>
      <c r="P104" s="1493"/>
      <c r="Q104" s="1494"/>
    </row>
    <row r="105" spans="2:17" s="488" customFormat="1" ht="13" x14ac:dyDescent="0.3">
      <c r="B105" s="533">
        <v>9</v>
      </c>
      <c r="C105" s="546"/>
      <c r="D105" s="570"/>
      <c r="E105" s="1190"/>
      <c r="F105" s="1217"/>
      <c r="G105" s="1217"/>
      <c r="H105" s="1217"/>
      <c r="I105" s="569"/>
      <c r="J105" s="569"/>
      <c r="K105" s="569"/>
      <c r="L105" s="569"/>
      <c r="M105" s="569"/>
      <c r="N105" s="569"/>
      <c r="O105" s="1492"/>
      <c r="P105" s="1493"/>
      <c r="Q105" s="1494"/>
    </row>
    <row r="106" spans="2:17" s="488" customFormat="1" ht="13" x14ac:dyDescent="0.3">
      <c r="B106" s="533">
        <v>10</v>
      </c>
      <c r="C106" s="546"/>
      <c r="D106" s="570"/>
      <c r="E106" s="1217"/>
      <c r="F106" s="1217"/>
      <c r="G106" s="1217"/>
      <c r="H106" s="1217"/>
      <c r="I106" s="569"/>
      <c r="J106" s="569"/>
      <c r="K106" s="569"/>
      <c r="L106" s="569"/>
      <c r="M106" s="569"/>
      <c r="N106" s="569"/>
      <c r="O106" s="1492"/>
      <c r="P106" s="1493"/>
      <c r="Q106" s="1494"/>
    </row>
    <row r="107" spans="2:17" s="488" customFormat="1" ht="13" x14ac:dyDescent="0.3">
      <c r="B107" s="533">
        <v>11</v>
      </c>
      <c r="C107" s="546"/>
      <c r="D107" s="570"/>
      <c r="E107" s="571"/>
      <c r="F107" s="1190"/>
      <c r="G107" s="571"/>
      <c r="H107" s="571"/>
      <c r="I107" s="569"/>
      <c r="J107" s="569"/>
      <c r="K107" s="569"/>
      <c r="L107" s="569"/>
      <c r="M107" s="569"/>
      <c r="N107" s="569"/>
      <c r="O107" s="1492"/>
      <c r="P107" s="1493"/>
      <c r="Q107" s="1494"/>
    </row>
    <row r="108" spans="2:17" s="488" customFormat="1" ht="13" x14ac:dyDescent="0.3">
      <c r="B108" s="533">
        <v>12</v>
      </c>
      <c r="C108" s="546"/>
      <c r="D108" s="570"/>
      <c r="E108" s="1217"/>
      <c r="F108" s="1190"/>
      <c r="G108" s="1217"/>
      <c r="H108" s="1217"/>
      <c r="I108" s="569"/>
      <c r="J108" s="569"/>
      <c r="K108" s="569"/>
      <c r="L108" s="569"/>
      <c r="M108" s="569"/>
      <c r="N108" s="569"/>
      <c r="O108" s="1492"/>
      <c r="P108" s="1493"/>
      <c r="Q108" s="1494"/>
    </row>
    <row r="109" spans="2:17" s="488" customFormat="1" ht="13" x14ac:dyDescent="0.3">
      <c r="B109" s="533">
        <v>13</v>
      </c>
      <c r="C109" s="546"/>
      <c r="D109" s="570"/>
      <c r="E109" s="1217"/>
      <c r="F109" s="1217"/>
      <c r="G109" s="1217"/>
      <c r="H109" s="1217"/>
      <c r="I109" s="569"/>
      <c r="J109" s="569"/>
      <c r="K109" s="569"/>
      <c r="L109" s="569"/>
      <c r="M109" s="569"/>
      <c r="N109" s="569"/>
      <c r="O109" s="1492"/>
      <c r="P109" s="1493"/>
      <c r="Q109" s="1494"/>
    </row>
    <row r="110" spans="2:17" s="488" customFormat="1" ht="13" x14ac:dyDescent="0.3">
      <c r="B110" s="533">
        <v>14</v>
      </c>
      <c r="C110" s="546"/>
      <c r="D110" s="570"/>
      <c r="E110" s="572"/>
      <c r="F110" s="572"/>
      <c r="G110" s="572"/>
      <c r="H110" s="572"/>
      <c r="I110" s="569"/>
      <c r="J110" s="569"/>
      <c r="K110" s="569"/>
      <c r="L110" s="569"/>
      <c r="M110" s="569"/>
      <c r="N110" s="569"/>
      <c r="O110" s="1492"/>
      <c r="P110" s="1493"/>
      <c r="Q110" s="1494"/>
    </row>
    <row r="111" spans="2:17" s="488" customFormat="1" ht="13" x14ac:dyDescent="0.3">
      <c r="B111" s="533">
        <v>15</v>
      </c>
      <c r="C111" s="546"/>
      <c r="D111" s="570"/>
      <c r="E111" s="572"/>
      <c r="F111" s="572"/>
      <c r="G111" s="572"/>
      <c r="H111" s="572"/>
      <c r="I111" s="569"/>
      <c r="J111" s="569"/>
      <c r="K111" s="569"/>
      <c r="L111" s="569"/>
      <c r="M111" s="569"/>
      <c r="N111" s="569"/>
      <c r="O111" s="1492"/>
      <c r="P111" s="1493"/>
      <c r="Q111" s="1494"/>
    </row>
    <row r="112" spans="2:17" s="488" customFormat="1" ht="13" x14ac:dyDescent="0.3">
      <c r="B112" s="533">
        <v>16</v>
      </c>
      <c r="C112" s="546"/>
      <c r="D112" s="570"/>
      <c r="E112" s="572"/>
      <c r="F112" s="572"/>
      <c r="G112" s="572"/>
      <c r="H112" s="572"/>
      <c r="I112" s="569"/>
      <c r="J112" s="569"/>
      <c r="K112" s="569"/>
      <c r="L112" s="569"/>
      <c r="M112" s="569"/>
      <c r="N112" s="569"/>
      <c r="O112" s="1492"/>
      <c r="P112" s="1493"/>
      <c r="Q112" s="1494"/>
    </row>
    <row r="113" spans="2:17" s="488" customFormat="1" ht="13" x14ac:dyDescent="0.3">
      <c r="B113" s="533">
        <v>17</v>
      </c>
      <c r="C113" s="546"/>
      <c r="D113" s="570"/>
      <c r="E113" s="572"/>
      <c r="F113" s="572"/>
      <c r="G113" s="572"/>
      <c r="H113" s="572"/>
      <c r="I113" s="569"/>
      <c r="J113" s="569"/>
      <c r="K113" s="569"/>
      <c r="L113" s="569"/>
      <c r="M113" s="569"/>
      <c r="N113" s="569"/>
      <c r="O113" s="1492"/>
      <c r="P113" s="1493"/>
      <c r="Q113" s="1494"/>
    </row>
    <row r="114" spans="2:17" s="488" customFormat="1" ht="13" x14ac:dyDescent="0.3">
      <c r="B114" s="533">
        <v>18</v>
      </c>
      <c r="C114" s="546"/>
      <c r="D114" s="570"/>
      <c r="E114" s="572"/>
      <c r="F114" s="572"/>
      <c r="G114" s="572"/>
      <c r="H114" s="572"/>
      <c r="I114" s="569"/>
      <c r="J114" s="569"/>
      <c r="K114" s="569"/>
      <c r="L114" s="569"/>
      <c r="M114" s="569"/>
      <c r="N114" s="569"/>
      <c r="O114" s="1492"/>
      <c r="P114" s="1493"/>
      <c r="Q114" s="1494"/>
    </row>
    <row r="115" spans="2:17" s="488" customFormat="1" ht="13" x14ac:dyDescent="0.3">
      <c r="B115" s="533">
        <v>19</v>
      </c>
      <c r="C115" s="546"/>
      <c r="D115" s="570"/>
      <c r="E115" s="572"/>
      <c r="F115" s="572"/>
      <c r="G115" s="572"/>
      <c r="H115" s="572"/>
      <c r="I115" s="569"/>
      <c r="J115" s="569"/>
      <c r="K115" s="569"/>
      <c r="L115" s="569"/>
      <c r="M115" s="569"/>
      <c r="N115" s="569"/>
      <c r="O115" s="1492"/>
      <c r="P115" s="1493"/>
      <c r="Q115" s="1494"/>
    </row>
    <row r="116" spans="2:17" s="488" customFormat="1" ht="13" x14ac:dyDescent="0.3">
      <c r="B116" s="533">
        <v>20</v>
      </c>
      <c r="C116" s="546"/>
      <c r="D116" s="570"/>
      <c r="E116" s="572"/>
      <c r="F116" s="572"/>
      <c r="G116" s="572"/>
      <c r="H116" s="572"/>
      <c r="I116" s="569"/>
      <c r="J116" s="569"/>
      <c r="K116" s="569"/>
      <c r="L116" s="569"/>
      <c r="M116" s="569"/>
      <c r="N116" s="569"/>
      <c r="O116" s="1492"/>
      <c r="P116" s="1493"/>
      <c r="Q116" s="1494"/>
    </row>
  </sheetData>
  <sheetProtection algorithmName="SHA-512" hashValue="tqfkP351xv8f7Nz3AyYMzFQUqBIfAKpbk45JcOvhyptGibKqqYGGM0VcT2RqnahttY8/cw94A2au5y+JtiFxog==" saltValue="2sLh+dWFXkJRRKQ1C6tA4Q==" spinCount="100000" sheet="1" objects="1" scenarios="1" selectLockedCells="1" selectUnlockedCells="1"/>
  <mergeCells count="120">
    <mergeCell ref="O113:Q113"/>
    <mergeCell ref="O114:Q114"/>
    <mergeCell ref="O115:Q115"/>
    <mergeCell ref="O116:Q116"/>
    <mergeCell ref="D71:E71"/>
    <mergeCell ref="J71:Q71"/>
    <mergeCell ref="D72:E72"/>
    <mergeCell ref="J72:Q72"/>
    <mergeCell ref="D73:E73"/>
    <mergeCell ref="J73:Q73"/>
    <mergeCell ref="O107:Q107"/>
    <mergeCell ref="O108:Q108"/>
    <mergeCell ref="O109:Q109"/>
    <mergeCell ref="O110:Q110"/>
    <mergeCell ref="O111:Q111"/>
    <mergeCell ref="O112:Q112"/>
    <mergeCell ref="O101:Q101"/>
    <mergeCell ref="O102:Q102"/>
    <mergeCell ref="O103:Q103"/>
    <mergeCell ref="O104:Q104"/>
    <mergeCell ref="O105:Q105"/>
    <mergeCell ref="O106:Q106"/>
    <mergeCell ref="C96:D96"/>
    <mergeCell ref="F83:Q83"/>
    <mergeCell ref="F84:Q84"/>
    <mergeCell ref="F85:Q85"/>
    <mergeCell ref="O97:Q97"/>
    <mergeCell ref="O98:Q98"/>
    <mergeCell ref="O99:Q99"/>
    <mergeCell ref="O100:Q100"/>
    <mergeCell ref="E94:N94"/>
    <mergeCell ref="O94:Q96"/>
    <mergeCell ref="F86:Q86"/>
    <mergeCell ref="F87:Q87"/>
    <mergeCell ref="F88:Q88"/>
    <mergeCell ref="F89:Q89"/>
    <mergeCell ref="F90:Q90"/>
    <mergeCell ref="D69:E69"/>
    <mergeCell ref="J69:Q69"/>
    <mergeCell ref="D70:E70"/>
    <mergeCell ref="J70:Q70"/>
    <mergeCell ref="D74:E74"/>
    <mergeCell ref="J74:Q74"/>
    <mergeCell ref="F80:Q80"/>
    <mergeCell ref="F81:Q81"/>
    <mergeCell ref="F82:Q82"/>
    <mergeCell ref="D75:E75"/>
    <mergeCell ref="J75:Q75"/>
    <mergeCell ref="D76:E76"/>
    <mergeCell ref="J76:Q76"/>
    <mergeCell ref="D65:E65"/>
    <mergeCell ref="J65:Q65"/>
    <mergeCell ref="D68:E68"/>
    <mergeCell ref="J68:Q68"/>
    <mergeCell ref="D63:E63"/>
    <mergeCell ref="J63:Q63"/>
    <mergeCell ref="D66:E66"/>
    <mergeCell ref="J66:Q66"/>
    <mergeCell ref="D64:E64"/>
    <mergeCell ref="J64:Q64"/>
    <mergeCell ref="D67:E67"/>
    <mergeCell ref="J67:Q67"/>
    <mergeCell ref="C57:M57"/>
    <mergeCell ref="P57:Q57"/>
    <mergeCell ref="D61:E61"/>
    <mergeCell ref="J61:Q61"/>
    <mergeCell ref="D62:E62"/>
    <mergeCell ref="J62:Q62"/>
    <mergeCell ref="C54:M54"/>
    <mergeCell ref="P54:Q54"/>
    <mergeCell ref="C55:M55"/>
    <mergeCell ref="P55:Q55"/>
    <mergeCell ref="C56:M56"/>
    <mergeCell ref="P56:Q56"/>
    <mergeCell ref="C50:M50"/>
    <mergeCell ref="P50:Q50"/>
    <mergeCell ref="C51:M51"/>
    <mergeCell ref="P51:Q51"/>
    <mergeCell ref="C53:M53"/>
    <mergeCell ref="P53:Q53"/>
    <mergeCell ref="C47:M47"/>
    <mergeCell ref="P47:Q47"/>
    <mergeCell ref="C48:M48"/>
    <mergeCell ref="P48:Q48"/>
    <mergeCell ref="C49:M49"/>
    <mergeCell ref="P49:Q49"/>
    <mergeCell ref="P43:Q43"/>
    <mergeCell ref="C44:M44"/>
    <mergeCell ref="P44:Q44"/>
    <mergeCell ref="C45:M45"/>
    <mergeCell ref="P45:Q45"/>
    <mergeCell ref="E35:Q35"/>
    <mergeCell ref="E36:Q36"/>
    <mergeCell ref="E37:Q37"/>
    <mergeCell ref="C41:M41"/>
    <mergeCell ref="P41:Q41"/>
    <mergeCell ref="C42:M42"/>
    <mergeCell ref="P42:Q42"/>
    <mergeCell ref="C43:M43"/>
    <mergeCell ref="C2:F2"/>
    <mergeCell ref="C3:F3"/>
    <mergeCell ref="C4:F4"/>
    <mergeCell ref="D7:F7"/>
    <mergeCell ref="D17:F17"/>
    <mergeCell ref="D18:F18"/>
    <mergeCell ref="D8:F16"/>
    <mergeCell ref="C5:F5"/>
    <mergeCell ref="D26:Q26"/>
    <mergeCell ref="D27:Q27"/>
    <mergeCell ref="D28:Q28"/>
    <mergeCell ref="E32:Q32"/>
    <mergeCell ref="E33:Q33"/>
    <mergeCell ref="E34:Q34"/>
    <mergeCell ref="B20:Q20"/>
    <mergeCell ref="C21:Q21"/>
    <mergeCell ref="C22:Q22"/>
    <mergeCell ref="C23:Q23"/>
    <mergeCell ref="D25:Q25"/>
    <mergeCell ref="D29:Q29"/>
    <mergeCell ref="D30:Q30"/>
  </mergeCells>
  <conditionalFormatting sqref="H74">
    <cfRule type="expression" dxfId="4184" priority="43">
      <formula>IF(OR(#REF!="L",#REF!="C"),TRUE,FALSE)</formula>
    </cfRule>
  </conditionalFormatting>
  <conditionalFormatting sqref="H65">
    <cfRule type="expression" dxfId="4183" priority="39">
      <formula>IF(OR(#REF!="L",#REF!="C"),TRUE,FALSE)</formula>
    </cfRule>
  </conditionalFormatting>
  <conditionalFormatting sqref="H68">
    <cfRule type="expression" dxfId="4182" priority="38">
      <formula>IF(OR(#REF!="L",#REF!="C"),TRUE,FALSE)</formula>
    </cfRule>
  </conditionalFormatting>
  <conditionalFormatting sqref="H69">
    <cfRule type="expression" dxfId="4181" priority="37">
      <formula>IF(OR(#REF!="L",#REF!="C"),TRUE,FALSE)</formula>
    </cfRule>
  </conditionalFormatting>
  <conditionalFormatting sqref="H70:H73">
    <cfRule type="expression" dxfId="4180" priority="36">
      <formula>IF(OR(#REF!="L",#REF!="C"),TRUE,FALSE)</formula>
    </cfRule>
  </conditionalFormatting>
  <conditionalFormatting sqref="F109:F116 G103:G116 H104:H116">
    <cfRule type="expression" dxfId="4179" priority="35">
      <formula>IF(OR(#REF!="L",#REF!="C"),TRUE,FALSE)</formula>
    </cfRule>
  </conditionalFormatting>
  <conditionalFormatting sqref="E110:E116">
    <cfRule type="expression" dxfId="4178" priority="34">
      <formula>IF(OR(#REF!="L",#REF!="C"),TRUE,FALSE)</formula>
    </cfRule>
  </conditionalFormatting>
  <conditionalFormatting sqref="E107">
    <cfRule type="expression" dxfId="4177" priority="33">
      <formula>IF(OR(#REF!="L",#REF!="C"),TRUE,FALSE)</formula>
    </cfRule>
  </conditionalFormatting>
  <conditionalFormatting sqref="E108">
    <cfRule type="expression" dxfId="4176" priority="32">
      <formula>IF(OR(#REF!="L",#REF!="C"),TRUE,FALSE)</formula>
    </cfRule>
  </conditionalFormatting>
  <conditionalFormatting sqref="E109">
    <cfRule type="expression" dxfId="4175" priority="31">
      <formula>IF(OR(#REF!="L",#REF!="C"),TRUE,FALSE)</formula>
    </cfRule>
  </conditionalFormatting>
  <conditionalFormatting sqref="E106">
    <cfRule type="expression" dxfId="4174" priority="30">
      <formula>IF(OR(#REF!="L",#REF!="C"),TRUE,FALSE)</formula>
    </cfRule>
  </conditionalFormatting>
  <conditionalFormatting sqref="E95 G95 I95 K95 M95">
    <cfRule type="duplicateValues" dxfId="4173" priority="29"/>
  </conditionalFormatting>
  <conditionalFormatting sqref="M104:M116">
    <cfRule type="expression" dxfId="4172" priority="19">
      <formula>IF(OR(#REF!="L",#REF!="C"),TRUE,FALSE)</formula>
    </cfRule>
  </conditionalFormatting>
  <conditionalFormatting sqref="F103:F106">
    <cfRule type="expression" dxfId="4171" priority="28">
      <formula>IF(OR(#REF!="L",#REF!="C"),TRUE,FALSE)</formula>
    </cfRule>
  </conditionalFormatting>
  <conditionalFormatting sqref="I103">
    <cfRule type="expression" dxfId="4170" priority="26">
      <formula>IF(OR(#REF!="L",#REF!="C"),TRUE,FALSE)</formula>
    </cfRule>
  </conditionalFormatting>
  <conditionalFormatting sqref="N102:N103">
    <cfRule type="expression" dxfId="4169" priority="16">
      <formula>IF(OR(#REF!="L",#REF!="C"),TRUE,FALSE)</formula>
    </cfRule>
  </conditionalFormatting>
  <conditionalFormatting sqref="I104:I116">
    <cfRule type="expression" dxfId="4168" priority="27">
      <formula>IF(OR(#REF!="L",#REF!="C"),TRUE,FALSE)</formula>
    </cfRule>
  </conditionalFormatting>
  <conditionalFormatting sqref="J103">
    <cfRule type="expression" dxfId="4167" priority="24">
      <formula>IF(OR(#REF!="L",#REF!="C"),TRUE,FALSE)</formula>
    </cfRule>
  </conditionalFormatting>
  <conditionalFormatting sqref="J104:J116">
    <cfRule type="expression" dxfId="4166" priority="25">
      <formula>IF(OR(#REF!="L",#REF!="C"),TRUE,FALSE)</formula>
    </cfRule>
  </conditionalFormatting>
  <conditionalFormatting sqref="K102:K103">
    <cfRule type="expression" dxfId="4165" priority="22">
      <formula>IF(OR(#REF!="L",#REF!="C"),TRUE,FALSE)</formula>
    </cfRule>
  </conditionalFormatting>
  <conditionalFormatting sqref="K104:K116">
    <cfRule type="expression" dxfId="4164" priority="23">
      <formula>IF(OR(#REF!="L",#REF!="C"),TRUE,FALSE)</formula>
    </cfRule>
  </conditionalFormatting>
  <conditionalFormatting sqref="L102:L103">
    <cfRule type="expression" dxfId="4163" priority="20">
      <formula>IF(OR(#REF!="L",#REF!="C"),TRUE,FALSE)</formula>
    </cfRule>
  </conditionalFormatting>
  <conditionalFormatting sqref="L104:L116">
    <cfRule type="expression" dxfId="4162" priority="21">
      <formula>IF(OR(#REF!="L",#REF!="C"),TRUE,FALSE)</formula>
    </cfRule>
  </conditionalFormatting>
  <conditionalFormatting sqref="M102:M103">
    <cfRule type="expression" dxfId="4161" priority="18">
      <formula>IF(OR(#REF!="L",#REF!="C"),TRUE,FALSE)</formula>
    </cfRule>
  </conditionalFormatting>
  <conditionalFormatting sqref="N104:N116">
    <cfRule type="expression" dxfId="4160" priority="17">
      <formula>IF(OR(#REF!="L",#REF!="C"),TRUE,FALSE)</formula>
    </cfRule>
  </conditionalFormatting>
  <conditionalFormatting sqref="H63:H64">
    <cfRule type="expression" dxfId="4159" priority="15">
      <formula>IF(OR(#REF!="L",#REF!="C"),TRUE,FALSE)</formula>
    </cfRule>
  </conditionalFormatting>
  <conditionalFormatting sqref="H62">
    <cfRule type="expression" dxfId="4158" priority="14">
      <formula>IF(OR(#REF!="L",#REF!="C"),TRUE,FALSE)</formula>
    </cfRule>
  </conditionalFormatting>
  <conditionalFormatting sqref="O102:O103">
    <cfRule type="expression" dxfId="4157" priority="12">
      <formula>IF(OR(#REF!="L",#REF!="C"),TRUE,FALSE)</formula>
    </cfRule>
  </conditionalFormatting>
  <conditionalFormatting sqref="O104:O116">
    <cfRule type="expression" dxfId="4156" priority="13">
      <formula>IF(OR(#REF!="L",#REF!="C"),TRUE,FALSE)</formula>
    </cfRule>
  </conditionalFormatting>
  <conditionalFormatting sqref="E96:N96">
    <cfRule type="duplicateValues" dxfId="4155" priority="11"/>
  </conditionalFormatting>
  <conditionalFormatting sqref="H75">
    <cfRule type="expression" dxfId="4154" priority="7">
      <formula>IF(OR(#REF!="L",#REF!="C"),TRUE,FALSE)</formula>
    </cfRule>
  </conditionalFormatting>
  <conditionalFormatting sqref="H76">
    <cfRule type="expression" dxfId="4153" priority="5">
      <formula>IF(OR(#REF!="L",#REF!="C"),TRUE,FALSE)</formula>
    </cfRule>
  </conditionalFormatting>
  <conditionalFormatting sqref="H67">
    <cfRule type="expression" dxfId="4152" priority="3">
      <formula>IF(OR(#REF!="L",#REF!="C"),TRUE,FALSE)</formula>
    </cfRule>
  </conditionalFormatting>
  <conditionalFormatting sqref="H66">
    <cfRule type="expression" dxfId="4151" priority="1">
      <formula>IF(OR(#REF!="L",#REF!="C"),TRUE,FALSE)</formula>
    </cfRule>
  </conditionalFormatting>
  <dataValidations count="6">
    <dataValidation type="list" allowBlank="1" showInputMessage="1" showErrorMessage="1" sqref="C4" xr:uid="{E142BFCD-A021-4657-BE66-F68CCD7A9BC3}">
      <formula1>"COM,RES"</formula1>
    </dataValidation>
    <dataValidation type="list" allowBlank="1" showInputMessage="1" showErrorMessage="1" sqref="C9" xr:uid="{9BF78EAC-328C-4DD5-BD2C-0D1480E04919}">
      <formula1>INDIRECT("MeasureTypeList[Index]")</formula1>
    </dataValidation>
    <dataValidation type="list" allowBlank="1" showInputMessage="1" showErrorMessage="1" sqref="C26" xr:uid="{94B41836-5975-4D8C-9AFD-96EEAA644541}">
      <formula1>INDIRECT("RegionList[Index]")</formula1>
    </dataValidation>
    <dataValidation type="list" allowBlank="1" showInputMessage="1" showErrorMessage="1" sqref="C27" xr:uid="{B8488857-925A-4E96-AC3E-4EE99186E8FD}">
      <formula1>INDIRECT("ReplacementTypeList[Index]")</formula1>
    </dataValidation>
    <dataValidation type="list" allowBlank="1" showInputMessage="1" showErrorMessage="1" sqref="C28" xr:uid="{17A6275F-136E-4196-954E-09F1345DE916}">
      <formula1>INDIRECT("BuildingType[Building]")</formula1>
    </dataValidation>
    <dataValidation type="list" allowBlank="1" showInputMessage="1" showErrorMessage="1" sqref="C29:C30" xr:uid="{78E4F32C-1114-4541-8E02-E94D44AFBAF0}">
      <formula1>INDIRECT("FuelTypeList[Index]")</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A207C-9DF1-444A-AE43-B3A9D7311312}">
  <sheetPr codeName="Sheet414"/>
  <dimension ref="A2:R116"/>
  <sheetViews>
    <sheetView workbookViewId="0">
      <selection activeCell="H64" sqref="H64"/>
    </sheetView>
  </sheetViews>
  <sheetFormatPr defaultColWidth="9.08984375" defaultRowHeight="18.75" customHeight="1" x14ac:dyDescent="0.3"/>
  <cols>
    <col min="1" max="1" width="2.36328125" style="488" customWidth="1"/>
    <col min="2" max="2" width="44.36328125" style="488" bestFit="1" customWidth="1"/>
    <col min="3" max="3" width="21.08984375" style="488" customWidth="1"/>
    <col min="4" max="4" width="21.6328125" style="488" customWidth="1"/>
    <col min="5" max="5" width="14.36328125" style="488" customWidth="1"/>
    <col min="6" max="6" width="15.6328125" style="488" customWidth="1"/>
    <col min="7" max="7" width="19.6328125" style="488" customWidth="1"/>
    <col min="8" max="8" width="16" style="488" customWidth="1"/>
    <col min="9" max="9" width="13.0898437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R-HC-005</v>
      </c>
      <c r="D3" s="1367"/>
      <c r="E3" s="1367"/>
      <c r="F3" s="1367"/>
    </row>
    <row r="4" spans="1:18" ht="18.75" customHeight="1" x14ac:dyDescent="0.3">
      <c r="B4" s="490" t="s">
        <v>11</v>
      </c>
      <c r="C4" s="1367" t="str" cm="1">
        <f t="array" ref="C4">_xlfn.SWITCH(LEFT(C8,1),"R","Residential","C","Commercial","ERROR")</f>
        <v>Residential</v>
      </c>
      <c r="D4" s="1367"/>
      <c r="E4" s="1367"/>
      <c r="F4" s="1367"/>
    </row>
    <row r="5" spans="1:18" ht="44.25" customHeight="1" x14ac:dyDescent="0.3">
      <c r="B5" s="490" t="s">
        <v>408</v>
      </c>
      <c r="C5" s="1530" t="s">
        <v>208</v>
      </c>
      <c r="D5" s="1531"/>
      <c r="E5" s="1531"/>
      <c r="F5" s="1532"/>
      <c r="R5" s="488"/>
    </row>
    <row r="6" spans="1:18" ht="18.75" customHeight="1" x14ac:dyDescent="0.3">
      <c r="A6" s="573"/>
    </row>
    <row r="7" spans="1:18" ht="18.75" customHeight="1" x14ac:dyDescent="0.3">
      <c r="B7" s="1193" t="s">
        <v>507</v>
      </c>
      <c r="C7" s="493" t="s">
        <v>406</v>
      </c>
      <c r="D7" s="1366" t="s">
        <v>410</v>
      </c>
      <c r="E7" s="1366"/>
      <c r="F7" s="1366"/>
      <c r="R7" s="488"/>
    </row>
    <row r="8" spans="1:18" ht="18.75" customHeight="1" x14ac:dyDescent="0.3">
      <c r="B8" s="490" t="s">
        <v>411</v>
      </c>
      <c r="C8" s="1194" t="s">
        <v>157</v>
      </c>
      <c r="D8" s="1521"/>
      <c r="E8" s="1522"/>
      <c r="F8" s="1523"/>
      <c r="R8" s="488"/>
    </row>
    <row r="9" spans="1:18" ht="18.75" customHeight="1" x14ac:dyDescent="0.3">
      <c r="B9" s="490" t="s">
        <v>49</v>
      </c>
      <c r="C9" s="1194" t="s">
        <v>579</v>
      </c>
      <c r="D9" s="1524"/>
      <c r="E9" s="1525"/>
      <c r="F9" s="1526"/>
      <c r="R9" s="488"/>
    </row>
    <row r="10" spans="1:18" ht="18.75" customHeight="1" x14ac:dyDescent="0.3">
      <c r="B10" s="490" t="s">
        <v>412</v>
      </c>
      <c r="C10" s="1194"/>
      <c r="D10" s="1524"/>
      <c r="E10" s="1525"/>
      <c r="F10" s="1526"/>
      <c r="R10" s="488"/>
    </row>
    <row r="11" spans="1:18" ht="18.75" customHeight="1" x14ac:dyDescent="0.3">
      <c r="B11" s="490" t="s">
        <v>413</v>
      </c>
      <c r="C11" s="1194"/>
      <c r="D11" s="1524"/>
      <c r="E11" s="1525"/>
      <c r="F11" s="1526"/>
      <c r="R11" s="488"/>
    </row>
    <row r="12" spans="1:18" ht="18.75" customHeight="1" x14ac:dyDescent="0.3">
      <c r="B12" s="490" t="s">
        <v>414</v>
      </c>
      <c r="C12" s="602"/>
      <c r="D12" s="1524"/>
      <c r="E12" s="1525"/>
      <c r="F12" s="1526"/>
      <c r="R12" s="488"/>
    </row>
    <row r="13" spans="1:18" ht="18.75" customHeight="1" x14ac:dyDescent="0.3">
      <c r="B13" s="494" t="s">
        <v>415</v>
      </c>
      <c r="C13" s="495">
        <f>N43</f>
        <v>0</v>
      </c>
      <c r="D13" s="1524"/>
      <c r="E13" s="1525"/>
      <c r="F13" s="1526"/>
      <c r="R13" s="488"/>
    </row>
    <row r="14" spans="1:18" ht="18.75" customHeight="1" x14ac:dyDescent="0.3">
      <c r="B14" s="494" t="s">
        <v>416</v>
      </c>
      <c r="C14" s="495">
        <f>N42</f>
        <v>0</v>
      </c>
      <c r="D14" s="1524"/>
      <c r="E14" s="1525"/>
      <c r="F14" s="1526"/>
      <c r="R14" s="488"/>
    </row>
    <row r="15" spans="1:18" ht="18.75" customHeight="1" x14ac:dyDescent="0.3">
      <c r="B15" s="494" t="s">
        <v>417</v>
      </c>
      <c r="C15" s="495">
        <f>N44</f>
        <v>0</v>
      </c>
      <c r="D15" s="1524"/>
      <c r="E15" s="1525"/>
      <c r="F15" s="1526"/>
      <c r="R15" s="488"/>
    </row>
    <row r="16" spans="1:18" ht="18.75" customHeight="1" x14ac:dyDescent="0.3">
      <c r="B16" s="494" t="s">
        <v>418</v>
      </c>
      <c r="C16" s="496">
        <f>C37</f>
        <v>0</v>
      </c>
      <c r="D16" s="1527"/>
      <c r="E16" s="1528"/>
      <c r="F16" s="1529"/>
      <c r="R16" s="488"/>
    </row>
    <row r="17" spans="2:18" ht="18.75" customHeight="1" x14ac:dyDescent="0.3">
      <c r="B17" s="490" t="s">
        <v>48</v>
      </c>
      <c r="C17" s="1194" t="s">
        <v>509</v>
      </c>
      <c r="D17" s="1366" t="s">
        <v>419</v>
      </c>
      <c r="E17" s="1366"/>
      <c r="F17" s="1366"/>
      <c r="R17" s="488"/>
    </row>
    <row r="18" spans="2:18" ht="18.75" customHeight="1" x14ac:dyDescent="0.3">
      <c r="B18" s="490" t="s">
        <v>420</v>
      </c>
      <c r="C18" s="541">
        <v>25</v>
      </c>
      <c r="D18" s="1520" t="s">
        <v>622</v>
      </c>
      <c r="E18" s="1520"/>
      <c r="F18" s="1520"/>
      <c r="R18" s="488"/>
    </row>
    <row r="19" spans="2:18" ht="18.75" customHeight="1" x14ac:dyDescent="0.3">
      <c r="B19" s="497"/>
      <c r="C19" s="576"/>
      <c r="F19" s="489"/>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row>
    <row r="21" spans="2:18" ht="34.9" customHeight="1" x14ac:dyDescent="0.3">
      <c r="B21" s="499" t="s">
        <v>422</v>
      </c>
      <c r="C21" s="1533" t="s">
        <v>359</v>
      </c>
      <c r="D21" s="1533"/>
      <c r="E21" s="1533"/>
      <c r="F21" s="1533"/>
      <c r="G21" s="1533"/>
      <c r="H21" s="1533"/>
      <c r="I21" s="1533"/>
      <c r="J21" s="1533"/>
      <c r="K21" s="1533"/>
      <c r="L21" s="1533"/>
      <c r="M21" s="1533"/>
      <c r="N21" s="1533"/>
      <c r="O21" s="1533"/>
      <c r="P21" s="1533"/>
      <c r="Q21" s="1533"/>
      <c r="R21" s="488"/>
    </row>
    <row r="22" spans="2:18" ht="18.75" customHeight="1" x14ac:dyDescent="0.3">
      <c r="B22" s="500" t="s">
        <v>423</v>
      </c>
      <c r="C22" s="1535" t="s">
        <v>623</v>
      </c>
      <c r="D22" s="1535"/>
      <c r="E22" s="1535"/>
      <c r="F22" s="1535"/>
      <c r="G22" s="1535"/>
      <c r="H22" s="1535"/>
      <c r="I22" s="1535"/>
      <c r="J22" s="1535"/>
      <c r="K22" s="1535"/>
      <c r="L22" s="1535"/>
      <c r="M22" s="1535"/>
      <c r="N22" s="1535"/>
      <c r="O22" s="1535"/>
      <c r="P22" s="1535"/>
      <c r="Q22" s="1535"/>
      <c r="R22" s="488"/>
    </row>
    <row r="23" spans="2:18" ht="18.75" customHeight="1" x14ac:dyDescent="0.3">
      <c r="B23" s="500" t="s">
        <v>424</v>
      </c>
      <c r="C23" s="1535"/>
      <c r="D23" s="1535"/>
      <c r="E23" s="1535"/>
      <c r="F23" s="1535"/>
      <c r="G23" s="1535"/>
      <c r="H23" s="1535"/>
      <c r="I23" s="1535"/>
      <c r="J23" s="1535"/>
      <c r="K23" s="1535"/>
      <c r="L23" s="1535"/>
      <c r="M23" s="1535"/>
      <c r="N23" s="1535"/>
      <c r="O23" s="1535"/>
      <c r="P23" s="1535"/>
      <c r="Q23" s="1535"/>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Default.BuildingType.R</f>
        <v>Home - detached</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475"/>
      <c r="F33" s="1476"/>
      <c r="G33" s="1476"/>
      <c r="H33" s="1476"/>
      <c r="I33" s="1476"/>
      <c r="J33" s="1476"/>
      <c r="K33" s="1476"/>
      <c r="L33" s="1476"/>
      <c r="M33" s="1476"/>
      <c r="N33" s="1476"/>
      <c r="O33" s="1476"/>
      <c r="P33" s="1476"/>
      <c r="Q33" s="1477"/>
      <c r="R33" s="488"/>
    </row>
    <row r="34" spans="2:18" ht="42" customHeight="1" x14ac:dyDescent="0.3">
      <c r="B34" s="494" t="s">
        <v>431</v>
      </c>
      <c r="C34" s="542"/>
      <c r="D34" s="586" t="s">
        <v>430</v>
      </c>
      <c r="E34" s="1557"/>
      <c r="F34" s="1558"/>
      <c r="G34" s="1558"/>
      <c r="H34" s="1558"/>
      <c r="I34" s="1558"/>
      <c r="J34" s="1558"/>
      <c r="K34" s="1558"/>
      <c r="L34" s="1558"/>
      <c r="M34" s="1558"/>
      <c r="N34" s="1558"/>
      <c r="O34" s="1558"/>
      <c r="P34" s="1558"/>
      <c r="Q34" s="1558"/>
    </row>
    <row r="35" spans="2:18" ht="18.75" customHeight="1" x14ac:dyDescent="0.3">
      <c r="B35" s="490" t="s">
        <v>432</v>
      </c>
      <c r="C35" s="542"/>
      <c r="D35" s="586" t="s">
        <v>430</v>
      </c>
      <c r="E35" s="1475"/>
      <c r="F35" s="1476"/>
      <c r="G35" s="1476"/>
      <c r="H35" s="1476"/>
      <c r="I35" s="1476"/>
      <c r="J35" s="1476"/>
      <c r="K35" s="1476"/>
      <c r="L35" s="1476"/>
      <c r="M35" s="1476"/>
      <c r="N35" s="1476"/>
      <c r="O35" s="1476"/>
      <c r="P35" s="1476"/>
      <c r="Q35" s="1477"/>
    </row>
    <row r="36" spans="2:18" ht="18.75" customHeight="1" x14ac:dyDescent="0.3">
      <c r="B36" s="494" t="s">
        <v>433</v>
      </c>
      <c r="C36" s="504">
        <f>SUM(C33:C34)</f>
        <v>0</v>
      </c>
      <c r="D36" s="586" t="s">
        <v>430</v>
      </c>
      <c r="E36" s="1558"/>
      <c r="F36" s="1558"/>
      <c r="G36" s="1558"/>
      <c r="H36" s="1558"/>
      <c r="I36" s="1558"/>
      <c r="J36" s="1558"/>
      <c r="K36" s="1558"/>
      <c r="L36" s="1558"/>
      <c r="M36" s="1558"/>
      <c r="N36" s="1558"/>
      <c r="O36" s="1558"/>
      <c r="P36" s="1558"/>
      <c r="Q36" s="1558"/>
    </row>
    <row r="37" spans="2:18" ht="52.5" customHeight="1" x14ac:dyDescent="0.3">
      <c r="B37" s="494" t="s">
        <v>434</v>
      </c>
      <c r="C37" s="504">
        <f>IF(C27="RET",C33+(C34-C35),C34-C35)</f>
        <v>0</v>
      </c>
      <c r="D37" s="586" t="s">
        <v>430</v>
      </c>
      <c r="E37" s="1557"/>
      <c r="F37" s="1558"/>
      <c r="G37" s="1558"/>
      <c r="H37" s="1558"/>
      <c r="I37" s="1558"/>
      <c r="J37" s="1558"/>
      <c r="K37" s="1558"/>
      <c r="L37" s="1558"/>
      <c r="M37" s="1558"/>
      <c r="N37" s="1558"/>
      <c r="O37" s="1558"/>
      <c r="P37" s="1558"/>
      <c r="Q37" s="1558"/>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5">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0</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5">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5">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455</v>
      </c>
      <c r="D49" s="1505"/>
      <c r="E49" s="1505"/>
      <c r="F49" s="1505"/>
      <c r="G49" s="1505"/>
      <c r="H49" s="1505"/>
      <c r="I49" s="1505"/>
      <c r="J49" s="1505"/>
      <c r="K49" s="1505"/>
      <c r="L49" s="1505"/>
      <c r="M49" s="1506"/>
      <c r="N49" s="592"/>
      <c r="O49" s="1243" t="s">
        <v>443</v>
      </c>
      <c r="P49" s="1511"/>
      <c r="Q49" s="1511"/>
      <c r="R49" s="488"/>
    </row>
    <row r="50" spans="2:18" ht="18.75" customHeight="1" x14ac:dyDescent="0.3">
      <c r="B50" s="582" t="s">
        <v>456</v>
      </c>
      <c r="C50" s="1504" t="s">
        <v>624</v>
      </c>
      <c r="D50" s="1505"/>
      <c r="E50" s="1505"/>
      <c r="F50" s="1505"/>
      <c r="G50" s="1505"/>
      <c r="H50" s="1505"/>
      <c r="I50" s="1505"/>
      <c r="J50" s="1505"/>
      <c r="K50" s="1505"/>
      <c r="L50" s="1505"/>
      <c r="M50" s="1506"/>
      <c r="N50" s="620">
        <f>H62*H64*(H65/H63-1)/100000*D84</f>
        <v>0</v>
      </c>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c r="R53" s="488"/>
    </row>
    <row r="54" spans="2:18" ht="18.75" customHeight="1" x14ac:dyDescent="0.3">
      <c r="B54" s="582" t="s">
        <v>462</v>
      </c>
      <c r="C54" s="1504" t="s">
        <v>463</v>
      </c>
      <c r="D54" s="1505"/>
      <c r="E54" s="1505"/>
      <c r="F54" s="1505"/>
      <c r="G54" s="1505"/>
      <c r="H54" s="1505"/>
      <c r="I54" s="1505"/>
      <c r="J54" s="1505"/>
      <c r="K54" s="1505"/>
      <c r="L54" s="1505"/>
      <c r="M54" s="1506"/>
      <c r="N54" s="592"/>
      <c r="O54" s="1243" t="s">
        <v>440</v>
      </c>
      <c r="P54" s="1511"/>
      <c r="Q54" s="1511"/>
      <c r="R54" s="488"/>
    </row>
    <row r="55" spans="2:18" ht="18.75" customHeight="1" x14ac:dyDescent="0.3">
      <c r="B55" s="582" t="s">
        <v>464</v>
      </c>
      <c r="C55" s="1504" t="s">
        <v>465</v>
      </c>
      <c r="D55" s="1505"/>
      <c r="E55" s="1505"/>
      <c r="F55" s="1505"/>
      <c r="G55" s="1505"/>
      <c r="H55" s="1505"/>
      <c r="I55" s="1505"/>
      <c r="J55" s="1505"/>
      <c r="K55" s="1505"/>
      <c r="L55" s="1505"/>
      <c r="M55" s="1506"/>
      <c r="N55" s="592"/>
      <c r="O55" s="1243" t="s">
        <v>443</v>
      </c>
      <c r="P55" s="1537"/>
      <c r="Q55" s="1538"/>
      <c r="R55" s="488"/>
    </row>
    <row r="56" spans="2:18" ht="18.75" customHeight="1" x14ac:dyDescent="0.3">
      <c r="B56" s="582" t="s">
        <v>466</v>
      </c>
      <c r="C56" s="1504" t="s">
        <v>516</v>
      </c>
      <c r="D56" s="1505"/>
      <c r="E56" s="1505"/>
      <c r="F56" s="1505"/>
      <c r="G56" s="1505"/>
      <c r="H56" s="1505"/>
      <c r="I56" s="1505"/>
      <c r="J56" s="1505"/>
      <c r="K56" s="1505"/>
      <c r="L56" s="1505"/>
      <c r="M56" s="1506"/>
      <c r="N56" s="592"/>
      <c r="O56" s="1243" t="s">
        <v>446</v>
      </c>
      <c r="P56" s="1537"/>
      <c r="Q56" s="1538"/>
      <c r="R56" s="488"/>
    </row>
    <row r="57" spans="2:18" ht="18.75" customHeight="1" x14ac:dyDescent="0.3">
      <c r="B57" s="582" t="s">
        <v>468</v>
      </c>
      <c r="C57" s="1504" t="s">
        <v>469</v>
      </c>
      <c r="D57" s="1505"/>
      <c r="E57" s="1505"/>
      <c r="F57" s="1505"/>
      <c r="G57" s="1505"/>
      <c r="H57" s="1505"/>
      <c r="I57" s="1505"/>
      <c r="J57" s="1505"/>
      <c r="K57" s="1505"/>
      <c r="L57" s="1505"/>
      <c r="M57" s="1506"/>
      <c r="N57" s="592"/>
      <c r="O57" s="1243" t="s">
        <v>449</v>
      </c>
      <c r="P57" s="1511"/>
      <c r="Q57" s="1511"/>
      <c r="R57" s="488"/>
    </row>
    <row r="58" spans="2:18" ht="18.75" customHeight="1" x14ac:dyDescent="0.3">
      <c r="B58" s="599"/>
      <c r="C58" s="577"/>
      <c r="D58" s="578"/>
      <c r="E58" s="578"/>
      <c r="F58" s="578"/>
      <c r="G58" s="578"/>
      <c r="H58" s="578"/>
      <c r="I58" s="578"/>
      <c r="J58" s="578"/>
      <c r="K58" s="578"/>
      <c r="L58" s="578"/>
      <c r="M58" s="578"/>
      <c r="N58" s="578"/>
      <c r="O58" s="578"/>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506" t="s">
        <v>406</v>
      </c>
      <c r="I61" s="506" t="s">
        <v>428</v>
      </c>
      <c r="J61" s="1396" t="s">
        <v>476</v>
      </c>
      <c r="K61" s="1397"/>
      <c r="L61" s="1397"/>
      <c r="M61" s="1397"/>
      <c r="N61" s="1397"/>
      <c r="O61" s="1397"/>
      <c r="P61" s="1397"/>
      <c r="Q61" s="1398"/>
    </row>
    <row r="62" spans="2:18" ht="33" customHeight="1" x14ac:dyDescent="0.3">
      <c r="B62" s="533">
        <v>1</v>
      </c>
      <c r="C62" s="546" t="s">
        <v>530</v>
      </c>
      <c r="D62" s="1539" t="s">
        <v>531</v>
      </c>
      <c r="E62" s="1539"/>
      <c r="F62" s="604" t="str">
        <f>C28</f>
        <v>Home - detached</v>
      </c>
      <c r="G62" s="605" t="str">
        <f>C26</f>
        <v>Average</v>
      </c>
      <c r="H62" s="606">
        <f>INDEX(EFLH[#All],MATCH(F62,EFLH[[#All],[EFLH]],0),MATCH(G62,EFLH[#Headers],0))</f>
        <v>2617.8472419520012</v>
      </c>
      <c r="I62" s="1217" t="s">
        <v>532</v>
      </c>
      <c r="J62" s="1462" t="s">
        <v>533</v>
      </c>
      <c r="K62" s="1470"/>
      <c r="L62" s="1470"/>
      <c r="M62" s="1470"/>
      <c r="N62" s="1470"/>
      <c r="O62" s="1470"/>
      <c r="P62" s="1470"/>
      <c r="Q62" s="1471"/>
      <c r="R62" s="488"/>
    </row>
    <row r="63" spans="2:18" ht="30.65" customHeight="1" x14ac:dyDescent="0.3">
      <c r="B63" s="533">
        <v>2</v>
      </c>
      <c r="C63" s="546" t="s">
        <v>583</v>
      </c>
      <c r="D63" s="1539" t="s">
        <v>625</v>
      </c>
      <c r="E63" s="1539"/>
      <c r="F63" s="1217"/>
      <c r="G63" s="1217"/>
      <c r="H63" s="607">
        <f>SpaceHeatingEfficiency.R.NG</f>
        <v>0.85</v>
      </c>
      <c r="I63" s="1217" t="s">
        <v>519</v>
      </c>
      <c r="J63" s="1559" t="s">
        <v>520</v>
      </c>
      <c r="K63" s="1559"/>
      <c r="L63" s="1559"/>
      <c r="M63" s="1559"/>
      <c r="N63" s="1559"/>
      <c r="O63" s="1559"/>
      <c r="P63" s="1559"/>
      <c r="Q63" s="1559"/>
      <c r="R63" s="488"/>
    </row>
    <row r="64" spans="2:18" ht="18" customHeight="1" x14ac:dyDescent="0.3">
      <c r="B64" s="535">
        <v>3</v>
      </c>
      <c r="C64" s="551" t="s">
        <v>626</v>
      </c>
      <c r="D64" s="1543" t="s">
        <v>627</v>
      </c>
      <c r="E64" s="1543"/>
      <c r="F64" s="552"/>
      <c r="G64" s="552"/>
      <c r="H64" s="610">
        <v>1000</v>
      </c>
      <c r="I64" s="552" t="s">
        <v>536</v>
      </c>
      <c r="J64" s="1482" t="s">
        <v>537</v>
      </c>
      <c r="K64" s="1544"/>
      <c r="L64" s="1544"/>
      <c r="M64" s="1544"/>
      <c r="N64" s="1544"/>
      <c r="O64" s="1544"/>
      <c r="P64" s="1544"/>
      <c r="Q64" s="1545"/>
      <c r="R64" s="488"/>
    </row>
    <row r="65" spans="2:17" s="488" customFormat="1" ht="13.15" customHeight="1" x14ac:dyDescent="0.3">
      <c r="B65" s="533">
        <v>4</v>
      </c>
      <c r="C65" s="546" t="s">
        <v>588</v>
      </c>
      <c r="D65" s="1539" t="s">
        <v>589</v>
      </c>
      <c r="E65" s="1539"/>
      <c r="F65" s="1217"/>
      <c r="G65" s="1217" t="s">
        <v>517</v>
      </c>
      <c r="H65" s="609">
        <f>INDEX($B$97:$N$117,MATCH($H66,$C$97:$C$117,0),MATCH(G65,$B$96:$N$96,0))</f>
        <v>0.95</v>
      </c>
      <c r="I65" s="1217" t="s">
        <v>519</v>
      </c>
      <c r="J65" s="1468" t="s">
        <v>628</v>
      </c>
      <c r="K65" s="1541"/>
      <c r="L65" s="1541"/>
      <c r="M65" s="1541"/>
      <c r="N65" s="1541"/>
      <c r="O65" s="1541"/>
      <c r="P65" s="1541"/>
      <c r="Q65" s="1542"/>
    </row>
    <row r="66" spans="2:17" s="488" customFormat="1" ht="29.25" customHeight="1" x14ac:dyDescent="0.3">
      <c r="B66" s="533">
        <v>5</v>
      </c>
      <c r="C66" s="546" t="s">
        <v>629</v>
      </c>
      <c r="D66" s="1539" t="s">
        <v>630</v>
      </c>
      <c r="E66" s="1539"/>
      <c r="F66" s="1217"/>
      <c r="G66" s="1217"/>
      <c r="H66" s="554" t="s">
        <v>596</v>
      </c>
      <c r="I66" s="1217" t="s">
        <v>597</v>
      </c>
      <c r="J66" s="1468" t="s">
        <v>628</v>
      </c>
      <c r="K66" s="1541"/>
      <c r="L66" s="1541"/>
      <c r="M66" s="1541"/>
      <c r="N66" s="1541"/>
      <c r="O66" s="1541"/>
      <c r="P66" s="1541"/>
      <c r="Q66" s="1542"/>
    </row>
    <row r="67" spans="2:17" s="488" customFormat="1" ht="14.5" customHeight="1" x14ac:dyDescent="0.3">
      <c r="B67" s="533">
        <v>6</v>
      </c>
      <c r="C67" s="546"/>
      <c r="D67" s="1539"/>
      <c r="E67" s="1539"/>
      <c r="F67" s="1217"/>
      <c r="G67" s="1217"/>
      <c r="H67" s="554"/>
      <c r="I67" s="1217"/>
      <c r="J67" s="1507"/>
      <c r="K67" s="1514"/>
      <c r="L67" s="1514"/>
      <c r="M67" s="1514"/>
      <c r="N67" s="1514"/>
      <c r="O67" s="1514"/>
      <c r="P67" s="1514"/>
      <c r="Q67" s="1515"/>
    </row>
    <row r="68" spans="2:17" s="488" customFormat="1" ht="13" x14ac:dyDescent="0.3">
      <c r="B68" s="533">
        <v>7</v>
      </c>
      <c r="C68" s="546"/>
      <c r="D68" s="1539"/>
      <c r="E68" s="1539"/>
      <c r="F68" s="1217"/>
      <c r="G68" s="1217"/>
      <c r="H68" s="554"/>
      <c r="I68" s="1217"/>
      <c r="J68" s="1507"/>
      <c r="K68" s="1514"/>
      <c r="L68" s="1514"/>
      <c r="M68" s="1514"/>
      <c r="N68" s="1514"/>
      <c r="O68" s="1514"/>
      <c r="P68" s="1514"/>
      <c r="Q68" s="1515"/>
    </row>
    <row r="69" spans="2:17" s="488" customFormat="1" ht="13" x14ac:dyDescent="0.3">
      <c r="B69" s="533">
        <v>8</v>
      </c>
      <c r="C69" s="546"/>
      <c r="D69" s="1539"/>
      <c r="E69" s="1539"/>
      <c r="F69" s="1217"/>
      <c r="G69" s="1217"/>
      <c r="H69" s="605"/>
      <c r="I69" s="1217"/>
      <c r="J69" s="1468"/>
      <c r="K69" s="1478"/>
      <c r="L69" s="1478"/>
      <c r="M69" s="1478"/>
      <c r="N69" s="1478"/>
      <c r="O69" s="1478"/>
      <c r="P69" s="1478"/>
      <c r="Q69" s="1469"/>
    </row>
    <row r="70" spans="2:17" s="488" customFormat="1" ht="13" x14ac:dyDescent="0.3">
      <c r="B70" s="533">
        <v>9</v>
      </c>
      <c r="C70" s="546"/>
      <c r="D70" s="1539"/>
      <c r="E70" s="1539"/>
      <c r="F70" s="1217"/>
      <c r="G70" s="1217"/>
      <c r="H70" s="611"/>
      <c r="I70" s="1217"/>
      <c r="J70" s="1468"/>
      <c r="K70" s="1478"/>
      <c r="L70" s="1478"/>
      <c r="M70" s="1478"/>
      <c r="N70" s="1478"/>
      <c r="O70" s="1478"/>
      <c r="P70" s="1478"/>
      <c r="Q70" s="1469"/>
    </row>
    <row r="71" spans="2:17" s="488" customFormat="1" ht="13" x14ac:dyDescent="0.3">
      <c r="B71" s="533">
        <v>10</v>
      </c>
      <c r="C71" s="546"/>
      <c r="D71" s="1539"/>
      <c r="E71" s="1539"/>
      <c r="F71" s="1217"/>
      <c r="G71" s="1217"/>
      <c r="H71" s="559"/>
      <c r="I71" s="1217"/>
      <c r="J71" s="1507"/>
      <c r="K71" s="1514"/>
      <c r="L71" s="1514"/>
      <c r="M71" s="1514"/>
      <c r="N71" s="1514"/>
      <c r="O71" s="1514"/>
      <c r="P71" s="1514"/>
      <c r="Q71" s="1515"/>
    </row>
    <row r="72" spans="2:17" s="491" customFormat="1" ht="13" x14ac:dyDescent="0.3">
      <c r="B72" s="536">
        <v>11</v>
      </c>
      <c r="C72" s="555"/>
      <c r="D72" s="1437"/>
      <c r="E72" s="1438"/>
      <c r="F72" s="556"/>
      <c r="G72" s="557"/>
      <c r="H72" s="556"/>
      <c r="I72" s="557"/>
      <c r="J72" s="1437"/>
      <c r="K72" s="1448"/>
      <c r="L72" s="1448"/>
      <c r="M72" s="1448"/>
      <c r="N72" s="1448"/>
      <c r="O72" s="1448"/>
      <c r="P72" s="1448"/>
      <c r="Q72" s="1438"/>
    </row>
    <row r="73" spans="2:17" s="491" customFormat="1" ht="13" x14ac:dyDescent="0.3">
      <c r="B73" s="536">
        <v>12</v>
      </c>
      <c r="C73" s="555"/>
      <c r="D73" s="1437"/>
      <c r="E73" s="1438"/>
      <c r="F73" s="556"/>
      <c r="G73" s="557"/>
      <c r="H73" s="558"/>
      <c r="I73" s="557"/>
      <c r="J73" s="1472"/>
      <c r="K73" s="1473"/>
      <c r="L73" s="1473"/>
      <c r="M73" s="1473"/>
      <c r="N73" s="1473"/>
      <c r="O73" s="1473"/>
      <c r="P73" s="1473"/>
      <c r="Q73" s="1474"/>
    </row>
    <row r="74" spans="2:17" s="491" customFormat="1" ht="13" x14ac:dyDescent="0.3">
      <c r="B74" s="536">
        <v>13</v>
      </c>
      <c r="C74" s="555"/>
      <c r="D74" s="1437"/>
      <c r="E74" s="1438"/>
      <c r="F74" s="556"/>
      <c r="G74" s="557"/>
      <c r="H74" s="556"/>
      <c r="I74" s="557"/>
      <c r="J74" s="1472"/>
      <c r="K74" s="1473"/>
      <c r="L74" s="1473"/>
      <c r="M74" s="1473"/>
      <c r="N74" s="1473"/>
      <c r="O74" s="1473"/>
      <c r="P74" s="1473"/>
      <c r="Q74" s="1474"/>
    </row>
    <row r="75" spans="2:17" s="489" customFormat="1" ht="13.15" customHeight="1" x14ac:dyDescent="0.3">
      <c r="B75" s="536">
        <v>14</v>
      </c>
      <c r="C75" s="555"/>
      <c r="D75" s="1437"/>
      <c r="E75" s="1438"/>
      <c r="F75" s="556"/>
      <c r="G75" s="557"/>
      <c r="H75" s="556"/>
      <c r="I75" s="557"/>
      <c r="J75" s="1472"/>
      <c r="K75" s="1473"/>
      <c r="L75" s="1473"/>
      <c r="M75" s="1473"/>
      <c r="N75" s="1473"/>
      <c r="O75" s="1473"/>
      <c r="P75" s="1473"/>
      <c r="Q75" s="1474"/>
    </row>
    <row r="76" spans="2:17" s="489" customFormat="1" ht="13" x14ac:dyDescent="0.3">
      <c r="B76" s="536">
        <v>15</v>
      </c>
      <c r="C76" s="555"/>
      <c r="D76" s="1437"/>
      <c r="E76" s="1438"/>
      <c r="F76" s="556"/>
      <c r="G76" s="557"/>
      <c r="H76" s="559"/>
      <c r="I76" s="557"/>
      <c r="J76" s="1472"/>
      <c r="K76" s="1473"/>
      <c r="L76" s="1473"/>
      <c r="M76" s="1473"/>
      <c r="N76" s="1473"/>
      <c r="O76" s="1473"/>
      <c r="P76" s="1473"/>
      <c r="Q76" s="1474"/>
    </row>
    <row r="77" spans="2:17" s="488" customFormat="1" ht="18.75" customHeight="1" x14ac:dyDescent="0.3"/>
    <row r="78" spans="2:17" s="488" customFormat="1" ht="18.75" customHeight="1" x14ac:dyDescent="0.3">
      <c r="B78" s="511" t="s">
        <v>477</v>
      </c>
      <c r="C78" s="512"/>
      <c r="D78" s="512"/>
      <c r="E78" s="512"/>
      <c r="F78" s="512"/>
      <c r="G78" s="512"/>
      <c r="H78" s="513"/>
      <c r="I78" s="513"/>
      <c r="J78" s="513"/>
      <c r="K78" s="513"/>
      <c r="L78" s="513"/>
      <c r="M78" s="513"/>
      <c r="N78" s="513"/>
      <c r="O78" s="513"/>
      <c r="P78" s="513"/>
      <c r="Q78" s="514"/>
    </row>
    <row r="79" spans="2:17" s="488" customFormat="1" ht="18.75" customHeight="1" x14ac:dyDescent="0.3"/>
    <row r="80" spans="2:17" s="488" customFormat="1"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row>
    <row r="81" spans="2:17" s="488" customFormat="1" ht="13" x14ac:dyDescent="0.3">
      <c r="B81" s="533">
        <v>1</v>
      </c>
      <c r="C81" s="560"/>
      <c r="D81" s="561"/>
      <c r="E81" s="1182"/>
      <c r="F81" s="1486"/>
      <c r="G81" s="1487"/>
      <c r="H81" s="1487"/>
      <c r="I81" s="1487"/>
      <c r="J81" s="1487"/>
      <c r="K81" s="1487"/>
      <c r="L81" s="1487"/>
      <c r="M81" s="1487"/>
      <c r="N81" s="1487"/>
      <c r="O81" s="1487"/>
      <c r="P81" s="1487"/>
      <c r="Q81" s="1488"/>
    </row>
    <row r="82" spans="2:17" s="488" customFormat="1" ht="13" x14ac:dyDescent="0.3">
      <c r="B82" s="533">
        <v>2</v>
      </c>
      <c r="C82" s="560"/>
      <c r="D82" s="562"/>
      <c r="E82" s="1182"/>
      <c r="F82" s="1489"/>
      <c r="G82" s="1490"/>
      <c r="H82" s="1490"/>
      <c r="I82" s="1490"/>
      <c r="J82" s="1490"/>
      <c r="K82" s="1490"/>
      <c r="L82" s="1490"/>
      <c r="M82" s="1490"/>
      <c r="N82" s="1490"/>
      <c r="O82" s="1490"/>
      <c r="P82" s="1490"/>
      <c r="Q82" s="1491"/>
    </row>
    <row r="83" spans="2:17" s="488" customFormat="1" ht="13" x14ac:dyDescent="0.3">
      <c r="B83" s="533">
        <v>3</v>
      </c>
      <c r="C83" s="560"/>
      <c r="D83" s="562"/>
      <c r="E83" s="1182"/>
      <c r="F83" s="1489"/>
      <c r="G83" s="1490"/>
      <c r="H83" s="1490"/>
      <c r="I83" s="1490"/>
      <c r="J83" s="1490"/>
      <c r="K83" s="1490"/>
      <c r="L83" s="1490"/>
      <c r="M83" s="1490"/>
      <c r="N83" s="1490"/>
      <c r="O83" s="1490"/>
      <c r="P83" s="1490"/>
      <c r="Q83" s="1491"/>
    </row>
    <row r="84" spans="2:17" s="488" customFormat="1" ht="13" x14ac:dyDescent="0.3">
      <c r="B84" s="533">
        <v>4</v>
      </c>
      <c r="C84" s="560"/>
      <c r="D84" s="562"/>
      <c r="E84" s="1182"/>
      <c r="F84" s="1489"/>
      <c r="G84" s="1490"/>
      <c r="H84" s="1490"/>
      <c r="I84" s="1490"/>
      <c r="J84" s="1490"/>
      <c r="K84" s="1490"/>
      <c r="L84" s="1490"/>
      <c r="M84" s="1490"/>
      <c r="N84" s="1490"/>
      <c r="O84" s="1490"/>
      <c r="P84" s="1490"/>
      <c r="Q84" s="1491"/>
    </row>
    <row r="85" spans="2:17" s="488" customFormat="1" ht="13" x14ac:dyDescent="0.3">
      <c r="B85" s="533">
        <v>5</v>
      </c>
      <c r="C85" s="560"/>
      <c r="D85" s="562"/>
      <c r="E85" s="1182"/>
      <c r="F85" s="1489"/>
      <c r="G85" s="1490"/>
      <c r="H85" s="1490"/>
      <c r="I85" s="1490"/>
      <c r="J85" s="1490"/>
      <c r="K85" s="1490"/>
      <c r="L85" s="1490"/>
      <c r="M85" s="1490"/>
      <c r="N85" s="1490"/>
      <c r="O85" s="1490"/>
      <c r="P85" s="1490"/>
      <c r="Q85" s="1491"/>
    </row>
    <row r="86" spans="2:17" s="488" customFormat="1" ht="13" x14ac:dyDescent="0.3">
      <c r="B86" s="533">
        <v>6</v>
      </c>
      <c r="C86" s="563"/>
      <c r="D86" s="564"/>
      <c r="E86" s="1182"/>
      <c r="F86" s="1489"/>
      <c r="G86" s="1490"/>
      <c r="H86" s="1490"/>
      <c r="I86" s="1490"/>
      <c r="J86" s="1490"/>
      <c r="K86" s="1490"/>
      <c r="L86" s="1490"/>
      <c r="M86" s="1490"/>
      <c r="N86" s="1490"/>
      <c r="O86" s="1490"/>
      <c r="P86" s="1490"/>
      <c r="Q86" s="1491"/>
    </row>
    <row r="87" spans="2:17" s="488" customFormat="1" ht="13" x14ac:dyDescent="0.3">
      <c r="B87" s="533">
        <v>7</v>
      </c>
      <c r="C87" s="563"/>
      <c r="D87" s="1233"/>
      <c r="E87" s="1182"/>
      <c r="F87" s="1489"/>
      <c r="G87" s="1490"/>
      <c r="H87" s="1490"/>
      <c r="I87" s="1490"/>
      <c r="J87" s="1490"/>
      <c r="K87" s="1490"/>
      <c r="L87" s="1490"/>
      <c r="M87" s="1490"/>
      <c r="N87" s="1490"/>
      <c r="O87" s="1490"/>
      <c r="P87" s="1490"/>
      <c r="Q87" s="1491"/>
    </row>
    <row r="88" spans="2:17" s="488" customFormat="1" ht="13" x14ac:dyDescent="0.3">
      <c r="B88" s="533">
        <v>8</v>
      </c>
      <c r="C88" s="563"/>
      <c r="D88" s="564"/>
      <c r="E88" s="1182"/>
      <c r="F88" s="1489"/>
      <c r="G88" s="1490"/>
      <c r="H88" s="1490"/>
      <c r="I88" s="1490"/>
      <c r="J88" s="1490"/>
      <c r="K88" s="1490"/>
      <c r="L88" s="1490"/>
      <c r="M88" s="1490"/>
      <c r="N88" s="1490"/>
      <c r="O88" s="1490"/>
      <c r="P88" s="1490"/>
      <c r="Q88" s="1491"/>
    </row>
    <row r="89" spans="2:17" s="488" customFormat="1" ht="13" x14ac:dyDescent="0.3">
      <c r="B89" s="533">
        <v>9</v>
      </c>
      <c r="C89" s="563"/>
      <c r="D89" s="1233"/>
      <c r="E89" s="1182"/>
      <c r="F89" s="1489"/>
      <c r="G89" s="1490"/>
      <c r="H89" s="1490"/>
      <c r="I89" s="1490"/>
      <c r="J89" s="1490"/>
      <c r="K89" s="1490"/>
      <c r="L89" s="1490"/>
      <c r="M89" s="1490"/>
      <c r="N89" s="1490"/>
      <c r="O89" s="1490"/>
      <c r="P89" s="1490"/>
      <c r="Q89" s="1491"/>
    </row>
    <row r="90" spans="2:17" s="488" customFormat="1" ht="13" x14ac:dyDescent="0.3">
      <c r="B90" s="533">
        <v>10</v>
      </c>
      <c r="C90" s="563"/>
      <c r="D90" s="564"/>
      <c r="E90" s="1182"/>
      <c r="F90" s="1489"/>
      <c r="G90" s="1490"/>
      <c r="H90" s="1490"/>
      <c r="I90" s="1490"/>
      <c r="J90" s="1490"/>
      <c r="K90" s="1490"/>
      <c r="L90" s="1490"/>
      <c r="M90" s="1490"/>
      <c r="N90" s="1490"/>
      <c r="O90" s="1490"/>
      <c r="P90" s="1490"/>
      <c r="Q90" s="1491"/>
    </row>
    <row r="91" spans="2:17" s="488" customFormat="1" ht="18.75" customHeight="1" x14ac:dyDescent="0.3"/>
    <row r="92" spans="2:17" s="488" customFormat="1" ht="18.75" customHeight="1" x14ac:dyDescent="0.3">
      <c r="B92" s="511" t="s">
        <v>492</v>
      </c>
      <c r="C92" s="512"/>
      <c r="D92" s="512"/>
      <c r="E92" s="512"/>
      <c r="F92" s="512"/>
      <c r="G92" s="512"/>
      <c r="H92" s="513"/>
      <c r="I92" s="513"/>
      <c r="J92" s="513"/>
      <c r="K92" s="513"/>
      <c r="L92" s="513"/>
      <c r="M92" s="513"/>
      <c r="N92" s="513"/>
      <c r="O92" s="513"/>
      <c r="P92" s="513"/>
      <c r="Q92" s="514"/>
    </row>
    <row r="93" spans="2:17" s="488" customFormat="1" ht="18.75" customHeight="1" x14ac:dyDescent="0.3"/>
    <row r="94" spans="2:17" s="488" customFormat="1" ht="18.75" customHeight="1" x14ac:dyDescent="0.3">
      <c r="B94" s="523" t="s">
        <v>493</v>
      </c>
      <c r="E94" s="1402" t="s">
        <v>494</v>
      </c>
      <c r="F94" s="1403"/>
      <c r="G94" s="1403"/>
      <c r="H94" s="1403"/>
      <c r="I94" s="1403"/>
      <c r="J94" s="1403"/>
      <c r="K94" s="1403"/>
      <c r="L94" s="1403"/>
      <c r="M94" s="1403"/>
      <c r="N94" s="1403"/>
      <c r="O94" s="1404" t="s">
        <v>476</v>
      </c>
      <c r="P94" s="1405"/>
      <c r="Q94" s="1406"/>
    </row>
    <row r="95" spans="2:17" s="488" customFormat="1" ht="25.5" customHeight="1" x14ac:dyDescent="0.3">
      <c r="B95" s="1498" t="s">
        <v>631</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row>
    <row r="96" spans="2:17" s="488" customFormat="1" ht="36.75" customHeight="1" x14ac:dyDescent="0.3">
      <c r="B96" s="1188" t="s">
        <v>478</v>
      </c>
      <c r="C96" s="1402" t="s">
        <v>538</v>
      </c>
      <c r="D96" s="1431"/>
      <c r="E96" s="565" t="s">
        <v>517</v>
      </c>
      <c r="F96" s="565" t="s">
        <v>431</v>
      </c>
      <c r="G96" s="565" t="s">
        <v>432</v>
      </c>
      <c r="H96" s="565" t="s">
        <v>434</v>
      </c>
      <c r="I96" s="565"/>
      <c r="J96" s="565"/>
      <c r="K96" s="565"/>
      <c r="L96" s="565"/>
      <c r="M96" s="565"/>
      <c r="N96" s="566"/>
      <c r="O96" s="1410"/>
      <c r="P96" s="1411"/>
      <c r="Q96" s="1412"/>
    </row>
    <row r="97" spans="2:17" s="488" customFormat="1" ht="13" x14ac:dyDescent="0.3">
      <c r="B97" s="533">
        <v>1</v>
      </c>
      <c r="C97" s="1217" t="s">
        <v>632</v>
      </c>
      <c r="D97" s="1184"/>
      <c r="E97" s="554">
        <v>0.82</v>
      </c>
      <c r="F97" s="612">
        <v>3543</v>
      </c>
      <c r="G97" s="612">
        <f>F97-H97</f>
        <v>3543</v>
      </c>
      <c r="H97" s="621"/>
      <c r="I97" s="568"/>
      <c r="J97" s="568"/>
      <c r="K97" s="568"/>
      <c r="L97" s="568"/>
      <c r="M97" s="568"/>
      <c r="N97" s="568"/>
      <c r="O97" s="1501"/>
      <c r="P97" s="1502"/>
      <c r="Q97" s="1503"/>
    </row>
    <row r="98" spans="2:17" s="488" customFormat="1" ht="13" x14ac:dyDescent="0.3">
      <c r="B98" s="533">
        <v>2</v>
      </c>
      <c r="C98" s="1217" t="s">
        <v>633</v>
      </c>
      <c r="D98" s="1184"/>
      <c r="E98" s="554">
        <v>0.85</v>
      </c>
      <c r="F98" s="612">
        <v>4268</v>
      </c>
      <c r="G98" s="612">
        <f>F98-H98</f>
        <v>3543</v>
      </c>
      <c r="H98" s="612">
        <v>725</v>
      </c>
      <c r="I98" s="568"/>
      <c r="J98" s="568"/>
      <c r="K98" s="568"/>
      <c r="L98" s="568"/>
      <c r="M98" s="568"/>
      <c r="N98" s="568"/>
      <c r="O98" s="1495"/>
      <c r="P98" s="1496"/>
      <c r="Q98" s="1497"/>
    </row>
    <row r="99" spans="2:17" s="488" customFormat="1" ht="13" x14ac:dyDescent="0.3">
      <c r="B99" s="533">
        <v>3</v>
      </c>
      <c r="C99" s="1217" t="s">
        <v>600</v>
      </c>
      <c r="D99" s="1184"/>
      <c r="E99" s="554">
        <v>0.9</v>
      </c>
      <c r="F99" s="612">
        <v>4815</v>
      </c>
      <c r="G99" s="612">
        <f>F99-H99</f>
        <v>3543</v>
      </c>
      <c r="H99" s="612">
        <v>1272</v>
      </c>
      <c r="I99" s="568"/>
      <c r="J99" s="568"/>
      <c r="K99" s="568"/>
      <c r="L99" s="568"/>
      <c r="M99" s="568"/>
      <c r="N99" s="568"/>
      <c r="O99" s="1495"/>
      <c r="P99" s="1496"/>
      <c r="Q99" s="1497"/>
    </row>
    <row r="100" spans="2:17" s="488" customFormat="1" ht="13" x14ac:dyDescent="0.3">
      <c r="B100" s="533">
        <v>4</v>
      </c>
      <c r="C100" s="1217" t="s">
        <v>596</v>
      </c>
      <c r="D100" s="1184"/>
      <c r="E100" s="554">
        <v>0.95</v>
      </c>
      <c r="F100" s="612">
        <v>5328</v>
      </c>
      <c r="G100" s="612">
        <f>F100-H100</f>
        <v>3543</v>
      </c>
      <c r="H100" s="612">
        <v>1785</v>
      </c>
      <c r="I100" s="568"/>
      <c r="J100" s="568"/>
      <c r="K100" s="568"/>
      <c r="L100" s="568"/>
      <c r="M100" s="568"/>
      <c r="N100" s="568"/>
      <c r="O100" s="1495"/>
      <c r="P100" s="1496"/>
      <c r="Q100" s="1497"/>
    </row>
    <row r="101" spans="2:17" s="488" customFormat="1" ht="13" x14ac:dyDescent="0.3">
      <c r="B101" s="533">
        <v>5</v>
      </c>
      <c r="C101" s="546"/>
      <c r="D101" s="1184"/>
      <c r="E101" s="1190"/>
      <c r="F101" s="1190"/>
      <c r="G101" s="1190"/>
      <c r="H101" s="1190"/>
      <c r="I101" s="568"/>
      <c r="J101" s="568"/>
      <c r="K101" s="568"/>
      <c r="L101" s="568"/>
      <c r="M101" s="568"/>
      <c r="N101" s="568"/>
      <c r="O101" s="1495"/>
      <c r="P101" s="1496"/>
      <c r="Q101" s="1497"/>
    </row>
    <row r="102" spans="2:17" s="488" customFormat="1" ht="13" x14ac:dyDescent="0.3">
      <c r="B102" s="533">
        <v>6</v>
      </c>
      <c r="C102" s="546"/>
      <c r="D102" s="570"/>
      <c r="E102" s="1190"/>
      <c r="F102" s="622"/>
      <c r="G102" s="1190"/>
      <c r="H102" s="1190"/>
      <c r="I102" s="569"/>
      <c r="J102" s="569"/>
      <c r="K102" s="569"/>
      <c r="L102" s="569"/>
      <c r="M102" s="569"/>
      <c r="N102" s="569"/>
      <c r="O102" s="1492"/>
      <c r="P102" s="1493"/>
      <c r="Q102" s="1494"/>
    </row>
    <row r="103" spans="2:17" s="488" customFormat="1" ht="13" x14ac:dyDescent="0.3">
      <c r="B103" s="533">
        <v>7</v>
      </c>
      <c r="C103" s="546"/>
      <c r="D103" s="570"/>
      <c r="E103" s="1190"/>
      <c r="F103" s="569"/>
      <c r="G103" s="569"/>
      <c r="H103" s="1190"/>
      <c r="I103" s="569"/>
      <c r="J103" s="569"/>
      <c r="K103" s="569"/>
      <c r="L103" s="569"/>
      <c r="M103" s="569"/>
      <c r="N103" s="569"/>
      <c r="O103" s="1492"/>
      <c r="P103" s="1493"/>
      <c r="Q103" s="1494"/>
    </row>
    <row r="104" spans="2:17" s="488" customFormat="1" ht="13" x14ac:dyDescent="0.3">
      <c r="B104" s="533">
        <v>8</v>
      </c>
      <c r="C104" s="546"/>
      <c r="D104" s="570"/>
      <c r="E104" s="1190"/>
      <c r="F104" s="569"/>
      <c r="G104" s="569"/>
      <c r="H104" s="569"/>
      <c r="I104" s="569"/>
      <c r="J104" s="569"/>
      <c r="K104" s="569"/>
      <c r="L104" s="569"/>
      <c r="M104" s="569"/>
      <c r="N104" s="569"/>
      <c r="O104" s="1492"/>
      <c r="P104" s="1493"/>
      <c r="Q104" s="1494"/>
    </row>
    <row r="105" spans="2:17" s="488" customFormat="1" ht="13" x14ac:dyDescent="0.3">
      <c r="B105" s="533">
        <v>9</v>
      </c>
      <c r="C105" s="546"/>
      <c r="D105" s="570"/>
      <c r="E105" s="1190"/>
      <c r="F105" s="1217"/>
      <c r="G105" s="1217"/>
      <c r="H105" s="1217"/>
      <c r="I105" s="569"/>
      <c r="J105" s="569"/>
      <c r="K105" s="569"/>
      <c r="L105" s="569"/>
      <c r="M105" s="569"/>
      <c r="N105" s="569"/>
      <c r="O105" s="1492"/>
      <c r="P105" s="1493"/>
      <c r="Q105" s="1494"/>
    </row>
    <row r="106" spans="2:17" s="488" customFormat="1" ht="13" x14ac:dyDescent="0.3">
      <c r="B106" s="533">
        <v>10</v>
      </c>
      <c r="C106" s="546"/>
      <c r="D106" s="570"/>
      <c r="E106" s="1217"/>
      <c r="F106" s="1217"/>
      <c r="G106" s="1217"/>
      <c r="H106" s="1217"/>
      <c r="I106" s="569"/>
      <c r="J106" s="569"/>
      <c r="K106" s="569"/>
      <c r="L106" s="569"/>
      <c r="M106" s="569"/>
      <c r="N106" s="569"/>
      <c r="O106" s="1492"/>
      <c r="P106" s="1493"/>
      <c r="Q106" s="1494"/>
    </row>
    <row r="107" spans="2:17" s="488" customFormat="1" ht="13" x14ac:dyDescent="0.3">
      <c r="B107" s="533">
        <v>11</v>
      </c>
      <c r="C107" s="546"/>
      <c r="D107" s="570"/>
      <c r="E107" s="571"/>
      <c r="F107" s="1190"/>
      <c r="G107" s="571"/>
      <c r="H107" s="571"/>
      <c r="I107" s="569"/>
      <c r="J107" s="569"/>
      <c r="K107" s="569"/>
      <c r="L107" s="569"/>
      <c r="M107" s="569"/>
      <c r="N107" s="569"/>
      <c r="O107" s="1492"/>
      <c r="P107" s="1493"/>
      <c r="Q107" s="1494"/>
    </row>
    <row r="108" spans="2:17" s="488" customFormat="1" ht="13" x14ac:dyDescent="0.3">
      <c r="B108" s="533">
        <v>12</v>
      </c>
      <c r="C108" s="546"/>
      <c r="D108" s="570"/>
      <c r="E108" s="1217"/>
      <c r="F108" s="1190"/>
      <c r="G108" s="1217"/>
      <c r="H108" s="1217"/>
      <c r="I108" s="569"/>
      <c r="J108" s="569"/>
      <c r="K108" s="569"/>
      <c r="L108" s="569"/>
      <c r="M108" s="569"/>
      <c r="N108" s="569"/>
      <c r="O108" s="1492"/>
      <c r="P108" s="1493"/>
      <c r="Q108" s="1494"/>
    </row>
    <row r="109" spans="2:17" s="488" customFormat="1" ht="13" x14ac:dyDescent="0.3">
      <c r="B109" s="533">
        <v>13</v>
      </c>
      <c r="C109" s="546"/>
      <c r="D109" s="570"/>
      <c r="E109" s="1217"/>
      <c r="F109" s="1217"/>
      <c r="G109" s="1217"/>
      <c r="H109" s="1217"/>
      <c r="I109" s="569"/>
      <c r="J109" s="569"/>
      <c r="K109" s="569"/>
      <c r="L109" s="569"/>
      <c r="M109" s="569"/>
      <c r="N109" s="569"/>
      <c r="O109" s="1492"/>
      <c r="P109" s="1493"/>
      <c r="Q109" s="1494"/>
    </row>
    <row r="110" spans="2:17" s="488" customFormat="1" ht="13" x14ac:dyDescent="0.3">
      <c r="B110" s="533">
        <v>14</v>
      </c>
      <c r="C110" s="546"/>
      <c r="D110" s="570"/>
      <c r="E110" s="572"/>
      <c r="F110" s="572"/>
      <c r="G110" s="572"/>
      <c r="H110" s="572"/>
      <c r="I110" s="569"/>
      <c r="J110" s="569"/>
      <c r="K110" s="569"/>
      <c r="L110" s="569"/>
      <c r="M110" s="569"/>
      <c r="N110" s="569"/>
      <c r="O110" s="1492"/>
      <c r="P110" s="1493"/>
      <c r="Q110" s="1494"/>
    </row>
    <row r="111" spans="2:17" s="488" customFormat="1" ht="13" x14ac:dyDescent="0.3">
      <c r="B111" s="533">
        <v>15</v>
      </c>
      <c r="C111" s="546"/>
      <c r="D111" s="570"/>
      <c r="E111" s="572"/>
      <c r="F111" s="572"/>
      <c r="G111" s="572"/>
      <c r="H111" s="572"/>
      <c r="I111" s="569"/>
      <c r="J111" s="569"/>
      <c r="K111" s="569"/>
      <c r="L111" s="569"/>
      <c r="M111" s="569"/>
      <c r="N111" s="569"/>
      <c r="O111" s="1492"/>
      <c r="P111" s="1493"/>
      <c r="Q111" s="1494"/>
    </row>
    <row r="112" spans="2:17" s="488" customFormat="1" ht="13" x14ac:dyDescent="0.3">
      <c r="B112" s="533">
        <v>16</v>
      </c>
      <c r="C112" s="546"/>
      <c r="D112" s="570"/>
      <c r="E112" s="572"/>
      <c r="F112" s="572"/>
      <c r="G112" s="572"/>
      <c r="H112" s="572"/>
      <c r="I112" s="569"/>
      <c r="J112" s="569"/>
      <c r="K112" s="569"/>
      <c r="L112" s="569"/>
      <c r="M112" s="569"/>
      <c r="N112" s="569"/>
      <c r="O112" s="1492"/>
      <c r="P112" s="1493"/>
      <c r="Q112" s="1494"/>
    </row>
    <row r="113" spans="2:17" s="488" customFormat="1" ht="13" x14ac:dyDescent="0.3">
      <c r="B113" s="533">
        <v>17</v>
      </c>
      <c r="C113" s="546"/>
      <c r="D113" s="570"/>
      <c r="E113" s="572"/>
      <c r="F113" s="572"/>
      <c r="G113" s="572"/>
      <c r="H113" s="572"/>
      <c r="I113" s="569"/>
      <c r="J113" s="569"/>
      <c r="K113" s="569"/>
      <c r="L113" s="569"/>
      <c r="M113" s="569"/>
      <c r="N113" s="569"/>
      <c r="O113" s="1492"/>
      <c r="P113" s="1493"/>
      <c r="Q113" s="1494"/>
    </row>
    <row r="114" spans="2:17" s="488" customFormat="1" ht="13" x14ac:dyDescent="0.3">
      <c r="B114" s="533">
        <v>18</v>
      </c>
      <c r="C114" s="546"/>
      <c r="D114" s="570"/>
      <c r="E114" s="572"/>
      <c r="F114" s="572"/>
      <c r="G114" s="572"/>
      <c r="H114" s="572"/>
      <c r="I114" s="569"/>
      <c r="J114" s="569"/>
      <c r="K114" s="569"/>
      <c r="L114" s="569"/>
      <c r="M114" s="569"/>
      <c r="N114" s="569"/>
      <c r="O114" s="1492"/>
      <c r="P114" s="1493"/>
      <c r="Q114" s="1494"/>
    </row>
    <row r="115" spans="2:17" s="488" customFormat="1" ht="13" x14ac:dyDescent="0.3">
      <c r="B115" s="533">
        <v>19</v>
      </c>
      <c r="C115" s="546"/>
      <c r="D115" s="570"/>
      <c r="E115" s="572"/>
      <c r="F115" s="572"/>
      <c r="G115" s="572"/>
      <c r="H115" s="572"/>
      <c r="I115" s="569"/>
      <c r="J115" s="569"/>
      <c r="K115" s="569"/>
      <c r="L115" s="569"/>
      <c r="M115" s="569"/>
      <c r="N115" s="569"/>
      <c r="O115" s="1492"/>
      <c r="P115" s="1493"/>
      <c r="Q115" s="1494"/>
    </row>
    <row r="116" spans="2:17" s="488" customFormat="1" ht="13" x14ac:dyDescent="0.3">
      <c r="B116" s="533">
        <v>20</v>
      </c>
      <c r="C116" s="546"/>
      <c r="D116" s="570"/>
      <c r="E116" s="572"/>
      <c r="F116" s="572"/>
      <c r="G116" s="572"/>
      <c r="H116" s="572"/>
      <c r="I116" s="569"/>
      <c r="J116" s="569"/>
      <c r="K116" s="569"/>
      <c r="L116" s="569"/>
      <c r="M116" s="569"/>
      <c r="N116" s="569"/>
      <c r="O116" s="1492"/>
      <c r="P116" s="1493"/>
      <c r="Q116" s="1494"/>
    </row>
  </sheetData>
  <sheetProtection algorithmName="SHA-512" hashValue="8/ewGNwL8/eOG0Q5Y4RlltnRr0y1wKYKNZz2vpKmR0rCBf9QTRocng6yx1KGhIjs/2Xgrwut0/gHEbXPUnAkRw==" saltValue="dMX7MB8/wPXEiinvg3Cdig==" spinCount="100000" sheet="1" objects="1" scenarios="1" selectLockedCells="1" selectUnlockedCells="1"/>
  <mergeCells count="121">
    <mergeCell ref="O113:Q113"/>
    <mergeCell ref="O114:Q114"/>
    <mergeCell ref="O115:Q115"/>
    <mergeCell ref="O116:Q116"/>
    <mergeCell ref="O107:Q107"/>
    <mergeCell ref="O108:Q108"/>
    <mergeCell ref="O109:Q109"/>
    <mergeCell ref="O110:Q110"/>
    <mergeCell ref="O111:Q111"/>
    <mergeCell ref="O112:Q112"/>
    <mergeCell ref="O101:Q101"/>
    <mergeCell ref="O102:Q102"/>
    <mergeCell ref="O103:Q103"/>
    <mergeCell ref="O104:Q104"/>
    <mergeCell ref="O105:Q105"/>
    <mergeCell ref="O106:Q106"/>
    <mergeCell ref="B95:D95"/>
    <mergeCell ref="C96:D96"/>
    <mergeCell ref="O97:Q97"/>
    <mergeCell ref="O98:Q98"/>
    <mergeCell ref="O99:Q99"/>
    <mergeCell ref="O100:Q100"/>
    <mergeCell ref="F86:Q86"/>
    <mergeCell ref="F87:Q87"/>
    <mergeCell ref="F88:Q88"/>
    <mergeCell ref="F89:Q89"/>
    <mergeCell ref="F90:Q90"/>
    <mergeCell ref="E94:N94"/>
    <mergeCell ref="O94:Q96"/>
    <mergeCell ref="F80:Q80"/>
    <mergeCell ref="F81:Q81"/>
    <mergeCell ref="F82:Q82"/>
    <mergeCell ref="F83:Q83"/>
    <mergeCell ref="F84:Q84"/>
    <mergeCell ref="F85:Q85"/>
    <mergeCell ref="D67:E67"/>
    <mergeCell ref="J67:Q67"/>
    <mergeCell ref="D74:E74"/>
    <mergeCell ref="J74:Q74"/>
    <mergeCell ref="D75:E75"/>
    <mergeCell ref="J75:Q75"/>
    <mergeCell ref="D76:E76"/>
    <mergeCell ref="J76:Q76"/>
    <mergeCell ref="D71:E71"/>
    <mergeCell ref="J71:Q71"/>
    <mergeCell ref="D72:E72"/>
    <mergeCell ref="J72:Q72"/>
    <mergeCell ref="D73:E73"/>
    <mergeCell ref="J73:Q73"/>
    <mergeCell ref="D68:E68"/>
    <mergeCell ref="J68:Q68"/>
    <mergeCell ref="D69:E69"/>
    <mergeCell ref="J69:Q69"/>
    <mergeCell ref="D70:E70"/>
    <mergeCell ref="J70:Q70"/>
    <mergeCell ref="D66:E66"/>
    <mergeCell ref="J66:Q66"/>
    <mergeCell ref="D62:E62"/>
    <mergeCell ref="J62:Q62"/>
    <mergeCell ref="D63:E63"/>
    <mergeCell ref="J63:Q63"/>
    <mergeCell ref="C56:M56"/>
    <mergeCell ref="P56:Q56"/>
    <mergeCell ref="C57:M57"/>
    <mergeCell ref="P57:Q57"/>
    <mergeCell ref="D61:E61"/>
    <mergeCell ref="J61:Q61"/>
    <mergeCell ref="D64:E64"/>
    <mergeCell ref="J64:Q64"/>
    <mergeCell ref="D65:E65"/>
    <mergeCell ref="J65:Q65"/>
    <mergeCell ref="C53:M53"/>
    <mergeCell ref="P53:Q53"/>
    <mergeCell ref="C54:M54"/>
    <mergeCell ref="P54:Q54"/>
    <mergeCell ref="C55:M55"/>
    <mergeCell ref="P55:Q55"/>
    <mergeCell ref="C49:M49"/>
    <mergeCell ref="P49:Q49"/>
    <mergeCell ref="C50:M50"/>
    <mergeCell ref="P50:Q50"/>
    <mergeCell ref="C51:M51"/>
    <mergeCell ref="P51:Q51"/>
    <mergeCell ref="C45:M45"/>
    <mergeCell ref="P45:Q45"/>
    <mergeCell ref="C47:M47"/>
    <mergeCell ref="P47:Q47"/>
    <mergeCell ref="C48:M48"/>
    <mergeCell ref="P48:Q48"/>
    <mergeCell ref="C42:M42"/>
    <mergeCell ref="P42:Q42"/>
    <mergeCell ref="C43:M43"/>
    <mergeCell ref="P43:Q43"/>
    <mergeCell ref="C44:M44"/>
    <mergeCell ref="P44:Q44"/>
    <mergeCell ref="E34:Q34"/>
    <mergeCell ref="E35:Q35"/>
    <mergeCell ref="E36:Q36"/>
    <mergeCell ref="E37:Q37"/>
    <mergeCell ref="C41:M41"/>
    <mergeCell ref="P41:Q41"/>
    <mergeCell ref="D25:Q25"/>
    <mergeCell ref="D26:Q26"/>
    <mergeCell ref="D27:Q27"/>
    <mergeCell ref="D28:Q28"/>
    <mergeCell ref="E32:Q32"/>
    <mergeCell ref="E33:Q33"/>
    <mergeCell ref="D29:Q29"/>
    <mergeCell ref="D30:Q30"/>
    <mergeCell ref="D17:F17"/>
    <mergeCell ref="D18:F18"/>
    <mergeCell ref="B20:Q20"/>
    <mergeCell ref="C21:Q21"/>
    <mergeCell ref="C22:Q22"/>
    <mergeCell ref="C23:Q23"/>
    <mergeCell ref="C2:F2"/>
    <mergeCell ref="C3:F3"/>
    <mergeCell ref="C4:F4"/>
    <mergeCell ref="C5:F5"/>
    <mergeCell ref="D7:F7"/>
    <mergeCell ref="D8:F16"/>
  </mergeCells>
  <conditionalFormatting sqref="H71">
    <cfRule type="expression" dxfId="4150" priority="38">
      <formula>IF(OR(#REF!="L",#REF!="C"),TRUE,FALSE)</formula>
    </cfRule>
  </conditionalFormatting>
  <conditionalFormatting sqref="H69">
    <cfRule type="expression" dxfId="4149" priority="37">
      <formula>IF(OR(#REF!="L",#REF!="C"),TRUE,FALSE)</formula>
    </cfRule>
  </conditionalFormatting>
  <conditionalFormatting sqref="H70">
    <cfRule type="expression" dxfId="4148" priority="36">
      <formula>IF(OR(#REF!="L",#REF!="C"),TRUE,FALSE)</formula>
    </cfRule>
  </conditionalFormatting>
  <conditionalFormatting sqref="F109:F116 G102:G116 H104:H116">
    <cfRule type="expression" dxfId="4147" priority="35">
      <formula>IF(OR(#REF!="L",#REF!="C"),TRUE,FALSE)</formula>
    </cfRule>
  </conditionalFormatting>
  <conditionalFormatting sqref="E110:E116">
    <cfRule type="expression" dxfId="4146" priority="34">
      <formula>IF(OR(#REF!="L",#REF!="C"),TRUE,FALSE)</formula>
    </cfRule>
  </conditionalFormatting>
  <conditionalFormatting sqref="E107">
    <cfRule type="expression" dxfId="4145" priority="33">
      <formula>IF(OR(#REF!="L",#REF!="C"),TRUE,FALSE)</formula>
    </cfRule>
  </conditionalFormatting>
  <conditionalFormatting sqref="E108">
    <cfRule type="expression" dxfId="4144" priority="32">
      <formula>IF(OR(#REF!="L",#REF!="C"),TRUE,FALSE)</formula>
    </cfRule>
  </conditionalFormatting>
  <conditionalFormatting sqref="E109">
    <cfRule type="expression" dxfId="4143" priority="31">
      <formula>IF(OR(#REF!="L",#REF!="C"),TRUE,FALSE)</formula>
    </cfRule>
  </conditionalFormatting>
  <conditionalFormatting sqref="E106">
    <cfRule type="expression" dxfId="4142" priority="30">
      <formula>IF(OR(#REF!="L",#REF!="C"),TRUE,FALSE)</formula>
    </cfRule>
  </conditionalFormatting>
  <conditionalFormatting sqref="E95 G95 I95 K95 M95">
    <cfRule type="duplicateValues" dxfId="4141" priority="29"/>
  </conditionalFormatting>
  <conditionalFormatting sqref="M104:M116">
    <cfRule type="expression" dxfId="4140" priority="19">
      <formula>IF(OR(#REF!="L",#REF!="C"),TRUE,FALSE)</formula>
    </cfRule>
  </conditionalFormatting>
  <conditionalFormatting sqref="F102:F106">
    <cfRule type="expression" dxfId="4139" priority="28">
      <formula>IF(OR(#REF!="L",#REF!="C"),TRUE,FALSE)</formula>
    </cfRule>
  </conditionalFormatting>
  <conditionalFormatting sqref="I102:I103">
    <cfRule type="expression" dxfId="4138" priority="26">
      <formula>IF(OR(#REF!="L",#REF!="C"),TRUE,FALSE)</formula>
    </cfRule>
  </conditionalFormatting>
  <conditionalFormatting sqref="N102:N103">
    <cfRule type="expression" dxfId="4137" priority="16">
      <formula>IF(OR(#REF!="L",#REF!="C"),TRUE,FALSE)</formula>
    </cfRule>
  </conditionalFormatting>
  <conditionalFormatting sqref="I104:I116">
    <cfRule type="expression" dxfId="4136" priority="27">
      <formula>IF(OR(#REF!="L",#REF!="C"),TRUE,FALSE)</formula>
    </cfRule>
  </conditionalFormatting>
  <conditionalFormatting sqref="J102:J103">
    <cfRule type="expression" dxfId="4135" priority="24">
      <formula>IF(OR(#REF!="L",#REF!="C"),TRUE,FALSE)</formula>
    </cfRule>
  </conditionalFormatting>
  <conditionalFormatting sqref="J104:J116">
    <cfRule type="expression" dxfId="4134" priority="25">
      <formula>IF(OR(#REF!="L",#REF!="C"),TRUE,FALSE)</formula>
    </cfRule>
  </conditionalFormatting>
  <conditionalFormatting sqref="K102:K103">
    <cfRule type="expression" dxfId="4133" priority="22">
      <formula>IF(OR(#REF!="L",#REF!="C"),TRUE,FALSE)</formula>
    </cfRule>
  </conditionalFormatting>
  <conditionalFormatting sqref="K104:K116">
    <cfRule type="expression" dxfId="4132" priority="23">
      <formula>IF(OR(#REF!="L",#REF!="C"),TRUE,FALSE)</formula>
    </cfRule>
  </conditionalFormatting>
  <conditionalFormatting sqref="L102:L103">
    <cfRule type="expression" dxfId="4131" priority="20">
      <formula>IF(OR(#REF!="L",#REF!="C"),TRUE,FALSE)</formula>
    </cfRule>
  </conditionalFormatting>
  <conditionalFormatting sqref="L104:L116">
    <cfRule type="expression" dxfId="4130" priority="21">
      <formula>IF(OR(#REF!="L",#REF!="C"),TRUE,FALSE)</formula>
    </cfRule>
  </conditionalFormatting>
  <conditionalFormatting sqref="M102:M103">
    <cfRule type="expression" dxfId="4129" priority="18">
      <formula>IF(OR(#REF!="L",#REF!="C"),TRUE,FALSE)</formula>
    </cfRule>
  </conditionalFormatting>
  <conditionalFormatting sqref="N104:N116">
    <cfRule type="expression" dxfId="4128" priority="17">
      <formula>IF(OR(#REF!="L",#REF!="C"),TRUE,FALSE)</formula>
    </cfRule>
  </conditionalFormatting>
  <conditionalFormatting sqref="O104:O116">
    <cfRule type="expression" dxfId="4127" priority="15">
      <formula>IF(OR(#REF!="L",#REF!="C"),TRUE,FALSE)</formula>
    </cfRule>
  </conditionalFormatting>
  <conditionalFormatting sqref="O102:O103">
    <cfRule type="expression" dxfId="4126" priority="14">
      <formula>IF(OR(#REF!="L",#REF!="C"),TRUE,FALSE)</formula>
    </cfRule>
  </conditionalFormatting>
  <conditionalFormatting sqref="E96:F96">
    <cfRule type="duplicateValues" dxfId="4125" priority="12"/>
  </conditionalFormatting>
  <conditionalFormatting sqref="H68">
    <cfRule type="expression" dxfId="4124" priority="11">
      <formula>IF(OR(#REF!="L",#REF!="C"),TRUE,FALSE)</formula>
    </cfRule>
  </conditionalFormatting>
  <conditionalFormatting sqref="H64">
    <cfRule type="expression" dxfId="4123" priority="10">
      <formula>IF(OR(#REF!="L",#REF!="C"),TRUE,FALSE)</formula>
    </cfRule>
  </conditionalFormatting>
  <conditionalFormatting sqref="H66">
    <cfRule type="expression" dxfId="4122" priority="9">
      <formula>IF(OR(#REF!="L",#REF!="C"),TRUE,FALSE)</formula>
    </cfRule>
  </conditionalFormatting>
  <conditionalFormatting sqref="H72">
    <cfRule type="expression" dxfId="4121" priority="8">
      <formula>IF(OR(#REF!="L",#REF!="C"),TRUE,FALSE)</formula>
    </cfRule>
  </conditionalFormatting>
  <conditionalFormatting sqref="H73">
    <cfRule type="expression" dxfId="4120" priority="7">
      <formula>IF(OR(#REF!="L",#REF!="C"),TRUE,FALSE)</formula>
    </cfRule>
  </conditionalFormatting>
  <conditionalFormatting sqref="H74">
    <cfRule type="expression" dxfId="4119" priority="6">
      <formula>IF(OR(#REF!="L",#REF!="C"),TRUE,FALSE)</formula>
    </cfRule>
  </conditionalFormatting>
  <conditionalFormatting sqref="H75">
    <cfRule type="expression" dxfId="4118" priority="5">
      <formula>IF(OR(#REF!="L",#REF!="C"),TRUE,FALSE)</formula>
    </cfRule>
  </conditionalFormatting>
  <conditionalFormatting sqref="H76">
    <cfRule type="expression" dxfId="4117" priority="4">
      <formula>IF(OR(#REF!="L",#REF!="C"),TRUE,FALSE)</formula>
    </cfRule>
  </conditionalFormatting>
  <conditionalFormatting sqref="H67">
    <cfRule type="expression" dxfId="4116" priority="3">
      <formula>IF(OR(#REF!="L",#REF!="C"),TRUE,FALSE)</formula>
    </cfRule>
  </conditionalFormatting>
  <conditionalFormatting sqref="G96">
    <cfRule type="duplicateValues" dxfId="4115" priority="2"/>
  </conditionalFormatting>
  <conditionalFormatting sqref="J96:N96 H96">
    <cfRule type="duplicateValues" dxfId="4114" priority="159"/>
  </conditionalFormatting>
  <conditionalFormatting sqref="I96">
    <cfRule type="duplicateValues" dxfId="4113" priority="1"/>
  </conditionalFormatting>
  <dataValidations count="8">
    <dataValidation type="list" allowBlank="1" showInputMessage="1" showErrorMessage="1" sqref="F72:F74" xr:uid="{8A1606B3-658D-404D-862F-D832EF520133}">
      <formula1>$C$102:$C$107</formula1>
    </dataValidation>
    <dataValidation type="list" allowBlank="1" showInputMessage="1" showErrorMessage="1" sqref="C4" xr:uid="{883D0BE9-235B-4956-BB0E-8AF51997EE67}">
      <formula1>"COM,RES"</formula1>
    </dataValidation>
    <dataValidation type="list" allowBlank="1" showInputMessage="1" showErrorMessage="1" sqref="H66" xr:uid="{FC5B65EB-38F4-42E4-99F8-2387A45F1617}">
      <formula1>$C$97:$C$116</formula1>
    </dataValidation>
    <dataValidation type="list" allowBlank="1" showInputMessage="1" showErrorMessage="1" sqref="C9" xr:uid="{BAFFFFF4-9DB8-476C-806A-61E93CBAF329}">
      <formula1>INDIRECT("MeasureTypeList[Index]")</formula1>
    </dataValidation>
    <dataValidation type="list" allowBlank="1" showInputMessage="1" showErrorMessage="1" sqref="C26" xr:uid="{476F7768-0E54-4505-9A66-50BA7AEC6CE4}">
      <formula1>INDIRECT("RegionList[Index]")</formula1>
    </dataValidation>
    <dataValidation type="list" allowBlank="1" showInputMessage="1" showErrorMessage="1" sqref="C27" xr:uid="{56A81856-BBE7-482B-9DAB-5A1B755ACDA4}">
      <formula1>INDIRECT("ReplacementTypeList[Index]")</formula1>
    </dataValidation>
    <dataValidation type="list" allowBlank="1" showInputMessage="1" showErrorMessage="1" sqref="C28" xr:uid="{C191895F-34B0-487B-962C-C66640746EEF}">
      <formula1>INDIRECT("BuildingType[Building]")</formula1>
    </dataValidation>
    <dataValidation type="list" allowBlank="1" showInputMessage="1" showErrorMessage="1" sqref="C29 C30" xr:uid="{6B0DCEA1-5140-4A0E-9987-E2B82D697764}">
      <formula1>INDIRECT("FuelTypeList[Index]")</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DAAD8-B0AC-46DF-92D6-F789610DD5E7}">
  <sheetPr codeName="Sheet415"/>
  <dimension ref="A2:R116"/>
  <sheetViews>
    <sheetView workbookViewId="0">
      <selection activeCell="C13" sqref="C13"/>
    </sheetView>
  </sheetViews>
  <sheetFormatPr defaultColWidth="9.08984375" defaultRowHeight="18.75" customHeight="1" x14ac:dyDescent="0.3"/>
  <cols>
    <col min="1" max="1" width="2.36328125" style="488" customWidth="1"/>
    <col min="2" max="2" width="44.36328125" style="488" bestFit="1" customWidth="1"/>
    <col min="3" max="3" width="25.08984375" style="488" customWidth="1"/>
    <col min="4" max="4" width="21.6328125" style="488" customWidth="1"/>
    <col min="5" max="5" width="14.36328125" style="488" customWidth="1"/>
    <col min="6" max="6" width="15.6328125" style="488" customWidth="1"/>
    <col min="7" max="7" width="19.6328125" style="488" customWidth="1"/>
    <col min="8" max="8" width="16" style="488" customWidth="1"/>
    <col min="9" max="9" width="12.816406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623" customWidth="1"/>
    <col min="19" max="19" width="9.08984375" style="488"/>
    <col min="20" max="20" width="8.6328125" style="488" customWidth="1"/>
    <col min="21" max="16384" width="9.08984375" style="488"/>
  </cols>
  <sheetData>
    <row r="2" spans="1:18" ht="18.75" customHeight="1" x14ac:dyDescent="0.3">
      <c r="B2" s="1203" t="s">
        <v>506</v>
      </c>
      <c r="C2" s="1608" t="s">
        <v>406</v>
      </c>
      <c r="D2" s="1608"/>
      <c r="E2" s="1608"/>
      <c r="F2" s="1608"/>
    </row>
    <row r="3" spans="1:18" ht="18.75" customHeight="1" x14ac:dyDescent="0.3">
      <c r="B3" s="624" t="s">
        <v>407</v>
      </c>
      <c r="C3" s="1367" t="str">
        <f>IF(ISBLANK(C8)+ISBLANK(C10),C8,C8&amp;"_"&amp;C10)</f>
        <v>R-HC-006</v>
      </c>
      <c r="D3" s="1367"/>
      <c r="E3" s="1367"/>
      <c r="F3" s="1367"/>
    </row>
    <row r="4" spans="1:18" ht="18.75" customHeight="1" x14ac:dyDescent="0.3">
      <c r="B4" s="624" t="s">
        <v>11</v>
      </c>
      <c r="C4" s="1367" t="str" cm="1">
        <f t="array" ref="C4">_xlfn.SWITCH(LEFT(C8,1),"R","Residential","C","Commercial","ERROR")</f>
        <v>Residential</v>
      </c>
      <c r="D4" s="1367"/>
      <c r="E4" s="1367"/>
      <c r="F4" s="1367"/>
    </row>
    <row r="5" spans="1:18" ht="44.25" customHeight="1" x14ac:dyDescent="0.3">
      <c r="B5" s="624" t="s">
        <v>408</v>
      </c>
      <c r="C5" s="1530" t="s">
        <v>361</v>
      </c>
      <c r="D5" s="1531"/>
      <c r="E5" s="1531"/>
      <c r="F5" s="1532"/>
      <c r="R5" s="488"/>
    </row>
    <row r="6" spans="1:18" ht="18.75" customHeight="1" x14ac:dyDescent="0.3">
      <c r="A6" s="573"/>
    </row>
    <row r="7" spans="1:18" ht="18.75" customHeight="1" x14ac:dyDescent="0.3">
      <c r="B7" s="1203" t="s">
        <v>507</v>
      </c>
      <c r="C7" s="625" t="s">
        <v>406</v>
      </c>
      <c r="D7" s="1608" t="s">
        <v>410</v>
      </c>
      <c r="E7" s="1608"/>
      <c r="F7" s="1608"/>
      <c r="R7" s="488"/>
    </row>
    <row r="8" spans="1:18" ht="18.75" customHeight="1" x14ac:dyDescent="0.3">
      <c r="B8" s="624" t="s">
        <v>411</v>
      </c>
      <c r="C8" s="1194" t="s">
        <v>159</v>
      </c>
      <c r="D8" s="1613"/>
      <c r="E8" s="1614"/>
      <c r="F8" s="1615"/>
      <c r="R8" s="488"/>
    </row>
    <row r="9" spans="1:18" ht="18.75" customHeight="1" x14ac:dyDescent="0.3">
      <c r="B9" s="624" t="s">
        <v>49</v>
      </c>
      <c r="C9" s="1194" t="s">
        <v>579</v>
      </c>
      <c r="D9" s="1616"/>
      <c r="E9" s="1617"/>
      <c r="F9" s="1618"/>
      <c r="R9" s="488"/>
    </row>
    <row r="10" spans="1:18" ht="18.75" customHeight="1" x14ac:dyDescent="0.3">
      <c r="B10" s="624" t="s">
        <v>412</v>
      </c>
      <c r="C10" s="1194"/>
      <c r="D10" s="1616"/>
      <c r="E10" s="1617"/>
      <c r="F10" s="1618"/>
      <c r="R10" s="488"/>
    </row>
    <row r="11" spans="1:18" ht="18.75" customHeight="1" x14ac:dyDescent="0.3">
      <c r="B11" s="624" t="s">
        <v>413</v>
      </c>
      <c r="C11" s="1194"/>
      <c r="D11" s="1616"/>
      <c r="E11" s="1617"/>
      <c r="F11" s="1618"/>
      <c r="R11" s="488"/>
    </row>
    <row r="12" spans="1:18" ht="18.75" customHeight="1" x14ac:dyDescent="0.3">
      <c r="B12" s="624" t="s">
        <v>414</v>
      </c>
      <c r="C12" s="602"/>
      <c r="D12" s="1616"/>
      <c r="E12" s="1617"/>
      <c r="F12" s="1618"/>
      <c r="R12" s="488"/>
    </row>
    <row r="13" spans="1:18" ht="18.75" customHeight="1" x14ac:dyDescent="0.3">
      <c r="B13" s="626" t="s">
        <v>415</v>
      </c>
      <c r="C13" s="495">
        <f>N43</f>
        <v>65.512675789968512</v>
      </c>
      <c r="D13" s="1616"/>
      <c r="E13" s="1617"/>
      <c r="F13" s="1618"/>
      <c r="R13" s="488"/>
    </row>
    <row r="14" spans="1:18" ht="18.75" customHeight="1" x14ac:dyDescent="0.3">
      <c r="B14" s="626" t="s">
        <v>416</v>
      </c>
      <c r="C14" s="495">
        <f>N42</f>
        <v>0</v>
      </c>
      <c r="D14" s="1616"/>
      <c r="E14" s="1617"/>
      <c r="F14" s="1618"/>
      <c r="R14" s="488"/>
    </row>
    <row r="15" spans="1:18" ht="18.75" customHeight="1" x14ac:dyDescent="0.3">
      <c r="B15" s="626" t="s">
        <v>417</v>
      </c>
      <c r="C15" s="495">
        <f>N44</f>
        <v>0</v>
      </c>
      <c r="D15" s="1616"/>
      <c r="E15" s="1617"/>
      <c r="F15" s="1618"/>
      <c r="R15" s="488"/>
    </row>
    <row r="16" spans="1:18" ht="18.75" customHeight="1" x14ac:dyDescent="0.3">
      <c r="B16" s="626" t="s">
        <v>418</v>
      </c>
      <c r="C16" s="496">
        <f>C37</f>
        <v>0</v>
      </c>
      <c r="D16" s="1619"/>
      <c r="E16" s="1620"/>
      <c r="F16" s="1621"/>
      <c r="R16" s="488"/>
    </row>
    <row r="17" spans="2:18" ht="18.75" customHeight="1" x14ac:dyDescent="0.3">
      <c r="B17" s="624" t="s">
        <v>48</v>
      </c>
      <c r="C17" s="1194" t="s">
        <v>509</v>
      </c>
      <c r="D17" s="1608" t="s">
        <v>419</v>
      </c>
      <c r="E17" s="1608"/>
      <c r="F17" s="1608"/>
      <c r="R17" s="488"/>
    </row>
    <row r="18" spans="2:18" ht="18.75" customHeight="1" x14ac:dyDescent="0.3">
      <c r="B18" s="624" t="s">
        <v>420</v>
      </c>
      <c r="C18" s="541">
        <v>16</v>
      </c>
      <c r="D18" s="1520" t="s">
        <v>634</v>
      </c>
      <c r="E18" s="1520"/>
      <c r="F18" s="1520"/>
      <c r="R18" s="488"/>
    </row>
    <row r="19" spans="2:18" ht="18.75" customHeight="1" x14ac:dyDescent="0.3">
      <c r="B19" s="627"/>
      <c r="C19" s="576"/>
      <c r="F19" s="623"/>
      <c r="R19" s="488"/>
    </row>
    <row r="20" spans="2:18" ht="18.75" customHeight="1" x14ac:dyDescent="0.3">
      <c r="B20" s="1609" t="s">
        <v>421</v>
      </c>
      <c r="C20" s="1609"/>
      <c r="D20" s="1609"/>
      <c r="E20" s="1609"/>
      <c r="F20" s="1609"/>
      <c r="G20" s="1609"/>
      <c r="H20" s="1609"/>
      <c r="I20" s="1609"/>
      <c r="J20" s="1609"/>
      <c r="K20" s="1609"/>
      <c r="L20" s="1609"/>
      <c r="M20" s="1609"/>
      <c r="N20" s="1609"/>
      <c r="O20" s="1609"/>
      <c r="P20" s="1609"/>
      <c r="Q20" s="1609"/>
      <c r="R20" s="488"/>
    </row>
    <row r="21" spans="2:18" ht="18.75" customHeight="1" x14ac:dyDescent="0.3">
      <c r="B21" s="628" t="s">
        <v>422</v>
      </c>
      <c r="C21" s="1610" t="s">
        <v>362</v>
      </c>
      <c r="D21" s="1611"/>
      <c r="E21" s="1611"/>
      <c r="F21" s="1611"/>
      <c r="G21" s="1611"/>
      <c r="H21" s="1611"/>
      <c r="I21" s="1611"/>
      <c r="J21" s="1611"/>
      <c r="K21" s="1611"/>
      <c r="L21" s="1611"/>
      <c r="M21" s="1611"/>
      <c r="N21" s="1611"/>
      <c r="O21" s="1611"/>
      <c r="P21" s="1611"/>
      <c r="Q21" s="1612"/>
      <c r="R21" s="488"/>
    </row>
    <row r="22" spans="2:18" ht="18.75" customHeight="1" x14ac:dyDescent="0.3">
      <c r="B22" s="628" t="s">
        <v>423</v>
      </c>
      <c r="C22" s="1610" t="s">
        <v>363</v>
      </c>
      <c r="D22" s="1611"/>
      <c r="E22" s="1611"/>
      <c r="F22" s="1611"/>
      <c r="G22" s="1611"/>
      <c r="H22" s="1611"/>
      <c r="I22" s="1611"/>
      <c r="J22" s="1611"/>
      <c r="K22" s="1611"/>
      <c r="L22" s="1611"/>
      <c r="M22" s="1611"/>
      <c r="N22" s="1611"/>
      <c r="O22" s="1611"/>
      <c r="P22" s="1611"/>
      <c r="Q22" s="1612"/>
      <c r="R22" s="488"/>
    </row>
    <row r="23" spans="2:18" ht="18.75" customHeight="1" x14ac:dyDescent="0.3">
      <c r="B23" s="628" t="s">
        <v>424</v>
      </c>
      <c r="C23" s="1610"/>
      <c r="D23" s="1611"/>
      <c r="E23" s="1611"/>
      <c r="F23" s="1611"/>
      <c r="G23" s="1611"/>
      <c r="H23" s="1611"/>
      <c r="I23" s="1611"/>
      <c r="J23" s="1611"/>
      <c r="K23" s="1611"/>
      <c r="L23" s="1611"/>
      <c r="M23" s="1611"/>
      <c r="N23" s="1611"/>
      <c r="O23" s="1611"/>
      <c r="P23" s="1611"/>
      <c r="Q23" s="1612"/>
      <c r="R23" s="488"/>
    </row>
    <row r="25" spans="2:18" ht="18.75" customHeight="1" x14ac:dyDescent="0.3">
      <c r="B25" s="1203" t="s">
        <v>425</v>
      </c>
      <c r="C25" s="625" t="s">
        <v>406</v>
      </c>
      <c r="D25" s="1607" t="s">
        <v>421</v>
      </c>
      <c r="E25" s="1607"/>
      <c r="F25" s="1607"/>
      <c r="G25" s="1607"/>
      <c r="H25" s="1607"/>
      <c r="I25" s="1607"/>
      <c r="J25" s="1607"/>
      <c r="K25" s="1607"/>
      <c r="L25" s="1607"/>
      <c r="M25" s="1607"/>
      <c r="N25" s="1607"/>
      <c r="O25" s="1607"/>
      <c r="P25" s="1607"/>
      <c r="Q25" s="1607"/>
      <c r="R25" s="488"/>
    </row>
    <row r="26" spans="2:18" ht="18.75" customHeight="1" x14ac:dyDescent="0.3">
      <c r="B26" s="624"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624"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624" t="s">
        <v>54</v>
      </c>
      <c r="C28" s="539" t="str">
        <f>Default.BuildingType.R</f>
        <v>Home - detached</v>
      </c>
      <c r="D28" s="1386"/>
      <c r="E28" s="1386"/>
      <c r="F28" s="1386"/>
      <c r="G28" s="1386"/>
      <c r="H28" s="1386"/>
      <c r="I28" s="1386"/>
      <c r="J28" s="1386"/>
      <c r="K28" s="1386"/>
      <c r="L28" s="1386"/>
      <c r="M28" s="1386"/>
      <c r="N28" s="1386"/>
      <c r="O28" s="1386"/>
      <c r="P28" s="1386"/>
      <c r="Q28" s="1386"/>
      <c r="R28" s="488"/>
    </row>
    <row r="29" spans="2:18" ht="18.75" customHeight="1" x14ac:dyDescent="0.3">
      <c r="B29" s="624"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624"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203" t="s">
        <v>427</v>
      </c>
      <c r="C32" s="1202" t="s">
        <v>406</v>
      </c>
      <c r="D32" s="625" t="s">
        <v>428</v>
      </c>
      <c r="E32" s="1607" t="s">
        <v>419</v>
      </c>
      <c r="F32" s="1607"/>
      <c r="G32" s="1607"/>
      <c r="H32" s="1607"/>
      <c r="I32" s="1607"/>
      <c r="J32" s="1607"/>
      <c r="K32" s="1607"/>
      <c r="L32" s="1607"/>
      <c r="M32" s="1607"/>
      <c r="N32" s="1607"/>
      <c r="O32" s="1607"/>
      <c r="P32" s="1607"/>
      <c r="Q32" s="1607"/>
    </row>
    <row r="33" spans="2:18" ht="13" x14ac:dyDescent="0.3">
      <c r="B33" s="624" t="s">
        <v>429</v>
      </c>
      <c r="C33" s="640"/>
      <c r="D33" s="586" t="s">
        <v>430</v>
      </c>
      <c r="E33" s="1604"/>
      <c r="F33" s="1605"/>
      <c r="G33" s="1605"/>
      <c r="H33" s="1605"/>
      <c r="I33" s="1605"/>
      <c r="J33" s="1605"/>
      <c r="K33" s="1605"/>
      <c r="L33" s="1605"/>
      <c r="M33" s="1605"/>
      <c r="N33" s="1605"/>
      <c r="O33" s="1605"/>
      <c r="P33" s="1605"/>
      <c r="Q33" s="1606"/>
      <c r="R33" s="488"/>
    </row>
    <row r="34" spans="2:18" ht="13" x14ac:dyDescent="0.3">
      <c r="B34" s="626" t="s">
        <v>431</v>
      </c>
      <c r="C34" s="640"/>
      <c r="D34" s="586" t="s">
        <v>430</v>
      </c>
      <c r="E34" s="1604"/>
      <c r="F34" s="1605"/>
      <c r="G34" s="1605"/>
      <c r="H34" s="1605"/>
      <c r="I34" s="1605"/>
      <c r="J34" s="1605"/>
      <c r="K34" s="1605"/>
      <c r="L34" s="1605"/>
      <c r="M34" s="1605"/>
      <c r="N34" s="1605"/>
      <c r="O34" s="1605"/>
      <c r="P34" s="1605"/>
      <c r="Q34" s="1606"/>
    </row>
    <row r="35" spans="2:18" ht="13" x14ac:dyDescent="0.3">
      <c r="B35" s="624" t="s">
        <v>432</v>
      </c>
      <c r="C35" s="640"/>
      <c r="D35" s="586" t="s">
        <v>430</v>
      </c>
      <c r="E35" s="1604"/>
      <c r="F35" s="1605"/>
      <c r="G35" s="1605"/>
      <c r="H35" s="1605"/>
      <c r="I35" s="1605"/>
      <c r="J35" s="1605"/>
      <c r="K35" s="1605"/>
      <c r="L35" s="1605"/>
      <c r="M35" s="1605"/>
      <c r="N35" s="1605"/>
      <c r="O35" s="1605"/>
      <c r="P35" s="1605"/>
      <c r="Q35" s="1606"/>
    </row>
    <row r="36" spans="2:18" ht="18.75" customHeight="1" x14ac:dyDescent="0.3">
      <c r="B36" s="626" t="s">
        <v>433</v>
      </c>
      <c r="C36" s="629">
        <f>SUM(C33:C34)</f>
        <v>0</v>
      </c>
      <c r="D36" s="586" t="s">
        <v>430</v>
      </c>
      <c r="E36" s="1558"/>
      <c r="F36" s="1558"/>
      <c r="G36" s="1558"/>
      <c r="H36" s="1558"/>
      <c r="I36" s="1558"/>
      <c r="J36" s="1558"/>
      <c r="K36" s="1558"/>
      <c r="L36" s="1558"/>
      <c r="M36" s="1558"/>
      <c r="N36" s="1558"/>
      <c r="O36" s="1558"/>
      <c r="P36" s="1558"/>
      <c r="Q36" s="1558"/>
    </row>
    <row r="37" spans="2:18" ht="13" x14ac:dyDescent="0.3">
      <c r="B37" s="626" t="s">
        <v>434</v>
      </c>
      <c r="C37" s="629">
        <f>IF(C27="RET",C33+(C34-C35),C34-C35)</f>
        <v>0</v>
      </c>
      <c r="D37" s="586" t="s">
        <v>430</v>
      </c>
      <c r="E37" s="1557"/>
      <c r="F37" s="1558"/>
      <c r="G37" s="1558"/>
      <c r="H37" s="1558"/>
      <c r="I37" s="1558"/>
      <c r="J37" s="1558"/>
      <c r="K37" s="1558"/>
      <c r="L37" s="1558"/>
      <c r="M37" s="1558"/>
      <c r="N37" s="1558"/>
      <c r="O37" s="1558"/>
      <c r="P37" s="1558"/>
      <c r="Q37" s="1558"/>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630" t="s">
        <v>435</v>
      </c>
      <c r="C39" s="631"/>
      <c r="D39" s="631"/>
      <c r="E39" s="631"/>
      <c r="F39" s="631"/>
      <c r="G39" s="631"/>
      <c r="H39" s="513"/>
      <c r="I39" s="513"/>
      <c r="J39" s="513"/>
      <c r="K39" s="513"/>
      <c r="L39" s="513"/>
      <c r="M39" s="513"/>
      <c r="N39" s="513"/>
      <c r="O39" s="513"/>
      <c r="P39" s="513"/>
      <c r="Q39" s="514"/>
    </row>
    <row r="41" spans="2:18" ht="18.75" customHeight="1" x14ac:dyDescent="0.3">
      <c r="B41" s="632" t="s">
        <v>436</v>
      </c>
      <c r="C41" s="1596" t="s">
        <v>437</v>
      </c>
      <c r="D41" s="1597"/>
      <c r="E41" s="1597"/>
      <c r="F41" s="1597"/>
      <c r="G41" s="1597"/>
      <c r="H41" s="1597"/>
      <c r="I41" s="1597"/>
      <c r="J41" s="1597"/>
      <c r="K41" s="1597"/>
      <c r="L41" s="1597"/>
      <c r="M41" s="1598"/>
      <c r="N41" s="1205" t="s">
        <v>406</v>
      </c>
      <c r="O41" s="1205" t="s">
        <v>428</v>
      </c>
      <c r="P41" s="1599" t="s">
        <v>419</v>
      </c>
      <c r="Q41" s="1599"/>
    </row>
    <row r="42" spans="2:18" ht="18.75" customHeight="1" x14ac:dyDescent="0.3">
      <c r="B42" s="582" t="s">
        <v>438</v>
      </c>
      <c r="C42" s="1380" t="s">
        <v>439</v>
      </c>
      <c r="D42" s="1381"/>
      <c r="E42" s="1381"/>
      <c r="F42" s="1381"/>
      <c r="G42" s="1381"/>
      <c r="H42" s="1381"/>
      <c r="I42" s="1381"/>
      <c r="J42" s="1381"/>
      <c r="K42" s="1381"/>
      <c r="L42" s="1381"/>
      <c r="M42" s="1382"/>
      <c r="N42" s="585">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65.512675789968512</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5">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5">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623"/>
      <c r="R46" s="488"/>
    </row>
    <row r="47" spans="2:18" ht="18.75" customHeight="1" x14ac:dyDescent="0.3">
      <c r="B47" s="632" t="s">
        <v>450</v>
      </c>
      <c r="C47" s="1596" t="s">
        <v>451</v>
      </c>
      <c r="D47" s="1597"/>
      <c r="E47" s="1597"/>
      <c r="F47" s="1597"/>
      <c r="G47" s="1597"/>
      <c r="H47" s="1597"/>
      <c r="I47" s="1597"/>
      <c r="J47" s="1597"/>
      <c r="K47" s="1597"/>
      <c r="L47" s="1597"/>
      <c r="M47" s="1598"/>
      <c r="N47" s="1205" t="s">
        <v>406</v>
      </c>
      <c r="O47" s="1205" t="s">
        <v>428</v>
      </c>
      <c r="P47" s="1599" t="s">
        <v>419</v>
      </c>
      <c r="Q47" s="159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38.5" customHeight="1" x14ac:dyDescent="0.3">
      <c r="B49" s="582" t="s">
        <v>454</v>
      </c>
      <c r="C49" s="1600" t="s">
        <v>635</v>
      </c>
      <c r="D49" s="1601"/>
      <c r="E49" s="1601"/>
      <c r="F49" s="1601"/>
      <c r="G49" s="1601"/>
      <c r="H49" s="1601"/>
      <c r="I49" s="1601"/>
      <c r="J49" s="1601"/>
      <c r="K49" s="1601"/>
      <c r="L49" s="1601"/>
      <c r="M49" s="1602"/>
      <c r="N49" s="592">
        <f>(H62*H63*(1/(H64*(1-H65))-1/(H66*H67*(1-H68))))/1000+((H69*H70*(1/(H71*(1-H72))-1/(H73*H74*(1-H75))))/1000)</f>
        <v>65.512675789968512</v>
      </c>
      <c r="O49" s="1243" t="s">
        <v>443</v>
      </c>
      <c r="P49" s="1603"/>
      <c r="Q49" s="1511"/>
      <c r="R49" s="488"/>
    </row>
    <row r="50" spans="2:18" ht="18.75" customHeight="1" x14ac:dyDescent="0.3">
      <c r="B50" s="582" t="s">
        <v>456</v>
      </c>
      <c r="C50" s="1504" t="s">
        <v>636</v>
      </c>
      <c r="D50" s="1505"/>
      <c r="E50" s="1505"/>
      <c r="F50" s="1505"/>
      <c r="G50" s="1505"/>
      <c r="H50" s="1505"/>
      <c r="I50" s="1505"/>
      <c r="J50" s="1505"/>
      <c r="K50" s="1505"/>
      <c r="L50" s="1505"/>
      <c r="M50" s="1506"/>
      <c r="N50" s="620"/>
      <c r="O50" s="1243" t="s">
        <v>446</v>
      </c>
      <c r="P50" s="1603"/>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623"/>
      <c r="R52" s="488"/>
    </row>
    <row r="53" spans="2:18" ht="18.75" customHeight="1" x14ac:dyDescent="0.3">
      <c r="B53" s="632" t="s">
        <v>460</v>
      </c>
      <c r="C53" s="1596" t="s">
        <v>461</v>
      </c>
      <c r="D53" s="1597"/>
      <c r="E53" s="1597"/>
      <c r="F53" s="1597"/>
      <c r="G53" s="1597"/>
      <c r="H53" s="1597"/>
      <c r="I53" s="1597"/>
      <c r="J53" s="1597"/>
      <c r="K53" s="1597"/>
      <c r="L53" s="1597"/>
      <c r="M53" s="1598"/>
      <c r="N53" s="1205" t="s">
        <v>406</v>
      </c>
      <c r="O53" s="1205" t="s">
        <v>428</v>
      </c>
      <c r="P53" s="1599" t="s">
        <v>419</v>
      </c>
      <c r="Q53" s="1599"/>
      <c r="R53" s="488"/>
    </row>
    <row r="54" spans="2:18" ht="18.75" customHeight="1" x14ac:dyDescent="0.3">
      <c r="B54" s="582" t="s">
        <v>462</v>
      </c>
      <c r="C54" s="1504" t="s">
        <v>463</v>
      </c>
      <c r="D54" s="1505"/>
      <c r="E54" s="1505"/>
      <c r="F54" s="1505"/>
      <c r="G54" s="1505"/>
      <c r="H54" s="1505"/>
      <c r="I54" s="1505"/>
      <c r="J54" s="1505"/>
      <c r="K54" s="1505"/>
      <c r="L54" s="1505"/>
      <c r="M54" s="1506"/>
      <c r="N54" s="592"/>
      <c r="O54" s="1243" t="s">
        <v>440</v>
      </c>
      <c r="P54" s="1511"/>
      <c r="Q54" s="1511"/>
      <c r="R54" s="488"/>
    </row>
    <row r="55" spans="2:18" ht="18.75" customHeight="1" x14ac:dyDescent="0.3">
      <c r="B55" s="582" t="s">
        <v>464</v>
      </c>
      <c r="C55" s="1504" t="s">
        <v>465</v>
      </c>
      <c r="D55" s="1505"/>
      <c r="E55" s="1505"/>
      <c r="F55" s="1505"/>
      <c r="G55" s="1505"/>
      <c r="H55" s="1505"/>
      <c r="I55" s="1505"/>
      <c r="J55" s="1505"/>
      <c r="K55" s="1505"/>
      <c r="L55" s="1505"/>
      <c r="M55" s="1506"/>
      <c r="N55" s="592"/>
      <c r="O55" s="1243" t="s">
        <v>443</v>
      </c>
      <c r="P55" s="1537"/>
      <c r="Q55" s="1538"/>
      <c r="R55" s="488"/>
    </row>
    <row r="56" spans="2:18" ht="18.75" customHeight="1" x14ac:dyDescent="0.3">
      <c r="B56" s="582" t="s">
        <v>466</v>
      </c>
      <c r="C56" s="1504" t="s">
        <v>516</v>
      </c>
      <c r="D56" s="1505"/>
      <c r="E56" s="1505"/>
      <c r="F56" s="1505"/>
      <c r="G56" s="1505"/>
      <c r="H56" s="1505"/>
      <c r="I56" s="1505"/>
      <c r="J56" s="1505"/>
      <c r="K56" s="1505"/>
      <c r="L56" s="1505"/>
      <c r="M56" s="1506"/>
      <c r="N56" s="592"/>
      <c r="O56" s="1243" t="s">
        <v>446</v>
      </c>
      <c r="P56" s="1537"/>
      <c r="Q56" s="1538"/>
      <c r="R56" s="488"/>
    </row>
    <row r="57" spans="2:18" ht="18.75" customHeight="1" x14ac:dyDescent="0.3">
      <c r="B57" s="582" t="s">
        <v>468</v>
      </c>
      <c r="C57" s="1504" t="s">
        <v>469</v>
      </c>
      <c r="D57" s="1505"/>
      <c r="E57" s="1505"/>
      <c r="F57" s="1505"/>
      <c r="G57" s="1505"/>
      <c r="H57" s="1505"/>
      <c r="I57" s="1505"/>
      <c r="J57" s="1505"/>
      <c r="K57" s="1505"/>
      <c r="L57" s="1505"/>
      <c r="M57" s="1506"/>
      <c r="N57" s="592"/>
      <c r="O57" s="1243" t="s">
        <v>449</v>
      </c>
      <c r="P57" s="1511"/>
      <c r="Q57" s="1511"/>
      <c r="R57" s="488"/>
    </row>
    <row r="58" spans="2:18" ht="18.75" customHeight="1" x14ac:dyDescent="0.3">
      <c r="B58" s="599"/>
      <c r="C58" s="577"/>
      <c r="D58" s="578"/>
      <c r="E58" s="578"/>
      <c r="F58" s="578"/>
      <c r="G58" s="578"/>
      <c r="H58" s="578"/>
      <c r="I58" s="578"/>
      <c r="J58" s="578"/>
      <c r="K58" s="578"/>
      <c r="L58" s="578"/>
      <c r="M58" s="578"/>
      <c r="N58" s="578"/>
      <c r="O58" s="578"/>
    </row>
    <row r="59" spans="2:18" ht="18.75" customHeight="1" x14ac:dyDescent="0.3">
      <c r="B59" s="630" t="s">
        <v>470</v>
      </c>
      <c r="C59" s="631"/>
      <c r="D59" s="631"/>
      <c r="E59" s="631"/>
      <c r="F59" s="631"/>
      <c r="G59" s="631"/>
      <c r="H59" s="513"/>
      <c r="I59" s="513"/>
      <c r="J59" s="513"/>
      <c r="K59" s="513"/>
      <c r="L59" s="513"/>
      <c r="M59" s="513"/>
      <c r="N59" s="513"/>
      <c r="O59" s="513"/>
      <c r="P59" s="513"/>
      <c r="Q59" s="514"/>
    </row>
    <row r="61" spans="2:18" ht="18.75" customHeight="1" x14ac:dyDescent="0.3">
      <c r="B61" s="632" t="s">
        <v>471</v>
      </c>
      <c r="C61" s="632" t="s">
        <v>472</v>
      </c>
      <c r="D61" s="1592" t="s">
        <v>473</v>
      </c>
      <c r="E61" s="1592"/>
      <c r="F61" s="632" t="s">
        <v>474</v>
      </c>
      <c r="G61" s="632" t="s">
        <v>475</v>
      </c>
      <c r="H61" s="632" t="s">
        <v>406</v>
      </c>
      <c r="I61" s="632" t="s">
        <v>428</v>
      </c>
      <c r="J61" s="1593" t="s">
        <v>476</v>
      </c>
      <c r="K61" s="1594"/>
      <c r="L61" s="1594"/>
      <c r="M61" s="1594"/>
      <c r="N61" s="1594"/>
      <c r="O61" s="1594"/>
      <c r="P61" s="1594"/>
      <c r="Q61" s="1595"/>
    </row>
    <row r="62" spans="2:18" ht="13.15" customHeight="1" x14ac:dyDescent="0.3">
      <c r="B62" s="533">
        <v>1</v>
      </c>
      <c r="C62" s="549" t="s">
        <v>545</v>
      </c>
      <c r="D62" s="1556" t="s">
        <v>637</v>
      </c>
      <c r="E62" s="1556"/>
      <c r="F62" s="641" t="str">
        <f>$C$28</f>
        <v>Home - detached</v>
      </c>
      <c r="G62" s="642" t="str">
        <f>$C$26</f>
        <v>Average</v>
      </c>
      <c r="H62" s="643">
        <f>INDEX(EFLC[#All],MATCH(F62,EFLC[[#All],[EFLC]],0),MATCH(G62,EFLC[#Headers],0))</f>
        <v>102.21882660823093</v>
      </c>
      <c r="I62" s="1238" t="s">
        <v>532</v>
      </c>
      <c r="J62" s="1462" t="s">
        <v>638</v>
      </c>
      <c r="K62" s="1470"/>
      <c r="L62" s="1470"/>
      <c r="M62" s="1470"/>
      <c r="N62" s="1470"/>
      <c r="O62" s="1470"/>
      <c r="P62" s="1470"/>
      <c r="Q62" s="1471"/>
      <c r="R62" s="488"/>
    </row>
    <row r="63" spans="2:18" ht="13.15" customHeight="1" x14ac:dyDescent="0.3">
      <c r="B63" s="535">
        <v>2</v>
      </c>
      <c r="C63" s="551" t="s">
        <v>610</v>
      </c>
      <c r="D63" s="1543" t="s">
        <v>639</v>
      </c>
      <c r="E63" s="1543"/>
      <c r="F63" s="551"/>
      <c r="G63" s="552"/>
      <c r="H63" s="644">
        <f>H70</f>
        <v>1000</v>
      </c>
      <c r="I63" s="552" t="s">
        <v>536</v>
      </c>
      <c r="J63" s="1482" t="s">
        <v>537</v>
      </c>
      <c r="K63" s="1544"/>
      <c r="L63" s="1544"/>
      <c r="M63" s="1544"/>
      <c r="N63" s="1544"/>
      <c r="O63" s="1544"/>
      <c r="P63" s="1544"/>
      <c r="Q63" s="1545"/>
      <c r="R63" s="488"/>
    </row>
    <row r="64" spans="2:18" ht="42" customHeight="1" x14ac:dyDescent="0.3">
      <c r="B64" s="533">
        <v>3</v>
      </c>
      <c r="C64" s="546" t="s">
        <v>549</v>
      </c>
      <c r="D64" s="1539" t="s">
        <v>640</v>
      </c>
      <c r="E64" s="1539"/>
      <c r="F64" s="546"/>
      <c r="G64" s="1217"/>
      <c r="H64" s="645">
        <v>14</v>
      </c>
      <c r="I64" s="1217" t="s">
        <v>641</v>
      </c>
      <c r="J64" s="1437" t="s">
        <v>642</v>
      </c>
      <c r="K64" s="1560"/>
      <c r="L64" s="1560"/>
      <c r="M64" s="1560"/>
      <c r="N64" s="1560"/>
      <c r="O64" s="1560"/>
      <c r="P64" s="1560"/>
      <c r="Q64" s="1561"/>
      <c r="R64" s="488"/>
    </row>
    <row r="65" spans="2:17" s="488" customFormat="1" ht="13.15" customHeight="1" x14ac:dyDescent="0.3">
      <c r="B65" s="533">
        <v>4</v>
      </c>
      <c r="C65" s="546" t="s">
        <v>562</v>
      </c>
      <c r="D65" s="1539" t="s">
        <v>643</v>
      </c>
      <c r="E65" s="1539"/>
      <c r="F65" s="546"/>
      <c r="G65" s="1217"/>
      <c r="H65" s="554">
        <v>0.1</v>
      </c>
      <c r="I65" s="1217" t="s">
        <v>519</v>
      </c>
      <c r="J65" s="1437" t="s">
        <v>642</v>
      </c>
      <c r="K65" s="1560"/>
      <c r="L65" s="1560"/>
      <c r="M65" s="1560"/>
      <c r="N65" s="1560"/>
      <c r="O65" s="1560"/>
      <c r="P65" s="1560"/>
      <c r="Q65" s="1561"/>
    </row>
    <row r="66" spans="2:17" s="488" customFormat="1" ht="15" customHeight="1" x14ac:dyDescent="0.3">
      <c r="B66" s="533">
        <v>5</v>
      </c>
      <c r="C66" s="555" t="s">
        <v>553</v>
      </c>
      <c r="D66" s="1587" t="s">
        <v>554</v>
      </c>
      <c r="E66" s="1587"/>
      <c r="F66" s="555"/>
      <c r="G66" s="557"/>
      <c r="H66" s="646">
        <v>15</v>
      </c>
      <c r="I66" s="557" t="s">
        <v>641</v>
      </c>
      <c r="J66" s="1437" t="s">
        <v>642</v>
      </c>
      <c r="K66" s="1560"/>
      <c r="L66" s="1560"/>
      <c r="M66" s="1560"/>
      <c r="N66" s="1560"/>
      <c r="O66" s="1560"/>
      <c r="P66" s="1560"/>
      <c r="Q66" s="1561"/>
    </row>
    <row r="67" spans="2:17" s="488" customFormat="1" ht="31.9" customHeight="1" x14ac:dyDescent="0.3">
      <c r="B67" s="533">
        <v>6</v>
      </c>
      <c r="C67" s="546" t="s">
        <v>644</v>
      </c>
      <c r="D67" s="1539" t="s">
        <v>557</v>
      </c>
      <c r="E67" s="1539"/>
      <c r="F67" s="546"/>
      <c r="G67" s="1217"/>
      <c r="H67" s="554">
        <f>0.805*(12/H66)+0.367</f>
        <v>1.0110000000000001</v>
      </c>
      <c r="I67" s="1217" t="s">
        <v>519</v>
      </c>
      <c r="J67" s="1468" t="s">
        <v>645</v>
      </c>
      <c r="K67" s="1541"/>
      <c r="L67" s="1541"/>
      <c r="M67" s="1541"/>
      <c r="N67" s="1541"/>
      <c r="O67" s="1541"/>
      <c r="P67" s="1541"/>
      <c r="Q67" s="1542"/>
    </row>
    <row r="68" spans="2:17" s="488" customFormat="1" ht="15" customHeight="1" x14ac:dyDescent="0.3">
      <c r="B68" s="533">
        <v>7</v>
      </c>
      <c r="C68" s="546" t="s">
        <v>559</v>
      </c>
      <c r="D68" s="1539" t="s">
        <v>646</v>
      </c>
      <c r="E68" s="1539"/>
      <c r="F68" s="546"/>
      <c r="G68" s="1217"/>
      <c r="H68" s="554">
        <v>0</v>
      </c>
      <c r="I68" s="1217" t="s">
        <v>519</v>
      </c>
      <c r="J68" s="1468" t="s">
        <v>647</v>
      </c>
      <c r="K68" s="1541"/>
      <c r="L68" s="1541"/>
      <c r="M68" s="1541"/>
      <c r="N68" s="1541"/>
      <c r="O68" s="1541"/>
      <c r="P68" s="1541"/>
      <c r="Q68" s="1542"/>
    </row>
    <row r="69" spans="2:17" s="488" customFormat="1" ht="33" customHeight="1" x14ac:dyDescent="0.3">
      <c r="B69" s="534">
        <v>8</v>
      </c>
      <c r="C69" s="549" t="s">
        <v>530</v>
      </c>
      <c r="D69" s="1556" t="s">
        <v>648</v>
      </c>
      <c r="E69" s="1556"/>
      <c r="F69" s="641" t="str">
        <f>$C$28</f>
        <v>Home - detached</v>
      </c>
      <c r="G69" s="642" t="str">
        <f>$C$26</f>
        <v>Average</v>
      </c>
      <c r="H69" s="606">
        <f>INDEX(EFLH[#All],MATCH(F69,EFLH[[#All],[EFLH]],0),MATCH(G69,EFLH[#Headers],0))</f>
        <v>2617.8472419520012</v>
      </c>
      <c r="I69" s="1238" t="s">
        <v>532</v>
      </c>
      <c r="J69" s="1462" t="s">
        <v>533</v>
      </c>
      <c r="K69" s="1470"/>
      <c r="L69" s="1470"/>
      <c r="M69" s="1470"/>
      <c r="N69" s="1470"/>
      <c r="O69" s="1470"/>
      <c r="P69" s="1470"/>
      <c r="Q69" s="1471"/>
    </row>
    <row r="70" spans="2:17" s="488" customFormat="1" ht="31.15" customHeight="1" x14ac:dyDescent="0.3">
      <c r="B70" s="535">
        <v>9</v>
      </c>
      <c r="C70" s="551" t="s">
        <v>649</v>
      </c>
      <c r="D70" s="1543" t="s">
        <v>650</v>
      </c>
      <c r="E70" s="1543"/>
      <c r="F70" s="551"/>
      <c r="G70" s="552"/>
      <c r="H70" s="644">
        <v>1000</v>
      </c>
      <c r="I70" s="552" t="s">
        <v>536</v>
      </c>
      <c r="J70" s="1482" t="s">
        <v>537</v>
      </c>
      <c r="K70" s="1544"/>
      <c r="L70" s="1544"/>
      <c r="M70" s="1544"/>
      <c r="N70" s="1544"/>
      <c r="O70" s="1544"/>
      <c r="P70" s="1544"/>
      <c r="Q70" s="1545"/>
    </row>
    <row r="71" spans="2:17" s="488" customFormat="1" ht="26.5" customHeight="1" x14ac:dyDescent="0.3">
      <c r="B71" s="533">
        <v>10</v>
      </c>
      <c r="C71" s="546" t="s">
        <v>651</v>
      </c>
      <c r="D71" s="1539" t="s">
        <v>652</v>
      </c>
      <c r="E71" s="1539"/>
      <c r="F71" s="546"/>
      <c r="G71" s="1217"/>
      <c r="H71" s="645">
        <v>8.1999999999999993</v>
      </c>
      <c r="I71" s="1217" t="s">
        <v>641</v>
      </c>
      <c r="J71" s="1468" t="s">
        <v>634</v>
      </c>
      <c r="K71" s="1541"/>
      <c r="L71" s="1541"/>
      <c r="M71" s="1541"/>
      <c r="N71" s="1541"/>
      <c r="O71" s="1541"/>
      <c r="P71" s="1541"/>
      <c r="Q71" s="1542"/>
    </row>
    <row r="72" spans="2:17" s="634" customFormat="1" ht="26.5" customHeight="1" x14ac:dyDescent="0.3">
      <c r="B72" s="637">
        <v>11</v>
      </c>
      <c r="C72" s="760" t="s">
        <v>653</v>
      </c>
      <c r="D72" s="1588" t="s">
        <v>654</v>
      </c>
      <c r="E72" s="1588"/>
      <c r="F72" s="760"/>
      <c r="G72" s="1255"/>
      <c r="H72" s="1260">
        <f>SpaceHeatingDerating.R.HP</f>
        <v>0.1</v>
      </c>
      <c r="I72" s="1255" t="s">
        <v>519</v>
      </c>
      <c r="J72" s="1589" t="s">
        <v>655</v>
      </c>
      <c r="K72" s="1590"/>
      <c r="L72" s="1590"/>
      <c r="M72" s="1590"/>
      <c r="N72" s="1590"/>
      <c r="O72" s="1590"/>
      <c r="P72" s="1590"/>
      <c r="Q72" s="1591"/>
    </row>
    <row r="73" spans="2:17" s="634" customFormat="1" ht="26.5" customHeight="1" x14ac:dyDescent="0.3">
      <c r="B73" s="638">
        <v>12</v>
      </c>
      <c r="C73" s="546" t="s">
        <v>656</v>
      </c>
      <c r="D73" s="1539" t="s">
        <v>657</v>
      </c>
      <c r="E73" s="1539"/>
      <c r="F73" s="546"/>
      <c r="G73" s="1217"/>
      <c r="H73" s="645">
        <v>9</v>
      </c>
      <c r="I73" s="1217" t="s">
        <v>641</v>
      </c>
      <c r="J73" s="1468" t="s">
        <v>658</v>
      </c>
      <c r="K73" s="1541"/>
      <c r="L73" s="1541"/>
      <c r="M73" s="1541"/>
      <c r="N73" s="1541"/>
      <c r="O73" s="1541"/>
      <c r="P73" s="1541"/>
      <c r="Q73" s="1542"/>
    </row>
    <row r="74" spans="2:17" s="634" customFormat="1" ht="26.5" customHeight="1" x14ac:dyDescent="0.3">
      <c r="B74" s="638">
        <v>13</v>
      </c>
      <c r="C74" s="546" t="s">
        <v>659</v>
      </c>
      <c r="D74" s="1539" t="s">
        <v>557</v>
      </c>
      <c r="E74" s="1539"/>
      <c r="F74" s="546"/>
      <c r="G74" s="1217"/>
      <c r="H74" s="554">
        <v>1.0009999999999999</v>
      </c>
      <c r="I74" s="1217" t="s">
        <v>519</v>
      </c>
      <c r="J74" s="1468" t="s">
        <v>660</v>
      </c>
      <c r="K74" s="1541"/>
      <c r="L74" s="1541"/>
      <c r="M74" s="1541"/>
      <c r="N74" s="1541"/>
      <c r="O74" s="1541"/>
      <c r="P74" s="1541"/>
      <c r="Q74" s="1542"/>
    </row>
    <row r="75" spans="2:17" s="623" customFormat="1" ht="26.5" customHeight="1" x14ac:dyDescent="0.3">
      <c r="B75" s="638">
        <v>14</v>
      </c>
      <c r="C75" s="546" t="s">
        <v>661</v>
      </c>
      <c r="D75" s="1539" t="s">
        <v>662</v>
      </c>
      <c r="E75" s="1539"/>
      <c r="F75" s="546"/>
      <c r="G75" s="1217"/>
      <c r="H75" s="554">
        <v>0</v>
      </c>
      <c r="I75" s="1217" t="s">
        <v>519</v>
      </c>
      <c r="J75" s="1468" t="s">
        <v>663</v>
      </c>
      <c r="K75" s="1541"/>
      <c r="L75" s="1541"/>
      <c r="M75" s="1541"/>
      <c r="N75" s="1541"/>
      <c r="O75" s="1541"/>
      <c r="P75" s="1541"/>
      <c r="Q75" s="1542"/>
    </row>
    <row r="76" spans="2:17" s="623" customFormat="1" ht="14.5" customHeight="1" x14ac:dyDescent="0.3">
      <c r="B76" s="638">
        <v>15</v>
      </c>
      <c r="C76" s="647"/>
      <c r="D76" s="1539"/>
      <c r="E76" s="1539"/>
      <c r="F76" s="1217"/>
      <c r="G76" s="1217"/>
      <c r="H76" s="645"/>
      <c r="I76" s="1217"/>
      <c r="J76" s="1468"/>
      <c r="K76" s="1541"/>
      <c r="L76" s="1541"/>
      <c r="M76" s="1541"/>
      <c r="N76" s="1541"/>
      <c r="O76" s="1541"/>
      <c r="P76" s="1541"/>
      <c r="Q76" s="1542"/>
    </row>
    <row r="77" spans="2:17" s="488" customFormat="1" ht="18.75" customHeight="1" x14ac:dyDescent="0.3"/>
    <row r="78" spans="2:17" s="488" customFormat="1" ht="18.75" customHeight="1" x14ac:dyDescent="0.3">
      <c r="B78" s="630" t="s">
        <v>477</v>
      </c>
      <c r="C78" s="631"/>
      <c r="D78" s="631"/>
      <c r="E78" s="631"/>
      <c r="F78" s="631"/>
      <c r="G78" s="631"/>
      <c r="H78" s="513"/>
      <c r="I78" s="513"/>
      <c r="J78" s="513"/>
      <c r="K78" s="513"/>
      <c r="L78" s="513"/>
      <c r="M78" s="513"/>
      <c r="N78" s="513"/>
      <c r="O78" s="513"/>
      <c r="P78" s="513"/>
      <c r="Q78" s="514"/>
    </row>
    <row r="79" spans="2:17" s="488" customFormat="1" ht="18.75" customHeight="1" x14ac:dyDescent="0.3"/>
    <row r="80" spans="2:17" s="488" customFormat="1" ht="18.75" customHeight="1" x14ac:dyDescent="0.3">
      <c r="B80" s="632" t="s">
        <v>478</v>
      </c>
      <c r="C80" s="632" t="s">
        <v>479</v>
      </c>
      <c r="D80" s="1204" t="s">
        <v>406</v>
      </c>
      <c r="E80" s="1210" t="s">
        <v>428</v>
      </c>
      <c r="F80" s="1562" t="s">
        <v>476</v>
      </c>
      <c r="G80" s="1563"/>
      <c r="H80" s="1563"/>
      <c r="I80" s="1563"/>
      <c r="J80" s="1563"/>
      <c r="K80" s="1563"/>
      <c r="L80" s="1563"/>
      <c r="M80" s="1563"/>
      <c r="N80" s="1563"/>
      <c r="O80" s="1563"/>
      <c r="P80" s="1563"/>
      <c r="Q80" s="1564"/>
    </row>
    <row r="81" spans="2:17" s="488" customFormat="1" ht="13" x14ac:dyDescent="0.3">
      <c r="B81" s="639">
        <v>1</v>
      </c>
      <c r="C81" s="648" t="s">
        <v>480</v>
      </c>
      <c r="D81" s="649">
        <v>1000</v>
      </c>
      <c r="E81" s="1211" t="s">
        <v>481</v>
      </c>
      <c r="F81" s="1565" t="s">
        <v>482</v>
      </c>
      <c r="G81" s="1566"/>
      <c r="H81" s="1566"/>
      <c r="I81" s="1566"/>
      <c r="J81" s="1566"/>
      <c r="K81" s="1566"/>
      <c r="L81" s="1566"/>
      <c r="M81" s="1566"/>
      <c r="N81" s="1566"/>
      <c r="O81" s="1566"/>
      <c r="P81" s="1566"/>
      <c r="Q81" s="1567"/>
    </row>
    <row r="82" spans="2:17" s="488" customFormat="1" ht="13" x14ac:dyDescent="0.3">
      <c r="B82" s="639">
        <v>2</v>
      </c>
      <c r="C82" s="648" t="s">
        <v>483</v>
      </c>
      <c r="D82" s="650">
        <f>0.03412*0.10548</f>
        <v>3.5989775999999999E-3</v>
      </c>
      <c r="E82" s="1211" t="s">
        <v>484</v>
      </c>
      <c r="F82" s="1568" t="s">
        <v>485</v>
      </c>
      <c r="G82" s="1569"/>
      <c r="H82" s="1569"/>
      <c r="I82" s="1569"/>
      <c r="J82" s="1569"/>
      <c r="K82" s="1569"/>
      <c r="L82" s="1569"/>
      <c r="M82" s="1569"/>
      <c r="N82" s="1569"/>
      <c r="O82" s="1569"/>
      <c r="P82" s="1569"/>
      <c r="Q82" s="1570"/>
    </row>
    <row r="83" spans="2:17" s="488" customFormat="1" ht="13" x14ac:dyDescent="0.3">
      <c r="B83" s="639">
        <v>3</v>
      </c>
      <c r="C83" s="648" t="s">
        <v>486</v>
      </c>
      <c r="D83" s="650">
        <v>3.7854099999999999E-3</v>
      </c>
      <c r="E83" s="1211" t="s">
        <v>487</v>
      </c>
      <c r="F83" s="1568" t="s">
        <v>485</v>
      </c>
      <c r="G83" s="1569"/>
      <c r="H83" s="1569"/>
      <c r="I83" s="1569"/>
      <c r="J83" s="1569"/>
      <c r="K83" s="1569"/>
      <c r="L83" s="1569"/>
      <c r="M83" s="1569"/>
      <c r="N83" s="1569"/>
      <c r="O83" s="1569"/>
      <c r="P83" s="1569"/>
      <c r="Q83" s="1570"/>
    </row>
    <row r="84" spans="2:17" s="488" customFormat="1" ht="13" x14ac:dyDescent="0.3">
      <c r="B84" s="639">
        <v>4</v>
      </c>
      <c r="C84" s="648" t="s">
        <v>488</v>
      </c>
      <c r="D84" s="650">
        <v>0.1055</v>
      </c>
      <c r="E84" s="1211" t="s">
        <v>489</v>
      </c>
      <c r="F84" s="1568" t="s">
        <v>485</v>
      </c>
      <c r="G84" s="1569"/>
      <c r="H84" s="1569"/>
      <c r="I84" s="1569"/>
      <c r="J84" s="1569"/>
      <c r="K84" s="1569"/>
      <c r="L84" s="1569"/>
      <c r="M84" s="1569"/>
      <c r="N84" s="1569"/>
      <c r="O84" s="1569"/>
      <c r="P84" s="1569"/>
      <c r="Q84" s="1570"/>
    </row>
    <row r="85" spans="2:17" s="488" customFormat="1" ht="13" x14ac:dyDescent="0.3">
      <c r="B85" s="639">
        <v>5</v>
      </c>
      <c r="C85" s="648" t="s">
        <v>490</v>
      </c>
      <c r="D85" s="650">
        <v>1.0000000000000001E-5</v>
      </c>
      <c r="E85" s="1211" t="s">
        <v>491</v>
      </c>
      <c r="F85" s="1568" t="s">
        <v>485</v>
      </c>
      <c r="G85" s="1569"/>
      <c r="H85" s="1569"/>
      <c r="I85" s="1569"/>
      <c r="J85" s="1569"/>
      <c r="K85" s="1569"/>
      <c r="L85" s="1569"/>
      <c r="M85" s="1569"/>
      <c r="N85" s="1569"/>
      <c r="O85" s="1569"/>
      <c r="P85" s="1569"/>
      <c r="Q85" s="1570"/>
    </row>
    <row r="86" spans="2:17" s="488" customFormat="1" ht="13" x14ac:dyDescent="0.3">
      <c r="B86" s="533">
        <v>6</v>
      </c>
      <c r="C86" s="563"/>
      <c r="D86" s="649"/>
      <c r="E86" s="1211"/>
      <c r="F86" s="1576"/>
      <c r="G86" s="1566"/>
      <c r="H86" s="1566"/>
      <c r="I86" s="1566"/>
      <c r="J86" s="1566"/>
      <c r="K86" s="1566"/>
      <c r="L86" s="1566"/>
      <c r="M86" s="1566"/>
      <c r="N86" s="1566"/>
      <c r="O86" s="1566"/>
      <c r="P86" s="1566"/>
      <c r="Q86" s="1567"/>
    </row>
    <row r="87" spans="2:17" s="488" customFormat="1" ht="13" x14ac:dyDescent="0.3">
      <c r="B87" s="533">
        <v>7</v>
      </c>
      <c r="C87" s="563"/>
      <c r="D87" s="649"/>
      <c r="E87" s="1211"/>
      <c r="F87" s="1576"/>
      <c r="G87" s="1566"/>
      <c r="H87" s="1566"/>
      <c r="I87" s="1566"/>
      <c r="J87" s="1566"/>
      <c r="K87" s="1566"/>
      <c r="L87" s="1566"/>
      <c r="M87" s="1566"/>
      <c r="N87" s="1566"/>
      <c r="O87" s="1566"/>
      <c r="P87" s="1566"/>
      <c r="Q87" s="1567"/>
    </row>
    <row r="88" spans="2:17" s="488" customFormat="1" ht="13" x14ac:dyDescent="0.3">
      <c r="B88" s="533">
        <v>8</v>
      </c>
      <c r="C88" s="563"/>
      <c r="D88" s="650"/>
      <c r="E88" s="1211"/>
      <c r="F88" s="1568"/>
      <c r="G88" s="1569"/>
      <c r="H88" s="1569"/>
      <c r="I88" s="1569"/>
      <c r="J88" s="1569"/>
      <c r="K88" s="1569"/>
      <c r="L88" s="1569"/>
      <c r="M88" s="1569"/>
      <c r="N88" s="1569"/>
      <c r="O88" s="1569"/>
      <c r="P88" s="1569"/>
      <c r="Q88" s="1570"/>
    </row>
    <row r="89" spans="2:17" s="488" customFormat="1" ht="13" x14ac:dyDescent="0.3">
      <c r="B89" s="533">
        <v>9</v>
      </c>
      <c r="C89" s="563"/>
      <c r="D89" s="1233"/>
      <c r="E89" s="1211"/>
      <c r="F89" s="1568"/>
      <c r="G89" s="1569"/>
      <c r="H89" s="1569"/>
      <c r="I89" s="1569"/>
      <c r="J89" s="1569"/>
      <c r="K89" s="1569"/>
      <c r="L89" s="1569"/>
      <c r="M89" s="1569"/>
      <c r="N89" s="1569"/>
      <c r="O89" s="1569"/>
      <c r="P89" s="1569"/>
      <c r="Q89" s="1570"/>
    </row>
    <row r="90" spans="2:17" s="488" customFormat="1" ht="13" x14ac:dyDescent="0.3">
      <c r="B90" s="533">
        <v>10</v>
      </c>
      <c r="C90" s="563"/>
      <c r="D90" s="564"/>
      <c r="E90" s="1211"/>
      <c r="F90" s="1568"/>
      <c r="G90" s="1569"/>
      <c r="H90" s="1569"/>
      <c r="I90" s="1569"/>
      <c r="J90" s="1569"/>
      <c r="K90" s="1569"/>
      <c r="L90" s="1569"/>
      <c r="M90" s="1569"/>
      <c r="N90" s="1569"/>
      <c r="O90" s="1569"/>
      <c r="P90" s="1569"/>
      <c r="Q90" s="1570"/>
    </row>
    <row r="91" spans="2:17" s="488" customFormat="1" ht="18.75" customHeight="1" x14ac:dyDescent="0.3"/>
    <row r="92" spans="2:17" s="488" customFormat="1" ht="18.75" customHeight="1" x14ac:dyDescent="0.3">
      <c r="B92" s="630" t="s">
        <v>492</v>
      </c>
      <c r="C92" s="631"/>
      <c r="D92" s="631"/>
      <c r="E92" s="631"/>
      <c r="F92" s="631"/>
      <c r="G92" s="631"/>
      <c r="H92" s="513"/>
      <c r="I92" s="513"/>
      <c r="J92" s="513"/>
      <c r="K92" s="513"/>
      <c r="L92" s="513"/>
      <c r="M92" s="513"/>
      <c r="N92" s="513"/>
      <c r="O92" s="513"/>
      <c r="P92" s="513"/>
      <c r="Q92" s="514"/>
    </row>
    <row r="93" spans="2:17" s="488" customFormat="1" ht="18.75" customHeight="1" x14ac:dyDescent="0.3"/>
    <row r="94" spans="2:17" s="488" customFormat="1" ht="18.75" customHeight="1" x14ac:dyDescent="0.3">
      <c r="B94" s="635" t="s">
        <v>493</v>
      </c>
      <c r="E94" s="1574" t="s">
        <v>494</v>
      </c>
      <c r="F94" s="1577"/>
      <c r="G94" s="1577"/>
      <c r="H94" s="1577"/>
      <c r="I94" s="1577"/>
      <c r="J94" s="1577"/>
      <c r="K94" s="1577"/>
      <c r="L94" s="1577"/>
      <c r="M94" s="1577"/>
      <c r="N94" s="1577"/>
      <c r="O94" s="1578" t="s">
        <v>476</v>
      </c>
      <c r="P94" s="1579"/>
      <c r="Q94" s="1580"/>
    </row>
    <row r="95" spans="2:17" s="488" customFormat="1" ht="25.5" customHeight="1" x14ac:dyDescent="0.3">
      <c r="B95" s="1571"/>
      <c r="C95" s="1572"/>
      <c r="D95" s="1573"/>
      <c r="E95" s="636" t="s">
        <v>495</v>
      </c>
      <c r="F95" s="636" t="s">
        <v>496</v>
      </c>
      <c r="G95" s="636" t="s">
        <v>497</v>
      </c>
      <c r="H95" s="636" t="s">
        <v>498</v>
      </c>
      <c r="I95" s="636" t="s">
        <v>499</v>
      </c>
      <c r="J95" s="636" t="s">
        <v>500</v>
      </c>
      <c r="K95" s="636" t="s">
        <v>501</v>
      </c>
      <c r="L95" s="636" t="s">
        <v>502</v>
      </c>
      <c r="M95" s="636" t="s">
        <v>503</v>
      </c>
      <c r="N95" s="1209" t="s">
        <v>504</v>
      </c>
      <c r="O95" s="1581"/>
      <c r="P95" s="1582"/>
      <c r="Q95" s="1583"/>
    </row>
    <row r="96" spans="2:17" s="488" customFormat="1" ht="36.75" customHeight="1" x14ac:dyDescent="0.3">
      <c r="B96" s="1205" t="s">
        <v>478</v>
      </c>
      <c r="C96" s="1574" t="s">
        <v>538</v>
      </c>
      <c r="D96" s="1575"/>
      <c r="E96" s="651"/>
      <c r="F96" s="651"/>
      <c r="G96" s="651"/>
      <c r="H96" s="651"/>
      <c r="I96" s="651"/>
      <c r="J96" s="651"/>
      <c r="K96" s="651"/>
      <c r="L96" s="651"/>
      <c r="M96" s="651"/>
      <c r="N96" s="652"/>
      <c r="O96" s="1584"/>
      <c r="P96" s="1585"/>
      <c r="Q96" s="1586"/>
    </row>
    <row r="97" spans="2:17" s="488" customFormat="1" ht="13" x14ac:dyDescent="0.3">
      <c r="B97" s="533">
        <v>1</v>
      </c>
      <c r="C97" s="1217"/>
      <c r="D97" s="1184"/>
      <c r="E97" s="554"/>
      <c r="F97" s="612"/>
      <c r="G97" s="653"/>
      <c r="H97" s="1190"/>
      <c r="I97" s="568"/>
      <c r="J97" s="568"/>
      <c r="K97" s="568"/>
      <c r="L97" s="568"/>
      <c r="M97" s="568"/>
      <c r="N97" s="568"/>
      <c r="O97" s="1501"/>
      <c r="P97" s="1502"/>
      <c r="Q97" s="1503"/>
    </row>
    <row r="98" spans="2:17" s="488" customFormat="1" ht="13" x14ac:dyDescent="0.3">
      <c r="B98" s="533">
        <v>2</v>
      </c>
      <c r="C98" s="1217"/>
      <c r="D98" s="1184"/>
      <c r="E98" s="554"/>
      <c r="F98" s="612"/>
      <c r="G98" s="612"/>
      <c r="H98" s="1190"/>
      <c r="I98" s="568"/>
      <c r="J98" s="568"/>
      <c r="K98" s="568"/>
      <c r="L98" s="568"/>
      <c r="M98" s="568"/>
      <c r="N98" s="568"/>
      <c r="O98" s="1495"/>
      <c r="P98" s="1496"/>
      <c r="Q98" s="1497"/>
    </row>
    <row r="99" spans="2:17" s="488" customFormat="1" ht="13" x14ac:dyDescent="0.3">
      <c r="B99" s="533">
        <v>3</v>
      </c>
      <c r="C99" s="1217"/>
      <c r="D99" s="1184"/>
      <c r="E99" s="554"/>
      <c r="F99" s="612"/>
      <c r="G99" s="612"/>
      <c r="H99" s="1190"/>
      <c r="I99" s="568"/>
      <c r="J99" s="568"/>
      <c r="K99" s="568"/>
      <c r="L99" s="568"/>
      <c r="M99" s="568"/>
      <c r="N99" s="568"/>
      <c r="O99" s="1495"/>
      <c r="P99" s="1496"/>
      <c r="Q99" s="1497"/>
    </row>
    <row r="100" spans="2:17" s="488" customFormat="1" ht="13" x14ac:dyDescent="0.3">
      <c r="B100" s="533">
        <v>4</v>
      </c>
      <c r="C100" s="1217"/>
      <c r="D100" s="1184"/>
      <c r="E100" s="554"/>
      <c r="F100" s="612"/>
      <c r="G100" s="612"/>
      <c r="H100" s="1190"/>
      <c r="I100" s="568"/>
      <c r="J100" s="568"/>
      <c r="K100" s="568"/>
      <c r="L100" s="568"/>
      <c r="M100" s="568"/>
      <c r="N100" s="568"/>
      <c r="O100" s="1495"/>
      <c r="P100" s="1496"/>
      <c r="Q100" s="1497"/>
    </row>
    <row r="101" spans="2:17" s="488" customFormat="1" ht="13" x14ac:dyDescent="0.3">
      <c r="B101" s="533">
        <v>5</v>
      </c>
      <c r="C101" s="546"/>
      <c r="D101" s="1184"/>
      <c r="E101" s="1190"/>
      <c r="F101" s="1190"/>
      <c r="G101" s="1190"/>
      <c r="H101" s="1190"/>
      <c r="I101" s="568"/>
      <c r="J101" s="568"/>
      <c r="K101" s="568"/>
      <c r="L101" s="568"/>
      <c r="M101" s="568"/>
      <c r="N101" s="568"/>
      <c r="O101" s="1495"/>
      <c r="P101" s="1496"/>
      <c r="Q101" s="1497"/>
    </row>
    <row r="102" spans="2:17" s="488" customFormat="1" ht="13" x14ac:dyDescent="0.3">
      <c r="B102" s="533">
        <v>6</v>
      </c>
      <c r="C102" s="546"/>
      <c r="D102" s="570"/>
      <c r="E102" s="1190"/>
      <c r="F102" s="622"/>
      <c r="G102" s="1190"/>
      <c r="H102" s="1190"/>
      <c r="I102" s="569"/>
      <c r="J102" s="569"/>
      <c r="K102" s="569"/>
      <c r="L102" s="569"/>
      <c r="M102" s="569"/>
      <c r="N102" s="569"/>
      <c r="O102" s="1492"/>
      <c r="P102" s="1493"/>
      <c r="Q102" s="1494"/>
    </row>
    <row r="103" spans="2:17" s="488" customFormat="1" ht="13" x14ac:dyDescent="0.3">
      <c r="B103" s="533">
        <v>7</v>
      </c>
      <c r="C103" s="546"/>
      <c r="D103" s="570"/>
      <c r="E103" s="1190"/>
      <c r="F103" s="569"/>
      <c r="G103" s="569"/>
      <c r="H103" s="1190"/>
      <c r="I103" s="569"/>
      <c r="J103" s="569"/>
      <c r="K103" s="569"/>
      <c r="L103" s="569"/>
      <c r="M103" s="569"/>
      <c r="N103" s="569"/>
      <c r="O103" s="1492"/>
      <c r="P103" s="1493"/>
      <c r="Q103" s="1494"/>
    </row>
    <row r="104" spans="2:17" s="488" customFormat="1" ht="13" x14ac:dyDescent="0.3">
      <c r="B104" s="533">
        <v>8</v>
      </c>
      <c r="C104" s="546"/>
      <c r="D104" s="570"/>
      <c r="E104" s="1190"/>
      <c r="F104" s="569"/>
      <c r="G104" s="569"/>
      <c r="H104" s="569"/>
      <c r="I104" s="569"/>
      <c r="J104" s="569"/>
      <c r="K104" s="569"/>
      <c r="L104" s="569"/>
      <c r="M104" s="569"/>
      <c r="N104" s="569"/>
      <c r="O104" s="1492"/>
      <c r="P104" s="1493"/>
      <c r="Q104" s="1494"/>
    </row>
    <row r="105" spans="2:17" s="488" customFormat="1" ht="13" x14ac:dyDescent="0.3">
      <c r="B105" s="533">
        <v>9</v>
      </c>
      <c r="C105" s="546"/>
      <c r="D105" s="570"/>
      <c r="E105" s="1190"/>
      <c r="F105" s="1217"/>
      <c r="G105" s="1217"/>
      <c r="H105" s="1217"/>
      <c r="I105" s="569"/>
      <c r="J105" s="569"/>
      <c r="K105" s="569"/>
      <c r="L105" s="569"/>
      <c r="M105" s="569"/>
      <c r="N105" s="569"/>
      <c r="O105" s="1492"/>
      <c r="P105" s="1493"/>
      <c r="Q105" s="1494"/>
    </row>
    <row r="106" spans="2:17" s="488" customFormat="1" ht="13" x14ac:dyDescent="0.3">
      <c r="B106" s="533">
        <v>10</v>
      </c>
      <c r="C106" s="546"/>
      <c r="D106" s="570"/>
      <c r="E106" s="1217"/>
      <c r="F106" s="1217"/>
      <c r="G106" s="1217"/>
      <c r="H106" s="1217"/>
      <c r="I106" s="569"/>
      <c r="J106" s="569"/>
      <c r="K106" s="569"/>
      <c r="L106" s="569"/>
      <c r="M106" s="569"/>
      <c r="N106" s="569"/>
      <c r="O106" s="1492"/>
      <c r="P106" s="1493"/>
      <c r="Q106" s="1494"/>
    </row>
    <row r="107" spans="2:17" s="488" customFormat="1" ht="13" x14ac:dyDescent="0.3">
      <c r="B107" s="533">
        <v>11</v>
      </c>
      <c r="C107" s="546"/>
      <c r="D107" s="570"/>
      <c r="E107" s="571"/>
      <c r="F107" s="1190"/>
      <c r="G107" s="571"/>
      <c r="H107" s="571"/>
      <c r="I107" s="569"/>
      <c r="J107" s="569"/>
      <c r="K107" s="569"/>
      <c r="L107" s="569"/>
      <c r="M107" s="569"/>
      <c r="N107" s="569"/>
      <c r="O107" s="1492"/>
      <c r="P107" s="1493"/>
      <c r="Q107" s="1494"/>
    </row>
    <row r="108" spans="2:17" s="488" customFormat="1" ht="13" x14ac:dyDescent="0.3">
      <c r="B108" s="533">
        <v>12</v>
      </c>
      <c r="C108" s="546"/>
      <c r="D108" s="570"/>
      <c r="E108" s="1217"/>
      <c r="F108" s="1190"/>
      <c r="G108" s="1217"/>
      <c r="H108" s="1217"/>
      <c r="I108" s="569"/>
      <c r="J108" s="569"/>
      <c r="K108" s="569"/>
      <c r="L108" s="569"/>
      <c r="M108" s="569"/>
      <c r="N108" s="569"/>
      <c r="O108" s="1492"/>
      <c r="P108" s="1493"/>
      <c r="Q108" s="1494"/>
    </row>
    <row r="109" spans="2:17" s="488" customFormat="1" ht="13" x14ac:dyDescent="0.3">
      <c r="B109" s="533">
        <v>13</v>
      </c>
      <c r="C109" s="546"/>
      <c r="D109" s="570"/>
      <c r="E109" s="1217"/>
      <c r="F109" s="1217"/>
      <c r="G109" s="1217"/>
      <c r="H109" s="1217"/>
      <c r="I109" s="569"/>
      <c r="J109" s="569"/>
      <c r="K109" s="569"/>
      <c r="L109" s="569"/>
      <c r="M109" s="569"/>
      <c r="N109" s="569"/>
      <c r="O109" s="1492"/>
      <c r="P109" s="1493"/>
      <c r="Q109" s="1494"/>
    </row>
    <row r="110" spans="2:17" s="488" customFormat="1" ht="13" x14ac:dyDescent="0.3">
      <c r="B110" s="533">
        <v>14</v>
      </c>
      <c r="C110" s="546"/>
      <c r="D110" s="570"/>
      <c r="E110" s="572"/>
      <c r="F110" s="572"/>
      <c r="G110" s="572"/>
      <c r="H110" s="572"/>
      <c r="I110" s="569"/>
      <c r="J110" s="569"/>
      <c r="K110" s="569"/>
      <c r="L110" s="569"/>
      <c r="M110" s="569"/>
      <c r="N110" s="569"/>
      <c r="O110" s="1492"/>
      <c r="P110" s="1493"/>
      <c r="Q110" s="1494"/>
    </row>
    <row r="111" spans="2:17" s="488" customFormat="1" ht="13" x14ac:dyDescent="0.3">
      <c r="B111" s="533">
        <v>15</v>
      </c>
      <c r="C111" s="546"/>
      <c r="D111" s="570"/>
      <c r="E111" s="572"/>
      <c r="F111" s="572"/>
      <c r="G111" s="572"/>
      <c r="H111" s="572"/>
      <c r="I111" s="569"/>
      <c r="J111" s="569"/>
      <c r="K111" s="569"/>
      <c r="L111" s="569"/>
      <c r="M111" s="569"/>
      <c r="N111" s="569"/>
      <c r="O111" s="1492"/>
      <c r="P111" s="1493"/>
      <c r="Q111" s="1494"/>
    </row>
    <row r="112" spans="2:17" s="488" customFormat="1" ht="13" x14ac:dyDescent="0.3">
      <c r="B112" s="533">
        <v>16</v>
      </c>
      <c r="C112" s="546"/>
      <c r="D112" s="570"/>
      <c r="E112" s="572"/>
      <c r="F112" s="572"/>
      <c r="G112" s="572"/>
      <c r="H112" s="572"/>
      <c r="I112" s="569"/>
      <c r="J112" s="569"/>
      <c r="K112" s="569"/>
      <c r="L112" s="569"/>
      <c r="M112" s="569"/>
      <c r="N112" s="569"/>
      <c r="O112" s="1492"/>
      <c r="P112" s="1493"/>
      <c r="Q112" s="1494"/>
    </row>
    <row r="113" spans="2:17" s="488" customFormat="1" ht="13" x14ac:dyDescent="0.3">
      <c r="B113" s="533">
        <v>17</v>
      </c>
      <c r="C113" s="546"/>
      <c r="D113" s="570"/>
      <c r="E113" s="572"/>
      <c r="F113" s="572"/>
      <c r="G113" s="572"/>
      <c r="H113" s="572"/>
      <c r="I113" s="569"/>
      <c r="J113" s="569"/>
      <c r="K113" s="569"/>
      <c r="L113" s="569"/>
      <c r="M113" s="569"/>
      <c r="N113" s="569"/>
      <c r="O113" s="1492"/>
      <c r="P113" s="1493"/>
      <c r="Q113" s="1494"/>
    </row>
    <row r="114" spans="2:17" s="488" customFormat="1" ht="13" x14ac:dyDescent="0.3">
      <c r="B114" s="533">
        <v>18</v>
      </c>
      <c r="C114" s="546"/>
      <c r="D114" s="570"/>
      <c r="E114" s="572"/>
      <c r="F114" s="572"/>
      <c r="G114" s="572"/>
      <c r="H114" s="572"/>
      <c r="I114" s="569"/>
      <c r="J114" s="569"/>
      <c r="K114" s="569"/>
      <c r="L114" s="569"/>
      <c r="M114" s="569"/>
      <c r="N114" s="569"/>
      <c r="O114" s="1492"/>
      <c r="P114" s="1493"/>
      <c r="Q114" s="1494"/>
    </row>
    <row r="115" spans="2:17" s="488" customFormat="1" ht="13" x14ac:dyDescent="0.3">
      <c r="B115" s="533">
        <v>19</v>
      </c>
      <c r="C115" s="546"/>
      <c r="D115" s="570"/>
      <c r="E115" s="572"/>
      <c r="F115" s="572"/>
      <c r="G115" s="572"/>
      <c r="H115" s="572"/>
      <c r="I115" s="569"/>
      <c r="J115" s="569"/>
      <c r="K115" s="569"/>
      <c r="L115" s="569"/>
      <c r="M115" s="569"/>
      <c r="N115" s="569"/>
      <c r="O115" s="1492"/>
      <c r="P115" s="1493"/>
      <c r="Q115" s="1494"/>
    </row>
    <row r="116" spans="2:17" s="488" customFormat="1" ht="13" x14ac:dyDescent="0.3">
      <c r="B116" s="533">
        <v>20</v>
      </c>
      <c r="C116" s="546"/>
      <c r="D116" s="570"/>
      <c r="E116" s="572"/>
      <c r="F116" s="572"/>
      <c r="G116" s="572"/>
      <c r="H116" s="572"/>
      <c r="I116" s="569"/>
      <c r="J116" s="569"/>
      <c r="K116" s="569"/>
      <c r="L116" s="569"/>
      <c r="M116" s="569"/>
      <c r="N116" s="569"/>
      <c r="O116" s="1492"/>
      <c r="P116" s="1493"/>
      <c r="Q116" s="1494"/>
    </row>
  </sheetData>
  <sheetProtection algorithmName="SHA-512" hashValue="cXm5L1WEYaEYab8c6LPGhlDpO5WTvKnCaLvMp+8T+Bzk+ShZGMG0HJoZaq1vAAhXc6RPwuzL8lsihc1lFuVY3Q==" saltValue="dnsUzngJUTR0AXKQVb7FHA==" spinCount="100000" sheet="1" objects="1" scenarios="1" selectLockedCells="1" selectUnlockedCells="1"/>
  <mergeCells count="121">
    <mergeCell ref="D17:F17"/>
    <mergeCell ref="D18:F18"/>
    <mergeCell ref="B20:Q20"/>
    <mergeCell ref="C21:Q21"/>
    <mergeCell ref="C22:Q22"/>
    <mergeCell ref="C23:Q23"/>
    <mergeCell ref="C2:F2"/>
    <mergeCell ref="C3:F3"/>
    <mergeCell ref="C4:F4"/>
    <mergeCell ref="C5:F5"/>
    <mergeCell ref="D7:F7"/>
    <mergeCell ref="D8:F16"/>
    <mergeCell ref="E34:Q34"/>
    <mergeCell ref="E35:Q35"/>
    <mergeCell ref="E36:Q36"/>
    <mergeCell ref="E37:Q37"/>
    <mergeCell ref="C41:M41"/>
    <mergeCell ref="P41:Q41"/>
    <mergeCell ref="D25:Q25"/>
    <mergeCell ref="D26:Q26"/>
    <mergeCell ref="D27:Q27"/>
    <mergeCell ref="D28:Q28"/>
    <mergeCell ref="E32:Q32"/>
    <mergeCell ref="E33:Q33"/>
    <mergeCell ref="D29:Q29"/>
    <mergeCell ref="D30:Q30"/>
    <mergeCell ref="C45:M45"/>
    <mergeCell ref="P45:Q45"/>
    <mergeCell ref="C47:M47"/>
    <mergeCell ref="P47:Q47"/>
    <mergeCell ref="C48:M48"/>
    <mergeCell ref="P48:Q48"/>
    <mergeCell ref="C42:M42"/>
    <mergeCell ref="P42:Q42"/>
    <mergeCell ref="C43:M43"/>
    <mergeCell ref="P43:Q43"/>
    <mergeCell ref="C44:M44"/>
    <mergeCell ref="P44:Q44"/>
    <mergeCell ref="C53:M53"/>
    <mergeCell ref="P53:Q53"/>
    <mergeCell ref="C54:M54"/>
    <mergeCell ref="P54:Q54"/>
    <mergeCell ref="C55:M55"/>
    <mergeCell ref="P55:Q55"/>
    <mergeCell ref="C49:M49"/>
    <mergeCell ref="P49:Q49"/>
    <mergeCell ref="C50:M50"/>
    <mergeCell ref="P50:Q50"/>
    <mergeCell ref="C51:M51"/>
    <mergeCell ref="P51:Q51"/>
    <mergeCell ref="D62:E62"/>
    <mergeCell ref="J62:Q62"/>
    <mergeCell ref="D63:E63"/>
    <mergeCell ref="J63:Q63"/>
    <mergeCell ref="D76:E76"/>
    <mergeCell ref="J76:Q76"/>
    <mergeCell ref="C56:M56"/>
    <mergeCell ref="P56:Q56"/>
    <mergeCell ref="C57:M57"/>
    <mergeCell ref="P57:Q57"/>
    <mergeCell ref="D61:E61"/>
    <mergeCell ref="J61:Q61"/>
    <mergeCell ref="D68:E68"/>
    <mergeCell ref="J68:Q68"/>
    <mergeCell ref="D69:E69"/>
    <mergeCell ref="J69:Q69"/>
    <mergeCell ref="D70:E70"/>
    <mergeCell ref="J70:Q70"/>
    <mergeCell ref="D65:E65"/>
    <mergeCell ref="J65:Q65"/>
    <mergeCell ref="D64:E64"/>
    <mergeCell ref="J66:Q66"/>
    <mergeCell ref="D67:E67"/>
    <mergeCell ref="J67:Q67"/>
    <mergeCell ref="D66:E66"/>
    <mergeCell ref="D74:E74"/>
    <mergeCell ref="J74:Q74"/>
    <mergeCell ref="D75:E75"/>
    <mergeCell ref="J75:Q75"/>
    <mergeCell ref="D71:E71"/>
    <mergeCell ref="J71:Q71"/>
    <mergeCell ref="D72:E72"/>
    <mergeCell ref="J72:Q72"/>
    <mergeCell ref="D73:E73"/>
    <mergeCell ref="J73:Q73"/>
    <mergeCell ref="B95:D95"/>
    <mergeCell ref="C96:D96"/>
    <mergeCell ref="O97:Q97"/>
    <mergeCell ref="O98:Q98"/>
    <mergeCell ref="O99:Q99"/>
    <mergeCell ref="O100:Q100"/>
    <mergeCell ref="F86:Q86"/>
    <mergeCell ref="F87:Q87"/>
    <mergeCell ref="F88:Q88"/>
    <mergeCell ref="F89:Q89"/>
    <mergeCell ref="F90:Q90"/>
    <mergeCell ref="E94:N94"/>
    <mergeCell ref="O94:Q96"/>
    <mergeCell ref="O113:Q113"/>
    <mergeCell ref="O114:Q114"/>
    <mergeCell ref="O115:Q115"/>
    <mergeCell ref="O116:Q116"/>
    <mergeCell ref="J64:Q64"/>
    <mergeCell ref="O107:Q107"/>
    <mergeCell ref="O108:Q108"/>
    <mergeCell ref="O109:Q109"/>
    <mergeCell ref="O110:Q110"/>
    <mergeCell ref="O111:Q111"/>
    <mergeCell ref="O112:Q112"/>
    <mergeCell ref="O101:Q101"/>
    <mergeCell ref="O102:Q102"/>
    <mergeCell ref="O103:Q103"/>
    <mergeCell ref="O104:Q104"/>
    <mergeCell ref="O105:Q105"/>
    <mergeCell ref="O106:Q106"/>
    <mergeCell ref="F80:Q80"/>
    <mergeCell ref="F81:Q81"/>
    <mergeCell ref="F82:Q82"/>
    <mergeCell ref="F83:Q83"/>
    <mergeCell ref="F84:Q84"/>
    <mergeCell ref="F85:Q85"/>
  </mergeCells>
  <phoneticPr fontId="22" type="noConversion"/>
  <conditionalFormatting sqref="F109:F116 G102:G116 H104:H116">
    <cfRule type="expression" dxfId="4112" priority="32">
      <formula>IF(OR(#REF!="L",#REF!="C"),TRUE,FALSE)</formula>
    </cfRule>
  </conditionalFormatting>
  <conditionalFormatting sqref="E110:E116">
    <cfRule type="expression" dxfId="4111" priority="31">
      <formula>IF(OR(#REF!="L",#REF!="C"),TRUE,FALSE)</formula>
    </cfRule>
  </conditionalFormatting>
  <conditionalFormatting sqref="E107">
    <cfRule type="expression" dxfId="4110" priority="30">
      <formula>IF(OR(#REF!="L",#REF!="C"),TRUE,FALSE)</formula>
    </cfRule>
  </conditionalFormatting>
  <conditionalFormatting sqref="E108">
    <cfRule type="expression" dxfId="4109" priority="29">
      <formula>IF(OR(#REF!="L",#REF!="C"),TRUE,FALSE)</formula>
    </cfRule>
  </conditionalFormatting>
  <conditionalFormatting sqref="E109">
    <cfRule type="expression" dxfId="4108" priority="28">
      <formula>IF(OR(#REF!="L",#REF!="C"),TRUE,FALSE)</formula>
    </cfRule>
  </conditionalFormatting>
  <conditionalFormatting sqref="E106">
    <cfRule type="expression" dxfId="4107" priority="27">
      <formula>IF(OR(#REF!="L",#REF!="C"),TRUE,FALSE)</formula>
    </cfRule>
  </conditionalFormatting>
  <conditionalFormatting sqref="E95 G95 I95 K95 M95">
    <cfRule type="duplicateValues" dxfId="4106" priority="26"/>
  </conditionalFormatting>
  <conditionalFormatting sqref="M104:M116">
    <cfRule type="expression" dxfId="4105" priority="16">
      <formula>IF(OR(#REF!="L",#REF!="C"),TRUE,FALSE)</formula>
    </cfRule>
  </conditionalFormatting>
  <conditionalFormatting sqref="F102:F106">
    <cfRule type="expression" dxfId="4104" priority="25">
      <formula>IF(OR(#REF!="L",#REF!="C"),TRUE,FALSE)</formula>
    </cfRule>
  </conditionalFormatting>
  <conditionalFormatting sqref="I102:I103">
    <cfRule type="expression" dxfId="4103" priority="23">
      <formula>IF(OR(#REF!="L",#REF!="C"),TRUE,FALSE)</formula>
    </cfRule>
  </conditionalFormatting>
  <conditionalFormatting sqref="N102:N103">
    <cfRule type="expression" dxfId="4102" priority="13">
      <formula>IF(OR(#REF!="L",#REF!="C"),TRUE,FALSE)</formula>
    </cfRule>
  </conditionalFormatting>
  <conditionalFormatting sqref="I104:I116">
    <cfRule type="expression" dxfId="4101" priority="24">
      <formula>IF(OR(#REF!="L",#REF!="C"),TRUE,FALSE)</formula>
    </cfRule>
  </conditionalFormatting>
  <conditionalFormatting sqref="J102:J103">
    <cfRule type="expression" dxfId="4100" priority="21">
      <formula>IF(OR(#REF!="L",#REF!="C"),TRUE,FALSE)</formula>
    </cfRule>
  </conditionalFormatting>
  <conditionalFormatting sqref="J104:J116">
    <cfRule type="expression" dxfId="4099" priority="22">
      <formula>IF(OR(#REF!="L",#REF!="C"),TRUE,FALSE)</formula>
    </cfRule>
  </conditionalFormatting>
  <conditionalFormatting sqref="K102:K103">
    <cfRule type="expression" dxfId="4098" priority="19">
      <formula>IF(OR(#REF!="L",#REF!="C"),TRUE,FALSE)</formula>
    </cfRule>
  </conditionalFormatting>
  <conditionalFormatting sqref="K104:K116">
    <cfRule type="expression" dxfId="4097" priority="20">
      <formula>IF(OR(#REF!="L",#REF!="C"),TRUE,FALSE)</formula>
    </cfRule>
  </conditionalFormatting>
  <conditionalFormatting sqref="L102:L103">
    <cfRule type="expression" dxfId="4096" priority="17">
      <formula>IF(OR(#REF!="L",#REF!="C"),TRUE,FALSE)</formula>
    </cfRule>
  </conditionalFormatting>
  <conditionalFormatting sqref="L104:L116">
    <cfRule type="expression" dxfId="4095" priority="18">
      <formula>IF(OR(#REF!="L",#REF!="C"),TRUE,FALSE)</formula>
    </cfRule>
  </conditionalFormatting>
  <conditionalFormatting sqref="M102:M103">
    <cfRule type="expression" dxfId="4094" priority="15">
      <formula>IF(OR(#REF!="L",#REF!="C"),TRUE,FALSE)</formula>
    </cfRule>
  </conditionalFormatting>
  <conditionalFormatting sqref="N104:N116">
    <cfRule type="expression" dxfId="4093" priority="14">
      <formula>IF(OR(#REF!="L",#REF!="C"),TRUE,FALSE)</formula>
    </cfRule>
  </conditionalFormatting>
  <conditionalFormatting sqref="O104:O116">
    <cfRule type="expression" dxfId="4092" priority="12">
      <formula>IF(OR(#REF!="L",#REF!="C"),TRUE,FALSE)</formula>
    </cfRule>
  </conditionalFormatting>
  <conditionalFormatting sqref="O102:O103">
    <cfRule type="expression" dxfId="4091" priority="11">
      <formula>IF(OR(#REF!="L",#REF!="C"),TRUE,FALSE)</formula>
    </cfRule>
  </conditionalFormatting>
  <conditionalFormatting sqref="G96:N96">
    <cfRule type="duplicateValues" dxfId="4090" priority="10"/>
  </conditionalFormatting>
  <conditionalFormatting sqref="E96:F96">
    <cfRule type="duplicateValues" dxfId="4089" priority="9"/>
  </conditionalFormatting>
  <dataValidations disablePrompts="1" count="7">
    <dataValidation type="list" allowBlank="1" showInputMessage="1" showErrorMessage="1" sqref="C4" xr:uid="{7285ADD7-4F86-417D-A9BC-5993AB090E86}">
      <formula1>"COM,RES"</formula1>
    </dataValidation>
    <dataValidation type="list" allowBlank="1" showInputMessage="1" showErrorMessage="1" sqref="F72:F74" xr:uid="{D1278C63-660B-4B07-B7A5-5007C816AAA1}">
      <formula1>$C$102:$C$107</formula1>
    </dataValidation>
    <dataValidation type="list" allowBlank="1" showInputMessage="1" showErrorMessage="1" sqref="C9" xr:uid="{74685974-8CEA-4873-BF59-2162F0325FD3}">
      <formula1>INDIRECT("MeasureTypeList[Index]")</formula1>
    </dataValidation>
    <dataValidation type="list" allowBlank="1" showInputMessage="1" showErrorMessage="1" sqref="C26" xr:uid="{CB2D7D4A-4E39-4B53-BCC6-944C6DD8E991}">
      <formula1>INDIRECT("RegionList[Index]")</formula1>
    </dataValidation>
    <dataValidation type="list" allowBlank="1" showInputMessage="1" showErrorMessage="1" sqref="C27" xr:uid="{C4CE66A7-FAF8-4747-97F8-B648AA055887}">
      <formula1>INDIRECT("ReplacementTypeList[Index]")</formula1>
    </dataValidation>
    <dataValidation type="list" allowBlank="1" showInputMessage="1" showErrorMessage="1" sqref="C28" xr:uid="{A4542882-CEE7-40AF-97A5-1049EF6A5D49}">
      <formula1>INDIRECT("BuildingType[Building]")</formula1>
    </dataValidation>
    <dataValidation type="list" allowBlank="1" showInputMessage="1" showErrorMessage="1" sqref="C29 C30" xr:uid="{397A42A5-2952-4181-8DAF-F878E0238C8B}">
      <formula1>INDIRECT("FuelTypeList[Index]")</formula1>
    </dataValidation>
  </dataValidations>
  <hyperlinks>
    <hyperlink ref="F82" r:id="rId1" xr:uid="{74306744-8FF9-4065-BB8A-74BE76930039}"/>
    <hyperlink ref="F83" r:id="rId2" xr:uid="{AEF18402-9BB5-4DDB-AE2C-2852B59D0EC7}"/>
    <hyperlink ref="F85" r:id="rId3" xr:uid="{E2F2DE47-30A4-4437-AF58-91E4CB53768B}"/>
    <hyperlink ref="F84" r:id="rId4" xr:uid="{1DC2AF65-557E-44AC-AC25-9547BE43060C}"/>
  </hyperlinks>
  <pageMargins left="0.7" right="0.7" top="0.75" bottom="0.75" header="0.3" footer="0.3"/>
  <pageSetup orientation="portrait"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E5796-D456-44FC-B57C-391BFF0681C4}">
  <sheetPr codeName="Sheet418"/>
  <dimension ref="A2:R116"/>
  <sheetViews>
    <sheetView zoomScale="70" zoomScaleNormal="70" workbookViewId="0">
      <selection activeCell="J11" sqref="J11"/>
    </sheetView>
  </sheetViews>
  <sheetFormatPr defaultColWidth="9.08984375" defaultRowHeight="18.75" customHeight="1" x14ac:dyDescent="0.3"/>
  <cols>
    <col min="1" max="1" width="2.36328125" style="488" customWidth="1"/>
    <col min="2" max="2" width="32.26953125" style="488" customWidth="1"/>
    <col min="3" max="3" width="25.08984375" style="488" customWidth="1"/>
    <col min="4" max="4" width="21.6328125" style="488" customWidth="1"/>
    <col min="5" max="5" width="14.36328125" style="488" customWidth="1"/>
    <col min="6" max="6" width="15.6328125" style="488" customWidth="1"/>
    <col min="7" max="7" width="19.6328125" style="488" customWidth="1"/>
    <col min="8" max="8" width="16" style="488" customWidth="1"/>
    <col min="9" max="9" width="12.816406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623" customWidth="1"/>
    <col min="19" max="19" width="9.08984375" style="488"/>
    <col min="20" max="20" width="8.6328125" style="488" customWidth="1"/>
    <col min="21" max="16384" width="9.08984375" style="488"/>
  </cols>
  <sheetData>
    <row r="2" spans="1:18" ht="18.75" customHeight="1" x14ac:dyDescent="0.3">
      <c r="B2" s="1203" t="s">
        <v>506</v>
      </c>
      <c r="C2" s="1608" t="s">
        <v>406</v>
      </c>
      <c r="D2" s="1608"/>
      <c r="E2" s="1608"/>
      <c r="F2" s="1608"/>
    </row>
    <row r="3" spans="1:18" ht="18.75" customHeight="1" x14ac:dyDescent="0.3">
      <c r="B3" s="624" t="s">
        <v>407</v>
      </c>
      <c r="C3" s="1367" t="str">
        <f>IF(ISBLANK(C8)+ISBLANK(C10),C8,C8&amp;"_"&amp;C10)</f>
        <v>R-HC-007</v>
      </c>
      <c r="D3" s="1367"/>
      <c r="E3" s="1367"/>
      <c r="F3" s="1367"/>
    </row>
    <row r="4" spans="1:18" ht="18.75" customHeight="1" x14ac:dyDescent="0.3">
      <c r="B4" s="624" t="s">
        <v>11</v>
      </c>
      <c r="C4" s="1367" t="str" cm="1">
        <f t="array" ref="C4">_xlfn.SWITCH(LEFT(C8,1),"R","Residential","C","Commercial","ERROR")</f>
        <v>Residential</v>
      </c>
      <c r="D4" s="1367"/>
      <c r="E4" s="1367"/>
      <c r="F4" s="1367"/>
    </row>
    <row r="5" spans="1:18" ht="44.25" customHeight="1" x14ac:dyDescent="0.3">
      <c r="B5" s="624" t="s">
        <v>408</v>
      </c>
      <c r="C5" s="1530" t="s">
        <v>364</v>
      </c>
      <c r="D5" s="1531"/>
      <c r="E5" s="1531"/>
      <c r="F5" s="1532"/>
      <c r="R5" s="488"/>
    </row>
    <row r="6" spans="1:18" ht="18.75" customHeight="1" x14ac:dyDescent="0.3">
      <c r="A6" s="573"/>
    </row>
    <row r="7" spans="1:18" ht="18.75" customHeight="1" x14ac:dyDescent="0.3">
      <c r="B7" s="1203" t="s">
        <v>507</v>
      </c>
      <c r="C7" s="625" t="s">
        <v>406</v>
      </c>
      <c r="D7" s="1608" t="s">
        <v>410</v>
      </c>
      <c r="E7" s="1608"/>
      <c r="F7" s="1608"/>
      <c r="R7" s="488"/>
    </row>
    <row r="8" spans="1:18" ht="18.75" customHeight="1" x14ac:dyDescent="0.3">
      <c r="B8" s="624" t="s">
        <v>411</v>
      </c>
      <c r="C8" s="1194" t="s">
        <v>161</v>
      </c>
      <c r="D8" s="1613"/>
      <c r="E8" s="1614"/>
      <c r="F8" s="1615"/>
      <c r="R8" s="488"/>
    </row>
    <row r="9" spans="1:18" ht="18.75" customHeight="1" x14ac:dyDescent="0.3">
      <c r="B9" s="624" t="s">
        <v>49</v>
      </c>
      <c r="C9" s="1194" t="s">
        <v>579</v>
      </c>
      <c r="D9" s="1616"/>
      <c r="E9" s="1617"/>
      <c r="F9" s="1618"/>
      <c r="R9" s="488"/>
    </row>
    <row r="10" spans="1:18" ht="18.75" customHeight="1" x14ac:dyDescent="0.3">
      <c r="B10" s="624" t="s">
        <v>412</v>
      </c>
      <c r="C10" s="1194"/>
      <c r="D10" s="1616"/>
      <c r="E10" s="1617"/>
      <c r="F10" s="1618"/>
      <c r="R10" s="488"/>
    </row>
    <row r="11" spans="1:18" ht="18.75" customHeight="1" x14ac:dyDescent="0.3">
      <c r="B11" s="624" t="s">
        <v>413</v>
      </c>
      <c r="C11" s="1194"/>
      <c r="D11" s="1616"/>
      <c r="E11" s="1617"/>
      <c r="F11" s="1618"/>
      <c r="R11" s="488"/>
    </row>
    <row r="12" spans="1:18" ht="18.75" customHeight="1" x14ac:dyDescent="0.3">
      <c r="B12" s="624" t="s">
        <v>414</v>
      </c>
      <c r="C12" s="602"/>
      <c r="D12" s="1616"/>
      <c r="E12" s="1617"/>
      <c r="F12" s="1618"/>
      <c r="R12" s="488"/>
    </row>
    <row r="13" spans="1:18" ht="18.75" customHeight="1" x14ac:dyDescent="0.3">
      <c r="B13" s="626" t="s">
        <v>415</v>
      </c>
      <c r="C13" s="495">
        <f>N43</f>
        <v>-323.19101752493845</v>
      </c>
      <c r="D13" s="1616"/>
      <c r="E13" s="1617"/>
      <c r="F13" s="1618"/>
      <c r="R13" s="488"/>
    </row>
    <row r="14" spans="1:18" ht="18.75" customHeight="1" x14ac:dyDescent="0.3">
      <c r="B14" s="626" t="s">
        <v>416</v>
      </c>
      <c r="C14" s="495">
        <f>N42</f>
        <v>0</v>
      </c>
      <c r="D14" s="1616"/>
      <c r="E14" s="1617"/>
      <c r="F14" s="1618"/>
      <c r="R14" s="488"/>
    </row>
    <row r="15" spans="1:18" ht="18.75" customHeight="1" x14ac:dyDescent="0.3">
      <c r="B15" s="626" t="s">
        <v>417</v>
      </c>
      <c r="C15" s="495">
        <f>N44</f>
        <v>3.4715760571818479</v>
      </c>
      <c r="D15" s="1616"/>
      <c r="E15" s="1617"/>
      <c r="F15" s="1618"/>
      <c r="R15" s="488"/>
    </row>
    <row r="16" spans="1:18" ht="18.75" customHeight="1" x14ac:dyDescent="0.3">
      <c r="B16" s="626" t="s">
        <v>418</v>
      </c>
      <c r="C16" s="496">
        <f>C37</f>
        <v>0</v>
      </c>
      <c r="D16" s="1619"/>
      <c r="E16" s="1620"/>
      <c r="F16" s="1621"/>
      <c r="R16" s="488"/>
    </row>
    <row r="17" spans="2:18" ht="18.75" customHeight="1" x14ac:dyDescent="0.3">
      <c r="B17" s="624" t="s">
        <v>48</v>
      </c>
      <c r="C17" s="1194" t="s">
        <v>509</v>
      </c>
      <c r="D17" s="1608" t="s">
        <v>419</v>
      </c>
      <c r="E17" s="1608"/>
      <c r="F17" s="1608"/>
      <c r="R17" s="488"/>
    </row>
    <row r="18" spans="2:18" ht="18.75" customHeight="1" x14ac:dyDescent="0.3">
      <c r="B18" s="624" t="s">
        <v>420</v>
      </c>
      <c r="C18" s="541">
        <v>16</v>
      </c>
      <c r="D18" s="1520" t="s">
        <v>634</v>
      </c>
      <c r="E18" s="1520"/>
      <c r="F18" s="1520"/>
      <c r="R18" s="488"/>
    </row>
    <row r="19" spans="2:18" ht="18.75" customHeight="1" x14ac:dyDescent="0.3">
      <c r="B19" s="627"/>
      <c r="C19" s="576"/>
      <c r="F19" s="623"/>
      <c r="R19" s="488"/>
    </row>
    <row r="20" spans="2:18" ht="18.75" customHeight="1" x14ac:dyDescent="0.3">
      <c r="B20" s="1609" t="s">
        <v>421</v>
      </c>
      <c r="C20" s="1609"/>
      <c r="D20" s="1609"/>
      <c r="E20" s="1609"/>
      <c r="F20" s="1609"/>
      <c r="G20" s="1609"/>
      <c r="H20" s="1609"/>
      <c r="I20" s="1609"/>
      <c r="J20" s="1609"/>
      <c r="K20" s="1609"/>
      <c r="L20" s="1609"/>
      <c r="M20" s="1609"/>
      <c r="N20" s="1609"/>
      <c r="O20" s="1609"/>
      <c r="P20" s="1609"/>
      <c r="Q20" s="1609"/>
      <c r="R20" s="488"/>
    </row>
    <row r="21" spans="2:18" ht="18.75" customHeight="1" x14ac:dyDescent="0.3">
      <c r="B21" s="628" t="s">
        <v>422</v>
      </c>
      <c r="C21" s="1610" t="s">
        <v>362</v>
      </c>
      <c r="D21" s="1611"/>
      <c r="E21" s="1611"/>
      <c r="F21" s="1611"/>
      <c r="G21" s="1611"/>
      <c r="H21" s="1611"/>
      <c r="I21" s="1611"/>
      <c r="J21" s="1611"/>
      <c r="K21" s="1611"/>
      <c r="L21" s="1611"/>
      <c r="M21" s="1611"/>
      <c r="N21" s="1611"/>
      <c r="O21" s="1611"/>
      <c r="P21" s="1611"/>
      <c r="Q21" s="1612"/>
      <c r="R21" s="488"/>
    </row>
    <row r="22" spans="2:18" ht="18.75" customHeight="1" x14ac:dyDescent="0.3">
      <c r="B22" s="628" t="s">
        <v>423</v>
      </c>
      <c r="C22" s="1610" t="s">
        <v>363</v>
      </c>
      <c r="D22" s="1611"/>
      <c r="E22" s="1611"/>
      <c r="F22" s="1611"/>
      <c r="G22" s="1611"/>
      <c r="H22" s="1611"/>
      <c r="I22" s="1611"/>
      <c r="J22" s="1611"/>
      <c r="K22" s="1611"/>
      <c r="L22" s="1611"/>
      <c r="M22" s="1611"/>
      <c r="N22" s="1611"/>
      <c r="O22" s="1611"/>
      <c r="P22" s="1611"/>
      <c r="Q22" s="1612"/>
      <c r="R22" s="488"/>
    </row>
    <row r="23" spans="2:18" ht="18.75" customHeight="1" x14ac:dyDescent="0.3">
      <c r="B23" s="628" t="s">
        <v>424</v>
      </c>
      <c r="C23" s="1610"/>
      <c r="D23" s="1611"/>
      <c r="E23" s="1611"/>
      <c r="F23" s="1611"/>
      <c r="G23" s="1611"/>
      <c r="H23" s="1611"/>
      <c r="I23" s="1611"/>
      <c r="J23" s="1611"/>
      <c r="K23" s="1611"/>
      <c r="L23" s="1611"/>
      <c r="M23" s="1611"/>
      <c r="N23" s="1611"/>
      <c r="O23" s="1611"/>
      <c r="P23" s="1611"/>
      <c r="Q23" s="1612"/>
      <c r="R23" s="488"/>
    </row>
    <row r="25" spans="2:18" ht="18.75" customHeight="1" x14ac:dyDescent="0.3">
      <c r="B25" s="1203" t="s">
        <v>425</v>
      </c>
      <c r="C25" s="625" t="s">
        <v>406</v>
      </c>
      <c r="D25" s="1607" t="s">
        <v>421</v>
      </c>
      <c r="E25" s="1607"/>
      <c r="F25" s="1607"/>
      <c r="G25" s="1607"/>
      <c r="H25" s="1607"/>
      <c r="I25" s="1607"/>
      <c r="J25" s="1607"/>
      <c r="K25" s="1607"/>
      <c r="L25" s="1607"/>
      <c r="M25" s="1607"/>
      <c r="N25" s="1607"/>
      <c r="O25" s="1607"/>
      <c r="P25" s="1607"/>
      <c r="Q25" s="1607"/>
      <c r="R25" s="488"/>
    </row>
    <row r="26" spans="2:18" ht="18.75" customHeight="1" x14ac:dyDescent="0.3">
      <c r="B26" s="624"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624"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624" t="s">
        <v>54</v>
      </c>
      <c r="C28" s="539" t="str">
        <f>Default.BuildingType.R</f>
        <v>Home - detached</v>
      </c>
      <c r="D28" s="1386"/>
      <c r="E28" s="1386"/>
      <c r="F28" s="1386"/>
      <c r="G28" s="1386"/>
      <c r="H28" s="1386"/>
      <c r="I28" s="1386"/>
      <c r="J28" s="1386"/>
      <c r="K28" s="1386"/>
      <c r="L28" s="1386"/>
      <c r="M28" s="1386"/>
      <c r="N28" s="1386"/>
      <c r="O28" s="1386"/>
      <c r="P28" s="1386"/>
      <c r="Q28" s="1386"/>
      <c r="R28" s="488"/>
    </row>
    <row r="29" spans="2:18" ht="18.75" customHeight="1" x14ac:dyDescent="0.3">
      <c r="B29" s="624"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624"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203" t="s">
        <v>427</v>
      </c>
      <c r="C32" s="1202" t="s">
        <v>406</v>
      </c>
      <c r="D32" s="625" t="s">
        <v>428</v>
      </c>
      <c r="E32" s="1607" t="s">
        <v>419</v>
      </c>
      <c r="F32" s="1607"/>
      <c r="G32" s="1607"/>
      <c r="H32" s="1607"/>
      <c r="I32" s="1607"/>
      <c r="J32" s="1607"/>
      <c r="K32" s="1607"/>
      <c r="L32" s="1607"/>
      <c r="M32" s="1607"/>
      <c r="N32" s="1607"/>
      <c r="O32" s="1607"/>
      <c r="P32" s="1607"/>
      <c r="Q32" s="1607"/>
    </row>
    <row r="33" spans="2:18" ht="24.75" customHeight="1" x14ac:dyDescent="0.3">
      <c r="B33" s="624" t="s">
        <v>429</v>
      </c>
      <c r="C33" s="640"/>
      <c r="D33" s="586" t="s">
        <v>430</v>
      </c>
      <c r="E33" s="1604"/>
      <c r="F33" s="1605"/>
      <c r="G33" s="1605"/>
      <c r="H33" s="1605"/>
      <c r="I33" s="1605"/>
      <c r="J33" s="1605"/>
      <c r="K33" s="1605"/>
      <c r="L33" s="1605"/>
      <c r="M33" s="1605"/>
      <c r="N33" s="1605"/>
      <c r="O33" s="1605"/>
      <c r="P33" s="1605"/>
      <c r="Q33" s="1606"/>
      <c r="R33" s="488"/>
    </row>
    <row r="34" spans="2:18" ht="24.75" customHeight="1" x14ac:dyDescent="0.3">
      <c r="B34" s="626" t="s">
        <v>431</v>
      </c>
      <c r="C34" s="640"/>
      <c r="D34" s="586" t="s">
        <v>430</v>
      </c>
      <c r="E34" s="1604"/>
      <c r="F34" s="1605"/>
      <c r="G34" s="1605"/>
      <c r="H34" s="1605"/>
      <c r="I34" s="1605"/>
      <c r="J34" s="1605"/>
      <c r="K34" s="1605"/>
      <c r="L34" s="1605"/>
      <c r="M34" s="1605"/>
      <c r="N34" s="1605"/>
      <c r="O34" s="1605"/>
      <c r="P34" s="1605"/>
      <c r="Q34" s="1606"/>
    </row>
    <row r="35" spans="2:18" ht="24.75" customHeight="1" x14ac:dyDescent="0.3">
      <c r="B35" s="624" t="s">
        <v>432</v>
      </c>
      <c r="C35" s="640"/>
      <c r="D35" s="586" t="s">
        <v>430</v>
      </c>
      <c r="E35" s="1604"/>
      <c r="F35" s="1605"/>
      <c r="G35" s="1605"/>
      <c r="H35" s="1605"/>
      <c r="I35" s="1605"/>
      <c r="J35" s="1605"/>
      <c r="K35" s="1605"/>
      <c r="L35" s="1605"/>
      <c r="M35" s="1605"/>
      <c r="N35" s="1605"/>
      <c r="O35" s="1605"/>
      <c r="P35" s="1605"/>
      <c r="Q35" s="1606"/>
    </row>
    <row r="36" spans="2:18" ht="24.75" customHeight="1" x14ac:dyDescent="0.3">
      <c r="B36" s="626" t="s">
        <v>433</v>
      </c>
      <c r="C36" s="629">
        <f>SUM(C33:C34)</f>
        <v>0</v>
      </c>
      <c r="D36" s="586" t="s">
        <v>430</v>
      </c>
      <c r="E36" s="1558"/>
      <c r="F36" s="1558"/>
      <c r="G36" s="1558"/>
      <c r="H36" s="1558"/>
      <c r="I36" s="1558"/>
      <c r="J36" s="1558"/>
      <c r="K36" s="1558"/>
      <c r="L36" s="1558"/>
      <c r="M36" s="1558"/>
      <c r="N36" s="1558"/>
      <c r="O36" s="1558"/>
      <c r="P36" s="1558"/>
      <c r="Q36" s="1558"/>
    </row>
    <row r="37" spans="2:18" ht="24.75" customHeight="1" x14ac:dyDescent="0.3">
      <c r="B37" s="626" t="s">
        <v>434</v>
      </c>
      <c r="C37" s="629">
        <f>IF(C27="RET",C33+(C34-C35),C34-C35)</f>
        <v>0</v>
      </c>
      <c r="D37" s="586" t="s">
        <v>430</v>
      </c>
      <c r="E37" s="1557"/>
      <c r="F37" s="1558"/>
      <c r="G37" s="1558"/>
      <c r="H37" s="1558"/>
      <c r="I37" s="1558"/>
      <c r="J37" s="1558"/>
      <c r="K37" s="1558"/>
      <c r="L37" s="1558"/>
      <c r="M37" s="1558"/>
      <c r="N37" s="1558"/>
      <c r="O37" s="1558"/>
      <c r="P37" s="1558"/>
      <c r="Q37" s="1558"/>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630" t="s">
        <v>435</v>
      </c>
      <c r="C39" s="631"/>
      <c r="D39" s="631"/>
      <c r="E39" s="631"/>
      <c r="F39" s="631"/>
      <c r="G39" s="631"/>
      <c r="H39" s="513"/>
      <c r="I39" s="513"/>
      <c r="J39" s="513"/>
      <c r="K39" s="513"/>
      <c r="L39" s="513"/>
      <c r="M39" s="513"/>
      <c r="N39" s="513"/>
      <c r="O39" s="513"/>
      <c r="P39" s="513"/>
      <c r="Q39" s="514"/>
    </row>
    <row r="41" spans="2:18" ht="18.75" customHeight="1" x14ac:dyDescent="0.3">
      <c r="B41" s="632" t="s">
        <v>436</v>
      </c>
      <c r="C41" s="1596" t="s">
        <v>437</v>
      </c>
      <c r="D41" s="1597"/>
      <c r="E41" s="1597"/>
      <c r="F41" s="1597"/>
      <c r="G41" s="1597"/>
      <c r="H41" s="1597"/>
      <c r="I41" s="1597"/>
      <c r="J41" s="1597"/>
      <c r="K41" s="1597"/>
      <c r="L41" s="1597"/>
      <c r="M41" s="1598"/>
      <c r="N41" s="1205" t="s">
        <v>406</v>
      </c>
      <c r="O41" s="1205" t="s">
        <v>428</v>
      </c>
      <c r="P41" s="1599" t="s">
        <v>419</v>
      </c>
      <c r="Q41" s="1599"/>
    </row>
    <row r="42" spans="2:18" ht="18.75" customHeight="1" x14ac:dyDescent="0.3">
      <c r="B42" s="582" t="s">
        <v>438</v>
      </c>
      <c r="C42" s="1380" t="s">
        <v>439</v>
      </c>
      <c r="D42" s="1381"/>
      <c r="E42" s="1381"/>
      <c r="F42" s="1381"/>
      <c r="G42" s="1381"/>
      <c r="H42" s="1381"/>
      <c r="I42" s="1381"/>
      <c r="J42" s="1381"/>
      <c r="K42" s="1381"/>
      <c r="L42" s="1381"/>
      <c r="M42" s="1382"/>
      <c r="N42" s="585">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-323.19101752493845</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5">
        <f>N50+N56</f>
        <v>3.4715760571818479</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5">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623"/>
      <c r="R46" s="488"/>
    </row>
    <row r="47" spans="2:18" ht="18.75" customHeight="1" x14ac:dyDescent="0.3">
      <c r="B47" s="632" t="s">
        <v>450</v>
      </c>
      <c r="C47" s="1596" t="s">
        <v>451</v>
      </c>
      <c r="D47" s="1597"/>
      <c r="E47" s="1597"/>
      <c r="F47" s="1597"/>
      <c r="G47" s="1597"/>
      <c r="H47" s="1597"/>
      <c r="I47" s="1597"/>
      <c r="J47" s="1597"/>
      <c r="K47" s="1597"/>
      <c r="L47" s="1597"/>
      <c r="M47" s="1598"/>
      <c r="N47" s="1205" t="s">
        <v>406</v>
      </c>
      <c r="O47" s="1205" t="s">
        <v>428</v>
      </c>
      <c r="P47" s="1599" t="s">
        <v>419</v>
      </c>
      <c r="Q47" s="159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38.5" customHeight="1" x14ac:dyDescent="0.3">
      <c r="B49" s="582" t="s">
        <v>454</v>
      </c>
      <c r="C49" s="1600" t="s">
        <v>664</v>
      </c>
      <c r="D49" s="1601"/>
      <c r="E49" s="1601"/>
      <c r="F49" s="1601"/>
      <c r="G49" s="1601"/>
      <c r="H49" s="1601"/>
      <c r="I49" s="1601"/>
      <c r="J49" s="1601"/>
      <c r="K49" s="1601"/>
      <c r="L49" s="1601"/>
      <c r="M49" s="1602"/>
      <c r="N49" s="592">
        <f>-( H72*H62*H64*(1/H66-1/H71) +  H63*H65/( H67 * (1-H70)  ) ) /1000</f>
        <v>-323.19101752493845</v>
      </c>
      <c r="O49" s="1243" t="s">
        <v>443</v>
      </c>
      <c r="P49" s="1603"/>
      <c r="Q49" s="1511"/>
      <c r="R49" s="488"/>
    </row>
    <row r="50" spans="2:18" ht="18.75" customHeight="1" x14ac:dyDescent="0.3">
      <c r="B50" s="582" t="s">
        <v>456</v>
      </c>
      <c r="C50" s="1504" t="s">
        <v>665</v>
      </c>
      <c r="D50" s="1505"/>
      <c r="E50" s="1505"/>
      <c r="F50" s="1505"/>
      <c r="G50" s="1505"/>
      <c r="H50" s="1505"/>
      <c r="I50" s="1505"/>
      <c r="J50" s="1505"/>
      <c r="K50" s="1505"/>
      <c r="L50" s="1505"/>
      <c r="M50" s="1506"/>
      <c r="N50" s="620">
        <f>H63 * H65  / (H68 * (1 - H69)) * GJ_per_BTU</f>
        <v>3.4715760571818479</v>
      </c>
      <c r="O50" s="1243" t="s">
        <v>446</v>
      </c>
      <c r="P50" s="1603"/>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623"/>
      <c r="R52" s="488"/>
    </row>
    <row r="53" spans="2:18" ht="18.75" customHeight="1" x14ac:dyDescent="0.3">
      <c r="B53" s="632" t="s">
        <v>460</v>
      </c>
      <c r="C53" s="1596" t="s">
        <v>461</v>
      </c>
      <c r="D53" s="1597"/>
      <c r="E53" s="1597"/>
      <c r="F53" s="1597"/>
      <c r="G53" s="1597"/>
      <c r="H53" s="1597"/>
      <c r="I53" s="1597"/>
      <c r="J53" s="1597"/>
      <c r="K53" s="1597"/>
      <c r="L53" s="1597"/>
      <c r="M53" s="1598"/>
      <c r="N53" s="1205" t="s">
        <v>406</v>
      </c>
      <c r="O53" s="1205" t="s">
        <v>428</v>
      </c>
      <c r="P53" s="1599" t="s">
        <v>419</v>
      </c>
      <c r="Q53" s="1599"/>
      <c r="R53" s="488"/>
    </row>
    <row r="54" spans="2:18" ht="18.75" customHeight="1" x14ac:dyDescent="0.3">
      <c r="B54" s="582" t="s">
        <v>462</v>
      </c>
      <c r="C54" s="1504" t="s">
        <v>463</v>
      </c>
      <c r="D54" s="1505"/>
      <c r="E54" s="1505"/>
      <c r="F54" s="1505"/>
      <c r="G54" s="1505"/>
      <c r="H54" s="1505"/>
      <c r="I54" s="1505"/>
      <c r="J54" s="1505"/>
      <c r="K54" s="1505"/>
      <c r="L54" s="1505"/>
      <c r="M54" s="1506"/>
      <c r="N54" s="592"/>
      <c r="O54" s="1243" t="s">
        <v>440</v>
      </c>
      <c r="P54" s="1511"/>
      <c r="Q54" s="1511"/>
      <c r="R54" s="488"/>
    </row>
    <row r="55" spans="2:18" ht="18.75" customHeight="1" x14ac:dyDescent="0.3">
      <c r="B55" s="582" t="s">
        <v>464</v>
      </c>
      <c r="C55" s="1504" t="s">
        <v>465</v>
      </c>
      <c r="D55" s="1505"/>
      <c r="E55" s="1505"/>
      <c r="F55" s="1505"/>
      <c r="G55" s="1505"/>
      <c r="H55" s="1505"/>
      <c r="I55" s="1505"/>
      <c r="J55" s="1505"/>
      <c r="K55" s="1505"/>
      <c r="L55" s="1505"/>
      <c r="M55" s="1506"/>
      <c r="N55" s="592"/>
      <c r="O55" s="1243" t="s">
        <v>443</v>
      </c>
      <c r="P55" s="1537"/>
      <c r="Q55" s="1538"/>
      <c r="R55" s="488"/>
    </row>
    <row r="56" spans="2:18" ht="18.75" customHeight="1" x14ac:dyDescent="0.3">
      <c r="B56" s="582" t="s">
        <v>466</v>
      </c>
      <c r="C56" s="1504" t="s">
        <v>516</v>
      </c>
      <c r="D56" s="1505"/>
      <c r="E56" s="1505"/>
      <c r="F56" s="1505"/>
      <c r="G56" s="1505"/>
      <c r="H56" s="1505"/>
      <c r="I56" s="1505"/>
      <c r="J56" s="1505"/>
      <c r="K56" s="1505"/>
      <c r="L56" s="1505"/>
      <c r="M56" s="1506"/>
      <c r="N56" s="592"/>
      <c r="O56" s="1243" t="s">
        <v>446</v>
      </c>
      <c r="P56" s="1537"/>
      <c r="Q56" s="1538"/>
      <c r="R56" s="488"/>
    </row>
    <row r="57" spans="2:18" ht="18.75" customHeight="1" x14ac:dyDescent="0.3">
      <c r="B57" s="582" t="s">
        <v>468</v>
      </c>
      <c r="C57" s="1504" t="s">
        <v>469</v>
      </c>
      <c r="D57" s="1505"/>
      <c r="E57" s="1505"/>
      <c r="F57" s="1505"/>
      <c r="G57" s="1505"/>
      <c r="H57" s="1505"/>
      <c r="I57" s="1505"/>
      <c r="J57" s="1505"/>
      <c r="K57" s="1505"/>
      <c r="L57" s="1505"/>
      <c r="M57" s="1506"/>
      <c r="N57" s="592"/>
      <c r="O57" s="1243" t="s">
        <v>449</v>
      </c>
      <c r="P57" s="1511"/>
      <c r="Q57" s="1511"/>
      <c r="R57" s="488"/>
    </row>
    <row r="58" spans="2:18" ht="18.75" customHeight="1" x14ac:dyDescent="0.3">
      <c r="B58" s="599"/>
      <c r="C58" s="577"/>
      <c r="D58" s="578"/>
      <c r="E58" s="578"/>
      <c r="F58" s="578"/>
      <c r="G58" s="578"/>
      <c r="H58" s="578"/>
      <c r="I58" s="578"/>
      <c r="J58" s="578"/>
      <c r="K58" s="578"/>
      <c r="L58" s="578"/>
      <c r="M58" s="578"/>
      <c r="N58" s="578"/>
      <c r="O58" s="578"/>
    </row>
    <row r="59" spans="2:18" ht="18.75" customHeight="1" x14ac:dyDescent="0.3">
      <c r="B59" s="630" t="s">
        <v>470</v>
      </c>
      <c r="C59" s="631"/>
      <c r="D59" s="631"/>
      <c r="E59" s="631"/>
      <c r="F59" s="631"/>
      <c r="G59" s="631"/>
      <c r="H59" s="513"/>
      <c r="I59" s="513"/>
      <c r="J59" s="513"/>
      <c r="K59" s="513"/>
      <c r="L59" s="513"/>
      <c r="M59" s="513"/>
      <c r="N59" s="513"/>
      <c r="O59" s="513"/>
      <c r="P59" s="513"/>
      <c r="Q59" s="514"/>
    </row>
    <row r="61" spans="2:18" ht="18.75" customHeight="1" x14ac:dyDescent="0.3">
      <c r="B61" s="632" t="s">
        <v>471</v>
      </c>
      <c r="C61" s="632" t="s">
        <v>472</v>
      </c>
      <c r="D61" s="1592" t="s">
        <v>473</v>
      </c>
      <c r="E61" s="1592"/>
      <c r="F61" s="632" t="s">
        <v>474</v>
      </c>
      <c r="G61" s="632" t="s">
        <v>475</v>
      </c>
      <c r="H61" s="632" t="s">
        <v>406</v>
      </c>
      <c r="I61" s="632" t="s">
        <v>428</v>
      </c>
      <c r="J61" s="1593" t="s">
        <v>476</v>
      </c>
      <c r="K61" s="1594"/>
      <c r="L61" s="1594"/>
      <c r="M61" s="1594"/>
      <c r="N61" s="1594"/>
      <c r="O61" s="1594"/>
      <c r="P61" s="1594"/>
      <c r="Q61" s="1595"/>
    </row>
    <row r="62" spans="2:18" ht="13.15" customHeight="1" x14ac:dyDescent="0.3">
      <c r="B62" s="533">
        <v>1</v>
      </c>
      <c r="C62" s="549" t="s">
        <v>545</v>
      </c>
      <c r="D62" s="1556" t="s">
        <v>637</v>
      </c>
      <c r="E62" s="1556"/>
      <c r="F62" s="641" t="str">
        <f>$C$28</f>
        <v>Home - detached</v>
      </c>
      <c r="G62" s="642" t="str">
        <f>$C$26</f>
        <v>Average</v>
      </c>
      <c r="H62" s="643">
        <f>INDEX(EFLC[#All],MATCH(F62,EFLC[[#All],[EFLC]],0),MATCH(G62,EFLC[#Headers],0))</f>
        <v>102.21882660823093</v>
      </c>
      <c r="I62" s="1238" t="s">
        <v>532</v>
      </c>
      <c r="J62" s="1462" t="s">
        <v>638</v>
      </c>
      <c r="K62" s="1470"/>
      <c r="L62" s="1470"/>
      <c r="M62" s="1470"/>
      <c r="N62" s="1470"/>
      <c r="O62" s="1470"/>
      <c r="P62" s="1470"/>
      <c r="Q62" s="1471"/>
      <c r="R62" s="488"/>
    </row>
    <row r="63" spans="2:18" ht="13.15" customHeight="1" x14ac:dyDescent="0.3">
      <c r="B63" s="533">
        <v>2</v>
      </c>
      <c r="C63" s="549" t="s">
        <v>530</v>
      </c>
      <c r="D63" s="1556" t="s">
        <v>648</v>
      </c>
      <c r="E63" s="1556"/>
      <c r="F63" s="641" t="str">
        <f>$C$28</f>
        <v>Home - detached</v>
      </c>
      <c r="G63" s="642" t="str">
        <f>$C$26</f>
        <v>Average</v>
      </c>
      <c r="H63" s="606">
        <f>INDEX(EFLH[#All],MATCH(F63,EFLH[[#All],[EFLH]],0),MATCH(G63,EFLH[#Headers],0))</f>
        <v>2617.8472419520012</v>
      </c>
      <c r="I63" s="1238" t="s">
        <v>532</v>
      </c>
      <c r="J63" s="1462" t="s">
        <v>533</v>
      </c>
      <c r="K63" s="1470"/>
      <c r="L63" s="1470"/>
      <c r="M63" s="1470"/>
      <c r="N63" s="1470"/>
      <c r="O63" s="1470"/>
      <c r="P63" s="1470"/>
      <c r="Q63" s="1471"/>
      <c r="R63" s="488"/>
    </row>
    <row r="64" spans="2:18" ht="42" customHeight="1" x14ac:dyDescent="0.3">
      <c r="B64" s="535">
        <v>3</v>
      </c>
      <c r="C64" s="551" t="s">
        <v>610</v>
      </c>
      <c r="D64" s="1543" t="s">
        <v>639</v>
      </c>
      <c r="E64" s="1543"/>
      <c r="F64" s="551"/>
      <c r="G64" s="552"/>
      <c r="H64" s="644">
        <f>H65</f>
        <v>1000</v>
      </c>
      <c r="I64" s="552" t="s">
        <v>536</v>
      </c>
      <c r="J64" s="1482" t="s">
        <v>537</v>
      </c>
      <c r="K64" s="1544"/>
      <c r="L64" s="1544"/>
      <c r="M64" s="1544"/>
      <c r="N64" s="1544"/>
      <c r="O64" s="1544"/>
      <c r="P64" s="1544"/>
      <c r="Q64" s="1545"/>
      <c r="R64" s="488"/>
    </row>
    <row r="65" spans="2:17" s="488" customFormat="1" ht="13.15" customHeight="1" x14ac:dyDescent="0.3">
      <c r="B65" s="535">
        <v>4</v>
      </c>
      <c r="C65" s="551" t="s">
        <v>649</v>
      </c>
      <c r="D65" s="1543" t="s">
        <v>650</v>
      </c>
      <c r="E65" s="1543"/>
      <c r="F65" s="551"/>
      <c r="G65" s="552"/>
      <c r="H65" s="644">
        <v>1000</v>
      </c>
      <c r="I65" s="552" t="s">
        <v>536</v>
      </c>
      <c r="J65" s="1482" t="s">
        <v>537</v>
      </c>
      <c r="K65" s="1544"/>
      <c r="L65" s="1544"/>
      <c r="M65" s="1544"/>
      <c r="N65" s="1544"/>
      <c r="O65" s="1544"/>
      <c r="P65" s="1544"/>
      <c r="Q65" s="1545"/>
    </row>
    <row r="66" spans="2:17" s="488" customFormat="1" ht="33.65" customHeight="1" x14ac:dyDescent="0.3">
      <c r="B66" s="533">
        <v>5</v>
      </c>
      <c r="C66" s="555" t="s">
        <v>553</v>
      </c>
      <c r="D66" s="1587" t="s">
        <v>554</v>
      </c>
      <c r="E66" s="1587"/>
      <c r="F66" s="555"/>
      <c r="G66" s="557"/>
      <c r="H66" s="646">
        <v>15</v>
      </c>
      <c r="I66" s="557" t="s">
        <v>641</v>
      </c>
      <c r="J66" s="1437" t="s">
        <v>642</v>
      </c>
      <c r="K66" s="1560"/>
      <c r="L66" s="1560"/>
      <c r="M66" s="1560"/>
      <c r="N66" s="1560"/>
      <c r="O66" s="1560"/>
      <c r="P66" s="1560"/>
      <c r="Q66" s="1561"/>
    </row>
    <row r="67" spans="2:17" s="488" customFormat="1" ht="46.9" customHeight="1" x14ac:dyDescent="0.3">
      <c r="B67" s="533">
        <v>6</v>
      </c>
      <c r="C67" s="546" t="s">
        <v>656</v>
      </c>
      <c r="D67" s="1539" t="s">
        <v>657</v>
      </c>
      <c r="E67" s="1539"/>
      <c r="F67" s="546"/>
      <c r="G67" s="1217"/>
      <c r="H67" s="645">
        <v>9</v>
      </c>
      <c r="I67" s="1217" t="s">
        <v>641</v>
      </c>
      <c r="J67" s="1468" t="s">
        <v>658</v>
      </c>
      <c r="K67" s="1541"/>
      <c r="L67" s="1541"/>
      <c r="M67" s="1541"/>
      <c r="N67" s="1541"/>
      <c r="O67" s="1541"/>
      <c r="P67" s="1541"/>
      <c r="Q67" s="1542"/>
    </row>
    <row r="68" spans="2:17" s="488" customFormat="1" ht="36" customHeight="1" x14ac:dyDescent="0.3">
      <c r="B68" s="533">
        <v>7</v>
      </c>
      <c r="C68" s="546" t="s">
        <v>517</v>
      </c>
      <c r="D68" s="1539" t="s">
        <v>584</v>
      </c>
      <c r="E68" s="1539"/>
      <c r="F68" s="1217"/>
      <c r="G68" s="1217"/>
      <c r="H68" s="607">
        <f>SpaceHeatingEfficiency.R.NG</f>
        <v>0.85</v>
      </c>
      <c r="I68" s="1238" t="s">
        <v>519</v>
      </c>
      <c r="J68" s="1559" t="s">
        <v>520</v>
      </c>
      <c r="K68" s="1559"/>
      <c r="L68" s="1559"/>
      <c r="M68" s="1559"/>
      <c r="N68" s="1559"/>
      <c r="O68" s="1559"/>
      <c r="P68" s="1559"/>
      <c r="Q68" s="1559"/>
    </row>
    <row r="69" spans="2:17" s="488" customFormat="1" ht="33" customHeight="1" x14ac:dyDescent="0.3">
      <c r="B69" s="638">
        <v>13</v>
      </c>
      <c r="C69" s="546" t="s">
        <v>666</v>
      </c>
      <c r="D69" s="1539" t="s">
        <v>586</v>
      </c>
      <c r="E69" s="1539"/>
      <c r="F69" s="1217"/>
      <c r="G69" s="1217"/>
      <c r="H69" s="608">
        <f>SpaceHeatingDerating.R.NG</f>
        <v>6.4000000000000001E-2</v>
      </c>
      <c r="I69" s="1217" t="s">
        <v>519</v>
      </c>
      <c r="J69" s="1559" t="s">
        <v>587</v>
      </c>
      <c r="K69" s="1559"/>
      <c r="L69" s="1559"/>
      <c r="M69" s="1559"/>
      <c r="N69" s="1559"/>
      <c r="O69" s="1559"/>
      <c r="P69" s="1559"/>
      <c r="Q69" s="1559"/>
    </row>
    <row r="70" spans="2:17" s="488" customFormat="1" ht="15" customHeight="1" x14ac:dyDescent="0.3">
      <c r="B70" s="637">
        <v>13</v>
      </c>
      <c r="C70" s="760" t="s">
        <v>667</v>
      </c>
      <c r="D70" s="1588" t="s">
        <v>668</v>
      </c>
      <c r="E70" s="1588"/>
      <c r="F70" s="760"/>
      <c r="G70" s="1255"/>
      <c r="H70" s="1260">
        <f>SpaceHeatingDerating.R.HP</f>
        <v>0.1</v>
      </c>
      <c r="I70" s="1255" t="s">
        <v>519</v>
      </c>
      <c r="J70" s="1624" t="s">
        <v>655</v>
      </c>
      <c r="K70" s="1624"/>
      <c r="L70" s="1624"/>
      <c r="M70" s="1624"/>
      <c r="N70" s="1624"/>
      <c r="O70" s="1624"/>
      <c r="P70" s="1624"/>
      <c r="Q70" s="1624"/>
    </row>
    <row r="71" spans="2:17" s="488" customFormat="1" ht="36.65" customHeight="1" x14ac:dyDescent="0.3">
      <c r="B71" s="638">
        <v>13</v>
      </c>
      <c r="C71" s="546" t="s">
        <v>549</v>
      </c>
      <c r="D71" s="1539" t="s">
        <v>640</v>
      </c>
      <c r="E71" s="1539"/>
      <c r="F71" s="546"/>
      <c r="G71" s="1217"/>
      <c r="H71" s="645">
        <v>14</v>
      </c>
      <c r="I71" s="1217" t="s">
        <v>641</v>
      </c>
      <c r="J71" s="1587" t="s">
        <v>642</v>
      </c>
      <c r="K71" s="1622"/>
      <c r="L71" s="1622"/>
      <c r="M71" s="1622"/>
      <c r="N71" s="1622"/>
      <c r="O71" s="1622"/>
      <c r="P71" s="1622"/>
      <c r="Q71" s="1622"/>
    </row>
    <row r="72" spans="2:17" s="634" customFormat="1" ht="30" customHeight="1" x14ac:dyDescent="0.3">
      <c r="B72" s="654">
        <v>13</v>
      </c>
      <c r="C72" s="551" t="s">
        <v>669</v>
      </c>
      <c r="D72" s="1543" t="s">
        <v>670</v>
      </c>
      <c r="E72" s="1543"/>
      <c r="F72" s="551"/>
      <c r="G72" s="552"/>
      <c r="H72" s="655">
        <v>0</v>
      </c>
      <c r="I72" s="552" t="s">
        <v>519</v>
      </c>
      <c r="J72" s="1543" t="s">
        <v>671</v>
      </c>
      <c r="K72" s="1623"/>
      <c r="L72" s="1623"/>
      <c r="M72" s="1623"/>
      <c r="N72" s="1623"/>
      <c r="O72" s="1623"/>
      <c r="P72" s="1623"/>
      <c r="Q72" s="1623"/>
    </row>
    <row r="73" spans="2:17" s="634" customFormat="1" ht="15" customHeight="1" x14ac:dyDescent="0.3">
      <c r="B73" s="638">
        <v>13</v>
      </c>
      <c r="C73" s="546"/>
      <c r="D73" s="1539"/>
      <c r="E73" s="1539"/>
      <c r="F73" s="546"/>
      <c r="G73" s="1217"/>
      <c r="H73" s="554"/>
      <c r="I73" s="1217"/>
      <c r="J73" s="1539"/>
      <c r="K73" s="1625"/>
      <c r="L73" s="1625"/>
      <c r="M73" s="1625"/>
      <c r="N73" s="1625"/>
      <c r="O73" s="1625"/>
      <c r="P73" s="1625"/>
      <c r="Q73" s="1625"/>
    </row>
    <row r="74" spans="2:17" s="634" customFormat="1" ht="15" customHeight="1" x14ac:dyDescent="0.3">
      <c r="B74" s="638">
        <v>13</v>
      </c>
      <c r="C74" s="546"/>
      <c r="D74" s="1539"/>
      <c r="E74" s="1539"/>
      <c r="F74" s="546"/>
      <c r="G74" s="1217"/>
      <c r="H74" s="554"/>
      <c r="I74" s="1217"/>
      <c r="J74" s="1468"/>
      <c r="K74" s="1541"/>
      <c r="L74" s="1541"/>
      <c r="M74" s="1541"/>
      <c r="N74" s="1541"/>
      <c r="O74" s="1541"/>
      <c r="P74" s="1541"/>
      <c r="Q74" s="1542"/>
    </row>
    <row r="75" spans="2:17" s="623" customFormat="1" ht="13.15" customHeight="1" x14ac:dyDescent="0.3">
      <c r="B75" s="638">
        <v>14</v>
      </c>
      <c r="C75" s="546"/>
      <c r="D75" s="1539"/>
      <c r="E75" s="1539"/>
      <c r="F75" s="546"/>
      <c r="G75" s="1217"/>
      <c r="H75" s="554"/>
      <c r="I75" s="1217"/>
      <c r="J75" s="1468"/>
      <c r="K75" s="1541"/>
      <c r="L75" s="1541"/>
      <c r="M75" s="1541"/>
      <c r="N75" s="1541"/>
      <c r="O75" s="1541"/>
      <c r="P75" s="1541"/>
      <c r="Q75" s="1542"/>
    </row>
    <row r="76" spans="2:17" s="623" customFormat="1" ht="14.5" customHeight="1" x14ac:dyDescent="0.3">
      <c r="B76" s="638">
        <v>15</v>
      </c>
      <c r="C76" s="647"/>
      <c r="D76" s="1539"/>
      <c r="E76" s="1539"/>
      <c r="F76" s="1217"/>
      <c r="G76" s="1217"/>
      <c r="H76" s="645"/>
      <c r="I76" s="1217"/>
      <c r="J76" s="1468"/>
      <c r="K76" s="1541"/>
      <c r="L76" s="1541"/>
      <c r="M76" s="1541"/>
      <c r="N76" s="1541"/>
      <c r="O76" s="1541"/>
      <c r="P76" s="1541"/>
      <c r="Q76" s="1542"/>
    </row>
    <row r="77" spans="2:17" s="488" customFormat="1" ht="18.75" customHeight="1" x14ac:dyDescent="0.3"/>
    <row r="78" spans="2:17" s="488" customFormat="1" ht="18.75" customHeight="1" x14ac:dyDescent="0.3">
      <c r="B78" s="630" t="s">
        <v>477</v>
      </c>
      <c r="C78" s="631"/>
      <c r="D78" s="631"/>
      <c r="E78" s="631"/>
      <c r="F78" s="631"/>
      <c r="G78" s="631"/>
      <c r="H78" s="513"/>
      <c r="I78" s="513"/>
      <c r="J78" s="513"/>
      <c r="K78" s="513"/>
      <c r="L78" s="513"/>
      <c r="M78" s="513"/>
      <c r="N78" s="513"/>
      <c r="O78" s="513"/>
      <c r="P78" s="513"/>
      <c r="Q78" s="514"/>
    </row>
    <row r="79" spans="2:17" s="488" customFormat="1" ht="18.75" customHeight="1" x14ac:dyDescent="0.3"/>
    <row r="80" spans="2:17" s="488" customFormat="1" ht="18.75" customHeight="1" x14ac:dyDescent="0.3">
      <c r="B80" s="632" t="s">
        <v>478</v>
      </c>
      <c r="C80" s="632" t="s">
        <v>479</v>
      </c>
      <c r="D80" s="1204" t="s">
        <v>406</v>
      </c>
      <c r="E80" s="1210" t="s">
        <v>428</v>
      </c>
      <c r="F80" s="1562" t="s">
        <v>476</v>
      </c>
      <c r="G80" s="1563"/>
      <c r="H80" s="1563"/>
      <c r="I80" s="1563"/>
      <c r="J80" s="1563"/>
      <c r="K80" s="1563"/>
      <c r="L80" s="1563"/>
      <c r="M80" s="1563"/>
      <c r="N80" s="1563"/>
      <c r="O80" s="1563"/>
      <c r="P80" s="1563"/>
      <c r="Q80" s="1564"/>
    </row>
    <row r="81" spans="2:17" s="488" customFormat="1" ht="13" x14ac:dyDescent="0.3">
      <c r="B81" s="639">
        <v>1</v>
      </c>
      <c r="C81" s="648" t="s">
        <v>480</v>
      </c>
      <c r="D81" s="649">
        <v>1000</v>
      </c>
      <c r="E81" s="1211" t="s">
        <v>481</v>
      </c>
      <c r="F81" s="1565" t="s">
        <v>482</v>
      </c>
      <c r="G81" s="1566"/>
      <c r="H81" s="1566"/>
      <c r="I81" s="1566"/>
      <c r="J81" s="1566"/>
      <c r="K81" s="1566"/>
      <c r="L81" s="1566"/>
      <c r="M81" s="1566"/>
      <c r="N81" s="1566"/>
      <c r="O81" s="1566"/>
      <c r="P81" s="1566"/>
      <c r="Q81" s="1567"/>
    </row>
    <row r="82" spans="2:17" s="488" customFormat="1" ht="13" x14ac:dyDescent="0.3">
      <c r="B82" s="639">
        <v>2</v>
      </c>
      <c r="C82" s="648" t="s">
        <v>483</v>
      </c>
      <c r="D82" s="650">
        <f>0.03412*0.10548</f>
        <v>3.5989775999999999E-3</v>
      </c>
      <c r="E82" s="1211" t="s">
        <v>484</v>
      </c>
      <c r="F82" s="1568" t="s">
        <v>485</v>
      </c>
      <c r="G82" s="1569"/>
      <c r="H82" s="1569"/>
      <c r="I82" s="1569"/>
      <c r="J82" s="1569"/>
      <c r="K82" s="1569"/>
      <c r="L82" s="1569"/>
      <c r="M82" s="1569"/>
      <c r="N82" s="1569"/>
      <c r="O82" s="1569"/>
      <c r="P82" s="1569"/>
      <c r="Q82" s="1570"/>
    </row>
    <row r="83" spans="2:17" s="488" customFormat="1" ht="13" x14ac:dyDescent="0.3">
      <c r="B83" s="639">
        <v>3</v>
      </c>
      <c r="C83" s="648" t="s">
        <v>486</v>
      </c>
      <c r="D83" s="650">
        <v>3.7854099999999999E-3</v>
      </c>
      <c r="E83" s="1211" t="s">
        <v>487</v>
      </c>
      <c r="F83" s="1568" t="s">
        <v>485</v>
      </c>
      <c r="G83" s="1569"/>
      <c r="H83" s="1569"/>
      <c r="I83" s="1569"/>
      <c r="J83" s="1569"/>
      <c r="K83" s="1569"/>
      <c r="L83" s="1569"/>
      <c r="M83" s="1569"/>
      <c r="N83" s="1569"/>
      <c r="O83" s="1569"/>
      <c r="P83" s="1569"/>
      <c r="Q83" s="1570"/>
    </row>
    <row r="84" spans="2:17" s="488" customFormat="1" ht="13" x14ac:dyDescent="0.3">
      <c r="B84" s="639">
        <v>4</v>
      </c>
      <c r="C84" s="648" t="s">
        <v>488</v>
      </c>
      <c r="D84" s="650">
        <v>0.1055</v>
      </c>
      <c r="E84" s="1211" t="s">
        <v>489</v>
      </c>
      <c r="F84" s="1568" t="s">
        <v>485</v>
      </c>
      <c r="G84" s="1569"/>
      <c r="H84" s="1569"/>
      <c r="I84" s="1569"/>
      <c r="J84" s="1569"/>
      <c r="K84" s="1569"/>
      <c r="L84" s="1569"/>
      <c r="M84" s="1569"/>
      <c r="N84" s="1569"/>
      <c r="O84" s="1569"/>
      <c r="P84" s="1569"/>
      <c r="Q84" s="1570"/>
    </row>
    <row r="85" spans="2:17" s="488" customFormat="1" ht="13" x14ac:dyDescent="0.3">
      <c r="B85" s="639">
        <v>5</v>
      </c>
      <c r="C85" s="648" t="s">
        <v>490</v>
      </c>
      <c r="D85" s="650">
        <v>1.0000000000000001E-5</v>
      </c>
      <c r="E85" s="1211" t="s">
        <v>491</v>
      </c>
      <c r="F85" s="1568" t="s">
        <v>485</v>
      </c>
      <c r="G85" s="1569"/>
      <c r="H85" s="1569"/>
      <c r="I85" s="1569"/>
      <c r="J85" s="1569"/>
      <c r="K85" s="1569"/>
      <c r="L85" s="1569"/>
      <c r="M85" s="1569"/>
      <c r="N85" s="1569"/>
      <c r="O85" s="1569"/>
      <c r="P85" s="1569"/>
      <c r="Q85" s="1570"/>
    </row>
    <row r="86" spans="2:17" s="488" customFormat="1" ht="13" x14ac:dyDescent="0.3">
      <c r="B86" s="533">
        <v>6</v>
      </c>
      <c r="C86" s="563"/>
      <c r="D86" s="649"/>
      <c r="E86" s="1211"/>
      <c r="F86" s="1576"/>
      <c r="G86" s="1566"/>
      <c r="H86" s="1566"/>
      <c r="I86" s="1566"/>
      <c r="J86" s="1566"/>
      <c r="K86" s="1566"/>
      <c r="L86" s="1566"/>
      <c r="M86" s="1566"/>
      <c r="N86" s="1566"/>
      <c r="O86" s="1566"/>
      <c r="P86" s="1566"/>
      <c r="Q86" s="1567"/>
    </row>
    <row r="87" spans="2:17" s="488" customFormat="1" ht="13" x14ac:dyDescent="0.3">
      <c r="B87" s="533">
        <v>7</v>
      </c>
      <c r="C87" s="563"/>
      <c r="D87" s="649"/>
      <c r="E87" s="1211"/>
      <c r="F87" s="1576"/>
      <c r="G87" s="1566"/>
      <c r="H87" s="1566"/>
      <c r="I87" s="1566"/>
      <c r="J87" s="1566"/>
      <c r="K87" s="1566"/>
      <c r="L87" s="1566"/>
      <c r="M87" s="1566"/>
      <c r="N87" s="1566"/>
      <c r="O87" s="1566"/>
      <c r="P87" s="1566"/>
      <c r="Q87" s="1567"/>
    </row>
    <row r="88" spans="2:17" s="488" customFormat="1" ht="13" x14ac:dyDescent="0.3">
      <c r="B88" s="533">
        <v>8</v>
      </c>
      <c r="C88" s="563"/>
      <c r="D88" s="650"/>
      <c r="E88" s="1211"/>
      <c r="F88" s="1568"/>
      <c r="G88" s="1569"/>
      <c r="H88" s="1569"/>
      <c r="I88" s="1569"/>
      <c r="J88" s="1569"/>
      <c r="K88" s="1569"/>
      <c r="L88" s="1569"/>
      <c r="M88" s="1569"/>
      <c r="N88" s="1569"/>
      <c r="O88" s="1569"/>
      <c r="P88" s="1569"/>
      <c r="Q88" s="1570"/>
    </row>
    <row r="89" spans="2:17" s="488" customFormat="1" ht="13" x14ac:dyDescent="0.3">
      <c r="B89" s="533">
        <v>9</v>
      </c>
      <c r="C89" s="563"/>
      <c r="D89" s="1233"/>
      <c r="E89" s="1211"/>
      <c r="F89" s="1568"/>
      <c r="G89" s="1569"/>
      <c r="H89" s="1569"/>
      <c r="I89" s="1569"/>
      <c r="J89" s="1569"/>
      <c r="K89" s="1569"/>
      <c r="L89" s="1569"/>
      <c r="M89" s="1569"/>
      <c r="N89" s="1569"/>
      <c r="O89" s="1569"/>
      <c r="P89" s="1569"/>
      <c r="Q89" s="1570"/>
    </row>
    <row r="90" spans="2:17" s="488" customFormat="1" ht="13" x14ac:dyDescent="0.3">
      <c r="B90" s="533">
        <v>10</v>
      </c>
      <c r="C90" s="563"/>
      <c r="D90" s="564"/>
      <c r="E90" s="1211"/>
      <c r="F90" s="1568"/>
      <c r="G90" s="1569"/>
      <c r="H90" s="1569"/>
      <c r="I90" s="1569"/>
      <c r="J90" s="1569"/>
      <c r="K90" s="1569"/>
      <c r="L90" s="1569"/>
      <c r="M90" s="1569"/>
      <c r="N90" s="1569"/>
      <c r="O90" s="1569"/>
      <c r="P90" s="1569"/>
      <c r="Q90" s="1570"/>
    </row>
    <row r="91" spans="2:17" s="488" customFormat="1" ht="18.75" customHeight="1" x14ac:dyDescent="0.3"/>
    <row r="92" spans="2:17" s="488" customFormat="1" ht="18.75" customHeight="1" x14ac:dyDescent="0.3">
      <c r="B92" s="630" t="s">
        <v>492</v>
      </c>
      <c r="C92" s="631"/>
      <c r="D92" s="631"/>
      <c r="E92" s="631"/>
      <c r="F92" s="631"/>
      <c r="G92" s="631"/>
      <c r="H92" s="513"/>
      <c r="I92" s="513"/>
      <c r="J92" s="513"/>
      <c r="K92" s="513"/>
      <c r="L92" s="513"/>
      <c r="M92" s="513"/>
      <c r="N92" s="513"/>
      <c r="O92" s="513"/>
      <c r="P92" s="513"/>
      <c r="Q92" s="514"/>
    </row>
    <row r="93" spans="2:17" s="488" customFormat="1" ht="18.75" customHeight="1" x14ac:dyDescent="0.3"/>
    <row r="94" spans="2:17" s="488" customFormat="1" ht="18.75" customHeight="1" x14ac:dyDescent="0.3">
      <c r="B94" s="635" t="s">
        <v>493</v>
      </c>
      <c r="E94" s="1574" t="s">
        <v>494</v>
      </c>
      <c r="F94" s="1577"/>
      <c r="G94" s="1577"/>
      <c r="H94" s="1577"/>
      <c r="I94" s="1577"/>
      <c r="J94" s="1577"/>
      <c r="K94" s="1577"/>
      <c r="L94" s="1577"/>
      <c r="M94" s="1577"/>
      <c r="N94" s="1577"/>
      <c r="O94" s="1578" t="s">
        <v>476</v>
      </c>
      <c r="P94" s="1579"/>
      <c r="Q94" s="1580"/>
    </row>
    <row r="95" spans="2:17" s="488" customFormat="1" ht="25.5" customHeight="1" x14ac:dyDescent="0.3">
      <c r="B95" s="1571"/>
      <c r="C95" s="1572"/>
      <c r="D95" s="1573"/>
      <c r="E95" s="636" t="s">
        <v>495</v>
      </c>
      <c r="F95" s="636" t="s">
        <v>496</v>
      </c>
      <c r="G95" s="636" t="s">
        <v>497</v>
      </c>
      <c r="H95" s="636" t="s">
        <v>498</v>
      </c>
      <c r="I95" s="636" t="s">
        <v>499</v>
      </c>
      <c r="J95" s="636" t="s">
        <v>500</v>
      </c>
      <c r="K95" s="636" t="s">
        <v>501</v>
      </c>
      <c r="L95" s="636" t="s">
        <v>502</v>
      </c>
      <c r="M95" s="636" t="s">
        <v>503</v>
      </c>
      <c r="N95" s="1209" t="s">
        <v>504</v>
      </c>
      <c r="O95" s="1581"/>
      <c r="P95" s="1582"/>
      <c r="Q95" s="1583"/>
    </row>
    <row r="96" spans="2:17" s="488" customFormat="1" ht="36.75" customHeight="1" x14ac:dyDescent="0.3">
      <c r="B96" s="1205" t="s">
        <v>478</v>
      </c>
      <c r="C96" s="1574" t="s">
        <v>538</v>
      </c>
      <c r="D96" s="1575"/>
      <c r="E96" s="651"/>
      <c r="F96" s="651"/>
      <c r="G96" s="651"/>
      <c r="H96" s="651"/>
      <c r="I96" s="651"/>
      <c r="J96" s="651"/>
      <c r="K96" s="651"/>
      <c r="L96" s="651"/>
      <c r="M96" s="651"/>
      <c r="N96" s="652"/>
      <c r="O96" s="1584"/>
      <c r="P96" s="1585"/>
      <c r="Q96" s="1586"/>
    </row>
    <row r="97" spans="2:17" s="488" customFormat="1" ht="13" x14ac:dyDescent="0.3">
      <c r="B97" s="533">
        <v>1</v>
      </c>
      <c r="C97" s="1217"/>
      <c r="D97" s="1184"/>
      <c r="E97" s="554"/>
      <c r="F97" s="612"/>
      <c r="G97" s="653"/>
      <c r="H97" s="1190"/>
      <c r="I97" s="568"/>
      <c r="J97" s="568"/>
      <c r="K97" s="568"/>
      <c r="L97" s="568"/>
      <c r="M97" s="568"/>
      <c r="N97" s="568"/>
      <c r="O97" s="1501"/>
      <c r="P97" s="1502"/>
      <c r="Q97" s="1503"/>
    </row>
    <row r="98" spans="2:17" s="488" customFormat="1" ht="13" x14ac:dyDescent="0.3">
      <c r="B98" s="533">
        <v>2</v>
      </c>
      <c r="C98" s="1217"/>
      <c r="D98" s="1184"/>
      <c r="E98" s="554"/>
      <c r="F98" s="612"/>
      <c r="G98" s="612"/>
      <c r="H98" s="1190"/>
      <c r="I98" s="568"/>
      <c r="J98" s="568"/>
      <c r="K98" s="568"/>
      <c r="L98" s="568"/>
      <c r="M98" s="568"/>
      <c r="N98" s="568"/>
      <c r="O98" s="1495"/>
      <c r="P98" s="1496"/>
      <c r="Q98" s="1497"/>
    </row>
    <row r="99" spans="2:17" s="488" customFormat="1" ht="13" x14ac:dyDescent="0.3">
      <c r="B99" s="533">
        <v>3</v>
      </c>
      <c r="C99" s="1217"/>
      <c r="D99" s="1184"/>
      <c r="E99" s="554"/>
      <c r="F99" s="612"/>
      <c r="G99" s="612"/>
      <c r="H99" s="1190"/>
      <c r="I99" s="568"/>
      <c r="J99" s="568"/>
      <c r="K99" s="568"/>
      <c r="L99" s="568"/>
      <c r="M99" s="568"/>
      <c r="N99" s="568"/>
      <c r="O99" s="1495"/>
      <c r="P99" s="1496"/>
      <c r="Q99" s="1497"/>
    </row>
    <row r="100" spans="2:17" s="488" customFormat="1" ht="13" x14ac:dyDescent="0.3">
      <c r="B100" s="533">
        <v>4</v>
      </c>
      <c r="C100" s="1217"/>
      <c r="D100" s="1184"/>
      <c r="E100" s="554"/>
      <c r="F100" s="612"/>
      <c r="G100" s="612"/>
      <c r="H100" s="1190"/>
      <c r="I100" s="568"/>
      <c r="J100" s="568"/>
      <c r="K100" s="568"/>
      <c r="L100" s="568"/>
      <c r="M100" s="568"/>
      <c r="N100" s="568"/>
      <c r="O100" s="1495"/>
      <c r="P100" s="1496"/>
      <c r="Q100" s="1497"/>
    </row>
    <row r="101" spans="2:17" s="488" customFormat="1" ht="13" x14ac:dyDescent="0.3">
      <c r="B101" s="533">
        <v>5</v>
      </c>
      <c r="C101" s="546"/>
      <c r="D101" s="1184"/>
      <c r="E101" s="1190"/>
      <c r="F101" s="1190"/>
      <c r="G101" s="1190"/>
      <c r="H101" s="1190"/>
      <c r="I101" s="568"/>
      <c r="J101" s="568"/>
      <c r="K101" s="568"/>
      <c r="L101" s="568"/>
      <c r="M101" s="568"/>
      <c r="N101" s="568"/>
      <c r="O101" s="1495"/>
      <c r="P101" s="1496"/>
      <c r="Q101" s="1497"/>
    </row>
    <row r="102" spans="2:17" s="488" customFormat="1" ht="13" x14ac:dyDescent="0.3">
      <c r="B102" s="533">
        <v>6</v>
      </c>
      <c r="C102" s="546"/>
      <c r="D102" s="570"/>
      <c r="E102" s="1190"/>
      <c r="F102" s="622"/>
      <c r="G102" s="1190"/>
      <c r="H102" s="1190"/>
      <c r="I102" s="569"/>
      <c r="J102" s="569"/>
      <c r="K102" s="569"/>
      <c r="L102" s="569"/>
      <c r="M102" s="569"/>
      <c r="N102" s="569"/>
      <c r="O102" s="1492"/>
      <c r="P102" s="1493"/>
      <c r="Q102" s="1494"/>
    </row>
    <row r="103" spans="2:17" s="488" customFormat="1" ht="13" x14ac:dyDescent="0.3">
      <c r="B103" s="533">
        <v>7</v>
      </c>
      <c r="C103" s="546"/>
      <c r="D103" s="570"/>
      <c r="E103" s="1190"/>
      <c r="F103" s="569"/>
      <c r="G103" s="569"/>
      <c r="H103" s="1190"/>
      <c r="I103" s="569"/>
      <c r="J103" s="569"/>
      <c r="K103" s="569"/>
      <c r="L103" s="569"/>
      <c r="M103" s="569"/>
      <c r="N103" s="569"/>
      <c r="O103" s="1492"/>
      <c r="P103" s="1493"/>
      <c r="Q103" s="1494"/>
    </row>
    <row r="104" spans="2:17" s="488" customFormat="1" ht="13" x14ac:dyDescent="0.3">
      <c r="B104" s="533">
        <v>8</v>
      </c>
      <c r="C104" s="546"/>
      <c r="D104" s="570"/>
      <c r="E104" s="1190"/>
      <c r="F104" s="569"/>
      <c r="G104" s="569"/>
      <c r="H104" s="569"/>
      <c r="I104" s="569"/>
      <c r="J104" s="569"/>
      <c r="K104" s="569"/>
      <c r="L104" s="569"/>
      <c r="M104" s="569"/>
      <c r="N104" s="569"/>
      <c r="O104" s="1492"/>
      <c r="P104" s="1493"/>
      <c r="Q104" s="1494"/>
    </row>
    <row r="105" spans="2:17" s="488" customFormat="1" ht="13" x14ac:dyDescent="0.3">
      <c r="B105" s="533">
        <v>9</v>
      </c>
      <c r="C105" s="546"/>
      <c r="D105" s="570"/>
      <c r="E105" s="1190"/>
      <c r="F105" s="1217"/>
      <c r="G105" s="1217"/>
      <c r="H105" s="1217"/>
      <c r="I105" s="569"/>
      <c r="J105" s="569"/>
      <c r="K105" s="569"/>
      <c r="L105" s="569"/>
      <c r="M105" s="569"/>
      <c r="N105" s="569"/>
      <c r="O105" s="1492"/>
      <c r="P105" s="1493"/>
      <c r="Q105" s="1494"/>
    </row>
    <row r="106" spans="2:17" s="488" customFormat="1" ht="13" x14ac:dyDescent="0.3">
      <c r="B106" s="533">
        <v>10</v>
      </c>
      <c r="C106" s="546"/>
      <c r="D106" s="570"/>
      <c r="E106" s="1217"/>
      <c r="F106" s="1217"/>
      <c r="G106" s="1217"/>
      <c r="H106" s="1217"/>
      <c r="I106" s="569"/>
      <c r="J106" s="569"/>
      <c r="K106" s="569"/>
      <c r="L106" s="569"/>
      <c r="M106" s="569"/>
      <c r="N106" s="569"/>
      <c r="O106" s="1492"/>
      <c r="P106" s="1493"/>
      <c r="Q106" s="1494"/>
    </row>
    <row r="107" spans="2:17" s="488" customFormat="1" ht="13" x14ac:dyDescent="0.3">
      <c r="B107" s="533">
        <v>11</v>
      </c>
      <c r="C107" s="546"/>
      <c r="D107" s="570"/>
      <c r="E107" s="571"/>
      <c r="F107" s="1190"/>
      <c r="G107" s="571"/>
      <c r="H107" s="571"/>
      <c r="I107" s="569"/>
      <c r="J107" s="569"/>
      <c r="K107" s="569"/>
      <c r="L107" s="569"/>
      <c r="M107" s="569"/>
      <c r="N107" s="569"/>
      <c r="O107" s="1492"/>
      <c r="P107" s="1493"/>
      <c r="Q107" s="1494"/>
    </row>
    <row r="108" spans="2:17" s="488" customFormat="1" ht="13" x14ac:dyDescent="0.3">
      <c r="B108" s="533">
        <v>12</v>
      </c>
      <c r="C108" s="546"/>
      <c r="D108" s="570"/>
      <c r="E108" s="1217"/>
      <c r="F108" s="1190"/>
      <c r="G108" s="1217"/>
      <c r="H108" s="1217"/>
      <c r="I108" s="569"/>
      <c r="J108" s="569"/>
      <c r="K108" s="569"/>
      <c r="L108" s="569"/>
      <c r="M108" s="569"/>
      <c r="N108" s="569"/>
      <c r="O108" s="1492"/>
      <c r="P108" s="1493"/>
      <c r="Q108" s="1494"/>
    </row>
    <row r="109" spans="2:17" s="488" customFormat="1" ht="13" x14ac:dyDescent="0.3">
      <c r="B109" s="533">
        <v>13</v>
      </c>
      <c r="C109" s="546"/>
      <c r="D109" s="570"/>
      <c r="E109" s="1217"/>
      <c r="F109" s="1217"/>
      <c r="G109" s="1217"/>
      <c r="H109" s="1217"/>
      <c r="I109" s="569"/>
      <c r="J109" s="569"/>
      <c r="K109" s="569"/>
      <c r="L109" s="569"/>
      <c r="M109" s="569"/>
      <c r="N109" s="569"/>
      <c r="O109" s="1492"/>
      <c r="P109" s="1493"/>
      <c r="Q109" s="1494"/>
    </row>
    <row r="110" spans="2:17" s="488" customFormat="1" ht="13" x14ac:dyDescent="0.3">
      <c r="B110" s="533">
        <v>14</v>
      </c>
      <c r="C110" s="546"/>
      <c r="D110" s="570"/>
      <c r="E110" s="572"/>
      <c r="F110" s="572"/>
      <c r="G110" s="572"/>
      <c r="H110" s="572"/>
      <c r="I110" s="569"/>
      <c r="J110" s="569"/>
      <c r="K110" s="569"/>
      <c r="L110" s="569"/>
      <c r="M110" s="569"/>
      <c r="N110" s="569"/>
      <c r="O110" s="1492"/>
      <c r="P110" s="1493"/>
      <c r="Q110" s="1494"/>
    </row>
    <row r="111" spans="2:17" s="488" customFormat="1" ht="13" x14ac:dyDescent="0.3">
      <c r="B111" s="533">
        <v>15</v>
      </c>
      <c r="C111" s="546"/>
      <c r="D111" s="570"/>
      <c r="E111" s="572"/>
      <c r="F111" s="572"/>
      <c r="G111" s="572"/>
      <c r="H111" s="572"/>
      <c r="I111" s="569"/>
      <c r="J111" s="569"/>
      <c r="K111" s="569"/>
      <c r="L111" s="569"/>
      <c r="M111" s="569"/>
      <c r="N111" s="569"/>
      <c r="O111" s="1492"/>
      <c r="P111" s="1493"/>
      <c r="Q111" s="1494"/>
    </row>
    <row r="112" spans="2:17" s="488" customFormat="1" ht="13" x14ac:dyDescent="0.3">
      <c r="B112" s="533">
        <v>16</v>
      </c>
      <c r="C112" s="546"/>
      <c r="D112" s="570"/>
      <c r="E112" s="572"/>
      <c r="F112" s="572"/>
      <c r="G112" s="572"/>
      <c r="H112" s="572"/>
      <c r="I112" s="569"/>
      <c r="J112" s="569"/>
      <c r="K112" s="569"/>
      <c r="L112" s="569"/>
      <c r="M112" s="569"/>
      <c r="N112" s="569"/>
      <c r="O112" s="1492"/>
      <c r="P112" s="1493"/>
      <c r="Q112" s="1494"/>
    </row>
    <row r="113" spans="2:17" s="488" customFormat="1" ht="13" x14ac:dyDescent="0.3">
      <c r="B113" s="533">
        <v>17</v>
      </c>
      <c r="C113" s="546"/>
      <c r="D113" s="570"/>
      <c r="E113" s="572"/>
      <c r="F113" s="572"/>
      <c r="G113" s="572"/>
      <c r="H113" s="572"/>
      <c r="I113" s="569"/>
      <c r="J113" s="569"/>
      <c r="K113" s="569"/>
      <c r="L113" s="569"/>
      <c r="M113" s="569"/>
      <c r="N113" s="569"/>
      <c r="O113" s="1492"/>
      <c r="P113" s="1493"/>
      <c r="Q113" s="1494"/>
    </row>
    <row r="114" spans="2:17" s="488" customFormat="1" ht="13" x14ac:dyDescent="0.3">
      <c r="B114" s="533">
        <v>18</v>
      </c>
      <c r="C114" s="546"/>
      <c r="D114" s="570"/>
      <c r="E114" s="572"/>
      <c r="F114" s="572"/>
      <c r="G114" s="572"/>
      <c r="H114" s="572"/>
      <c r="I114" s="569"/>
      <c r="J114" s="569"/>
      <c r="K114" s="569"/>
      <c r="L114" s="569"/>
      <c r="M114" s="569"/>
      <c r="N114" s="569"/>
      <c r="O114" s="1492"/>
      <c r="P114" s="1493"/>
      <c r="Q114" s="1494"/>
    </row>
    <row r="115" spans="2:17" s="488" customFormat="1" ht="13" x14ac:dyDescent="0.3">
      <c r="B115" s="533">
        <v>19</v>
      </c>
      <c r="C115" s="546"/>
      <c r="D115" s="570"/>
      <c r="E115" s="572"/>
      <c r="F115" s="572"/>
      <c r="G115" s="572"/>
      <c r="H115" s="572"/>
      <c r="I115" s="569"/>
      <c r="J115" s="569"/>
      <c r="K115" s="569"/>
      <c r="L115" s="569"/>
      <c r="M115" s="569"/>
      <c r="N115" s="569"/>
      <c r="O115" s="1492"/>
      <c r="P115" s="1493"/>
      <c r="Q115" s="1494"/>
    </row>
    <row r="116" spans="2:17" s="488" customFormat="1" ht="13" x14ac:dyDescent="0.3">
      <c r="B116" s="533">
        <v>20</v>
      </c>
      <c r="C116" s="546"/>
      <c r="D116" s="570"/>
      <c r="E116" s="572"/>
      <c r="F116" s="572"/>
      <c r="G116" s="572"/>
      <c r="H116" s="572"/>
      <c r="I116" s="569"/>
      <c r="J116" s="569"/>
      <c r="K116" s="569"/>
      <c r="L116" s="569"/>
      <c r="M116" s="569"/>
      <c r="N116" s="569"/>
      <c r="O116" s="1492"/>
      <c r="P116" s="1493"/>
      <c r="Q116" s="1494"/>
    </row>
  </sheetData>
  <sheetProtection algorithmName="SHA-512" hashValue="yR9jno+qYYEIg7E9l5iFTtFJZHFiWUCjrdINOVyjfghANENw/+SMzpUzTvj7+aYM2+Tclz/50NhiE60fyWt05A==" saltValue="vZiNSbsu6xCycpONvtREcA==" spinCount="100000" sheet="1" objects="1" scenarios="1" selectLockedCells="1" selectUnlockedCells="1"/>
  <mergeCells count="121">
    <mergeCell ref="O116:Q116"/>
    <mergeCell ref="D69:E69"/>
    <mergeCell ref="J69:Q69"/>
    <mergeCell ref="D70:E70"/>
    <mergeCell ref="J70:Q70"/>
    <mergeCell ref="D73:E73"/>
    <mergeCell ref="J73:Q73"/>
    <mergeCell ref="O110:Q110"/>
    <mergeCell ref="O111:Q111"/>
    <mergeCell ref="O112:Q112"/>
    <mergeCell ref="O113:Q113"/>
    <mergeCell ref="O114:Q114"/>
    <mergeCell ref="O115:Q115"/>
    <mergeCell ref="O104:Q104"/>
    <mergeCell ref="O105:Q105"/>
    <mergeCell ref="O106:Q106"/>
    <mergeCell ref="O107:Q107"/>
    <mergeCell ref="O108:Q108"/>
    <mergeCell ref="O109:Q109"/>
    <mergeCell ref="O98:Q98"/>
    <mergeCell ref="O99:Q99"/>
    <mergeCell ref="O100:Q100"/>
    <mergeCell ref="O101:Q101"/>
    <mergeCell ref="O102:Q102"/>
    <mergeCell ref="O103:Q103"/>
    <mergeCell ref="F90:Q90"/>
    <mergeCell ref="E94:N94"/>
    <mergeCell ref="O94:Q96"/>
    <mergeCell ref="B95:D95"/>
    <mergeCell ref="C96:D96"/>
    <mergeCell ref="O97:Q97"/>
    <mergeCell ref="F84:Q84"/>
    <mergeCell ref="F85:Q85"/>
    <mergeCell ref="F86:Q86"/>
    <mergeCell ref="F87:Q87"/>
    <mergeCell ref="F88:Q88"/>
    <mergeCell ref="F89:Q89"/>
    <mergeCell ref="D76:E76"/>
    <mergeCell ref="J76:Q76"/>
    <mergeCell ref="F80:Q80"/>
    <mergeCell ref="F81:Q81"/>
    <mergeCell ref="F82:Q82"/>
    <mergeCell ref="F83:Q83"/>
    <mergeCell ref="D67:E67"/>
    <mergeCell ref="J67:Q67"/>
    <mergeCell ref="D74:E74"/>
    <mergeCell ref="J74:Q74"/>
    <mergeCell ref="D75:E75"/>
    <mergeCell ref="J75:Q75"/>
    <mergeCell ref="D65:E65"/>
    <mergeCell ref="J65:Q65"/>
    <mergeCell ref="D71:E71"/>
    <mergeCell ref="J71:Q71"/>
    <mergeCell ref="D72:E72"/>
    <mergeCell ref="J72:Q72"/>
    <mergeCell ref="D68:E68"/>
    <mergeCell ref="J68:Q68"/>
    <mergeCell ref="D63:E63"/>
    <mergeCell ref="J63:Q63"/>
    <mergeCell ref="D66:E66"/>
    <mergeCell ref="J66:Q66"/>
    <mergeCell ref="D61:E61"/>
    <mergeCell ref="J61:Q61"/>
    <mergeCell ref="D62:E62"/>
    <mergeCell ref="J62:Q62"/>
    <mergeCell ref="D64:E64"/>
    <mergeCell ref="J64:Q64"/>
    <mergeCell ref="C55:M55"/>
    <mergeCell ref="P55:Q55"/>
    <mergeCell ref="C56:M56"/>
    <mergeCell ref="P56:Q56"/>
    <mergeCell ref="C57:M57"/>
    <mergeCell ref="P57:Q57"/>
    <mergeCell ref="C51:M51"/>
    <mergeCell ref="P51:Q51"/>
    <mergeCell ref="C53:M53"/>
    <mergeCell ref="P53:Q53"/>
    <mergeCell ref="C54:M54"/>
    <mergeCell ref="P54:Q54"/>
    <mergeCell ref="C48:M48"/>
    <mergeCell ref="P48:Q48"/>
    <mergeCell ref="C49:M49"/>
    <mergeCell ref="P49:Q49"/>
    <mergeCell ref="C50:M50"/>
    <mergeCell ref="P50:Q50"/>
    <mergeCell ref="C44:M44"/>
    <mergeCell ref="P44:Q44"/>
    <mergeCell ref="C45:M45"/>
    <mergeCell ref="P45:Q45"/>
    <mergeCell ref="C47:M47"/>
    <mergeCell ref="P47:Q47"/>
    <mergeCell ref="C41:M41"/>
    <mergeCell ref="P41:Q41"/>
    <mergeCell ref="C42:M42"/>
    <mergeCell ref="P42:Q42"/>
    <mergeCell ref="C43:M43"/>
    <mergeCell ref="P43:Q43"/>
    <mergeCell ref="E32:Q32"/>
    <mergeCell ref="E33:Q33"/>
    <mergeCell ref="E34:Q34"/>
    <mergeCell ref="E35:Q35"/>
    <mergeCell ref="E36:Q36"/>
    <mergeCell ref="E37:Q37"/>
    <mergeCell ref="D25:Q25"/>
    <mergeCell ref="D26:Q26"/>
    <mergeCell ref="D27:Q27"/>
    <mergeCell ref="D28:Q28"/>
    <mergeCell ref="D29:Q29"/>
    <mergeCell ref="D30:Q30"/>
    <mergeCell ref="D17:F17"/>
    <mergeCell ref="D18:F18"/>
    <mergeCell ref="B20:Q20"/>
    <mergeCell ref="C21:Q21"/>
    <mergeCell ref="C22:Q22"/>
    <mergeCell ref="C23:Q23"/>
    <mergeCell ref="C2:F2"/>
    <mergeCell ref="C3:F3"/>
    <mergeCell ref="C4:F4"/>
    <mergeCell ref="C5:F5"/>
    <mergeCell ref="D7:F7"/>
    <mergeCell ref="D8:F16"/>
  </mergeCells>
  <conditionalFormatting sqref="F109:F116 G102:G116 H104:H116">
    <cfRule type="expression" dxfId="4088" priority="24">
      <formula>IF(OR(#REF!="L",#REF!="C"),TRUE,FALSE)</formula>
    </cfRule>
  </conditionalFormatting>
  <conditionalFormatting sqref="E110:E116">
    <cfRule type="expression" dxfId="4087" priority="23">
      <formula>IF(OR(#REF!="L",#REF!="C"),TRUE,FALSE)</formula>
    </cfRule>
  </conditionalFormatting>
  <conditionalFormatting sqref="E107">
    <cfRule type="expression" dxfId="4086" priority="22">
      <formula>IF(OR(#REF!="L",#REF!="C"),TRUE,FALSE)</formula>
    </cfRule>
  </conditionalFormatting>
  <conditionalFormatting sqref="E108">
    <cfRule type="expression" dxfId="4085" priority="21">
      <formula>IF(OR(#REF!="L",#REF!="C"),TRUE,FALSE)</formula>
    </cfRule>
  </conditionalFormatting>
  <conditionalFormatting sqref="E109">
    <cfRule type="expression" dxfId="4084" priority="20">
      <formula>IF(OR(#REF!="L",#REF!="C"),TRUE,FALSE)</formula>
    </cfRule>
  </conditionalFormatting>
  <conditionalFormatting sqref="E106">
    <cfRule type="expression" dxfId="4083" priority="19">
      <formula>IF(OR(#REF!="L",#REF!="C"),TRUE,FALSE)</formula>
    </cfRule>
  </conditionalFormatting>
  <conditionalFormatting sqref="E95 G95 I95 K95 M95">
    <cfRule type="duplicateValues" dxfId="4082" priority="18"/>
  </conditionalFormatting>
  <conditionalFormatting sqref="M104:M116">
    <cfRule type="expression" dxfId="4081" priority="8">
      <formula>IF(OR(#REF!="L",#REF!="C"),TRUE,FALSE)</formula>
    </cfRule>
  </conditionalFormatting>
  <conditionalFormatting sqref="F102:F106">
    <cfRule type="expression" dxfId="4080" priority="17">
      <formula>IF(OR(#REF!="L",#REF!="C"),TRUE,FALSE)</formula>
    </cfRule>
  </conditionalFormatting>
  <conditionalFormatting sqref="I102:I103">
    <cfRule type="expression" dxfId="4079" priority="15">
      <formula>IF(OR(#REF!="L",#REF!="C"),TRUE,FALSE)</formula>
    </cfRule>
  </conditionalFormatting>
  <conditionalFormatting sqref="N102:N103">
    <cfRule type="expression" dxfId="4078" priority="5">
      <formula>IF(OR(#REF!="L",#REF!="C"),TRUE,FALSE)</formula>
    </cfRule>
  </conditionalFormatting>
  <conditionalFormatting sqref="I104:I116">
    <cfRule type="expression" dxfId="4077" priority="16">
      <formula>IF(OR(#REF!="L",#REF!="C"),TRUE,FALSE)</formula>
    </cfRule>
  </conditionalFormatting>
  <conditionalFormatting sqref="J102:J103">
    <cfRule type="expression" dxfId="4076" priority="13">
      <formula>IF(OR(#REF!="L",#REF!="C"),TRUE,FALSE)</formula>
    </cfRule>
  </conditionalFormatting>
  <conditionalFormatting sqref="J104:J116">
    <cfRule type="expression" dxfId="4075" priority="14">
      <formula>IF(OR(#REF!="L",#REF!="C"),TRUE,FALSE)</formula>
    </cfRule>
  </conditionalFormatting>
  <conditionalFormatting sqref="K102:K103">
    <cfRule type="expression" dxfId="4074" priority="11">
      <formula>IF(OR(#REF!="L",#REF!="C"),TRUE,FALSE)</formula>
    </cfRule>
  </conditionalFormatting>
  <conditionalFormatting sqref="K104:K116">
    <cfRule type="expression" dxfId="4073" priority="12">
      <formula>IF(OR(#REF!="L",#REF!="C"),TRUE,FALSE)</formula>
    </cfRule>
  </conditionalFormatting>
  <conditionalFormatting sqref="L102:L103">
    <cfRule type="expression" dxfId="4072" priority="9">
      <formula>IF(OR(#REF!="L",#REF!="C"),TRUE,FALSE)</formula>
    </cfRule>
  </conditionalFormatting>
  <conditionalFormatting sqref="L104:L116">
    <cfRule type="expression" dxfId="4071" priority="10">
      <formula>IF(OR(#REF!="L",#REF!="C"),TRUE,FALSE)</formula>
    </cfRule>
  </conditionalFormatting>
  <conditionalFormatting sqref="M102:M103">
    <cfRule type="expression" dxfId="4070" priority="7">
      <formula>IF(OR(#REF!="L",#REF!="C"),TRUE,FALSE)</formula>
    </cfRule>
  </conditionalFormatting>
  <conditionalFormatting sqref="N104:N116">
    <cfRule type="expression" dxfId="4069" priority="6">
      <formula>IF(OR(#REF!="L",#REF!="C"),TRUE,FALSE)</formula>
    </cfRule>
  </conditionalFormatting>
  <conditionalFormatting sqref="O104:O116">
    <cfRule type="expression" dxfId="4068" priority="4">
      <formula>IF(OR(#REF!="L",#REF!="C"),TRUE,FALSE)</formula>
    </cfRule>
  </conditionalFormatting>
  <conditionalFormatting sqref="O102:O103">
    <cfRule type="expression" dxfId="4067" priority="3">
      <formula>IF(OR(#REF!="L",#REF!="C"),TRUE,FALSE)</formula>
    </cfRule>
  </conditionalFormatting>
  <conditionalFormatting sqref="G96:N96">
    <cfRule type="duplicateValues" dxfId="4066" priority="2"/>
  </conditionalFormatting>
  <conditionalFormatting sqref="E96:F96">
    <cfRule type="duplicateValues" dxfId="4065" priority="1"/>
  </conditionalFormatting>
  <dataValidations disablePrompts="1" count="7">
    <dataValidation type="list" allowBlank="1" showInputMessage="1" showErrorMessage="1" sqref="C4" xr:uid="{66323A31-BC01-4462-82B0-87158B8D6A2E}">
      <formula1>"COM,RES"</formula1>
    </dataValidation>
    <dataValidation type="list" allowBlank="1" showInputMessage="1" showErrorMessage="1" sqref="F67 F70 F72:F74" xr:uid="{07AF3243-F9DF-47C8-BF3F-8A1CE155AE5A}">
      <formula1>$C$102:$C$107</formula1>
    </dataValidation>
    <dataValidation type="list" allowBlank="1" showInputMessage="1" showErrorMessage="1" sqref="C9" xr:uid="{DD58BEF7-D546-4B35-A8E6-68BF84657C5D}">
      <formula1>INDIRECT("MeasureTypeList[Index]")</formula1>
    </dataValidation>
    <dataValidation type="list" allowBlank="1" showInputMessage="1" showErrorMessage="1" sqref="C26" xr:uid="{DDBEA049-1EF3-4733-B62B-E9A119A8B3C5}">
      <formula1>INDIRECT("RegionList[Index]")</formula1>
    </dataValidation>
    <dataValidation type="list" allowBlank="1" showInputMessage="1" showErrorMessage="1" sqref="C27" xr:uid="{F7945251-6B50-4630-9224-505486330C0A}">
      <formula1>INDIRECT("ReplacementTypeList[Index]")</formula1>
    </dataValidation>
    <dataValidation type="list" allowBlank="1" showInputMessage="1" showErrorMessage="1" sqref="C28" xr:uid="{84DCF548-508F-470E-B3B9-1461D46F6976}">
      <formula1>INDIRECT("BuildingType[Building]")</formula1>
    </dataValidation>
    <dataValidation type="list" allowBlank="1" showInputMessage="1" showErrorMessage="1" sqref="C29 C30" xr:uid="{BCB9C535-3A4E-4F8D-9797-E21414E02349}">
      <formula1>INDIRECT("FuelTypeList[Index]")</formula1>
    </dataValidation>
  </dataValidations>
  <hyperlinks>
    <hyperlink ref="F82" r:id="rId1" xr:uid="{F0A105FF-EB14-4C61-AECB-408BCD43C21C}"/>
    <hyperlink ref="F83" r:id="rId2" xr:uid="{A8FE5495-B67B-493E-A85F-832E04E2A227}"/>
    <hyperlink ref="F85" r:id="rId3" xr:uid="{C505EA46-276D-4191-AAAB-42A87874CF0C}"/>
    <hyperlink ref="F84" r:id="rId4" xr:uid="{4E4094A0-4ADC-4DE3-9EB1-C239A077DF86}"/>
  </hyperlinks>
  <pageMargins left="0.7" right="0.7" top="0.75" bottom="0.75" header="0.3" footer="0.3"/>
  <pageSetup orientation="portrait"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40396-195F-4FC4-A30C-A3267089E684}">
  <sheetPr codeName="Sheet417"/>
  <dimension ref="A2:R116"/>
  <sheetViews>
    <sheetView workbookViewId="0"/>
  </sheetViews>
  <sheetFormatPr defaultColWidth="9.08984375" defaultRowHeight="18.75" customHeight="1" x14ac:dyDescent="0.3"/>
  <cols>
    <col min="1" max="1" width="2.36328125" style="488" customWidth="1"/>
    <col min="2" max="2" width="44.36328125" style="488" bestFit="1" customWidth="1"/>
    <col min="3" max="3" width="25.08984375" style="488" customWidth="1"/>
    <col min="4" max="4" width="21.6328125" style="488" customWidth="1"/>
    <col min="5" max="5" width="14.36328125" style="488" customWidth="1"/>
    <col min="6" max="6" width="15.6328125" style="488" customWidth="1"/>
    <col min="7" max="7" width="19.6328125" style="488" customWidth="1"/>
    <col min="8" max="8" width="16" style="488" customWidth="1"/>
    <col min="9" max="9" width="12.816406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623" customWidth="1"/>
    <col min="19" max="19" width="9.08984375" style="488"/>
    <col min="20" max="20" width="8.6328125" style="488" customWidth="1"/>
    <col min="21" max="16384" width="9.08984375" style="488"/>
  </cols>
  <sheetData>
    <row r="2" spans="1:18" ht="18.75" customHeight="1" x14ac:dyDescent="0.3">
      <c r="B2" s="1203" t="s">
        <v>506</v>
      </c>
      <c r="C2" s="1608" t="s">
        <v>406</v>
      </c>
      <c r="D2" s="1608"/>
      <c r="E2" s="1608"/>
      <c r="F2" s="1608"/>
    </row>
    <row r="3" spans="1:18" ht="18.75" customHeight="1" x14ac:dyDescent="0.3">
      <c r="B3" s="624" t="s">
        <v>407</v>
      </c>
      <c r="C3" s="1367" t="str">
        <f>IF(ISBLANK(C8)+ISBLANK(C10),C8,C8&amp;"_"&amp;C10)</f>
        <v>R-HC-008</v>
      </c>
      <c r="D3" s="1367"/>
      <c r="E3" s="1367"/>
      <c r="F3" s="1367"/>
    </row>
    <row r="4" spans="1:18" ht="18.75" customHeight="1" x14ac:dyDescent="0.3">
      <c r="B4" s="624" t="s">
        <v>11</v>
      </c>
      <c r="C4" s="1367" t="str" cm="1">
        <f t="array" ref="C4">_xlfn.SWITCH(LEFT(C8,1),"R","Residential","C","Commercial","ERROR")</f>
        <v>Residential</v>
      </c>
      <c r="D4" s="1367"/>
      <c r="E4" s="1367"/>
      <c r="F4" s="1367"/>
    </row>
    <row r="5" spans="1:18" ht="44.25" customHeight="1" x14ac:dyDescent="0.3">
      <c r="B5" s="624" t="s">
        <v>408</v>
      </c>
      <c r="C5" s="1530" t="s">
        <v>365</v>
      </c>
      <c r="D5" s="1531"/>
      <c r="E5" s="1531"/>
      <c r="F5" s="1532"/>
      <c r="R5" s="488"/>
    </row>
    <row r="6" spans="1:18" ht="18.75" customHeight="1" x14ac:dyDescent="0.3">
      <c r="A6" s="573"/>
    </row>
    <row r="7" spans="1:18" ht="18.75" customHeight="1" x14ac:dyDescent="0.3">
      <c r="B7" s="1203" t="s">
        <v>507</v>
      </c>
      <c r="C7" s="625" t="s">
        <v>406</v>
      </c>
      <c r="D7" s="1608" t="s">
        <v>410</v>
      </c>
      <c r="E7" s="1608"/>
      <c r="F7" s="1608"/>
      <c r="R7" s="488"/>
    </row>
    <row r="8" spans="1:18" ht="18.75" customHeight="1" x14ac:dyDescent="0.3">
      <c r="B8" s="624" t="s">
        <v>411</v>
      </c>
      <c r="C8" s="1194" t="s">
        <v>162</v>
      </c>
      <c r="D8" s="1626" t="s">
        <v>672</v>
      </c>
      <c r="E8" s="1627"/>
      <c r="F8" s="1628"/>
      <c r="R8" s="488"/>
    </row>
    <row r="9" spans="1:18" ht="18.75" customHeight="1" x14ac:dyDescent="0.3">
      <c r="B9" s="624" t="s">
        <v>49</v>
      </c>
      <c r="C9" s="1194" t="s">
        <v>579</v>
      </c>
      <c r="D9" s="1629"/>
      <c r="E9" s="1630"/>
      <c r="F9" s="1631"/>
      <c r="R9" s="488"/>
    </row>
    <row r="10" spans="1:18" ht="18.75" customHeight="1" x14ac:dyDescent="0.3">
      <c r="B10" s="624" t="s">
        <v>412</v>
      </c>
      <c r="C10" s="1194"/>
      <c r="D10" s="1629"/>
      <c r="E10" s="1630"/>
      <c r="F10" s="1631"/>
      <c r="R10" s="488"/>
    </row>
    <row r="11" spans="1:18" ht="18.75" customHeight="1" x14ac:dyDescent="0.3">
      <c r="B11" s="624" t="s">
        <v>413</v>
      </c>
      <c r="C11" s="1194"/>
      <c r="D11" s="1629"/>
      <c r="E11" s="1630"/>
      <c r="F11" s="1631"/>
      <c r="R11" s="488"/>
    </row>
    <row r="12" spans="1:18" ht="18.75" customHeight="1" x14ac:dyDescent="0.3">
      <c r="B12" s="624" t="s">
        <v>414</v>
      </c>
      <c r="C12" s="602"/>
      <c r="D12" s="1629"/>
      <c r="E12" s="1630"/>
      <c r="F12" s="1631"/>
      <c r="R12" s="488"/>
    </row>
    <row r="13" spans="1:18" ht="18.75" customHeight="1" x14ac:dyDescent="0.3">
      <c r="B13" s="626" t="s">
        <v>415</v>
      </c>
      <c r="C13" s="495">
        <f>N43</f>
        <v>0</v>
      </c>
      <c r="D13" s="1629"/>
      <c r="E13" s="1630"/>
      <c r="F13" s="1631"/>
      <c r="R13" s="488"/>
    </row>
    <row r="14" spans="1:18" ht="18.75" customHeight="1" x14ac:dyDescent="0.3">
      <c r="B14" s="626" t="s">
        <v>416</v>
      </c>
      <c r="C14" s="495">
        <f>N42</f>
        <v>0</v>
      </c>
      <c r="D14" s="1629"/>
      <c r="E14" s="1630"/>
      <c r="F14" s="1631"/>
      <c r="R14" s="488"/>
    </row>
    <row r="15" spans="1:18" ht="18.75" customHeight="1" x14ac:dyDescent="0.3">
      <c r="B15" s="626" t="s">
        <v>417</v>
      </c>
      <c r="C15" s="495">
        <f>N44</f>
        <v>0</v>
      </c>
      <c r="D15" s="1629"/>
      <c r="E15" s="1630"/>
      <c r="F15" s="1631"/>
      <c r="R15" s="488"/>
    </row>
    <row r="16" spans="1:18" ht="18.75" customHeight="1" x14ac:dyDescent="0.3">
      <c r="B16" s="626" t="s">
        <v>418</v>
      </c>
      <c r="C16" s="496">
        <f>C37</f>
        <v>0</v>
      </c>
      <c r="D16" s="1632"/>
      <c r="E16" s="1633"/>
      <c r="F16" s="1634"/>
      <c r="R16" s="488"/>
    </row>
    <row r="17" spans="2:18" ht="18.75" customHeight="1" x14ac:dyDescent="0.3">
      <c r="B17" s="624" t="s">
        <v>48</v>
      </c>
      <c r="C17" s="1194" t="s">
        <v>673</v>
      </c>
      <c r="D17" s="1608" t="s">
        <v>419</v>
      </c>
      <c r="E17" s="1608"/>
      <c r="F17" s="1608"/>
      <c r="R17" s="488"/>
    </row>
    <row r="18" spans="2:18" ht="18.75" customHeight="1" x14ac:dyDescent="0.3">
      <c r="B18" s="624" t="s">
        <v>420</v>
      </c>
      <c r="C18" s="541">
        <v>18</v>
      </c>
      <c r="D18" s="1635" t="s">
        <v>674</v>
      </c>
      <c r="E18" s="1635"/>
      <c r="F18" s="1635"/>
      <c r="R18" s="488"/>
    </row>
    <row r="19" spans="2:18" ht="18.75" customHeight="1" x14ac:dyDescent="0.3">
      <c r="B19" s="627"/>
      <c r="C19" s="576"/>
      <c r="F19" s="623"/>
      <c r="R19" s="488"/>
    </row>
    <row r="20" spans="2:18" ht="18.75" customHeight="1" x14ac:dyDescent="0.3">
      <c r="B20" s="1609" t="s">
        <v>421</v>
      </c>
      <c r="C20" s="1609"/>
      <c r="D20" s="1609"/>
      <c r="E20" s="1609"/>
      <c r="F20" s="1609"/>
      <c r="G20" s="1609"/>
      <c r="H20" s="1609"/>
      <c r="I20" s="1609"/>
      <c r="J20" s="1609"/>
      <c r="K20" s="1609"/>
      <c r="L20" s="1609"/>
      <c r="M20" s="1609"/>
      <c r="N20" s="1609"/>
      <c r="O20" s="1609"/>
      <c r="P20" s="1609"/>
      <c r="Q20" s="1609"/>
      <c r="R20" s="488"/>
    </row>
    <row r="21" spans="2:18" ht="13" x14ac:dyDescent="0.3">
      <c r="B21" s="656" t="s">
        <v>422</v>
      </c>
      <c r="C21" s="1636" t="s">
        <v>366</v>
      </c>
      <c r="D21" s="1636"/>
      <c r="E21" s="1636"/>
      <c r="F21" s="1636"/>
      <c r="G21" s="1636"/>
      <c r="H21" s="1636"/>
      <c r="I21" s="1636"/>
      <c r="J21" s="1636"/>
      <c r="K21" s="1636"/>
      <c r="L21" s="1636"/>
      <c r="M21" s="1636"/>
      <c r="N21" s="1636"/>
      <c r="O21" s="1636"/>
      <c r="P21" s="1636"/>
      <c r="Q21" s="1636"/>
      <c r="R21" s="488"/>
    </row>
    <row r="22" spans="2:18" ht="13" x14ac:dyDescent="0.3">
      <c r="B22" s="628" t="s">
        <v>423</v>
      </c>
      <c r="C22" s="1534" t="s">
        <v>367</v>
      </c>
      <c r="D22" s="1534"/>
      <c r="E22" s="1534"/>
      <c r="F22" s="1534"/>
      <c r="G22" s="1534"/>
      <c r="H22" s="1534"/>
      <c r="I22" s="1534"/>
      <c r="J22" s="1534"/>
      <c r="K22" s="1534"/>
      <c r="L22" s="1534"/>
      <c r="M22" s="1534"/>
      <c r="N22" s="1534"/>
      <c r="O22" s="1534"/>
      <c r="P22" s="1534"/>
      <c r="Q22" s="1534"/>
      <c r="R22" s="488"/>
    </row>
    <row r="23" spans="2:18" ht="18.75" customHeight="1" x14ac:dyDescent="0.3">
      <c r="B23" s="628" t="s">
        <v>424</v>
      </c>
      <c r="C23" s="1535"/>
      <c r="D23" s="1535"/>
      <c r="E23" s="1535"/>
      <c r="F23" s="1535"/>
      <c r="G23" s="1535"/>
      <c r="H23" s="1535"/>
      <c r="I23" s="1535"/>
      <c r="J23" s="1535"/>
      <c r="K23" s="1535"/>
      <c r="L23" s="1535"/>
      <c r="M23" s="1535"/>
      <c r="N23" s="1535"/>
      <c r="O23" s="1535"/>
      <c r="P23" s="1535"/>
      <c r="Q23" s="1535"/>
      <c r="R23" s="488"/>
    </row>
    <row r="25" spans="2:18" ht="18.75" customHeight="1" x14ac:dyDescent="0.3">
      <c r="B25" s="1203" t="s">
        <v>425</v>
      </c>
      <c r="C25" s="625" t="s">
        <v>406</v>
      </c>
      <c r="D25" s="1607" t="s">
        <v>421</v>
      </c>
      <c r="E25" s="1607"/>
      <c r="F25" s="1607"/>
      <c r="G25" s="1607"/>
      <c r="H25" s="1607"/>
      <c r="I25" s="1607"/>
      <c r="J25" s="1607"/>
      <c r="K25" s="1607"/>
      <c r="L25" s="1607"/>
      <c r="M25" s="1607"/>
      <c r="N25" s="1607"/>
      <c r="O25" s="1607"/>
      <c r="P25" s="1607"/>
      <c r="Q25" s="1607"/>
      <c r="R25" s="488"/>
    </row>
    <row r="26" spans="2:18" ht="18.75" customHeight="1" x14ac:dyDescent="0.3">
      <c r="B26" s="624"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624"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624" t="s">
        <v>54</v>
      </c>
      <c r="C28" s="539" t="str">
        <f>Default.BuildingType.R</f>
        <v>Home - detached</v>
      </c>
      <c r="D28" s="1386"/>
      <c r="E28" s="1386"/>
      <c r="F28" s="1386"/>
      <c r="G28" s="1386"/>
      <c r="H28" s="1386"/>
      <c r="I28" s="1386"/>
      <c r="J28" s="1386"/>
      <c r="K28" s="1386"/>
      <c r="L28" s="1386"/>
      <c r="M28" s="1386"/>
      <c r="N28" s="1386"/>
      <c r="O28" s="1386"/>
      <c r="P28" s="1386"/>
      <c r="Q28" s="1386"/>
      <c r="R28" s="488"/>
    </row>
    <row r="29" spans="2:18" ht="18.75" customHeight="1" x14ac:dyDescent="0.3">
      <c r="B29" s="624"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624"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203" t="s">
        <v>427</v>
      </c>
      <c r="C32" s="1202" t="s">
        <v>406</v>
      </c>
      <c r="D32" s="625" t="s">
        <v>428</v>
      </c>
      <c r="E32" s="1607" t="s">
        <v>419</v>
      </c>
      <c r="F32" s="1607"/>
      <c r="G32" s="1607"/>
      <c r="H32" s="1607"/>
      <c r="I32" s="1607"/>
      <c r="J32" s="1607"/>
      <c r="K32" s="1607"/>
      <c r="L32" s="1607"/>
      <c r="M32" s="1607"/>
      <c r="N32" s="1607"/>
      <c r="O32" s="1607"/>
      <c r="P32" s="1607"/>
      <c r="Q32" s="1607"/>
    </row>
    <row r="33" spans="2:18" ht="18.75" customHeight="1" x14ac:dyDescent="0.3">
      <c r="B33" s="624" t="s">
        <v>429</v>
      </c>
      <c r="C33" s="640"/>
      <c r="D33" s="586" t="s">
        <v>430</v>
      </c>
      <c r="E33" s="1604"/>
      <c r="F33" s="1605"/>
      <c r="G33" s="1605"/>
      <c r="H33" s="1605"/>
      <c r="I33" s="1605"/>
      <c r="J33" s="1605"/>
      <c r="K33" s="1605"/>
      <c r="L33" s="1605"/>
      <c r="M33" s="1605"/>
      <c r="N33" s="1605"/>
      <c r="O33" s="1605"/>
      <c r="P33" s="1605"/>
      <c r="Q33" s="1606"/>
      <c r="R33" s="488"/>
    </row>
    <row r="34" spans="2:18" ht="18.75" customHeight="1" x14ac:dyDescent="0.3">
      <c r="B34" s="624" t="s">
        <v>431</v>
      </c>
      <c r="C34" s="640"/>
      <c r="D34" s="586" t="s">
        <v>430</v>
      </c>
      <c r="E34" s="1604"/>
      <c r="F34" s="1605"/>
      <c r="G34" s="1605"/>
      <c r="H34" s="1605"/>
      <c r="I34" s="1605"/>
      <c r="J34" s="1605"/>
      <c r="K34" s="1605"/>
      <c r="L34" s="1605"/>
      <c r="M34" s="1605"/>
      <c r="N34" s="1605"/>
      <c r="O34" s="1605"/>
      <c r="P34" s="1605"/>
      <c r="Q34" s="1606"/>
      <c r="R34" s="488"/>
    </row>
    <row r="35" spans="2:18" ht="18.75" customHeight="1" x14ac:dyDescent="0.3">
      <c r="B35" s="624" t="s">
        <v>432</v>
      </c>
      <c r="C35" s="640"/>
      <c r="D35" s="586" t="s">
        <v>430</v>
      </c>
      <c r="E35" s="1604"/>
      <c r="F35" s="1605"/>
      <c r="G35" s="1605"/>
      <c r="H35" s="1605"/>
      <c r="I35" s="1605"/>
      <c r="J35" s="1605"/>
      <c r="K35" s="1605"/>
      <c r="L35" s="1605"/>
      <c r="M35" s="1605"/>
      <c r="N35" s="1605"/>
      <c r="O35" s="1605"/>
      <c r="P35" s="1605"/>
      <c r="Q35" s="1606"/>
      <c r="R35" s="488"/>
    </row>
    <row r="36" spans="2:18" ht="18.75" customHeight="1" x14ac:dyDescent="0.3">
      <c r="B36" s="624" t="s">
        <v>433</v>
      </c>
      <c r="C36" s="657">
        <f>SUM(C33:C34)</f>
        <v>0</v>
      </c>
      <c r="D36" s="586" t="s">
        <v>430</v>
      </c>
      <c r="E36" s="1604"/>
      <c r="F36" s="1605"/>
      <c r="G36" s="1605"/>
      <c r="H36" s="1605"/>
      <c r="I36" s="1605"/>
      <c r="J36" s="1605"/>
      <c r="K36" s="1605"/>
      <c r="L36" s="1605"/>
      <c r="M36" s="1605"/>
      <c r="N36" s="1605"/>
      <c r="O36" s="1605"/>
      <c r="P36" s="1605"/>
      <c r="Q36" s="1606"/>
      <c r="R36" s="488"/>
    </row>
    <row r="37" spans="2:18" ht="18.75" customHeight="1" x14ac:dyDescent="0.3">
      <c r="B37" s="624" t="s">
        <v>434</v>
      </c>
      <c r="C37" s="657">
        <f>IF(C27="RET",C33+(C34-C35),C34-C35)</f>
        <v>0</v>
      </c>
      <c r="D37" s="586" t="s">
        <v>430</v>
      </c>
      <c r="E37" s="1604"/>
      <c r="F37" s="1605"/>
      <c r="G37" s="1605"/>
      <c r="H37" s="1605"/>
      <c r="I37" s="1605"/>
      <c r="J37" s="1605"/>
      <c r="K37" s="1605"/>
      <c r="L37" s="1605"/>
      <c r="M37" s="1605"/>
      <c r="N37" s="1605"/>
      <c r="O37" s="1605"/>
      <c r="P37" s="1605"/>
      <c r="Q37" s="1606"/>
      <c r="R37" s="488"/>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630" t="s">
        <v>435</v>
      </c>
      <c r="C39" s="631"/>
      <c r="D39" s="631"/>
      <c r="E39" s="631"/>
      <c r="F39" s="631"/>
      <c r="G39" s="631"/>
      <c r="H39" s="513"/>
      <c r="I39" s="513"/>
      <c r="J39" s="513"/>
      <c r="K39" s="513"/>
      <c r="L39" s="513"/>
      <c r="M39" s="513"/>
      <c r="N39" s="513"/>
      <c r="O39" s="513"/>
      <c r="P39" s="513"/>
      <c r="Q39" s="514"/>
    </row>
    <row r="41" spans="2:18" ht="18.75" customHeight="1" x14ac:dyDescent="0.3">
      <c r="B41" s="632" t="s">
        <v>436</v>
      </c>
      <c r="C41" s="1596" t="s">
        <v>437</v>
      </c>
      <c r="D41" s="1597"/>
      <c r="E41" s="1597"/>
      <c r="F41" s="1597"/>
      <c r="G41" s="1597"/>
      <c r="H41" s="1597"/>
      <c r="I41" s="1597"/>
      <c r="J41" s="1597"/>
      <c r="K41" s="1597"/>
      <c r="L41" s="1597"/>
      <c r="M41" s="1598"/>
      <c r="N41" s="1205" t="s">
        <v>406</v>
      </c>
      <c r="O41" s="1205" t="s">
        <v>428</v>
      </c>
      <c r="P41" s="1599" t="s">
        <v>419</v>
      </c>
      <c r="Q41" s="1599"/>
    </row>
    <row r="42" spans="2:18" ht="18.75" customHeight="1" x14ac:dyDescent="0.3">
      <c r="B42" s="582" t="s">
        <v>438</v>
      </c>
      <c r="C42" s="1380" t="s">
        <v>439</v>
      </c>
      <c r="D42" s="1381"/>
      <c r="E42" s="1381"/>
      <c r="F42" s="1381"/>
      <c r="G42" s="1381"/>
      <c r="H42" s="1381"/>
      <c r="I42" s="1381"/>
      <c r="J42" s="1381"/>
      <c r="K42" s="1381"/>
      <c r="L42" s="1381"/>
      <c r="M42" s="1382"/>
      <c r="N42" s="585">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0</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5">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5">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623"/>
      <c r="R46" s="488"/>
    </row>
    <row r="47" spans="2:18" ht="18.75" customHeight="1" x14ac:dyDescent="0.3">
      <c r="B47" s="632" t="s">
        <v>450</v>
      </c>
      <c r="C47" s="1596" t="s">
        <v>451</v>
      </c>
      <c r="D47" s="1597"/>
      <c r="E47" s="1597"/>
      <c r="F47" s="1597"/>
      <c r="G47" s="1597"/>
      <c r="H47" s="1597"/>
      <c r="I47" s="1597"/>
      <c r="J47" s="1597"/>
      <c r="K47" s="1597"/>
      <c r="L47" s="1597"/>
      <c r="M47" s="1598"/>
      <c r="N47" s="1205" t="s">
        <v>406</v>
      </c>
      <c r="O47" s="1205" t="s">
        <v>428</v>
      </c>
      <c r="P47" s="1599" t="s">
        <v>419</v>
      </c>
      <c r="Q47" s="159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38.5" customHeight="1" x14ac:dyDescent="0.3">
      <c r="B49" s="582" t="s">
        <v>454</v>
      </c>
      <c r="C49" s="1600" t="s">
        <v>675</v>
      </c>
      <c r="D49" s="1601"/>
      <c r="E49" s="1601"/>
      <c r="F49" s="1601"/>
      <c r="G49" s="1601"/>
      <c r="H49" s="1601"/>
      <c r="I49" s="1601"/>
      <c r="J49" s="1601"/>
      <c r="K49" s="1601"/>
      <c r="L49" s="1601"/>
      <c r="M49" s="1602"/>
      <c r="N49" s="592"/>
      <c r="O49" s="1243" t="s">
        <v>443</v>
      </c>
      <c r="P49" s="1603"/>
      <c r="Q49" s="1511"/>
      <c r="R49" s="488"/>
    </row>
    <row r="50" spans="2:18" ht="18.75" customHeight="1" x14ac:dyDescent="0.3">
      <c r="B50" s="582" t="s">
        <v>456</v>
      </c>
      <c r="C50" s="1504" t="s">
        <v>676</v>
      </c>
      <c r="D50" s="1505"/>
      <c r="E50" s="1505"/>
      <c r="F50" s="1505"/>
      <c r="G50" s="1505"/>
      <c r="H50" s="1505"/>
      <c r="I50" s="1505"/>
      <c r="J50" s="1505"/>
      <c r="K50" s="1505"/>
      <c r="L50" s="1505"/>
      <c r="M50" s="1506"/>
      <c r="N50" s="620"/>
      <c r="O50" s="1243" t="s">
        <v>446</v>
      </c>
      <c r="P50" s="1603"/>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623"/>
      <c r="R52" s="488"/>
    </row>
    <row r="53" spans="2:18" ht="18.75" customHeight="1" x14ac:dyDescent="0.3">
      <c r="B53" s="632" t="s">
        <v>460</v>
      </c>
      <c r="C53" s="1596" t="s">
        <v>461</v>
      </c>
      <c r="D53" s="1597"/>
      <c r="E53" s="1597"/>
      <c r="F53" s="1597"/>
      <c r="G53" s="1597"/>
      <c r="H53" s="1597"/>
      <c r="I53" s="1597"/>
      <c r="J53" s="1597"/>
      <c r="K53" s="1597"/>
      <c r="L53" s="1597"/>
      <c r="M53" s="1598"/>
      <c r="N53" s="1205" t="s">
        <v>406</v>
      </c>
      <c r="O53" s="1205" t="s">
        <v>428</v>
      </c>
      <c r="P53" s="1599" t="s">
        <v>419</v>
      </c>
      <c r="Q53" s="1599"/>
      <c r="R53" s="488"/>
    </row>
    <row r="54" spans="2:18" ht="18.75" customHeight="1" x14ac:dyDescent="0.3">
      <c r="B54" s="582" t="s">
        <v>462</v>
      </c>
      <c r="C54" s="1504" t="s">
        <v>463</v>
      </c>
      <c r="D54" s="1505"/>
      <c r="E54" s="1505"/>
      <c r="F54" s="1505"/>
      <c r="G54" s="1505"/>
      <c r="H54" s="1505"/>
      <c r="I54" s="1505"/>
      <c r="J54" s="1505"/>
      <c r="K54" s="1505"/>
      <c r="L54" s="1505"/>
      <c r="M54" s="1506"/>
      <c r="N54" s="592"/>
      <c r="O54" s="1243" t="s">
        <v>440</v>
      </c>
      <c r="P54" s="1511"/>
      <c r="Q54" s="1511"/>
      <c r="R54" s="488"/>
    </row>
    <row r="55" spans="2:18" ht="18.75" customHeight="1" x14ac:dyDescent="0.3">
      <c r="B55" s="582" t="s">
        <v>464</v>
      </c>
      <c r="C55" s="1504" t="s">
        <v>465</v>
      </c>
      <c r="D55" s="1505"/>
      <c r="E55" s="1505"/>
      <c r="F55" s="1505"/>
      <c r="G55" s="1505"/>
      <c r="H55" s="1505"/>
      <c r="I55" s="1505"/>
      <c r="J55" s="1505"/>
      <c r="K55" s="1505"/>
      <c r="L55" s="1505"/>
      <c r="M55" s="1506"/>
      <c r="N55" s="592"/>
      <c r="O55" s="1243" t="s">
        <v>443</v>
      </c>
      <c r="P55" s="1537"/>
      <c r="Q55" s="1538"/>
      <c r="R55" s="488"/>
    </row>
    <row r="56" spans="2:18" ht="18.75" customHeight="1" x14ac:dyDescent="0.3">
      <c r="B56" s="582" t="s">
        <v>466</v>
      </c>
      <c r="C56" s="1504" t="s">
        <v>516</v>
      </c>
      <c r="D56" s="1505"/>
      <c r="E56" s="1505"/>
      <c r="F56" s="1505"/>
      <c r="G56" s="1505"/>
      <c r="H56" s="1505"/>
      <c r="I56" s="1505"/>
      <c r="J56" s="1505"/>
      <c r="K56" s="1505"/>
      <c r="L56" s="1505"/>
      <c r="M56" s="1506"/>
      <c r="N56" s="592"/>
      <c r="O56" s="1243" t="s">
        <v>446</v>
      </c>
      <c r="P56" s="1537"/>
      <c r="Q56" s="1538"/>
      <c r="R56" s="488"/>
    </row>
    <row r="57" spans="2:18" ht="18.75" customHeight="1" x14ac:dyDescent="0.3">
      <c r="B57" s="582" t="s">
        <v>468</v>
      </c>
      <c r="C57" s="1504" t="s">
        <v>469</v>
      </c>
      <c r="D57" s="1505"/>
      <c r="E57" s="1505"/>
      <c r="F57" s="1505"/>
      <c r="G57" s="1505"/>
      <c r="H57" s="1505"/>
      <c r="I57" s="1505"/>
      <c r="J57" s="1505"/>
      <c r="K57" s="1505"/>
      <c r="L57" s="1505"/>
      <c r="M57" s="1506"/>
      <c r="N57" s="592"/>
      <c r="O57" s="1243" t="s">
        <v>449</v>
      </c>
      <c r="P57" s="1511"/>
      <c r="Q57" s="1511"/>
      <c r="R57" s="488"/>
    </row>
    <row r="58" spans="2:18" ht="18.75" customHeight="1" x14ac:dyDescent="0.3">
      <c r="B58" s="599"/>
      <c r="C58" s="577"/>
      <c r="D58" s="578"/>
      <c r="E58" s="578"/>
      <c r="F58" s="578"/>
      <c r="G58" s="578"/>
      <c r="H58" s="578"/>
      <c r="I58" s="578"/>
      <c r="J58" s="578"/>
      <c r="K58" s="578"/>
      <c r="L58" s="578"/>
      <c r="M58" s="578"/>
      <c r="N58" s="578"/>
      <c r="O58" s="578"/>
    </row>
    <row r="59" spans="2:18" ht="18.75" customHeight="1" x14ac:dyDescent="0.3">
      <c r="B59" s="630" t="s">
        <v>470</v>
      </c>
      <c r="C59" s="631"/>
      <c r="D59" s="631"/>
      <c r="E59" s="631"/>
      <c r="F59" s="631"/>
      <c r="G59" s="631"/>
      <c r="H59" s="513"/>
      <c r="I59" s="513"/>
      <c r="J59" s="513"/>
      <c r="K59" s="513"/>
      <c r="L59" s="513"/>
      <c r="M59" s="513"/>
      <c r="N59" s="513"/>
      <c r="O59" s="513"/>
      <c r="P59" s="513"/>
      <c r="Q59" s="514"/>
    </row>
    <row r="61" spans="2:18" ht="18.75" customHeight="1" x14ac:dyDescent="0.3">
      <c r="B61" s="632" t="s">
        <v>471</v>
      </c>
      <c r="C61" s="632" t="s">
        <v>472</v>
      </c>
      <c r="D61" s="1592" t="s">
        <v>473</v>
      </c>
      <c r="E61" s="1592"/>
      <c r="F61" s="632" t="s">
        <v>474</v>
      </c>
      <c r="G61" s="632" t="s">
        <v>475</v>
      </c>
      <c r="H61" s="632" t="s">
        <v>406</v>
      </c>
      <c r="I61" s="632" t="s">
        <v>428</v>
      </c>
      <c r="J61" s="1593" t="s">
        <v>476</v>
      </c>
      <c r="K61" s="1594"/>
      <c r="L61" s="1594"/>
      <c r="M61" s="1594"/>
      <c r="N61" s="1594"/>
      <c r="O61" s="1594"/>
      <c r="P61" s="1594"/>
      <c r="Q61" s="1595"/>
    </row>
    <row r="62" spans="2:18" ht="13.15" customHeight="1" x14ac:dyDescent="0.3">
      <c r="B62" s="533">
        <v>1</v>
      </c>
      <c r="C62" s="549"/>
      <c r="D62" s="1556"/>
      <c r="E62" s="1556"/>
      <c r="F62" s="641"/>
      <c r="G62" s="642"/>
      <c r="H62" s="643"/>
      <c r="I62" s="1238"/>
      <c r="J62" s="1462"/>
      <c r="K62" s="1470"/>
      <c r="L62" s="1470"/>
      <c r="M62" s="1470"/>
      <c r="N62" s="1470"/>
      <c r="O62" s="1470"/>
      <c r="P62" s="1470"/>
      <c r="Q62" s="1471"/>
      <c r="R62" s="488"/>
    </row>
    <row r="63" spans="2:18" ht="13.15" customHeight="1" x14ac:dyDescent="0.3">
      <c r="B63" s="533">
        <v>2</v>
      </c>
      <c r="C63" s="546"/>
      <c r="D63" s="1539"/>
      <c r="E63" s="1539"/>
      <c r="F63" s="546"/>
      <c r="G63" s="1217"/>
      <c r="H63" s="622"/>
      <c r="I63" s="1217"/>
      <c r="J63" s="1468"/>
      <c r="K63" s="1541"/>
      <c r="L63" s="1541"/>
      <c r="M63" s="1541"/>
      <c r="N63" s="1541"/>
      <c r="O63" s="1541"/>
      <c r="P63" s="1541"/>
      <c r="Q63" s="1542"/>
      <c r="R63" s="488"/>
    </row>
    <row r="64" spans="2:18" ht="13.15" customHeight="1" x14ac:dyDescent="0.3">
      <c r="B64" s="533">
        <v>3</v>
      </c>
      <c r="C64" s="546"/>
      <c r="D64" s="1539"/>
      <c r="E64" s="1539"/>
      <c r="F64" s="546"/>
      <c r="G64" s="1217"/>
      <c r="H64" s="645"/>
      <c r="I64" s="1217"/>
      <c r="J64" s="1468"/>
      <c r="K64" s="1541"/>
      <c r="L64" s="1541"/>
      <c r="M64" s="1541"/>
      <c r="N64" s="1541"/>
      <c r="O64" s="1541"/>
      <c r="P64" s="1541"/>
      <c r="Q64" s="1542"/>
      <c r="R64" s="488"/>
    </row>
    <row r="65" spans="2:18" ht="13.15" customHeight="1" x14ac:dyDescent="0.3">
      <c r="B65" s="533">
        <v>4</v>
      </c>
      <c r="C65" s="546"/>
      <c r="D65" s="1539"/>
      <c r="E65" s="1539"/>
      <c r="F65" s="546"/>
      <c r="G65" s="1217"/>
      <c r="H65" s="554"/>
      <c r="I65" s="1217"/>
      <c r="J65" s="1468"/>
      <c r="K65" s="1541"/>
      <c r="L65" s="1541"/>
      <c r="M65" s="1541"/>
      <c r="N65" s="1541"/>
      <c r="O65" s="1541"/>
      <c r="P65" s="1541"/>
      <c r="Q65" s="1542"/>
      <c r="R65" s="488"/>
    </row>
    <row r="66" spans="2:18" ht="15" customHeight="1" x14ac:dyDescent="0.3">
      <c r="B66" s="533">
        <v>5</v>
      </c>
      <c r="C66" s="555"/>
      <c r="D66" s="1587"/>
      <c r="E66" s="1587"/>
      <c r="F66" s="555"/>
      <c r="G66" s="557"/>
      <c r="H66" s="646"/>
      <c r="I66" s="557"/>
      <c r="J66" s="1437"/>
      <c r="K66" s="1560"/>
      <c r="L66" s="1560"/>
      <c r="M66" s="1560"/>
      <c r="N66" s="1560"/>
      <c r="O66" s="1560"/>
      <c r="P66" s="1560"/>
      <c r="Q66" s="1561"/>
      <c r="R66" s="488"/>
    </row>
    <row r="67" spans="2:18" ht="14.5" customHeight="1" x14ac:dyDescent="0.3">
      <c r="B67" s="533">
        <v>6</v>
      </c>
      <c r="C67" s="546"/>
      <c r="D67" s="1539"/>
      <c r="E67" s="1539"/>
      <c r="F67" s="546"/>
      <c r="G67" s="1217"/>
      <c r="H67" s="554"/>
      <c r="I67" s="1217"/>
      <c r="J67" s="1468"/>
      <c r="K67" s="1541"/>
      <c r="L67" s="1541"/>
      <c r="M67" s="1541"/>
      <c r="N67" s="1541"/>
      <c r="O67" s="1541"/>
      <c r="P67" s="1541"/>
      <c r="Q67" s="1542"/>
      <c r="R67" s="488"/>
    </row>
    <row r="68" spans="2:18" ht="15" customHeight="1" x14ac:dyDescent="0.3">
      <c r="B68" s="533">
        <v>7</v>
      </c>
      <c r="C68" s="546"/>
      <c r="D68" s="1539"/>
      <c r="E68" s="1539"/>
      <c r="F68" s="546"/>
      <c r="G68" s="1217"/>
      <c r="H68" s="554"/>
      <c r="I68" s="1217"/>
      <c r="J68" s="1468"/>
      <c r="K68" s="1541"/>
      <c r="L68" s="1541"/>
      <c r="M68" s="1541"/>
      <c r="N68" s="1541"/>
      <c r="O68" s="1541"/>
      <c r="P68" s="1541"/>
      <c r="Q68" s="1542"/>
      <c r="R68" s="488"/>
    </row>
    <row r="69" spans="2:18" ht="15" customHeight="1" x14ac:dyDescent="0.3">
      <c r="B69" s="534">
        <v>8</v>
      </c>
      <c r="C69" s="549"/>
      <c r="D69" s="1556"/>
      <c r="E69" s="1556"/>
      <c r="F69" s="641"/>
      <c r="G69" s="642"/>
      <c r="H69" s="606"/>
      <c r="I69" s="1238"/>
      <c r="J69" s="1462"/>
      <c r="K69" s="1470"/>
      <c r="L69" s="1470"/>
      <c r="M69" s="1470"/>
      <c r="N69" s="1470"/>
      <c r="O69" s="1470"/>
      <c r="P69" s="1470"/>
      <c r="Q69" s="1471"/>
      <c r="R69" s="488"/>
    </row>
    <row r="70" spans="2:18" ht="15" customHeight="1" x14ac:dyDescent="0.3">
      <c r="B70" s="534">
        <v>9</v>
      </c>
      <c r="C70" s="549"/>
      <c r="D70" s="1556"/>
      <c r="E70" s="1556"/>
      <c r="F70" s="549"/>
      <c r="G70" s="1238"/>
      <c r="H70" s="643"/>
      <c r="I70" s="1238"/>
      <c r="J70" s="1462"/>
      <c r="K70" s="1470"/>
      <c r="L70" s="1470"/>
      <c r="M70" s="1470"/>
      <c r="N70" s="1470"/>
      <c r="O70" s="1470"/>
      <c r="P70" s="1470"/>
      <c r="Q70" s="1471"/>
      <c r="R70" s="488"/>
    </row>
    <row r="71" spans="2:18" ht="15" customHeight="1" x14ac:dyDescent="0.3">
      <c r="B71" s="533">
        <v>10</v>
      </c>
      <c r="C71" s="546"/>
      <c r="D71" s="1539"/>
      <c r="E71" s="1539"/>
      <c r="F71" s="546"/>
      <c r="G71" s="1217"/>
      <c r="H71" s="645"/>
      <c r="I71" s="1217"/>
      <c r="J71" s="1468"/>
      <c r="K71" s="1541"/>
      <c r="L71" s="1541"/>
      <c r="M71" s="1541"/>
      <c r="N71" s="1541"/>
      <c r="O71" s="1541"/>
      <c r="P71" s="1541"/>
      <c r="Q71" s="1542"/>
      <c r="R71" s="488"/>
    </row>
    <row r="72" spans="2:18" s="634" customFormat="1" ht="15" customHeight="1" x14ac:dyDescent="0.3">
      <c r="B72" s="638">
        <v>11</v>
      </c>
      <c r="C72" s="546"/>
      <c r="D72" s="1539"/>
      <c r="E72" s="1539"/>
      <c r="F72" s="546"/>
      <c r="G72" s="1217"/>
      <c r="H72" s="554"/>
      <c r="I72" s="1217"/>
      <c r="J72" s="1468"/>
      <c r="K72" s="1541"/>
      <c r="L72" s="1541"/>
      <c r="M72" s="1541"/>
      <c r="N72" s="1541"/>
      <c r="O72" s="1541"/>
      <c r="P72" s="1541"/>
      <c r="Q72" s="1542"/>
    </row>
    <row r="73" spans="2:18" s="634" customFormat="1" ht="15" customHeight="1" x14ac:dyDescent="0.3">
      <c r="B73" s="638">
        <v>12</v>
      </c>
      <c r="C73" s="546"/>
      <c r="D73" s="1539"/>
      <c r="E73" s="1539"/>
      <c r="F73" s="546"/>
      <c r="G73" s="1217"/>
      <c r="H73" s="645"/>
      <c r="I73" s="1217"/>
      <c r="J73" s="1468"/>
      <c r="K73" s="1541"/>
      <c r="L73" s="1541"/>
      <c r="M73" s="1541"/>
      <c r="N73" s="1541"/>
      <c r="O73" s="1541"/>
      <c r="P73" s="1541"/>
      <c r="Q73" s="1542"/>
    </row>
    <row r="74" spans="2:18" s="634" customFormat="1" ht="15" customHeight="1" x14ac:dyDescent="0.3">
      <c r="B74" s="638">
        <v>13</v>
      </c>
      <c r="C74" s="546"/>
      <c r="D74" s="1539"/>
      <c r="E74" s="1539"/>
      <c r="F74" s="546"/>
      <c r="G74" s="1217"/>
      <c r="H74" s="554"/>
      <c r="I74" s="1217"/>
      <c r="J74" s="1468"/>
      <c r="K74" s="1541"/>
      <c r="L74" s="1541"/>
      <c r="M74" s="1541"/>
      <c r="N74" s="1541"/>
      <c r="O74" s="1541"/>
      <c r="P74" s="1541"/>
      <c r="Q74" s="1542"/>
    </row>
    <row r="75" spans="2:18" s="623" customFormat="1" ht="13.15" customHeight="1" x14ac:dyDescent="0.3">
      <c r="B75" s="638">
        <v>14</v>
      </c>
      <c r="C75" s="546"/>
      <c r="D75" s="1539"/>
      <c r="E75" s="1539"/>
      <c r="F75" s="546"/>
      <c r="G75" s="1217"/>
      <c r="H75" s="554"/>
      <c r="I75" s="1217"/>
      <c r="J75" s="1468"/>
      <c r="K75" s="1541"/>
      <c r="L75" s="1541"/>
      <c r="M75" s="1541"/>
      <c r="N75" s="1541"/>
      <c r="O75" s="1541"/>
      <c r="P75" s="1541"/>
      <c r="Q75" s="1542"/>
    </row>
    <row r="76" spans="2:18" s="623" customFormat="1" ht="14.5" customHeight="1" x14ac:dyDescent="0.3">
      <c r="B76" s="638">
        <v>15</v>
      </c>
      <c r="C76" s="647"/>
      <c r="D76" s="1539"/>
      <c r="E76" s="1539"/>
      <c r="F76" s="1217"/>
      <c r="G76" s="1217"/>
      <c r="H76" s="645"/>
      <c r="I76" s="1217"/>
      <c r="J76" s="1468"/>
      <c r="K76" s="1541"/>
      <c r="L76" s="1541"/>
      <c r="M76" s="1541"/>
      <c r="N76" s="1541"/>
      <c r="O76" s="1541"/>
      <c r="P76" s="1541"/>
      <c r="Q76" s="1542"/>
    </row>
    <row r="77" spans="2:18" ht="18.75" customHeight="1" x14ac:dyDescent="0.3">
      <c r="R77" s="488"/>
    </row>
    <row r="78" spans="2:18" ht="18.75" customHeight="1" x14ac:dyDescent="0.3">
      <c r="B78" s="630" t="s">
        <v>477</v>
      </c>
      <c r="C78" s="631"/>
      <c r="D78" s="631"/>
      <c r="E78" s="631"/>
      <c r="F78" s="631"/>
      <c r="G78" s="631"/>
      <c r="H78" s="513"/>
      <c r="I78" s="513"/>
      <c r="J78" s="513"/>
      <c r="K78" s="513"/>
      <c r="L78" s="513"/>
      <c r="M78" s="513"/>
      <c r="N78" s="513"/>
      <c r="O78" s="513"/>
      <c r="P78" s="513"/>
      <c r="Q78" s="514"/>
      <c r="R78" s="488"/>
    </row>
    <row r="79" spans="2:18" ht="18.75" customHeight="1" x14ac:dyDescent="0.3">
      <c r="R79" s="488"/>
    </row>
    <row r="80" spans="2:18" ht="18.75" customHeight="1" x14ac:dyDescent="0.3">
      <c r="B80" s="632" t="s">
        <v>478</v>
      </c>
      <c r="C80" s="632" t="s">
        <v>479</v>
      </c>
      <c r="D80" s="1204" t="s">
        <v>406</v>
      </c>
      <c r="E80" s="1210" t="s">
        <v>428</v>
      </c>
      <c r="F80" s="1562" t="s">
        <v>476</v>
      </c>
      <c r="G80" s="1563"/>
      <c r="H80" s="1563"/>
      <c r="I80" s="1563"/>
      <c r="J80" s="1563"/>
      <c r="K80" s="1563"/>
      <c r="L80" s="1563"/>
      <c r="M80" s="1563"/>
      <c r="N80" s="1563"/>
      <c r="O80" s="1563"/>
      <c r="P80" s="1563"/>
      <c r="Q80" s="1564"/>
      <c r="R80" s="488"/>
    </row>
    <row r="81" spans="2:18" ht="13" x14ac:dyDescent="0.3">
      <c r="B81" s="639">
        <v>1</v>
      </c>
      <c r="C81" s="648"/>
      <c r="D81" s="649"/>
      <c r="E81" s="1211"/>
      <c r="F81" s="1565"/>
      <c r="G81" s="1566"/>
      <c r="H81" s="1566"/>
      <c r="I81" s="1566"/>
      <c r="J81" s="1566"/>
      <c r="K81" s="1566"/>
      <c r="L81" s="1566"/>
      <c r="M81" s="1566"/>
      <c r="N81" s="1566"/>
      <c r="O81" s="1566"/>
      <c r="P81" s="1566"/>
      <c r="Q81" s="1567"/>
      <c r="R81" s="488"/>
    </row>
    <row r="82" spans="2:18" ht="13" x14ac:dyDescent="0.3">
      <c r="B82" s="639">
        <v>2</v>
      </c>
      <c r="C82" s="648"/>
      <c r="D82" s="650"/>
      <c r="E82" s="1211"/>
      <c r="F82" s="1568"/>
      <c r="G82" s="1569"/>
      <c r="H82" s="1569"/>
      <c r="I82" s="1569"/>
      <c r="J82" s="1569"/>
      <c r="K82" s="1569"/>
      <c r="L82" s="1569"/>
      <c r="M82" s="1569"/>
      <c r="N82" s="1569"/>
      <c r="O82" s="1569"/>
      <c r="P82" s="1569"/>
      <c r="Q82" s="1570"/>
      <c r="R82" s="488"/>
    </row>
    <row r="83" spans="2:18" ht="13" x14ac:dyDescent="0.3">
      <c r="B83" s="639">
        <v>3</v>
      </c>
      <c r="C83" s="648"/>
      <c r="D83" s="650"/>
      <c r="E83" s="1211"/>
      <c r="F83" s="1568"/>
      <c r="G83" s="1569"/>
      <c r="H83" s="1569"/>
      <c r="I83" s="1569"/>
      <c r="J83" s="1569"/>
      <c r="K83" s="1569"/>
      <c r="L83" s="1569"/>
      <c r="M83" s="1569"/>
      <c r="N83" s="1569"/>
      <c r="O83" s="1569"/>
      <c r="P83" s="1569"/>
      <c r="Q83" s="1570"/>
      <c r="R83" s="488"/>
    </row>
    <row r="84" spans="2:18" ht="13" x14ac:dyDescent="0.3">
      <c r="B84" s="639">
        <v>4</v>
      </c>
      <c r="C84" s="648"/>
      <c r="D84" s="650"/>
      <c r="E84" s="1211"/>
      <c r="F84" s="1568"/>
      <c r="G84" s="1569"/>
      <c r="H84" s="1569"/>
      <c r="I84" s="1569"/>
      <c r="J84" s="1569"/>
      <c r="K84" s="1569"/>
      <c r="L84" s="1569"/>
      <c r="M84" s="1569"/>
      <c r="N84" s="1569"/>
      <c r="O84" s="1569"/>
      <c r="P84" s="1569"/>
      <c r="Q84" s="1570"/>
      <c r="R84" s="488"/>
    </row>
    <row r="85" spans="2:18" ht="13" x14ac:dyDescent="0.3">
      <c r="B85" s="639">
        <v>5</v>
      </c>
      <c r="C85" s="648"/>
      <c r="D85" s="650"/>
      <c r="E85" s="1211"/>
      <c r="F85" s="1568"/>
      <c r="G85" s="1569"/>
      <c r="H85" s="1569"/>
      <c r="I85" s="1569"/>
      <c r="J85" s="1569"/>
      <c r="K85" s="1569"/>
      <c r="L85" s="1569"/>
      <c r="M85" s="1569"/>
      <c r="N85" s="1569"/>
      <c r="O85" s="1569"/>
      <c r="P85" s="1569"/>
      <c r="Q85" s="1570"/>
      <c r="R85" s="488"/>
    </row>
    <row r="86" spans="2:18" ht="13" x14ac:dyDescent="0.3">
      <c r="B86" s="533">
        <v>6</v>
      </c>
      <c r="C86" s="563"/>
      <c r="D86" s="649"/>
      <c r="E86" s="1211"/>
      <c r="F86" s="1576"/>
      <c r="G86" s="1566"/>
      <c r="H86" s="1566"/>
      <c r="I86" s="1566"/>
      <c r="J86" s="1566"/>
      <c r="K86" s="1566"/>
      <c r="L86" s="1566"/>
      <c r="M86" s="1566"/>
      <c r="N86" s="1566"/>
      <c r="O86" s="1566"/>
      <c r="P86" s="1566"/>
      <c r="Q86" s="1567"/>
      <c r="R86" s="488"/>
    </row>
    <row r="87" spans="2:18" ht="13" x14ac:dyDescent="0.3">
      <c r="B87" s="533">
        <v>7</v>
      </c>
      <c r="C87" s="563"/>
      <c r="D87" s="649"/>
      <c r="E87" s="1211"/>
      <c r="F87" s="1576"/>
      <c r="G87" s="1566"/>
      <c r="H87" s="1566"/>
      <c r="I87" s="1566"/>
      <c r="J87" s="1566"/>
      <c r="K87" s="1566"/>
      <c r="L87" s="1566"/>
      <c r="M87" s="1566"/>
      <c r="N87" s="1566"/>
      <c r="O87" s="1566"/>
      <c r="P87" s="1566"/>
      <c r="Q87" s="1567"/>
      <c r="R87" s="488"/>
    </row>
    <row r="88" spans="2:18" ht="13" x14ac:dyDescent="0.3">
      <c r="B88" s="533">
        <v>8</v>
      </c>
      <c r="C88" s="563"/>
      <c r="D88" s="650"/>
      <c r="E88" s="1211"/>
      <c r="F88" s="1568"/>
      <c r="G88" s="1569"/>
      <c r="H88" s="1569"/>
      <c r="I88" s="1569"/>
      <c r="J88" s="1569"/>
      <c r="K88" s="1569"/>
      <c r="L88" s="1569"/>
      <c r="M88" s="1569"/>
      <c r="N88" s="1569"/>
      <c r="O88" s="1569"/>
      <c r="P88" s="1569"/>
      <c r="Q88" s="1570"/>
      <c r="R88" s="488"/>
    </row>
    <row r="89" spans="2:18" ht="13" x14ac:dyDescent="0.3">
      <c r="B89" s="533">
        <v>9</v>
      </c>
      <c r="C89" s="563"/>
      <c r="D89" s="1233"/>
      <c r="E89" s="1211"/>
      <c r="F89" s="1568"/>
      <c r="G89" s="1569"/>
      <c r="H89" s="1569"/>
      <c r="I89" s="1569"/>
      <c r="J89" s="1569"/>
      <c r="K89" s="1569"/>
      <c r="L89" s="1569"/>
      <c r="M89" s="1569"/>
      <c r="N89" s="1569"/>
      <c r="O89" s="1569"/>
      <c r="P89" s="1569"/>
      <c r="Q89" s="1570"/>
      <c r="R89" s="488"/>
    </row>
    <row r="90" spans="2:18" ht="13" x14ac:dyDescent="0.3">
      <c r="B90" s="533">
        <v>10</v>
      </c>
      <c r="C90" s="563"/>
      <c r="D90" s="564"/>
      <c r="E90" s="1211"/>
      <c r="F90" s="1568"/>
      <c r="G90" s="1569"/>
      <c r="H90" s="1569"/>
      <c r="I90" s="1569"/>
      <c r="J90" s="1569"/>
      <c r="K90" s="1569"/>
      <c r="L90" s="1569"/>
      <c r="M90" s="1569"/>
      <c r="N90" s="1569"/>
      <c r="O90" s="1569"/>
      <c r="P90" s="1569"/>
      <c r="Q90" s="1570"/>
      <c r="R90" s="488"/>
    </row>
    <row r="91" spans="2:18" ht="18.75" customHeight="1" x14ac:dyDescent="0.3">
      <c r="R91" s="488"/>
    </row>
    <row r="92" spans="2:18" ht="18.75" customHeight="1" x14ac:dyDescent="0.3">
      <c r="B92" s="630" t="s">
        <v>492</v>
      </c>
      <c r="C92" s="631"/>
      <c r="D92" s="631"/>
      <c r="E92" s="631"/>
      <c r="F92" s="631"/>
      <c r="G92" s="631"/>
      <c r="H92" s="513"/>
      <c r="I92" s="513"/>
      <c r="J92" s="513"/>
      <c r="K92" s="513"/>
      <c r="L92" s="513"/>
      <c r="M92" s="513"/>
      <c r="N92" s="513"/>
      <c r="O92" s="513"/>
      <c r="P92" s="513"/>
      <c r="Q92" s="514"/>
      <c r="R92" s="488"/>
    </row>
    <row r="93" spans="2:18" ht="18.75" customHeight="1" x14ac:dyDescent="0.3">
      <c r="R93" s="488"/>
    </row>
    <row r="94" spans="2:18" ht="18.75" customHeight="1" x14ac:dyDescent="0.3">
      <c r="B94" s="635" t="s">
        <v>493</v>
      </c>
      <c r="E94" s="1574" t="s">
        <v>494</v>
      </c>
      <c r="F94" s="1577"/>
      <c r="G94" s="1577"/>
      <c r="H94" s="1577"/>
      <c r="I94" s="1577"/>
      <c r="J94" s="1577"/>
      <c r="K94" s="1577"/>
      <c r="L94" s="1577"/>
      <c r="M94" s="1577"/>
      <c r="N94" s="1577"/>
      <c r="O94" s="1578" t="s">
        <v>476</v>
      </c>
      <c r="P94" s="1579"/>
      <c r="Q94" s="1580"/>
      <c r="R94" s="488"/>
    </row>
    <row r="95" spans="2:18" ht="25.5" customHeight="1" x14ac:dyDescent="0.3">
      <c r="B95" s="1571"/>
      <c r="C95" s="1572"/>
      <c r="D95" s="1573"/>
      <c r="E95" s="636" t="s">
        <v>495</v>
      </c>
      <c r="F95" s="636" t="s">
        <v>496</v>
      </c>
      <c r="G95" s="636" t="s">
        <v>497</v>
      </c>
      <c r="H95" s="636" t="s">
        <v>498</v>
      </c>
      <c r="I95" s="636" t="s">
        <v>499</v>
      </c>
      <c r="J95" s="636" t="s">
        <v>500</v>
      </c>
      <c r="K95" s="636" t="s">
        <v>501</v>
      </c>
      <c r="L95" s="636" t="s">
        <v>502</v>
      </c>
      <c r="M95" s="636" t="s">
        <v>503</v>
      </c>
      <c r="N95" s="1209" t="s">
        <v>504</v>
      </c>
      <c r="O95" s="1581"/>
      <c r="P95" s="1582"/>
      <c r="Q95" s="1583"/>
      <c r="R95" s="488"/>
    </row>
    <row r="96" spans="2:18" ht="36.75" customHeight="1" x14ac:dyDescent="0.3">
      <c r="B96" s="1205" t="s">
        <v>478</v>
      </c>
      <c r="C96" s="1574" t="s">
        <v>538</v>
      </c>
      <c r="D96" s="1575"/>
      <c r="E96" s="651"/>
      <c r="F96" s="651"/>
      <c r="G96" s="651"/>
      <c r="H96" s="651"/>
      <c r="I96" s="651"/>
      <c r="J96" s="651"/>
      <c r="K96" s="651"/>
      <c r="L96" s="651"/>
      <c r="M96" s="651"/>
      <c r="N96" s="652"/>
      <c r="O96" s="1584"/>
      <c r="P96" s="1585"/>
      <c r="Q96" s="1586"/>
      <c r="R96" s="488"/>
    </row>
    <row r="97" spans="2:18" ht="13" x14ac:dyDescent="0.3">
      <c r="B97" s="533">
        <v>1</v>
      </c>
      <c r="C97" s="1217"/>
      <c r="D97" s="1184"/>
      <c r="E97" s="554"/>
      <c r="F97" s="612"/>
      <c r="G97" s="653"/>
      <c r="H97" s="1190"/>
      <c r="I97" s="568"/>
      <c r="J97" s="568"/>
      <c r="K97" s="568"/>
      <c r="L97" s="568"/>
      <c r="M97" s="568"/>
      <c r="N97" s="568"/>
      <c r="O97" s="1501"/>
      <c r="P97" s="1502"/>
      <c r="Q97" s="1503"/>
      <c r="R97" s="488"/>
    </row>
    <row r="98" spans="2:18" ht="13" x14ac:dyDescent="0.3">
      <c r="B98" s="533">
        <v>2</v>
      </c>
      <c r="C98" s="1217"/>
      <c r="D98" s="1184"/>
      <c r="E98" s="554"/>
      <c r="F98" s="612"/>
      <c r="G98" s="612"/>
      <c r="H98" s="1190"/>
      <c r="I98" s="568"/>
      <c r="J98" s="568"/>
      <c r="K98" s="568"/>
      <c r="L98" s="568"/>
      <c r="M98" s="568"/>
      <c r="N98" s="568"/>
      <c r="O98" s="1495"/>
      <c r="P98" s="1496"/>
      <c r="Q98" s="1497"/>
      <c r="R98" s="488"/>
    </row>
    <row r="99" spans="2:18" ht="13" x14ac:dyDescent="0.3">
      <c r="B99" s="533">
        <v>3</v>
      </c>
      <c r="C99" s="1217"/>
      <c r="D99" s="1184"/>
      <c r="E99" s="554"/>
      <c r="F99" s="612"/>
      <c r="G99" s="612"/>
      <c r="H99" s="1190"/>
      <c r="I99" s="568"/>
      <c r="J99" s="568"/>
      <c r="K99" s="568"/>
      <c r="L99" s="568"/>
      <c r="M99" s="568"/>
      <c r="N99" s="568"/>
      <c r="O99" s="1495"/>
      <c r="P99" s="1496"/>
      <c r="Q99" s="1497"/>
      <c r="R99" s="488"/>
    </row>
    <row r="100" spans="2:18" ht="13" x14ac:dyDescent="0.3">
      <c r="B100" s="533">
        <v>4</v>
      </c>
      <c r="C100" s="1217"/>
      <c r="D100" s="1184"/>
      <c r="E100" s="554"/>
      <c r="F100" s="612"/>
      <c r="G100" s="612"/>
      <c r="H100" s="1190"/>
      <c r="I100" s="568"/>
      <c r="J100" s="568"/>
      <c r="K100" s="568"/>
      <c r="L100" s="568"/>
      <c r="M100" s="568"/>
      <c r="N100" s="568"/>
      <c r="O100" s="1495"/>
      <c r="P100" s="1496"/>
      <c r="Q100" s="1497"/>
      <c r="R100" s="488"/>
    </row>
    <row r="101" spans="2:18" ht="13" x14ac:dyDescent="0.3">
      <c r="B101" s="533">
        <v>5</v>
      </c>
      <c r="C101" s="546"/>
      <c r="D101" s="1184"/>
      <c r="E101" s="1190"/>
      <c r="F101" s="1190"/>
      <c r="G101" s="1190"/>
      <c r="H101" s="1190"/>
      <c r="I101" s="568"/>
      <c r="J101" s="568"/>
      <c r="K101" s="568"/>
      <c r="L101" s="568"/>
      <c r="M101" s="568"/>
      <c r="N101" s="568"/>
      <c r="O101" s="1495"/>
      <c r="P101" s="1496"/>
      <c r="Q101" s="1497"/>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sheetData>
  <sheetProtection algorithmName="SHA-512" hashValue="SPQrukBSKAX9FdDsawzdskPXkVawT+HFFUitw76J1O02mXJzQom63ETawhHQpKs26ciC8oeboTVwghLBaZQjqg==" saltValue="+0WnQQy5DCH7FUbTlr/iEg==" spinCount="100000" sheet="1" objects="1" scenarios="1" selectLockedCells="1" selectUnlockedCells="1"/>
  <mergeCells count="121">
    <mergeCell ref="O116:Q116"/>
    <mergeCell ref="O110:Q110"/>
    <mergeCell ref="O111:Q111"/>
    <mergeCell ref="O112:Q112"/>
    <mergeCell ref="O113:Q113"/>
    <mergeCell ref="O114:Q114"/>
    <mergeCell ref="O115:Q115"/>
    <mergeCell ref="O104:Q104"/>
    <mergeCell ref="O105:Q105"/>
    <mergeCell ref="O106:Q106"/>
    <mergeCell ref="O107:Q107"/>
    <mergeCell ref="O108:Q108"/>
    <mergeCell ref="O109:Q109"/>
    <mergeCell ref="O98:Q98"/>
    <mergeCell ref="O99:Q99"/>
    <mergeCell ref="O100:Q100"/>
    <mergeCell ref="O101:Q101"/>
    <mergeCell ref="O102:Q102"/>
    <mergeCell ref="O103:Q103"/>
    <mergeCell ref="F90:Q90"/>
    <mergeCell ref="E94:N94"/>
    <mergeCell ref="O94:Q96"/>
    <mergeCell ref="B95:D95"/>
    <mergeCell ref="C96:D96"/>
    <mergeCell ref="O97:Q97"/>
    <mergeCell ref="F84:Q84"/>
    <mergeCell ref="F85:Q85"/>
    <mergeCell ref="F86:Q86"/>
    <mergeCell ref="F87:Q87"/>
    <mergeCell ref="F88:Q88"/>
    <mergeCell ref="F89:Q89"/>
    <mergeCell ref="D76:E76"/>
    <mergeCell ref="J76:Q76"/>
    <mergeCell ref="F80:Q80"/>
    <mergeCell ref="F81:Q81"/>
    <mergeCell ref="F82:Q82"/>
    <mergeCell ref="F83:Q83"/>
    <mergeCell ref="D73:E73"/>
    <mergeCell ref="J73:Q73"/>
    <mergeCell ref="D74:E74"/>
    <mergeCell ref="J74:Q74"/>
    <mergeCell ref="D75:E75"/>
    <mergeCell ref="J75:Q75"/>
    <mergeCell ref="D70:E70"/>
    <mergeCell ref="J70:Q70"/>
    <mergeCell ref="D71:E71"/>
    <mergeCell ref="J71:Q71"/>
    <mergeCell ref="D72:E72"/>
    <mergeCell ref="J72:Q72"/>
    <mergeCell ref="D67:E67"/>
    <mergeCell ref="J67:Q67"/>
    <mergeCell ref="D68:E68"/>
    <mergeCell ref="J68:Q68"/>
    <mergeCell ref="D69:E69"/>
    <mergeCell ref="J69:Q69"/>
    <mergeCell ref="D64:E64"/>
    <mergeCell ref="J64:Q64"/>
    <mergeCell ref="D65:E65"/>
    <mergeCell ref="J65:Q65"/>
    <mergeCell ref="D66:E66"/>
    <mergeCell ref="J66:Q66"/>
    <mergeCell ref="D61:E61"/>
    <mergeCell ref="J61:Q61"/>
    <mergeCell ref="D62:E62"/>
    <mergeCell ref="J62:Q62"/>
    <mergeCell ref="D63:E63"/>
    <mergeCell ref="J63:Q63"/>
    <mergeCell ref="C55:M55"/>
    <mergeCell ref="P55:Q55"/>
    <mergeCell ref="C56:M56"/>
    <mergeCell ref="P56:Q56"/>
    <mergeCell ref="C57:M57"/>
    <mergeCell ref="P57:Q57"/>
    <mergeCell ref="C51:M51"/>
    <mergeCell ref="P51:Q51"/>
    <mergeCell ref="C53:M53"/>
    <mergeCell ref="P53:Q53"/>
    <mergeCell ref="C54:M54"/>
    <mergeCell ref="P54:Q54"/>
    <mergeCell ref="C48:M48"/>
    <mergeCell ref="P48:Q48"/>
    <mergeCell ref="C49:M49"/>
    <mergeCell ref="P49:Q49"/>
    <mergeCell ref="C50:M50"/>
    <mergeCell ref="P50:Q50"/>
    <mergeCell ref="C44:M44"/>
    <mergeCell ref="P44:Q44"/>
    <mergeCell ref="C45:M45"/>
    <mergeCell ref="P45:Q45"/>
    <mergeCell ref="C47:M47"/>
    <mergeCell ref="P47:Q47"/>
    <mergeCell ref="C41:M41"/>
    <mergeCell ref="P41:Q41"/>
    <mergeCell ref="C42:M42"/>
    <mergeCell ref="P42:Q42"/>
    <mergeCell ref="C43:M43"/>
    <mergeCell ref="P43:Q43"/>
    <mergeCell ref="E32:Q32"/>
    <mergeCell ref="E33:Q33"/>
    <mergeCell ref="E34:Q34"/>
    <mergeCell ref="E35:Q35"/>
    <mergeCell ref="E36:Q36"/>
    <mergeCell ref="E37:Q37"/>
    <mergeCell ref="D28:Q28"/>
    <mergeCell ref="D29:Q29"/>
    <mergeCell ref="D30:Q30"/>
    <mergeCell ref="D17:F17"/>
    <mergeCell ref="D18:F18"/>
    <mergeCell ref="B20:Q20"/>
    <mergeCell ref="C21:Q21"/>
    <mergeCell ref="C22:Q22"/>
    <mergeCell ref="C23:Q23"/>
    <mergeCell ref="C2:F2"/>
    <mergeCell ref="C3:F3"/>
    <mergeCell ref="C4:F4"/>
    <mergeCell ref="C5:F5"/>
    <mergeCell ref="D7:F7"/>
    <mergeCell ref="D8:F16"/>
    <mergeCell ref="D25:Q25"/>
    <mergeCell ref="D26:Q26"/>
    <mergeCell ref="D27:Q27"/>
  </mergeCells>
  <conditionalFormatting sqref="F109:F116 G102:G116 H104:H116">
    <cfRule type="expression" dxfId="4064" priority="24">
      <formula>IF(OR(#REF!="L",#REF!="C"),TRUE,FALSE)</formula>
    </cfRule>
  </conditionalFormatting>
  <conditionalFormatting sqref="E110:E116">
    <cfRule type="expression" dxfId="4063" priority="23">
      <formula>IF(OR(#REF!="L",#REF!="C"),TRUE,FALSE)</formula>
    </cfRule>
  </conditionalFormatting>
  <conditionalFormatting sqref="E107">
    <cfRule type="expression" dxfId="4062" priority="22">
      <formula>IF(OR(#REF!="L",#REF!="C"),TRUE,FALSE)</formula>
    </cfRule>
  </conditionalFormatting>
  <conditionalFormatting sqref="E108">
    <cfRule type="expression" dxfId="4061" priority="21">
      <formula>IF(OR(#REF!="L",#REF!="C"),TRUE,FALSE)</formula>
    </cfRule>
  </conditionalFormatting>
  <conditionalFormatting sqref="E109">
    <cfRule type="expression" dxfId="4060" priority="20">
      <formula>IF(OR(#REF!="L",#REF!="C"),TRUE,FALSE)</formula>
    </cfRule>
  </conditionalFormatting>
  <conditionalFormatting sqref="E106">
    <cfRule type="expression" dxfId="4059" priority="19">
      <formula>IF(OR(#REF!="L",#REF!="C"),TRUE,FALSE)</formula>
    </cfRule>
  </conditionalFormatting>
  <conditionalFormatting sqref="E95 G95 I95 K95 M95">
    <cfRule type="duplicateValues" dxfId="4058" priority="18"/>
  </conditionalFormatting>
  <conditionalFormatting sqref="M104:M116">
    <cfRule type="expression" dxfId="4057" priority="8">
      <formula>IF(OR(#REF!="L",#REF!="C"),TRUE,FALSE)</formula>
    </cfRule>
  </conditionalFormatting>
  <conditionalFormatting sqref="F102:F106">
    <cfRule type="expression" dxfId="4056" priority="17">
      <formula>IF(OR(#REF!="L",#REF!="C"),TRUE,FALSE)</formula>
    </cfRule>
  </conditionalFormatting>
  <conditionalFormatting sqref="I102:I103">
    <cfRule type="expression" dxfId="4055" priority="15">
      <formula>IF(OR(#REF!="L",#REF!="C"),TRUE,FALSE)</formula>
    </cfRule>
  </conditionalFormatting>
  <conditionalFormatting sqref="N102:N103">
    <cfRule type="expression" dxfId="4054" priority="5">
      <formula>IF(OR(#REF!="L",#REF!="C"),TRUE,FALSE)</formula>
    </cfRule>
  </conditionalFormatting>
  <conditionalFormatting sqref="I104:I116">
    <cfRule type="expression" dxfId="4053" priority="16">
      <formula>IF(OR(#REF!="L",#REF!="C"),TRUE,FALSE)</formula>
    </cfRule>
  </conditionalFormatting>
  <conditionalFormatting sqref="J102:J103">
    <cfRule type="expression" dxfId="4052" priority="13">
      <formula>IF(OR(#REF!="L",#REF!="C"),TRUE,FALSE)</formula>
    </cfRule>
  </conditionalFormatting>
  <conditionalFormatting sqref="J104:J116">
    <cfRule type="expression" dxfId="4051" priority="14">
      <formula>IF(OR(#REF!="L",#REF!="C"),TRUE,FALSE)</formula>
    </cfRule>
  </conditionalFormatting>
  <conditionalFormatting sqref="K102:K103">
    <cfRule type="expression" dxfId="4050" priority="11">
      <formula>IF(OR(#REF!="L",#REF!="C"),TRUE,FALSE)</formula>
    </cfRule>
  </conditionalFormatting>
  <conditionalFormatting sqref="K104:K116">
    <cfRule type="expression" dxfId="4049" priority="12">
      <formula>IF(OR(#REF!="L",#REF!="C"),TRUE,FALSE)</formula>
    </cfRule>
  </conditionalFormatting>
  <conditionalFormatting sqref="L102:L103">
    <cfRule type="expression" dxfId="4048" priority="9">
      <formula>IF(OR(#REF!="L",#REF!="C"),TRUE,FALSE)</formula>
    </cfRule>
  </conditionalFormatting>
  <conditionalFormatting sqref="L104:L116">
    <cfRule type="expression" dxfId="4047" priority="10">
      <formula>IF(OR(#REF!="L",#REF!="C"),TRUE,FALSE)</formula>
    </cfRule>
  </conditionalFormatting>
  <conditionalFormatting sqref="M102:M103">
    <cfRule type="expression" dxfId="4046" priority="7">
      <formula>IF(OR(#REF!="L",#REF!="C"),TRUE,FALSE)</formula>
    </cfRule>
  </conditionalFormatting>
  <conditionalFormatting sqref="N104:N116">
    <cfRule type="expression" dxfId="4045" priority="6">
      <formula>IF(OR(#REF!="L",#REF!="C"),TRUE,FALSE)</formula>
    </cfRule>
  </conditionalFormatting>
  <conditionalFormatting sqref="O104:O116">
    <cfRule type="expression" dxfId="4044" priority="4">
      <formula>IF(OR(#REF!="L",#REF!="C"),TRUE,FALSE)</formula>
    </cfRule>
  </conditionalFormatting>
  <conditionalFormatting sqref="O102:O103">
    <cfRule type="expression" dxfId="4043" priority="3">
      <formula>IF(OR(#REF!="L",#REF!="C"),TRUE,FALSE)</formula>
    </cfRule>
  </conditionalFormatting>
  <conditionalFormatting sqref="G96:N96">
    <cfRule type="duplicateValues" dxfId="4042" priority="2"/>
  </conditionalFormatting>
  <conditionalFormatting sqref="E96:F96">
    <cfRule type="duplicateValues" dxfId="4041" priority="1"/>
  </conditionalFormatting>
  <dataValidations count="7">
    <dataValidation type="list" allowBlank="1" showInputMessage="1" showErrorMessage="1" sqref="C4" xr:uid="{FD1E02BC-B111-4A46-A45F-5AE4B9708910}">
      <formula1>"COM,RES"</formula1>
    </dataValidation>
    <dataValidation type="list" allowBlank="1" showInputMessage="1" showErrorMessage="1" sqref="F72:F74" xr:uid="{DB144D28-2C63-4B7B-807D-47C2F2542D7B}">
      <formula1>$C$102:$C$107</formula1>
    </dataValidation>
    <dataValidation type="list" allowBlank="1" showInputMessage="1" showErrorMessage="1" sqref="C9" xr:uid="{8DDD09EB-15D9-4E09-BD42-DB54C509E513}">
      <formula1>INDIRECT("MeasureTypeList[Index]")</formula1>
    </dataValidation>
    <dataValidation type="list" allowBlank="1" showInputMessage="1" showErrorMessage="1" sqref="C26" xr:uid="{3B7CDA8A-C793-4D5C-9F9A-EBD5A7A928E5}">
      <formula1>INDIRECT("RegionList[Index]")</formula1>
    </dataValidation>
    <dataValidation type="list" allowBlank="1" showInputMessage="1" showErrorMessage="1" sqref="C27" xr:uid="{37688BFC-1683-496E-99C7-8C06085BBA73}">
      <formula1>INDIRECT("ReplacementTypeList[Index]")</formula1>
    </dataValidation>
    <dataValidation type="list" allowBlank="1" showInputMessage="1" showErrorMessage="1" sqref="C28" xr:uid="{73E75D19-B8DF-4800-828D-FD25F5628DA7}">
      <formula1>INDIRECT("BuildingType[Building]")</formula1>
    </dataValidation>
    <dataValidation type="list" allowBlank="1" showInputMessage="1" showErrorMessage="1" sqref="C29 C30" xr:uid="{00D147F1-51C7-4850-9199-39A0CB85C873}">
      <formula1>INDIRECT("FuelTypeList[Index]")</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FF800-40F0-4A5E-AF8A-0AC2738245D1}">
  <sheetPr codeName="Sheet416"/>
  <dimension ref="A2:R116"/>
  <sheetViews>
    <sheetView zoomScale="70" zoomScaleNormal="70" workbookViewId="0">
      <selection activeCell="C29" sqref="C29"/>
    </sheetView>
  </sheetViews>
  <sheetFormatPr defaultColWidth="9.08984375" defaultRowHeight="18.75" customHeight="1" x14ac:dyDescent="0.3"/>
  <cols>
    <col min="1" max="1" width="2.36328125" style="488" customWidth="1"/>
    <col min="2" max="2" width="44.36328125" style="488" bestFit="1" customWidth="1"/>
    <col min="3" max="3" width="25.08984375" style="488" customWidth="1"/>
    <col min="4" max="4" width="21.6328125" style="488" customWidth="1"/>
    <col min="5" max="5" width="14.36328125" style="488" customWidth="1"/>
    <col min="6" max="6" width="15.6328125" style="488" customWidth="1"/>
    <col min="7" max="7" width="19.6328125" style="488" customWidth="1"/>
    <col min="8" max="8" width="16" style="488" customWidth="1"/>
    <col min="9" max="9" width="12.816406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623" customWidth="1"/>
    <col min="19" max="19" width="9.08984375" style="488"/>
    <col min="20" max="20" width="8.6328125" style="488" customWidth="1"/>
    <col min="21" max="16384" width="9.08984375" style="488"/>
  </cols>
  <sheetData>
    <row r="2" spans="1:18" ht="18.75" customHeight="1" x14ac:dyDescent="0.3">
      <c r="B2" s="1203" t="s">
        <v>506</v>
      </c>
      <c r="C2" s="1608" t="s">
        <v>406</v>
      </c>
      <c r="D2" s="1608"/>
      <c r="E2" s="1608"/>
      <c r="F2" s="1608"/>
    </row>
    <row r="3" spans="1:18" ht="18.75" customHeight="1" x14ac:dyDescent="0.3">
      <c r="B3" s="624" t="s">
        <v>407</v>
      </c>
      <c r="C3" s="1367" t="str">
        <f>IF(ISBLANK(C8)+ISBLANK(C10),C8,C8&amp;"_"&amp;C10)</f>
        <v>R-HC-008</v>
      </c>
      <c r="D3" s="1367"/>
      <c r="E3" s="1367"/>
      <c r="F3" s="1367"/>
    </row>
    <row r="4" spans="1:18" ht="18.75" customHeight="1" x14ac:dyDescent="0.3">
      <c r="B4" s="624" t="s">
        <v>11</v>
      </c>
      <c r="C4" s="1367" t="str" cm="1">
        <f t="array" ref="C4">_xlfn.SWITCH(LEFT(C8,1),"R","Residential","C","Commercial","ERROR")</f>
        <v>Residential</v>
      </c>
      <c r="D4" s="1367"/>
      <c r="E4" s="1367"/>
      <c r="F4" s="1367"/>
    </row>
    <row r="5" spans="1:18" ht="44.25" customHeight="1" x14ac:dyDescent="0.3">
      <c r="B5" s="624" t="s">
        <v>408</v>
      </c>
      <c r="C5" s="1530" t="s">
        <v>239</v>
      </c>
      <c r="D5" s="1531"/>
      <c r="E5" s="1531"/>
      <c r="F5" s="1532"/>
      <c r="R5" s="488"/>
    </row>
    <row r="6" spans="1:18" ht="18.75" customHeight="1" x14ac:dyDescent="0.3">
      <c r="A6" s="573"/>
    </row>
    <row r="7" spans="1:18" ht="18.75" customHeight="1" x14ac:dyDescent="0.3">
      <c r="B7" s="1203" t="s">
        <v>507</v>
      </c>
      <c r="C7" s="625" t="s">
        <v>406</v>
      </c>
      <c r="D7" s="1608" t="s">
        <v>410</v>
      </c>
      <c r="E7" s="1608"/>
      <c r="F7" s="1608"/>
      <c r="R7" s="488"/>
    </row>
    <row r="8" spans="1:18" ht="18.75" customHeight="1" x14ac:dyDescent="0.3">
      <c r="B8" s="624" t="s">
        <v>411</v>
      </c>
      <c r="C8" s="1194" t="s">
        <v>162</v>
      </c>
      <c r="D8" s="1626" t="s">
        <v>672</v>
      </c>
      <c r="E8" s="1627"/>
      <c r="F8" s="1628"/>
      <c r="R8" s="488"/>
    </row>
    <row r="9" spans="1:18" ht="18.75" customHeight="1" x14ac:dyDescent="0.3">
      <c r="B9" s="624" t="s">
        <v>49</v>
      </c>
      <c r="C9" s="1194" t="s">
        <v>579</v>
      </c>
      <c r="D9" s="1629"/>
      <c r="E9" s="1630"/>
      <c r="F9" s="1631"/>
      <c r="R9" s="488"/>
    </row>
    <row r="10" spans="1:18" ht="18.75" customHeight="1" x14ac:dyDescent="0.3">
      <c r="B10" s="624" t="s">
        <v>412</v>
      </c>
      <c r="C10" s="1194"/>
      <c r="D10" s="1629"/>
      <c r="E10" s="1630"/>
      <c r="F10" s="1631"/>
      <c r="R10" s="488"/>
    </row>
    <row r="11" spans="1:18" ht="18.75" customHeight="1" x14ac:dyDescent="0.3">
      <c r="B11" s="624" t="s">
        <v>413</v>
      </c>
      <c r="C11" s="1194"/>
      <c r="D11" s="1629"/>
      <c r="E11" s="1630"/>
      <c r="F11" s="1631"/>
      <c r="R11" s="488"/>
    </row>
    <row r="12" spans="1:18" ht="18.75" customHeight="1" x14ac:dyDescent="0.3">
      <c r="B12" s="624" t="s">
        <v>414</v>
      </c>
      <c r="C12" s="602"/>
      <c r="D12" s="1629"/>
      <c r="E12" s="1630"/>
      <c r="F12" s="1631"/>
      <c r="R12" s="488"/>
    </row>
    <row r="13" spans="1:18" ht="18.75" customHeight="1" x14ac:dyDescent="0.3">
      <c r="B13" s="626" t="s">
        <v>415</v>
      </c>
      <c r="C13" s="495">
        <f>N43</f>
        <v>0</v>
      </c>
      <c r="D13" s="1629"/>
      <c r="E13" s="1630"/>
      <c r="F13" s="1631"/>
      <c r="R13" s="488"/>
    </row>
    <row r="14" spans="1:18" ht="18.75" customHeight="1" x14ac:dyDescent="0.3">
      <c r="B14" s="626" t="s">
        <v>416</v>
      </c>
      <c r="C14" s="495">
        <f>N42</f>
        <v>0</v>
      </c>
      <c r="D14" s="1629"/>
      <c r="E14" s="1630"/>
      <c r="F14" s="1631"/>
      <c r="R14" s="488"/>
    </row>
    <row r="15" spans="1:18" ht="18.75" customHeight="1" x14ac:dyDescent="0.3">
      <c r="B15" s="626" t="s">
        <v>417</v>
      </c>
      <c r="C15" s="495">
        <f>N44</f>
        <v>0</v>
      </c>
      <c r="D15" s="1629"/>
      <c r="E15" s="1630"/>
      <c r="F15" s="1631"/>
      <c r="R15" s="488"/>
    </row>
    <row r="16" spans="1:18" ht="18.75" customHeight="1" x14ac:dyDescent="0.3">
      <c r="B16" s="626" t="s">
        <v>418</v>
      </c>
      <c r="C16" s="496">
        <f>C37</f>
        <v>0</v>
      </c>
      <c r="D16" s="1632"/>
      <c r="E16" s="1633"/>
      <c r="F16" s="1634"/>
      <c r="R16" s="488"/>
    </row>
    <row r="17" spans="2:18" ht="18.75" customHeight="1" x14ac:dyDescent="0.3">
      <c r="B17" s="624" t="s">
        <v>48</v>
      </c>
      <c r="C17" s="1194" t="s">
        <v>673</v>
      </c>
      <c r="D17" s="1608" t="s">
        <v>419</v>
      </c>
      <c r="E17" s="1608"/>
      <c r="F17" s="1608"/>
      <c r="R17" s="488"/>
    </row>
    <row r="18" spans="2:18" ht="18.75" customHeight="1" x14ac:dyDescent="0.3">
      <c r="B18" s="624" t="s">
        <v>420</v>
      </c>
      <c r="C18" s="541">
        <v>18</v>
      </c>
      <c r="D18" s="1635" t="s">
        <v>674</v>
      </c>
      <c r="E18" s="1635"/>
      <c r="F18" s="1635"/>
      <c r="R18" s="488"/>
    </row>
    <row r="19" spans="2:18" ht="18.75" customHeight="1" x14ac:dyDescent="0.3">
      <c r="B19" s="627"/>
      <c r="C19" s="576"/>
      <c r="F19" s="623"/>
      <c r="R19" s="488"/>
    </row>
    <row r="20" spans="2:18" ht="18.75" customHeight="1" x14ac:dyDescent="0.3">
      <c r="B20" s="1609" t="s">
        <v>421</v>
      </c>
      <c r="C20" s="1609"/>
      <c r="D20" s="1609"/>
      <c r="E20" s="1609"/>
      <c r="F20" s="1609"/>
      <c r="G20" s="1609"/>
      <c r="H20" s="1609"/>
      <c r="I20" s="1609"/>
      <c r="J20" s="1609"/>
      <c r="K20" s="1609"/>
      <c r="L20" s="1609"/>
      <c r="M20" s="1609"/>
      <c r="N20" s="1609"/>
      <c r="O20" s="1609"/>
      <c r="P20" s="1609"/>
      <c r="Q20" s="1609"/>
      <c r="R20" s="488"/>
    </row>
    <row r="21" spans="2:18" ht="18.75" customHeight="1" x14ac:dyDescent="0.3">
      <c r="B21" s="628" t="s">
        <v>422</v>
      </c>
      <c r="C21" s="1535" t="s">
        <v>368</v>
      </c>
      <c r="D21" s="1535"/>
      <c r="E21" s="1535"/>
      <c r="F21" s="1535"/>
      <c r="G21" s="1535"/>
      <c r="H21" s="1535"/>
      <c r="I21" s="1535"/>
      <c r="J21" s="1535"/>
      <c r="K21" s="1535"/>
      <c r="L21" s="1535"/>
      <c r="M21" s="1535"/>
      <c r="N21" s="1535"/>
      <c r="O21" s="1535"/>
      <c r="P21" s="1535"/>
      <c r="Q21" s="1535"/>
      <c r="R21" s="488"/>
    </row>
    <row r="22" spans="2:18" ht="18.75" customHeight="1" x14ac:dyDescent="0.3">
      <c r="B22" s="628" t="s">
        <v>423</v>
      </c>
      <c r="C22" s="1535" t="s">
        <v>369</v>
      </c>
      <c r="D22" s="1535"/>
      <c r="E22" s="1535"/>
      <c r="F22" s="1535"/>
      <c r="G22" s="1535"/>
      <c r="H22" s="1535"/>
      <c r="I22" s="1535"/>
      <c r="J22" s="1535"/>
      <c r="K22" s="1535"/>
      <c r="L22" s="1535"/>
      <c r="M22" s="1535"/>
      <c r="N22" s="1535"/>
      <c r="O22" s="1535"/>
      <c r="P22" s="1535"/>
      <c r="Q22" s="1535"/>
      <c r="R22" s="488"/>
    </row>
    <row r="23" spans="2:18" ht="18.75" customHeight="1" x14ac:dyDescent="0.3">
      <c r="B23" s="628" t="s">
        <v>424</v>
      </c>
      <c r="C23" s="1535"/>
      <c r="D23" s="1535"/>
      <c r="E23" s="1535"/>
      <c r="F23" s="1535"/>
      <c r="G23" s="1535"/>
      <c r="H23" s="1535"/>
      <c r="I23" s="1535"/>
      <c r="J23" s="1535"/>
      <c r="K23" s="1535"/>
      <c r="L23" s="1535"/>
      <c r="M23" s="1535"/>
      <c r="N23" s="1535"/>
      <c r="O23" s="1535"/>
      <c r="P23" s="1535"/>
      <c r="Q23" s="1535"/>
      <c r="R23" s="488"/>
    </row>
    <row r="25" spans="2:18" ht="18.75" customHeight="1" x14ac:dyDescent="0.3">
      <c r="B25" s="1203" t="s">
        <v>425</v>
      </c>
      <c r="C25" s="625" t="s">
        <v>406</v>
      </c>
      <c r="D25" s="1607" t="s">
        <v>421</v>
      </c>
      <c r="E25" s="1607"/>
      <c r="F25" s="1607"/>
      <c r="G25" s="1607"/>
      <c r="H25" s="1607"/>
      <c r="I25" s="1607"/>
      <c r="J25" s="1607"/>
      <c r="K25" s="1607"/>
      <c r="L25" s="1607"/>
      <c r="M25" s="1607"/>
      <c r="N25" s="1607"/>
      <c r="O25" s="1607"/>
      <c r="P25" s="1607"/>
      <c r="Q25" s="1607"/>
      <c r="R25" s="488"/>
    </row>
    <row r="26" spans="2:18" ht="18.75" customHeight="1" x14ac:dyDescent="0.3">
      <c r="B26" s="624"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624"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624" t="s">
        <v>54</v>
      </c>
      <c r="C28" s="539" t="str">
        <f>Default.BuildingType.R</f>
        <v>Home - detached</v>
      </c>
      <c r="D28" s="1386"/>
      <c r="E28" s="1386"/>
      <c r="F28" s="1386"/>
      <c r="G28" s="1386"/>
      <c r="H28" s="1386"/>
      <c r="I28" s="1386"/>
      <c r="J28" s="1386"/>
      <c r="K28" s="1386"/>
      <c r="L28" s="1386"/>
      <c r="M28" s="1386"/>
      <c r="N28" s="1386"/>
      <c r="O28" s="1386"/>
      <c r="P28" s="1386"/>
      <c r="Q28" s="1386"/>
      <c r="R28" s="488"/>
    </row>
    <row r="29" spans="2:18" ht="18.75" customHeight="1" x14ac:dyDescent="0.3">
      <c r="B29" s="624"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624"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203" t="s">
        <v>427</v>
      </c>
      <c r="C32" s="1202" t="s">
        <v>406</v>
      </c>
      <c r="D32" s="625" t="s">
        <v>428</v>
      </c>
      <c r="E32" s="1607" t="s">
        <v>419</v>
      </c>
      <c r="F32" s="1607"/>
      <c r="G32" s="1607"/>
      <c r="H32" s="1607"/>
      <c r="I32" s="1607"/>
      <c r="J32" s="1607"/>
      <c r="K32" s="1607"/>
      <c r="L32" s="1607"/>
      <c r="M32" s="1607"/>
      <c r="N32" s="1607"/>
      <c r="O32" s="1607"/>
      <c r="P32" s="1607"/>
      <c r="Q32" s="1607"/>
    </row>
    <row r="33" spans="2:18" ht="18" customHeight="1" x14ac:dyDescent="0.3">
      <c r="B33" s="624" t="s">
        <v>429</v>
      </c>
      <c r="C33" s="640"/>
      <c r="D33" s="586" t="s">
        <v>430</v>
      </c>
      <c r="E33" s="1604"/>
      <c r="F33" s="1605"/>
      <c r="G33" s="1605"/>
      <c r="H33" s="1605"/>
      <c r="I33" s="1605"/>
      <c r="J33" s="1605"/>
      <c r="K33" s="1605"/>
      <c r="L33" s="1605"/>
      <c r="M33" s="1605"/>
      <c r="N33" s="1605"/>
      <c r="O33" s="1605"/>
      <c r="P33" s="1605"/>
      <c r="Q33" s="1606"/>
      <c r="R33" s="488"/>
    </row>
    <row r="34" spans="2:18" ht="18" customHeight="1" x14ac:dyDescent="0.3">
      <c r="B34" s="626" t="s">
        <v>431</v>
      </c>
      <c r="C34" s="640"/>
      <c r="D34" s="586" t="s">
        <v>430</v>
      </c>
      <c r="E34" s="1604"/>
      <c r="F34" s="1605"/>
      <c r="G34" s="1605"/>
      <c r="H34" s="1605"/>
      <c r="I34" s="1605"/>
      <c r="J34" s="1605"/>
      <c r="K34" s="1605"/>
      <c r="L34" s="1605"/>
      <c r="M34" s="1605"/>
      <c r="N34" s="1605"/>
      <c r="O34" s="1605"/>
      <c r="P34" s="1605"/>
      <c r="Q34" s="1606"/>
    </row>
    <row r="35" spans="2:18" ht="18" customHeight="1" x14ac:dyDescent="0.3">
      <c r="B35" s="624" t="s">
        <v>432</v>
      </c>
      <c r="C35" s="640"/>
      <c r="D35" s="586" t="s">
        <v>430</v>
      </c>
      <c r="E35" s="1604"/>
      <c r="F35" s="1605"/>
      <c r="G35" s="1605"/>
      <c r="H35" s="1605"/>
      <c r="I35" s="1605"/>
      <c r="J35" s="1605"/>
      <c r="K35" s="1605"/>
      <c r="L35" s="1605"/>
      <c r="M35" s="1605"/>
      <c r="N35" s="1605"/>
      <c r="O35" s="1605"/>
      <c r="P35" s="1605"/>
      <c r="Q35" s="1606"/>
    </row>
    <row r="36" spans="2:18" ht="18" customHeight="1" x14ac:dyDescent="0.3">
      <c r="B36" s="626" t="s">
        <v>433</v>
      </c>
      <c r="C36" s="629">
        <f>SUM(C33:C34)</f>
        <v>0</v>
      </c>
      <c r="D36" s="586" t="s">
        <v>430</v>
      </c>
      <c r="E36" s="1558"/>
      <c r="F36" s="1558"/>
      <c r="G36" s="1558"/>
      <c r="H36" s="1558"/>
      <c r="I36" s="1558"/>
      <c r="J36" s="1558"/>
      <c r="K36" s="1558"/>
      <c r="L36" s="1558"/>
      <c r="M36" s="1558"/>
      <c r="N36" s="1558"/>
      <c r="O36" s="1558"/>
      <c r="P36" s="1558"/>
      <c r="Q36" s="1558"/>
    </row>
    <row r="37" spans="2:18" ht="18" customHeight="1" x14ac:dyDescent="0.3">
      <c r="B37" s="626" t="s">
        <v>434</v>
      </c>
      <c r="C37" s="629">
        <f>IF(C27="RET",C33+(C34-C35),C34-C35)</f>
        <v>0</v>
      </c>
      <c r="D37" s="586" t="s">
        <v>430</v>
      </c>
      <c r="E37" s="1557"/>
      <c r="F37" s="1558"/>
      <c r="G37" s="1558"/>
      <c r="H37" s="1558"/>
      <c r="I37" s="1558"/>
      <c r="J37" s="1558"/>
      <c r="K37" s="1558"/>
      <c r="L37" s="1558"/>
      <c r="M37" s="1558"/>
      <c r="N37" s="1558"/>
      <c r="O37" s="1558"/>
      <c r="P37" s="1558"/>
      <c r="Q37" s="1558"/>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630" t="s">
        <v>435</v>
      </c>
      <c r="C39" s="631"/>
      <c r="D39" s="631"/>
      <c r="E39" s="631"/>
      <c r="F39" s="631"/>
      <c r="G39" s="631"/>
      <c r="H39" s="513"/>
      <c r="I39" s="513"/>
      <c r="J39" s="513"/>
      <c r="K39" s="513"/>
      <c r="L39" s="513"/>
      <c r="M39" s="513"/>
      <c r="N39" s="513"/>
      <c r="O39" s="513"/>
      <c r="P39" s="513"/>
      <c r="Q39" s="514"/>
    </row>
    <row r="41" spans="2:18" ht="18.75" customHeight="1" x14ac:dyDescent="0.3">
      <c r="B41" s="632" t="s">
        <v>436</v>
      </c>
      <c r="C41" s="1596" t="s">
        <v>437</v>
      </c>
      <c r="D41" s="1597"/>
      <c r="E41" s="1597"/>
      <c r="F41" s="1597"/>
      <c r="G41" s="1597"/>
      <c r="H41" s="1597"/>
      <c r="I41" s="1597"/>
      <c r="J41" s="1597"/>
      <c r="K41" s="1597"/>
      <c r="L41" s="1597"/>
      <c r="M41" s="1598"/>
      <c r="N41" s="1205" t="s">
        <v>406</v>
      </c>
      <c r="O41" s="1205" t="s">
        <v>428</v>
      </c>
      <c r="P41" s="1599" t="s">
        <v>419</v>
      </c>
      <c r="Q41" s="1599"/>
    </row>
    <row r="42" spans="2:18" ht="18.75" customHeight="1" x14ac:dyDescent="0.3">
      <c r="B42" s="582" t="s">
        <v>438</v>
      </c>
      <c r="C42" s="1380" t="s">
        <v>439</v>
      </c>
      <c r="D42" s="1381"/>
      <c r="E42" s="1381"/>
      <c r="F42" s="1381"/>
      <c r="G42" s="1381"/>
      <c r="H42" s="1381"/>
      <c r="I42" s="1381"/>
      <c r="J42" s="1381"/>
      <c r="K42" s="1381"/>
      <c r="L42" s="1381"/>
      <c r="M42" s="1382"/>
      <c r="N42" s="585">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0</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5">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5">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623"/>
      <c r="R46" s="488"/>
    </row>
    <row r="47" spans="2:18" ht="18.75" customHeight="1" x14ac:dyDescent="0.3">
      <c r="B47" s="632" t="s">
        <v>450</v>
      </c>
      <c r="C47" s="1596" t="s">
        <v>451</v>
      </c>
      <c r="D47" s="1597"/>
      <c r="E47" s="1597"/>
      <c r="F47" s="1597"/>
      <c r="G47" s="1597"/>
      <c r="H47" s="1597"/>
      <c r="I47" s="1597"/>
      <c r="J47" s="1597"/>
      <c r="K47" s="1597"/>
      <c r="L47" s="1597"/>
      <c r="M47" s="1598"/>
      <c r="N47" s="1205" t="s">
        <v>406</v>
      </c>
      <c r="O47" s="1205" t="s">
        <v>428</v>
      </c>
      <c r="P47" s="1599" t="s">
        <v>419</v>
      </c>
      <c r="Q47" s="159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38.5" customHeight="1" x14ac:dyDescent="0.3">
      <c r="B49" s="582" t="s">
        <v>454</v>
      </c>
      <c r="C49" s="1600" t="s">
        <v>675</v>
      </c>
      <c r="D49" s="1601"/>
      <c r="E49" s="1601"/>
      <c r="F49" s="1601"/>
      <c r="G49" s="1601"/>
      <c r="H49" s="1601"/>
      <c r="I49" s="1601"/>
      <c r="J49" s="1601"/>
      <c r="K49" s="1601"/>
      <c r="L49" s="1601"/>
      <c r="M49" s="1602"/>
      <c r="N49" s="592"/>
      <c r="O49" s="1243" t="s">
        <v>443</v>
      </c>
      <c r="P49" s="1603"/>
      <c r="Q49" s="1511"/>
      <c r="R49" s="488"/>
    </row>
    <row r="50" spans="2:18" ht="18.75" customHeight="1" x14ac:dyDescent="0.3">
      <c r="B50" s="582" t="s">
        <v>456</v>
      </c>
      <c r="C50" s="1504" t="s">
        <v>676</v>
      </c>
      <c r="D50" s="1505"/>
      <c r="E50" s="1505"/>
      <c r="F50" s="1505"/>
      <c r="G50" s="1505"/>
      <c r="H50" s="1505"/>
      <c r="I50" s="1505"/>
      <c r="J50" s="1505"/>
      <c r="K50" s="1505"/>
      <c r="L50" s="1505"/>
      <c r="M50" s="1506"/>
      <c r="N50" s="620"/>
      <c r="O50" s="1243" t="s">
        <v>446</v>
      </c>
      <c r="P50" s="1603"/>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623"/>
      <c r="R52" s="488"/>
    </row>
    <row r="53" spans="2:18" ht="18.75" customHeight="1" x14ac:dyDescent="0.3">
      <c r="B53" s="632" t="s">
        <v>460</v>
      </c>
      <c r="C53" s="1596" t="s">
        <v>461</v>
      </c>
      <c r="D53" s="1597"/>
      <c r="E53" s="1597"/>
      <c r="F53" s="1597"/>
      <c r="G53" s="1597"/>
      <c r="H53" s="1597"/>
      <c r="I53" s="1597"/>
      <c r="J53" s="1597"/>
      <c r="K53" s="1597"/>
      <c r="L53" s="1597"/>
      <c r="M53" s="1598"/>
      <c r="N53" s="1205" t="s">
        <v>406</v>
      </c>
      <c r="O53" s="1205" t="s">
        <v>428</v>
      </c>
      <c r="P53" s="1599" t="s">
        <v>419</v>
      </c>
      <c r="Q53" s="1599"/>
      <c r="R53" s="488"/>
    </row>
    <row r="54" spans="2:18" ht="18.75" customHeight="1" x14ac:dyDescent="0.3">
      <c r="B54" s="582" t="s">
        <v>462</v>
      </c>
      <c r="C54" s="1504" t="s">
        <v>463</v>
      </c>
      <c r="D54" s="1505"/>
      <c r="E54" s="1505"/>
      <c r="F54" s="1505"/>
      <c r="G54" s="1505"/>
      <c r="H54" s="1505"/>
      <c r="I54" s="1505"/>
      <c r="J54" s="1505"/>
      <c r="K54" s="1505"/>
      <c r="L54" s="1505"/>
      <c r="M54" s="1506"/>
      <c r="N54" s="592"/>
      <c r="O54" s="1243" t="s">
        <v>440</v>
      </c>
      <c r="P54" s="1511"/>
      <c r="Q54" s="1511"/>
      <c r="R54" s="488"/>
    </row>
    <row r="55" spans="2:18" ht="18.75" customHeight="1" x14ac:dyDescent="0.3">
      <c r="B55" s="582" t="s">
        <v>464</v>
      </c>
      <c r="C55" s="1504" t="s">
        <v>465</v>
      </c>
      <c r="D55" s="1505"/>
      <c r="E55" s="1505"/>
      <c r="F55" s="1505"/>
      <c r="G55" s="1505"/>
      <c r="H55" s="1505"/>
      <c r="I55" s="1505"/>
      <c r="J55" s="1505"/>
      <c r="K55" s="1505"/>
      <c r="L55" s="1505"/>
      <c r="M55" s="1506"/>
      <c r="N55" s="592"/>
      <c r="O55" s="1243" t="s">
        <v>443</v>
      </c>
      <c r="P55" s="1537"/>
      <c r="Q55" s="1538"/>
      <c r="R55" s="488"/>
    </row>
    <row r="56" spans="2:18" ht="18.75" customHeight="1" x14ac:dyDescent="0.3">
      <c r="B56" s="582" t="s">
        <v>466</v>
      </c>
      <c r="C56" s="1504" t="s">
        <v>516</v>
      </c>
      <c r="D56" s="1505"/>
      <c r="E56" s="1505"/>
      <c r="F56" s="1505"/>
      <c r="G56" s="1505"/>
      <c r="H56" s="1505"/>
      <c r="I56" s="1505"/>
      <c r="J56" s="1505"/>
      <c r="K56" s="1505"/>
      <c r="L56" s="1505"/>
      <c r="M56" s="1506"/>
      <c r="N56" s="592"/>
      <c r="O56" s="1243" t="s">
        <v>446</v>
      </c>
      <c r="P56" s="1537"/>
      <c r="Q56" s="1538"/>
      <c r="R56" s="488"/>
    </row>
    <row r="57" spans="2:18" ht="18.75" customHeight="1" x14ac:dyDescent="0.3">
      <c r="B57" s="582" t="s">
        <v>468</v>
      </c>
      <c r="C57" s="1504" t="s">
        <v>469</v>
      </c>
      <c r="D57" s="1505"/>
      <c r="E57" s="1505"/>
      <c r="F57" s="1505"/>
      <c r="G57" s="1505"/>
      <c r="H57" s="1505"/>
      <c r="I57" s="1505"/>
      <c r="J57" s="1505"/>
      <c r="K57" s="1505"/>
      <c r="L57" s="1505"/>
      <c r="M57" s="1506"/>
      <c r="N57" s="592"/>
      <c r="O57" s="1243" t="s">
        <v>449</v>
      </c>
      <c r="P57" s="1511"/>
      <c r="Q57" s="1511"/>
      <c r="R57" s="488"/>
    </row>
    <row r="58" spans="2:18" ht="18.75" customHeight="1" x14ac:dyDescent="0.3">
      <c r="B58" s="599"/>
      <c r="C58" s="577"/>
      <c r="D58" s="578"/>
      <c r="E58" s="578"/>
      <c r="F58" s="578"/>
      <c r="G58" s="578"/>
      <c r="H58" s="578"/>
      <c r="I58" s="578"/>
      <c r="J58" s="578"/>
      <c r="K58" s="578"/>
      <c r="L58" s="578"/>
      <c r="M58" s="578"/>
      <c r="N58" s="578"/>
      <c r="O58" s="578"/>
    </row>
    <row r="59" spans="2:18" ht="18.75" customHeight="1" x14ac:dyDescent="0.3">
      <c r="B59" s="630" t="s">
        <v>470</v>
      </c>
      <c r="C59" s="631"/>
      <c r="D59" s="631"/>
      <c r="E59" s="631"/>
      <c r="F59" s="631"/>
      <c r="G59" s="631"/>
      <c r="H59" s="513"/>
      <c r="I59" s="513"/>
      <c r="J59" s="513"/>
      <c r="K59" s="513"/>
      <c r="L59" s="513"/>
      <c r="M59" s="513"/>
      <c r="N59" s="513"/>
      <c r="O59" s="513"/>
      <c r="P59" s="513"/>
      <c r="Q59" s="514"/>
    </row>
    <row r="61" spans="2:18" ht="18.75" customHeight="1" x14ac:dyDescent="0.3">
      <c r="B61" s="632" t="s">
        <v>471</v>
      </c>
      <c r="C61" s="632" t="s">
        <v>472</v>
      </c>
      <c r="D61" s="1592" t="s">
        <v>473</v>
      </c>
      <c r="E61" s="1592"/>
      <c r="F61" s="632" t="s">
        <v>474</v>
      </c>
      <c r="G61" s="632" t="s">
        <v>475</v>
      </c>
      <c r="H61" s="632" t="s">
        <v>406</v>
      </c>
      <c r="I61" s="632" t="s">
        <v>428</v>
      </c>
      <c r="J61" s="1593" t="s">
        <v>476</v>
      </c>
      <c r="K61" s="1594"/>
      <c r="L61" s="1594"/>
      <c r="M61" s="1594"/>
      <c r="N61" s="1594"/>
      <c r="O61" s="1594"/>
      <c r="P61" s="1594"/>
      <c r="Q61" s="1595"/>
    </row>
    <row r="62" spans="2:18" ht="13.15" customHeight="1" x14ac:dyDescent="0.3">
      <c r="B62" s="533">
        <v>1</v>
      </c>
      <c r="C62" s="549"/>
      <c r="D62" s="1556"/>
      <c r="E62" s="1556"/>
      <c r="F62" s="641"/>
      <c r="G62" s="642"/>
      <c r="H62" s="643"/>
      <c r="I62" s="1238"/>
      <c r="J62" s="1462"/>
      <c r="K62" s="1470"/>
      <c r="L62" s="1470"/>
      <c r="M62" s="1470"/>
      <c r="N62" s="1470"/>
      <c r="O62" s="1470"/>
      <c r="P62" s="1470"/>
      <c r="Q62" s="1471"/>
      <c r="R62" s="488"/>
    </row>
    <row r="63" spans="2:18" ht="13.15" customHeight="1" x14ac:dyDescent="0.3">
      <c r="B63" s="533">
        <v>2</v>
      </c>
      <c r="C63" s="546"/>
      <c r="D63" s="1539"/>
      <c r="E63" s="1539"/>
      <c r="F63" s="546"/>
      <c r="G63" s="1217"/>
      <c r="H63" s="622"/>
      <c r="I63" s="1217"/>
      <c r="J63" s="1468"/>
      <c r="K63" s="1541"/>
      <c r="L63" s="1541"/>
      <c r="M63" s="1541"/>
      <c r="N63" s="1541"/>
      <c r="O63" s="1541"/>
      <c r="P63" s="1541"/>
      <c r="Q63" s="1542"/>
      <c r="R63" s="488"/>
    </row>
    <row r="64" spans="2:18" ht="13.15" customHeight="1" x14ac:dyDescent="0.3">
      <c r="B64" s="533">
        <v>3</v>
      </c>
      <c r="C64" s="546"/>
      <c r="D64" s="1539"/>
      <c r="E64" s="1539"/>
      <c r="F64" s="546"/>
      <c r="G64" s="1217"/>
      <c r="H64" s="645"/>
      <c r="I64" s="1217"/>
      <c r="J64" s="1468"/>
      <c r="K64" s="1541"/>
      <c r="L64" s="1541"/>
      <c r="M64" s="1541"/>
      <c r="N64" s="1541"/>
      <c r="O64" s="1541"/>
      <c r="P64" s="1541"/>
      <c r="Q64" s="1542"/>
      <c r="R64" s="488"/>
    </row>
    <row r="65" spans="2:18" ht="13.15" customHeight="1" x14ac:dyDescent="0.3">
      <c r="B65" s="533">
        <v>4</v>
      </c>
      <c r="C65" s="546"/>
      <c r="D65" s="1539"/>
      <c r="E65" s="1539"/>
      <c r="F65" s="546"/>
      <c r="G65" s="1217"/>
      <c r="H65" s="554"/>
      <c r="I65" s="1217"/>
      <c r="J65" s="1468"/>
      <c r="K65" s="1541"/>
      <c r="L65" s="1541"/>
      <c r="M65" s="1541"/>
      <c r="N65" s="1541"/>
      <c r="O65" s="1541"/>
      <c r="P65" s="1541"/>
      <c r="Q65" s="1542"/>
      <c r="R65" s="488"/>
    </row>
    <row r="66" spans="2:18" ht="15" customHeight="1" x14ac:dyDescent="0.3">
      <c r="B66" s="533">
        <v>5</v>
      </c>
      <c r="C66" s="555"/>
      <c r="D66" s="1587"/>
      <c r="E66" s="1587"/>
      <c r="F66" s="555"/>
      <c r="G66" s="557"/>
      <c r="H66" s="646"/>
      <c r="I66" s="557"/>
      <c r="J66" s="1437"/>
      <c r="K66" s="1560"/>
      <c r="L66" s="1560"/>
      <c r="M66" s="1560"/>
      <c r="N66" s="1560"/>
      <c r="O66" s="1560"/>
      <c r="P66" s="1560"/>
      <c r="Q66" s="1561"/>
      <c r="R66" s="488"/>
    </row>
    <row r="67" spans="2:18" ht="14.5" customHeight="1" x14ac:dyDescent="0.3">
      <c r="B67" s="533">
        <v>6</v>
      </c>
      <c r="C67" s="546"/>
      <c r="D67" s="1539"/>
      <c r="E67" s="1539"/>
      <c r="F67" s="546"/>
      <c r="G67" s="1217"/>
      <c r="H67" s="554"/>
      <c r="I67" s="1217"/>
      <c r="J67" s="1468"/>
      <c r="K67" s="1541"/>
      <c r="L67" s="1541"/>
      <c r="M67" s="1541"/>
      <c r="N67" s="1541"/>
      <c r="O67" s="1541"/>
      <c r="P67" s="1541"/>
      <c r="Q67" s="1542"/>
      <c r="R67" s="488"/>
    </row>
    <row r="68" spans="2:18" ht="15" customHeight="1" x14ac:dyDescent="0.3">
      <c r="B68" s="533">
        <v>7</v>
      </c>
      <c r="C68" s="546"/>
      <c r="D68" s="1539"/>
      <c r="E68" s="1539"/>
      <c r="F68" s="546"/>
      <c r="G68" s="1217"/>
      <c r="H68" s="554"/>
      <c r="I68" s="1217"/>
      <c r="J68" s="1468"/>
      <c r="K68" s="1541"/>
      <c r="L68" s="1541"/>
      <c r="M68" s="1541"/>
      <c r="N68" s="1541"/>
      <c r="O68" s="1541"/>
      <c r="P68" s="1541"/>
      <c r="Q68" s="1542"/>
      <c r="R68" s="488"/>
    </row>
    <row r="69" spans="2:18" ht="15" customHeight="1" x14ac:dyDescent="0.3">
      <c r="B69" s="534">
        <v>8</v>
      </c>
      <c r="C69" s="549"/>
      <c r="D69" s="1556"/>
      <c r="E69" s="1556"/>
      <c r="F69" s="641"/>
      <c r="G69" s="642"/>
      <c r="H69" s="606"/>
      <c r="I69" s="1238"/>
      <c r="J69" s="1462"/>
      <c r="K69" s="1470"/>
      <c r="L69" s="1470"/>
      <c r="M69" s="1470"/>
      <c r="N69" s="1470"/>
      <c r="O69" s="1470"/>
      <c r="P69" s="1470"/>
      <c r="Q69" s="1471"/>
      <c r="R69" s="488"/>
    </row>
    <row r="70" spans="2:18" ht="15" customHeight="1" x14ac:dyDescent="0.3">
      <c r="B70" s="534">
        <v>9</v>
      </c>
      <c r="C70" s="549"/>
      <c r="D70" s="1556"/>
      <c r="E70" s="1556"/>
      <c r="F70" s="549"/>
      <c r="G70" s="1238"/>
      <c r="H70" s="643"/>
      <c r="I70" s="1238"/>
      <c r="J70" s="1462"/>
      <c r="K70" s="1470"/>
      <c r="L70" s="1470"/>
      <c r="M70" s="1470"/>
      <c r="N70" s="1470"/>
      <c r="O70" s="1470"/>
      <c r="P70" s="1470"/>
      <c r="Q70" s="1471"/>
      <c r="R70" s="488"/>
    </row>
    <row r="71" spans="2:18" ht="15" customHeight="1" x14ac:dyDescent="0.3">
      <c r="B71" s="533">
        <v>10</v>
      </c>
      <c r="C71" s="546"/>
      <c r="D71" s="1539"/>
      <c r="E71" s="1539"/>
      <c r="F71" s="546"/>
      <c r="G71" s="1217"/>
      <c r="H71" s="645"/>
      <c r="I71" s="1217"/>
      <c r="J71" s="1468"/>
      <c r="K71" s="1541"/>
      <c r="L71" s="1541"/>
      <c r="M71" s="1541"/>
      <c r="N71" s="1541"/>
      <c r="O71" s="1541"/>
      <c r="P71" s="1541"/>
      <c r="Q71" s="1542"/>
      <c r="R71" s="488"/>
    </row>
    <row r="72" spans="2:18" s="634" customFormat="1" ht="15" customHeight="1" x14ac:dyDescent="0.3">
      <c r="B72" s="638">
        <v>11</v>
      </c>
      <c r="C72" s="546"/>
      <c r="D72" s="1539"/>
      <c r="E72" s="1539"/>
      <c r="F72" s="546"/>
      <c r="G72" s="1217"/>
      <c r="H72" s="554"/>
      <c r="I72" s="1217"/>
      <c r="J72" s="1468"/>
      <c r="K72" s="1541"/>
      <c r="L72" s="1541"/>
      <c r="M72" s="1541"/>
      <c r="N72" s="1541"/>
      <c r="O72" s="1541"/>
      <c r="P72" s="1541"/>
      <c r="Q72" s="1542"/>
    </row>
    <row r="73" spans="2:18" s="634" customFormat="1" ht="15" customHeight="1" x14ac:dyDescent="0.3">
      <c r="B73" s="638">
        <v>12</v>
      </c>
      <c r="C73" s="546"/>
      <c r="D73" s="1539"/>
      <c r="E73" s="1539"/>
      <c r="F73" s="546"/>
      <c r="G73" s="1217"/>
      <c r="H73" s="645"/>
      <c r="I73" s="1217"/>
      <c r="J73" s="1468"/>
      <c r="K73" s="1541"/>
      <c r="L73" s="1541"/>
      <c r="M73" s="1541"/>
      <c r="N73" s="1541"/>
      <c r="O73" s="1541"/>
      <c r="P73" s="1541"/>
      <c r="Q73" s="1542"/>
    </row>
    <row r="74" spans="2:18" s="634" customFormat="1" ht="15" customHeight="1" x14ac:dyDescent="0.3">
      <c r="B74" s="638">
        <v>13</v>
      </c>
      <c r="C74" s="546"/>
      <c r="D74" s="1539"/>
      <c r="E74" s="1539"/>
      <c r="F74" s="546"/>
      <c r="G74" s="1217"/>
      <c r="H74" s="554"/>
      <c r="I74" s="1217"/>
      <c r="J74" s="1468"/>
      <c r="K74" s="1541"/>
      <c r="L74" s="1541"/>
      <c r="M74" s="1541"/>
      <c r="N74" s="1541"/>
      <c r="O74" s="1541"/>
      <c r="P74" s="1541"/>
      <c r="Q74" s="1542"/>
    </row>
    <row r="75" spans="2:18" s="623" customFormat="1" ht="13.15" customHeight="1" x14ac:dyDescent="0.3">
      <c r="B75" s="638">
        <v>14</v>
      </c>
      <c r="C75" s="546"/>
      <c r="D75" s="1539"/>
      <c r="E75" s="1539"/>
      <c r="F75" s="546"/>
      <c r="G75" s="1217"/>
      <c r="H75" s="554"/>
      <c r="I75" s="1217"/>
      <c r="J75" s="1468"/>
      <c r="K75" s="1541"/>
      <c r="L75" s="1541"/>
      <c r="M75" s="1541"/>
      <c r="N75" s="1541"/>
      <c r="O75" s="1541"/>
      <c r="P75" s="1541"/>
      <c r="Q75" s="1542"/>
    </row>
    <row r="76" spans="2:18" s="623" customFormat="1" ht="14.5" customHeight="1" x14ac:dyDescent="0.3">
      <c r="B76" s="638">
        <v>15</v>
      </c>
      <c r="C76" s="647"/>
      <c r="D76" s="1539"/>
      <c r="E76" s="1539"/>
      <c r="F76" s="1217"/>
      <c r="G76" s="1217"/>
      <c r="H76" s="645"/>
      <c r="I76" s="1217"/>
      <c r="J76" s="1468"/>
      <c r="K76" s="1541"/>
      <c r="L76" s="1541"/>
      <c r="M76" s="1541"/>
      <c r="N76" s="1541"/>
      <c r="O76" s="1541"/>
      <c r="P76" s="1541"/>
      <c r="Q76" s="1542"/>
    </row>
    <row r="77" spans="2:18" ht="18.75" customHeight="1" x14ac:dyDescent="0.3">
      <c r="R77" s="488"/>
    </row>
    <row r="78" spans="2:18" ht="18.75" customHeight="1" x14ac:dyDescent="0.3">
      <c r="B78" s="630" t="s">
        <v>477</v>
      </c>
      <c r="C78" s="631"/>
      <c r="D78" s="631"/>
      <c r="E78" s="631"/>
      <c r="F78" s="631"/>
      <c r="G78" s="631"/>
      <c r="H78" s="513"/>
      <c r="I78" s="513"/>
      <c r="J78" s="513"/>
      <c r="K78" s="513"/>
      <c r="L78" s="513"/>
      <c r="M78" s="513"/>
      <c r="N78" s="513"/>
      <c r="O78" s="513"/>
      <c r="P78" s="513"/>
      <c r="Q78" s="514"/>
      <c r="R78" s="488"/>
    </row>
    <row r="79" spans="2:18" ht="18.75" customHeight="1" x14ac:dyDescent="0.3">
      <c r="R79" s="488"/>
    </row>
    <row r="80" spans="2:18" ht="18.75" customHeight="1" x14ac:dyDescent="0.3">
      <c r="B80" s="632" t="s">
        <v>478</v>
      </c>
      <c r="C80" s="632" t="s">
        <v>479</v>
      </c>
      <c r="D80" s="1204" t="s">
        <v>406</v>
      </c>
      <c r="E80" s="1210" t="s">
        <v>428</v>
      </c>
      <c r="F80" s="1562" t="s">
        <v>476</v>
      </c>
      <c r="G80" s="1563"/>
      <c r="H80" s="1563"/>
      <c r="I80" s="1563"/>
      <c r="J80" s="1563"/>
      <c r="K80" s="1563"/>
      <c r="L80" s="1563"/>
      <c r="M80" s="1563"/>
      <c r="N80" s="1563"/>
      <c r="O80" s="1563"/>
      <c r="P80" s="1563"/>
      <c r="Q80" s="1564"/>
      <c r="R80" s="488"/>
    </row>
    <row r="81" spans="2:18" ht="13" x14ac:dyDescent="0.3">
      <c r="B81" s="639">
        <v>1</v>
      </c>
      <c r="C81" s="648"/>
      <c r="D81" s="649"/>
      <c r="E81" s="1211"/>
      <c r="F81" s="1565"/>
      <c r="G81" s="1566"/>
      <c r="H81" s="1566"/>
      <c r="I81" s="1566"/>
      <c r="J81" s="1566"/>
      <c r="K81" s="1566"/>
      <c r="L81" s="1566"/>
      <c r="M81" s="1566"/>
      <c r="N81" s="1566"/>
      <c r="O81" s="1566"/>
      <c r="P81" s="1566"/>
      <c r="Q81" s="1567"/>
      <c r="R81" s="488"/>
    </row>
    <row r="82" spans="2:18" ht="13" x14ac:dyDescent="0.3">
      <c r="B82" s="639">
        <v>2</v>
      </c>
      <c r="C82" s="648"/>
      <c r="D82" s="650"/>
      <c r="E82" s="1211"/>
      <c r="F82" s="1568"/>
      <c r="G82" s="1569"/>
      <c r="H82" s="1569"/>
      <c r="I82" s="1569"/>
      <c r="J82" s="1569"/>
      <c r="K82" s="1569"/>
      <c r="L82" s="1569"/>
      <c r="M82" s="1569"/>
      <c r="N82" s="1569"/>
      <c r="O82" s="1569"/>
      <c r="P82" s="1569"/>
      <c r="Q82" s="1570"/>
      <c r="R82" s="488"/>
    </row>
    <row r="83" spans="2:18" ht="13" x14ac:dyDescent="0.3">
      <c r="B83" s="639">
        <v>3</v>
      </c>
      <c r="C83" s="648"/>
      <c r="D83" s="650"/>
      <c r="E83" s="1211"/>
      <c r="F83" s="1568"/>
      <c r="G83" s="1569"/>
      <c r="H83" s="1569"/>
      <c r="I83" s="1569"/>
      <c r="J83" s="1569"/>
      <c r="K83" s="1569"/>
      <c r="L83" s="1569"/>
      <c r="M83" s="1569"/>
      <c r="N83" s="1569"/>
      <c r="O83" s="1569"/>
      <c r="P83" s="1569"/>
      <c r="Q83" s="1570"/>
      <c r="R83" s="488"/>
    </row>
    <row r="84" spans="2:18" ht="13" x14ac:dyDescent="0.3">
      <c r="B84" s="639">
        <v>4</v>
      </c>
      <c r="C84" s="648"/>
      <c r="D84" s="650"/>
      <c r="E84" s="1211"/>
      <c r="F84" s="1568"/>
      <c r="G84" s="1569"/>
      <c r="H84" s="1569"/>
      <c r="I84" s="1569"/>
      <c r="J84" s="1569"/>
      <c r="K84" s="1569"/>
      <c r="L84" s="1569"/>
      <c r="M84" s="1569"/>
      <c r="N84" s="1569"/>
      <c r="O84" s="1569"/>
      <c r="P84" s="1569"/>
      <c r="Q84" s="1570"/>
      <c r="R84" s="488"/>
    </row>
    <row r="85" spans="2:18" ht="13" x14ac:dyDescent="0.3">
      <c r="B85" s="639">
        <v>5</v>
      </c>
      <c r="C85" s="648"/>
      <c r="D85" s="650"/>
      <c r="E85" s="1211"/>
      <c r="F85" s="1568"/>
      <c r="G85" s="1569"/>
      <c r="H85" s="1569"/>
      <c r="I85" s="1569"/>
      <c r="J85" s="1569"/>
      <c r="K85" s="1569"/>
      <c r="L85" s="1569"/>
      <c r="M85" s="1569"/>
      <c r="N85" s="1569"/>
      <c r="O85" s="1569"/>
      <c r="P85" s="1569"/>
      <c r="Q85" s="1570"/>
      <c r="R85" s="488"/>
    </row>
    <row r="86" spans="2:18" ht="13" x14ac:dyDescent="0.3">
      <c r="B86" s="533">
        <v>6</v>
      </c>
      <c r="C86" s="563"/>
      <c r="D86" s="649"/>
      <c r="E86" s="1211"/>
      <c r="F86" s="1576"/>
      <c r="G86" s="1566"/>
      <c r="H86" s="1566"/>
      <c r="I86" s="1566"/>
      <c r="J86" s="1566"/>
      <c r="K86" s="1566"/>
      <c r="L86" s="1566"/>
      <c r="M86" s="1566"/>
      <c r="N86" s="1566"/>
      <c r="O86" s="1566"/>
      <c r="P86" s="1566"/>
      <c r="Q86" s="1567"/>
      <c r="R86" s="488"/>
    </row>
    <row r="87" spans="2:18" ht="13" x14ac:dyDescent="0.3">
      <c r="B87" s="533">
        <v>7</v>
      </c>
      <c r="C87" s="563"/>
      <c r="D87" s="649"/>
      <c r="E87" s="1211"/>
      <c r="F87" s="1576"/>
      <c r="G87" s="1566"/>
      <c r="H87" s="1566"/>
      <c r="I87" s="1566"/>
      <c r="J87" s="1566"/>
      <c r="K87" s="1566"/>
      <c r="L87" s="1566"/>
      <c r="M87" s="1566"/>
      <c r="N87" s="1566"/>
      <c r="O87" s="1566"/>
      <c r="P87" s="1566"/>
      <c r="Q87" s="1567"/>
      <c r="R87" s="488"/>
    </row>
    <row r="88" spans="2:18" ht="13" x14ac:dyDescent="0.3">
      <c r="B88" s="533">
        <v>8</v>
      </c>
      <c r="C88" s="563"/>
      <c r="D88" s="650"/>
      <c r="E88" s="1211"/>
      <c r="F88" s="1568"/>
      <c r="G88" s="1569"/>
      <c r="H88" s="1569"/>
      <c r="I88" s="1569"/>
      <c r="J88" s="1569"/>
      <c r="K88" s="1569"/>
      <c r="L88" s="1569"/>
      <c r="M88" s="1569"/>
      <c r="N88" s="1569"/>
      <c r="O88" s="1569"/>
      <c r="P88" s="1569"/>
      <c r="Q88" s="1570"/>
      <c r="R88" s="488"/>
    </row>
    <row r="89" spans="2:18" ht="13" x14ac:dyDescent="0.3">
      <c r="B89" s="533">
        <v>9</v>
      </c>
      <c r="C89" s="563"/>
      <c r="D89" s="1233"/>
      <c r="E89" s="1211"/>
      <c r="F89" s="1568"/>
      <c r="G89" s="1569"/>
      <c r="H89" s="1569"/>
      <c r="I89" s="1569"/>
      <c r="J89" s="1569"/>
      <c r="K89" s="1569"/>
      <c r="L89" s="1569"/>
      <c r="M89" s="1569"/>
      <c r="N89" s="1569"/>
      <c r="O89" s="1569"/>
      <c r="P89" s="1569"/>
      <c r="Q89" s="1570"/>
      <c r="R89" s="488"/>
    </row>
    <row r="90" spans="2:18" ht="13" x14ac:dyDescent="0.3">
      <c r="B90" s="533">
        <v>10</v>
      </c>
      <c r="C90" s="563"/>
      <c r="D90" s="564"/>
      <c r="E90" s="1211"/>
      <c r="F90" s="1568"/>
      <c r="G90" s="1569"/>
      <c r="H90" s="1569"/>
      <c r="I90" s="1569"/>
      <c r="J90" s="1569"/>
      <c r="K90" s="1569"/>
      <c r="L90" s="1569"/>
      <c r="M90" s="1569"/>
      <c r="N90" s="1569"/>
      <c r="O90" s="1569"/>
      <c r="P90" s="1569"/>
      <c r="Q90" s="1570"/>
      <c r="R90" s="488"/>
    </row>
    <row r="91" spans="2:18" ht="18.75" customHeight="1" x14ac:dyDescent="0.3">
      <c r="R91" s="488"/>
    </row>
    <row r="92" spans="2:18" ht="18.75" customHeight="1" x14ac:dyDescent="0.3">
      <c r="B92" s="630" t="s">
        <v>492</v>
      </c>
      <c r="C92" s="631"/>
      <c r="D92" s="631"/>
      <c r="E92" s="631"/>
      <c r="F92" s="631"/>
      <c r="G92" s="631"/>
      <c r="H92" s="513"/>
      <c r="I92" s="513"/>
      <c r="J92" s="513"/>
      <c r="K92" s="513"/>
      <c r="L92" s="513"/>
      <c r="M92" s="513"/>
      <c r="N92" s="513"/>
      <c r="O92" s="513"/>
      <c r="P92" s="513"/>
      <c r="Q92" s="514"/>
      <c r="R92" s="488"/>
    </row>
    <row r="93" spans="2:18" ht="18.75" customHeight="1" x14ac:dyDescent="0.3">
      <c r="R93" s="488"/>
    </row>
    <row r="94" spans="2:18" ht="18.75" customHeight="1" x14ac:dyDescent="0.3">
      <c r="B94" s="635" t="s">
        <v>493</v>
      </c>
      <c r="E94" s="1574" t="s">
        <v>494</v>
      </c>
      <c r="F94" s="1577"/>
      <c r="G94" s="1577"/>
      <c r="H94" s="1577"/>
      <c r="I94" s="1577"/>
      <c r="J94" s="1577"/>
      <c r="K94" s="1577"/>
      <c r="L94" s="1577"/>
      <c r="M94" s="1577"/>
      <c r="N94" s="1577"/>
      <c r="O94" s="1578" t="s">
        <v>476</v>
      </c>
      <c r="P94" s="1579"/>
      <c r="Q94" s="1580"/>
      <c r="R94" s="488"/>
    </row>
    <row r="95" spans="2:18" ht="25.5" customHeight="1" x14ac:dyDescent="0.3">
      <c r="B95" s="1571"/>
      <c r="C95" s="1572"/>
      <c r="D95" s="1573"/>
      <c r="E95" s="636" t="s">
        <v>495</v>
      </c>
      <c r="F95" s="636" t="s">
        <v>496</v>
      </c>
      <c r="G95" s="636" t="s">
        <v>497</v>
      </c>
      <c r="H95" s="636" t="s">
        <v>498</v>
      </c>
      <c r="I95" s="636" t="s">
        <v>499</v>
      </c>
      <c r="J95" s="636" t="s">
        <v>500</v>
      </c>
      <c r="K95" s="636" t="s">
        <v>501</v>
      </c>
      <c r="L95" s="636" t="s">
        <v>502</v>
      </c>
      <c r="M95" s="636" t="s">
        <v>503</v>
      </c>
      <c r="N95" s="1209" t="s">
        <v>504</v>
      </c>
      <c r="O95" s="1581"/>
      <c r="P95" s="1582"/>
      <c r="Q95" s="1583"/>
      <c r="R95" s="488"/>
    </row>
    <row r="96" spans="2:18" ht="36.75" customHeight="1" x14ac:dyDescent="0.3">
      <c r="B96" s="1205" t="s">
        <v>478</v>
      </c>
      <c r="C96" s="1574" t="s">
        <v>538</v>
      </c>
      <c r="D96" s="1575"/>
      <c r="E96" s="651"/>
      <c r="F96" s="651"/>
      <c r="G96" s="651"/>
      <c r="H96" s="651"/>
      <c r="I96" s="651"/>
      <c r="J96" s="651"/>
      <c r="K96" s="651"/>
      <c r="L96" s="651"/>
      <c r="M96" s="651"/>
      <c r="N96" s="652"/>
      <c r="O96" s="1584"/>
      <c r="P96" s="1585"/>
      <c r="Q96" s="1586"/>
      <c r="R96" s="488"/>
    </row>
    <row r="97" spans="2:18" ht="13" x14ac:dyDescent="0.3">
      <c r="B97" s="533">
        <v>1</v>
      </c>
      <c r="C97" s="1217"/>
      <c r="D97" s="1184"/>
      <c r="E97" s="554"/>
      <c r="F97" s="612"/>
      <c r="G97" s="653"/>
      <c r="H97" s="1190"/>
      <c r="I97" s="568"/>
      <c r="J97" s="568"/>
      <c r="K97" s="568"/>
      <c r="L97" s="568"/>
      <c r="M97" s="568"/>
      <c r="N97" s="568"/>
      <c r="O97" s="1501"/>
      <c r="P97" s="1502"/>
      <c r="Q97" s="1503"/>
      <c r="R97" s="488"/>
    </row>
    <row r="98" spans="2:18" ht="13" x14ac:dyDescent="0.3">
      <c r="B98" s="533">
        <v>2</v>
      </c>
      <c r="C98" s="1217"/>
      <c r="D98" s="1184"/>
      <c r="E98" s="554"/>
      <c r="F98" s="612"/>
      <c r="G98" s="612"/>
      <c r="H98" s="1190"/>
      <c r="I98" s="568"/>
      <c r="J98" s="568"/>
      <c r="K98" s="568"/>
      <c r="L98" s="568"/>
      <c r="M98" s="568"/>
      <c r="N98" s="568"/>
      <c r="O98" s="1495"/>
      <c r="P98" s="1496"/>
      <c r="Q98" s="1497"/>
      <c r="R98" s="488"/>
    </row>
    <row r="99" spans="2:18" ht="13" x14ac:dyDescent="0.3">
      <c r="B99" s="533">
        <v>3</v>
      </c>
      <c r="C99" s="1217"/>
      <c r="D99" s="1184"/>
      <c r="E99" s="554"/>
      <c r="F99" s="612"/>
      <c r="G99" s="612"/>
      <c r="H99" s="1190"/>
      <c r="I99" s="568"/>
      <c r="J99" s="568"/>
      <c r="K99" s="568"/>
      <c r="L99" s="568"/>
      <c r="M99" s="568"/>
      <c r="N99" s="568"/>
      <c r="O99" s="1495"/>
      <c r="P99" s="1496"/>
      <c r="Q99" s="1497"/>
      <c r="R99" s="488"/>
    </row>
    <row r="100" spans="2:18" ht="13" x14ac:dyDescent="0.3">
      <c r="B100" s="533">
        <v>4</v>
      </c>
      <c r="C100" s="1217"/>
      <c r="D100" s="1184"/>
      <c r="E100" s="554"/>
      <c r="F100" s="612"/>
      <c r="G100" s="612"/>
      <c r="H100" s="1190"/>
      <c r="I100" s="568"/>
      <c r="J100" s="568"/>
      <c r="K100" s="568"/>
      <c r="L100" s="568"/>
      <c r="M100" s="568"/>
      <c r="N100" s="568"/>
      <c r="O100" s="1495"/>
      <c r="P100" s="1496"/>
      <c r="Q100" s="1497"/>
      <c r="R100" s="488"/>
    </row>
    <row r="101" spans="2:18" ht="13" x14ac:dyDescent="0.3">
      <c r="B101" s="533">
        <v>5</v>
      </c>
      <c r="C101" s="546"/>
      <c r="D101" s="1184"/>
      <c r="E101" s="1190"/>
      <c r="F101" s="1190"/>
      <c r="G101" s="1190"/>
      <c r="H101" s="1190"/>
      <c r="I101" s="568"/>
      <c r="J101" s="568"/>
      <c r="K101" s="568"/>
      <c r="L101" s="568"/>
      <c r="M101" s="568"/>
      <c r="N101" s="568"/>
      <c r="O101" s="1495"/>
      <c r="P101" s="1496"/>
      <c r="Q101" s="1497"/>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sheetData>
  <sheetProtection algorithmName="SHA-512" hashValue="OUVrdSFMwJ1sbp3YTpFn9J8fg5UfCqNjiCnH8wN7rhCXk/gQjgmCMIORUEHPJyWhx8RGllqs8Pd7e0/aehY2tw==" saltValue="1fLOQ5MHTs2IJkDZuP8m6w==" spinCount="100000" sheet="1" objects="1" scenarios="1" selectLockedCells="1" selectUnlockedCells="1"/>
  <mergeCells count="121">
    <mergeCell ref="O116:Q116"/>
    <mergeCell ref="O110:Q110"/>
    <mergeCell ref="O111:Q111"/>
    <mergeCell ref="O112:Q112"/>
    <mergeCell ref="O113:Q113"/>
    <mergeCell ref="O114:Q114"/>
    <mergeCell ref="O115:Q115"/>
    <mergeCell ref="O104:Q104"/>
    <mergeCell ref="O105:Q105"/>
    <mergeCell ref="O106:Q106"/>
    <mergeCell ref="O107:Q107"/>
    <mergeCell ref="O108:Q108"/>
    <mergeCell ref="O109:Q109"/>
    <mergeCell ref="O98:Q98"/>
    <mergeCell ref="O99:Q99"/>
    <mergeCell ref="O100:Q100"/>
    <mergeCell ref="O101:Q101"/>
    <mergeCell ref="O102:Q102"/>
    <mergeCell ref="O103:Q103"/>
    <mergeCell ref="F90:Q90"/>
    <mergeCell ref="E94:N94"/>
    <mergeCell ref="O94:Q96"/>
    <mergeCell ref="B95:D95"/>
    <mergeCell ref="C96:D96"/>
    <mergeCell ref="O97:Q97"/>
    <mergeCell ref="F84:Q84"/>
    <mergeCell ref="F85:Q85"/>
    <mergeCell ref="F86:Q86"/>
    <mergeCell ref="F87:Q87"/>
    <mergeCell ref="F88:Q88"/>
    <mergeCell ref="F89:Q89"/>
    <mergeCell ref="D76:E76"/>
    <mergeCell ref="J76:Q76"/>
    <mergeCell ref="F80:Q80"/>
    <mergeCell ref="F81:Q81"/>
    <mergeCell ref="F82:Q82"/>
    <mergeCell ref="F83:Q83"/>
    <mergeCell ref="D73:E73"/>
    <mergeCell ref="J73:Q73"/>
    <mergeCell ref="D74:E74"/>
    <mergeCell ref="J74:Q74"/>
    <mergeCell ref="D75:E75"/>
    <mergeCell ref="J75:Q75"/>
    <mergeCell ref="D70:E70"/>
    <mergeCell ref="J70:Q70"/>
    <mergeCell ref="D71:E71"/>
    <mergeCell ref="J71:Q71"/>
    <mergeCell ref="D72:E72"/>
    <mergeCell ref="J72:Q72"/>
    <mergeCell ref="D67:E67"/>
    <mergeCell ref="J67:Q67"/>
    <mergeCell ref="D68:E68"/>
    <mergeCell ref="J68:Q68"/>
    <mergeCell ref="D69:E69"/>
    <mergeCell ref="J69:Q69"/>
    <mergeCell ref="D64:E64"/>
    <mergeCell ref="J64:Q64"/>
    <mergeCell ref="D65:E65"/>
    <mergeCell ref="J65:Q65"/>
    <mergeCell ref="D66:E66"/>
    <mergeCell ref="J66:Q66"/>
    <mergeCell ref="D61:E61"/>
    <mergeCell ref="J61:Q61"/>
    <mergeCell ref="D62:E62"/>
    <mergeCell ref="J62:Q62"/>
    <mergeCell ref="D63:E63"/>
    <mergeCell ref="J63:Q63"/>
    <mergeCell ref="C55:M55"/>
    <mergeCell ref="P55:Q55"/>
    <mergeCell ref="C56:M56"/>
    <mergeCell ref="P56:Q56"/>
    <mergeCell ref="C57:M57"/>
    <mergeCell ref="P57:Q57"/>
    <mergeCell ref="C51:M51"/>
    <mergeCell ref="P51:Q51"/>
    <mergeCell ref="C53:M53"/>
    <mergeCell ref="P53:Q53"/>
    <mergeCell ref="C54:M54"/>
    <mergeCell ref="P54:Q54"/>
    <mergeCell ref="C48:M48"/>
    <mergeCell ref="P48:Q48"/>
    <mergeCell ref="C49:M49"/>
    <mergeCell ref="P49:Q49"/>
    <mergeCell ref="C50:M50"/>
    <mergeCell ref="P50:Q50"/>
    <mergeCell ref="C44:M44"/>
    <mergeCell ref="P44:Q44"/>
    <mergeCell ref="C45:M45"/>
    <mergeCell ref="P45:Q45"/>
    <mergeCell ref="C47:M47"/>
    <mergeCell ref="P47:Q47"/>
    <mergeCell ref="C41:M41"/>
    <mergeCell ref="P41:Q41"/>
    <mergeCell ref="C42:M42"/>
    <mergeCell ref="P42:Q42"/>
    <mergeCell ref="C43:M43"/>
    <mergeCell ref="P43:Q43"/>
    <mergeCell ref="E32:Q32"/>
    <mergeCell ref="E33:Q33"/>
    <mergeCell ref="E34:Q34"/>
    <mergeCell ref="E35:Q35"/>
    <mergeCell ref="E36:Q36"/>
    <mergeCell ref="E37:Q37"/>
    <mergeCell ref="D28:Q28"/>
    <mergeCell ref="D29:Q29"/>
    <mergeCell ref="D30:Q30"/>
    <mergeCell ref="D17:F17"/>
    <mergeCell ref="D18:F18"/>
    <mergeCell ref="B20:Q20"/>
    <mergeCell ref="C21:Q21"/>
    <mergeCell ref="C22:Q22"/>
    <mergeCell ref="C23:Q23"/>
    <mergeCell ref="C2:F2"/>
    <mergeCell ref="C3:F3"/>
    <mergeCell ref="C4:F4"/>
    <mergeCell ref="C5:F5"/>
    <mergeCell ref="D7:F7"/>
    <mergeCell ref="D8:F16"/>
    <mergeCell ref="D25:Q25"/>
    <mergeCell ref="D26:Q26"/>
    <mergeCell ref="D27:Q27"/>
  </mergeCells>
  <conditionalFormatting sqref="F109:F116 G102:G116 H104:H116">
    <cfRule type="expression" dxfId="4040" priority="24">
      <formula>IF(OR(#REF!="L",#REF!="C"),TRUE,FALSE)</formula>
    </cfRule>
  </conditionalFormatting>
  <conditionalFormatting sqref="E110:E116">
    <cfRule type="expression" dxfId="4039" priority="23">
      <formula>IF(OR(#REF!="L",#REF!="C"),TRUE,FALSE)</formula>
    </cfRule>
  </conditionalFormatting>
  <conditionalFormatting sqref="E107">
    <cfRule type="expression" dxfId="4038" priority="22">
      <formula>IF(OR(#REF!="L",#REF!="C"),TRUE,FALSE)</formula>
    </cfRule>
  </conditionalFormatting>
  <conditionalFormatting sqref="E108">
    <cfRule type="expression" dxfId="4037" priority="21">
      <formula>IF(OR(#REF!="L",#REF!="C"),TRUE,FALSE)</formula>
    </cfRule>
  </conditionalFormatting>
  <conditionalFormatting sqref="E109">
    <cfRule type="expression" dxfId="4036" priority="20">
      <formula>IF(OR(#REF!="L",#REF!="C"),TRUE,FALSE)</formula>
    </cfRule>
  </conditionalFormatting>
  <conditionalFormatting sqref="E106">
    <cfRule type="expression" dxfId="4035" priority="19">
      <formula>IF(OR(#REF!="L",#REF!="C"),TRUE,FALSE)</formula>
    </cfRule>
  </conditionalFormatting>
  <conditionalFormatting sqref="E95 G95 I95 K95 M95">
    <cfRule type="duplicateValues" dxfId="4034" priority="18"/>
  </conditionalFormatting>
  <conditionalFormatting sqref="M104:M116">
    <cfRule type="expression" dxfId="4033" priority="8">
      <formula>IF(OR(#REF!="L",#REF!="C"),TRUE,FALSE)</formula>
    </cfRule>
  </conditionalFormatting>
  <conditionalFormatting sqref="F102:F106">
    <cfRule type="expression" dxfId="4032" priority="17">
      <formula>IF(OR(#REF!="L",#REF!="C"),TRUE,FALSE)</formula>
    </cfRule>
  </conditionalFormatting>
  <conditionalFormatting sqref="I102:I103">
    <cfRule type="expression" dxfId="4031" priority="15">
      <formula>IF(OR(#REF!="L",#REF!="C"),TRUE,FALSE)</formula>
    </cfRule>
  </conditionalFormatting>
  <conditionalFormatting sqref="N102:N103">
    <cfRule type="expression" dxfId="4030" priority="5">
      <formula>IF(OR(#REF!="L",#REF!="C"),TRUE,FALSE)</formula>
    </cfRule>
  </conditionalFormatting>
  <conditionalFormatting sqref="I104:I116">
    <cfRule type="expression" dxfId="4029" priority="16">
      <formula>IF(OR(#REF!="L",#REF!="C"),TRUE,FALSE)</formula>
    </cfRule>
  </conditionalFormatting>
  <conditionalFormatting sqref="J102:J103">
    <cfRule type="expression" dxfId="4028" priority="13">
      <formula>IF(OR(#REF!="L",#REF!="C"),TRUE,FALSE)</formula>
    </cfRule>
  </conditionalFormatting>
  <conditionalFormatting sqref="J104:J116">
    <cfRule type="expression" dxfId="4027" priority="14">
      <formula>IF(OR(#REF!="L",#REF!="C"),TRUE,FALSE)</formula>
    </cfRule>
  </conditionalFormatting>
  <conditionalFormatting sqref="K102:K103">
    <cfRule type="expression" dxfId="4026" priority="11">
      <formula>IF(OR(#REF!="L",#REF!="C"),TRUE,FALSE)</formula>
    </cfRule>
  </conditionalFormatting>
  <conditionalFormatting sqref="K104:K116">
    <cfRule type="expression" dxfId="4025" priority="12">
      <formula>IF(OR(#REF!="L",#REF!="C"),TRUE,FALSE)</formula>
    </cfRule>
  </conditionalFormatting>
  <conditionalFormatting sqref="L102:L103">
    <cfRule type="expression" dxfId="4024" priority="9">
      <formula>IF(OR(#REF!="L",#REF!="C"),TRUE,FALSE)</formula>
    </cfRule>
  </conditionalFormatting>
  <conditionalFormatting sqref="L104:L116">
    <cfRule type="expression" dxfId="4023" priority="10">
      <formula>IF(OR(#REF!="L",#REF!="C"),TRUE,FALSE)</formula>
    </cfRule>
  </conditionalFormatting>
  <conditionalFormatting sqref="M102:M103">
    <cfRule type="expression" dxfId="4022" priority="7">
      <formula>IF(OR(#REF!="L",#REF!="C"),TRUE,FALSE)</formula>
    </cfRule>
  </conditionalFormatting>
  <conditionalFormatting sqref="N104:N116">
    <cfRule type="expression" dxfId="4021" priority="6">
      <formula>IF(OR(#REF!="L",#REF!="C"),TRUE,FALSE)</formula>
    </cfRule>
  </conditionalFormatting>
  <conditionalFormatting sqref="O104:O116">
    <cfRule type="expression" dxfId="4020" priority="4">
      <formula>IF(OR(#REF!="L",#REF!="C"),TRUE,FALSE)</formula>
    </cfRule>
  </conditionalFormatting>
  <conditionalFormatting sqref="O102:O103">
    <cfRule type="expression" dxfId="4019" priority="3">
      <formula>IF(OR(#REF!="L",#REF!="C"),TRUE,FALSE)</formula>
    </cfRule>
  </conditionalFormatting>
  <conditionalFormatting sqref="G96:N96">
    <cfRule type="duplicateValues" dxfId="4018" priority="2"/>
  </conditionalFormatting>
  <conditionalFormatting sqref="E96:F96">
    <cfRule type="duplicateValues" dxfId="4017" priority="1"/>
  </conditionalFormatting>
  <dataValidations count="7">
    <dataValidation type="list" allowBlank="1" showInputMessage="1" showErrorMessage="1" sqref="F72:F74" xr:uid="{CED2BC35-0020-4777-A7C8-4D002722D9D9}">
      <formula1>$C$102:$C$107</formula1>
    </dataValidation>
    <dataValidation type="list" allowBlank="1" showInputMessage="1" showErrorMessage="1" sqref="C4" xr:uid="{9BF60327-CA3F-46DA-8D64-808598820CA5}">
      <formula1>"COM,RES"</formula1>
    </dataValidation>
    <dataValidation type="list" allowBlank="1" showInputMessage="1" showErrorMessage="1" sqref="C9" xr:uid="{AF2094CE-5442-4150-906B-4C2204310D93}">
      <formula1>INDIRECT("MeasureTypeList[Index]")</formula1>
    </dataValidation>
    <dataValidation type="list" allowBlank="1" showInputMessage="1" showErrorMessage="1" sqref="C26" xr:uid="{F824F90C-B916-4CD2-A5A0-BE535B0D1933}">
      <formula1>INDIRECT("RegionList[Index]")</formula1>
    </dataValidation>
    <dataValidation type="list" allowBlank="1" showInputMessage="1" showErrorMessage="1" sqref="C27" xr:uid="{85525115-7E6B-4831-9EAE-CF7B79F43E7F}">
      <formula1>INDIRECT("ReplacementTypeList[Index]")</formula1>
    </dataValidation>
    <dataValidation type="list" allowBlank="1" showInputMessage="1" showErrorMessage="1" sqref="C28" xr:uid="{F825E0CB-8208-44A4-A12D-F52AE20F0D78}">
      <formula1>INDIRECT("BuildingType[Building]")</formula1>
    </dataValidation>
    <dataValidation type="list" allowBlank="1" showInputMessage="1" showErrorMessage="1" sqref="C29 C30" xr:uid="{6851E1DD-F6F9-48F5-8BE2-08C24A6C390F}">
      <formula1>INDIRECT("FuelTypeList[Index]")</formula1>
    </dataValidation>
  </dataValidation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D907C-B65B-4467-9591-27FC98C7BB53}">
  <sheetPr codeName="Sheet11"/>
  <dimension ref="A2:R116"/>
  <sheetViews>
    <sheetView workbookViewId="0">
      <selection activeCell="D106" sqref="D106"/>
    </sheetView>
  </sheetViews>
  <sheetFormatPr defaultColWidth="9.08984375" defaultRowHeight="18.75" customHeight="1" x14ac:dyDescent="0.3"/>
  <cols>
    <col min="1" max="1" width="2.36328125" style="488" customWidth="1"/>
    <col min="2" max="2" width="44.36328125" style="488" bestFit="1" customWidth="1"/>
    <col min="3" max="3" width="19.81640625" style="488" customWidth="1"/>
    <col min="4" max="4" width="21.6328125" style="488" customWidth="1"/>
    <col min="5" max="5" width="15" style="488" customWidth="1"/>
    <col min="6" max="6" width="18.6328125" style="488" customWidth="1"/>
    <col min="7" max="7" width="19.6328125" style="488" customWidth="1"/>
    <col min="8" max="8" width="16" style="488" customWidth="1"/>
    <col min="9" max="9" width="10.36328125" style="488" customWidth="1"/>
    <col min="10" max="10" width="14.6328125" style="488" customWidth="1"/>
    <col min="11" max="12" width="9.08984375" style="488" bestFit="1"/>
    <col min="13" max="13" width="11" style="488" customWidth="1"/>
    <col min="14" max="14" width="12.36328125" style="488" customWidth="1"/>
    <col min="15" max="15" width="10.6328125" style="488" customWidth="1"/>
    <col min="16" max="17" width="9.08984375" style="488" bestFit="1"/>
    <col min="18" max="18" width="9.81640625" style="623" customWidth="1"/>
    <col min="19" max="19" width="9.08984375" style="488" bestFit="1"/>
    <col min="20" max="20" width="8.6328125" style="488" customWidth="1"/>
    <col min="21" max="16384" width="9.08984375" style="488"/>
  </cols>
  <sheetData>
    <row r="2" spans="1:18" ht="18.75" customHeight="1" x14ac:dyDescent="0.3">
      <c r="B2" s="1203" t="s">
        <v>506</v>
      </c>
      <c r="C2" s="1608" t="s">
        <v>406</v>
      </c>
      <c r="D2" s="1608"/>
      <c r="E2" s="1608"/>
      <c r="F2" s="1608"/>
    </row>
    <row r="3" spans="1:18" ht="18.75" customHeight="1" x14ac:dyDescent="0.3">
      <c r="B3" s="624" t="s">
        <v>407</v>
      </c>
      <c r="C3" s="1367" t="str">
        <f>IF(ISBLANK(C8)+ISBLANK(C10),C8,C8&amp;"_"&amp;C10)</f>
        <v>R-L-001</v>
      </c>
      <c r="D3" s="1367"/>
      <c r="E3" s="1367"/>
      <c r="F3" s="1367"/>
    </row>
    <row r="4" spans="1:18" ht="18.75" customHeight="1" x14ac:dyDescent="0.3">
      <c r="B4" s="624" t="s">
        <v>11</v>
      </c>
      <c r="C4" s="1367" t="str" cm="1">
        <f t="array" ref="C4">_xlfn.SWITCH(LEFT(C8,1),"R","Residential","C","Commercial","ERROR")</f>
        <v>Residential</v>
      </c>
      <c r="D4" s="1367"/>
      <c r="E4" s="1367"/>
      <c r="F4" s="1367"/>
    </row>
    <row r="5" spans="1:18" ht="19.5" customHeight="1" x14ac:dyDescent="0.3">
      <c r="B5" s="624" t="s">
        <v>408</v>
      </c>
      <c r="C5" s="1530" t="s">
        <v>248</v>
      </c>
      <c r="D5" s="1531"/>
      <c r="E5" s="1531"/>
      <c r="F5" s="1532"/>
      <c r="R5" s="488"/>
    </row>
    <row r="6" spans="1:18" ht="18.75" customHeight="1" x14ac:dyDescent="0.3">
      <c r="A6" s="573"/>
    </row>
    <row r="7" spans="1:18" ht="18.75" customHeight="1" x14ac:dyDescent="0.3">
      <c r="B7" s="1203" t="s">
        <v>409</v>
      </c>
      <c r="C7" s="1202" t="s">
        <v>406</v>
      </c>
      <c r="D7" s="1607" t="s">
        <v>410</v>
      </c>
      <c r="E7" s="1607"/>
      <c r="F7" s="1607"/>
      <c r="R7" s="488"/>
    </row>
    <row r="8" spans="1:18" ht="18.75" customHeight="1" x14ac:dyDescent="0.3">
      <c r="B8" s="624" t="s">
        <v>411</v>
      </c>
      <c r="C8" s="1218" t="s">
        <v>165</v>
      </c>
      <c r="D8" s="1457"/>
      <c r="E8" s="1457"/>
      <c r="F8" s="1457"/>
      <c r="R8" s="488"/>
    </row>
    <row r="9" spans="1:18" ht="18.75" customHeight="1" x14ac:dyDescent="0.3">
      <c r="B9" s="624" t="s">
        <v>49</v>
      </c>
      <c r="C9" s="1218" t="s">
        <v>677</v>
      </c>
      <c r="D9" s="1457"/>
      <c r="E9" s="1457"/>
      <c r="F9" s="1457"/>
      <c r="R9" s="488"/>
    </row>
    <row r="10" spans="1:18" ht="18.75" customHeight="1" x14ac:dyDescent="0.3">
      <c r="B10" s="624" t="s">
        <v>412</v>
      </c>
      <c r="C10" s="1218"/>
      <c r="D10" s="1457"/>
      <c r="E10" s="1457"/>
      <c r="F10" s="1457"/>
      <c r="R10" s="488"/>
    </row>
    <row r="11" spans="1:18" ht="18.75" customHeight="1" x14ac:dyDescent="0.3">
      <c r="B11" s="624" t="s">
        <v>413</v>
      </c>
      <c r="C11" s="1218"/>
      <c r="D11" s="1457"/>
      <c r="E11" s="1457"/>
      <c r="F11" s="1457"/>
      <c r="R11" s="488"/>
    </row>
    <row r="12" spans="1:18" ht="18.75" customHeight="1" x14ac:dyDescent="0.3">
      <c r="B12" s="624" t="s">
        <v>414</v>
      </c>
      <c r="C12" s="665"/>
      <c r="D12" s="1457"/>
      <c r="E12" s="1457"/>
      <c r="F12" s="1457"/>
      <c r="R12" s="488"/>
    </row>
    <row r="13" spans="1:18" ht="18.75" customHeight="1" x14ac:dyDescent="0.3">
      <c r="B13" s="626" t="s">
        <v>415</v>
      </c>
      <c r="C13" s="658" t="e">
        <f>N43</f>
        <v>#VALUE!</v>
      </c>
      <c r="D13" s="1457"/>
      <c r="E13" s="1457"/>
      <c r="F13" s="1457"/>
      <c r="R13" s="488"/>
    </row>
    <row r="14" spans="1:18" ht="18.75" customHeight="1" x14ac:dyDescent="0.3">
      <c r="B14" s="626" t="s">
        <v>416</v>
      </c>
      <c r="C14" s="658">
        <f>N42</f>
        <v>0</v>
      </c>
      <c r="D14" s="1457"/>
      <c r="E14" s="1457"/>
      <c r="F14" s="1457"/>
      <c r="R14" s="488"/>
    </row>
    <row r="15" spans="1:18" ht="18.75" customHeight="1" x14ac:dyDescent="0.3">
      <c r="B15" s="626" t="s">
        <v>417</v>
      </c>
      <c r="C15" s="658" t="e">
        <f>N44</f>
        <v>#VALUE!</v>
      </c>
      <c r="D15" s="1457"/>
      <c r="E15" s="1457"/>
      <c r="F15" s="1457"/>
      <c r="R15" s="488"/>
    </row>
    <row r="16" spans="1:18" ht="18.75" customHeight="1" x14ac:dyDescent="0.3">
      <c r="B16" s="626" t="s">
        <v>418</v>
      </c>
      <c r="C16" s="659">
        <f>C37</f>
        <v>0</v>
      </c>
      <c r="D16" s="1457"/>
      <c r="E16" s="1457"/>
      <c r="F16" s="1457"/>
      <c r="R16" s="488"/>
    </row>
    <row r="17" spans="2:18" ht="18.75" customHeight="1" x14ac:dyDescent="0.3">
      <c r="B17" s="624" t="s">
        <v>48</v>
      </c>
      <c r="C17" s="1218" t="s">
        <v>678</v>
      </c>
      <c r="D17" s="1607" t="s">
        <v>419</v>
      </c>
      <c r="E17" s="1607"/>
      <c r="F17" s="1607"/>
      <c r="R17" s="488"/>
    </row>
    <row r="18" spans="2:18" ht="18.75" customHeight="1" x14ac:dyDescent="0.3">
      <c r="B18" s="624" t="s">
        <v>420</v>
      </c>
      <c r="C18" s="666">
        <v>10</v>
      </c>
      <c r="D18" s="1513" t="s">
        <v>679</v>
      </c>
      <c r="E18" s="1513"/>
      <c r="F18" s="1513"/>
      <c r="R18" s="488"/>
    </row>
    <row r="19" spans="2:18" ht="18.75" customHeight="1" x14ac:dyDescent="0.3">
      <c r="B19" s="627"/>
      <c r="C19" s="576"/>
      <c r="R19" s="488"/>
    </row>
    <row r="20" spans="2:18" ht="18.75" customHeight="1" x14ac:dyDescent="0.3">
      <c r="B20" s="1609" t="s">
        <v>421</v>
      </c>
      <c r="C20" s="1609"/>
      <c r="D20" s="1609"/>
      <c r="E20" s="1609"/>
      <c r="F20" s="1609"/>
      <c r="G20" s="1609"/>
      <c r="H20" s="1609"/>
      <c r="I20" s="1609"/>
      <c r="J20" s="1609"/>
      <c r="K20" s="1609"/>
      <c r="L20" s="1609"/>
      <c r="M20" s="1609"/>
      <c r="N20" s="1609"/>
      <c r="O20" s="1609"/>
      <c r="P20" s="1609"/>
      <c r="Q20" s="1609"/>
      <c r="R20" s="488"/>
    </row>
    <row r="21" spans="2:18" ht="42.75" customHeight="1" x14ac:dyDescent="0.3">
      <c r="B21" s="656" t="s">
        <v>422</v>
      </c>
      <c r="C21" s="1637" t="s">
        <v>370</v>
      </c>
      <c r="D21" s="1637"/>
      <c r="E21" s="1637"/>
      <c r="F21" s="1637"/>
      <c r="G21" s="1637"/>
      <c r="H21" s="1637"/>
      <c r="I21" s="1637"/>
      <c r="J21" s="1637"/>
      <c r="K21" s="1637"/>
      <c r="L21" s="1637"/>
      <c r="M21" s="1637"/>
      <c r="N21" s="1637"/>
      <c r="O21" s="1637"/>
      <c r="P21" s="1637"/>
      <c r="Q21" s="1637"/>
      <c r="R21" s="488"/>
    </row>
    <row r="22" spans="2:18" ht="18.75" customHeight="1" x14ac:dyDescent="0.3">
      <c r="B22" s="628" t="s">
        <v>423</v>
      </c>
      <c r="C22" s="1536" t="s">
        <v>371</v>
      </c>
      <c r="D22" s="1536"/>
      <c r="E22" s="1536"/>
      <c r="F22" s="1536"/>
      <c r="G22" s="1536"/>
      <c r="H22" s="1536"/>
      <c r="I22" s="1536"/>
      <c r="J22" s="1536"/>
      <c r="K22" s="1536"/>
      <c r="L22" s="1536"/>
      <c r="M22" s="1536"/>
      <c r="N22" s="1536"/>
      <c r="O22" s="1536"/>
      <c r="P22" s="1536"/>
      <c r="Q22" s="1536"/>
      <c r="R22" s="488"/>
    </row>
    <row r="23" spans="2:18" ht="18.75" customHeight="1" x14ac:dyDescent="0.3">
      <c r="B23" s="628"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203" t="s">
        <v>425</v>
      </c>
      <c r="C25" s="625" t="s">
        <v>406</v>
      </c>
      <c r="D25" s="1607" t="s">
        <v>421</v>
      </c>
      <c r="E25" s="1607"/>
      <c r="F25" s="1607"/>
      <c r="G25" s="1607"/>
      <c r="H25" s="1607"/>
      <c r="I25" s="1607"/>
      <c r="J25" s="1607"/>
      <c r="K25" s="1607"/>
      <c r="L25" s="1607"/>
      <c r="M25" s="1607"/>
      <c r="N25" s="1607"/>
      <c r="O25" s="1607"/>
      <c r="P25" s="1607"/>
      <c r="Q25" s="1607"/>
      <c r="R25" s="488"/>
    </row>
    <row r="26" spans="2:18" ht="18.75" customHeight="1" x14ac:dyDescent="0.3">
      <c r="B26" s="624"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624"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624" t="s">
        <v>54</v>
      </c>
      <c r="C28" s="539" t="str">
        <f>Default.BuildingType.R</f>
        <v>Home - detached</v>
      </c>
      <c r="D28" s="1386"/>
      <c r="E28" s="1386"/>
      <c r="F28" s="1386"/>
      <c r="G28" s="1386"/>
      <c r="H28" s="1386"/>
      <c r="I28" s="1386"/>
      <c r="J28" s="1386"/>
      <c r="K28" s="1386"/>
      <c r="L28" s="1386"/>
      <c r="M28" s="1386"/>
      <c r="N28" s="1386"/>
      <c r="O28" s="1386"/>
      <c r="P28" s="1386"/>
      <c r="Q28" s="1386"/>
      <c r="R28" s="488"/>
    </row>
    <row r="29" spans="2:18" ht="18.75" customHeight="1" x14ac:dyDescent="0.3">
      <c r="B29" s="624"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624"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203" t="s">
        <v>427</v>
      </c>
      <c r="C32" s="1202" t="s">
        <v>406</v>
      </c>
      <c r="D32" s="625" t="s">
        <v>428</v>
      </c>
      <c r="E32" s="1607" t="s">
        <v>419</v>
      </c>
      <c r="F32" s="1607"/>
      <c r="G32" s="1607"/>
      <c r="H32" s="1607"/>
      <c r="I32" s="1607"/>
      <c r="J32" s="1607"/>
      <c r="K32" s="1607"/>
      <c r="L32" s="1607"/>
      <c r="M32" s="1607"/>
      <c r="N32" s="1607"/>
      <c r="O32" s="1607"/>
      <c r="P32" s="1607"/>
      <c r="Q32" s="1607"/>
    </row>
    <row r="33" spans="2:18" ht="18.75" customHeight="1" x14ac:dyDescent="0.3">
      <c r="B33" s="624" t="s">
        <v>429</v>
      </c>
      <c r="C33" s="640"/>
      <c r="D33" s="586" t="s">
        <v>430</v>
      </c>
      <c r="E33" s="1512"/>
      <c r="F33" s="1512"/>
      <c r="G33" s="1512"/>
      <c r="H33" s="1512"/>
      <c r="I33" s="1512"/>
      <c r="J33" s="1512"/>
      <c r="K33" s="1512"/>
      <c r="L33" s="1512"/>
      <c r="M33" s="1512"/>
      <c r="N33" s="1512"/>
      <c r="O33" s="1512"/>
      <c r="P33" s="1512"/>
      <c r="Q33" s="1512"/>
      <c r="R33" s="488"/>
    </row>
    <row r="34" spans="2:18" ht="18.75" customHeight="1" x14ac:dyDescent="0.3">
      <c r="B34" s="626" t="s">
        <v>431</v>
      </c>
      <c r="C34" s="640"/>
      <c r="D34" s="586" t="s">
        <v>430</v>
      </c>
      <c r="E34" s="1442"/>
      <c r="F34" s="1442"/>
      <c r="G34" s="1442"/>
      <c r="H34" s="1442"/>
      <c r="I34" s="1442"/>
      <c r="J34" s="1442"/>
      <c r="K34" s="1442"/>
      <c r="L34" s="1442"/>
      <c r="M34" s="1442"/>
      <c r="N34" s="1442"/>
      <c r="O34" s="1442"/>
      <c r="P34" s="1442"/>
      <c r="Q34" s="1442"/>
    </row>
    <row r="35" spans="2:18" ht="18.75" customHeight="1" x14ac:dyDescent="0.3">
      <c r="B35" s="624" t="s">
        <v>432</v>
      </c>
      <c r="C35" s="640"/>
      <c r="D35" s="586" t="s">
        <v>430</v>
      </c>
      <c r="E35" s="1512"/>
      <c r="F35" s="1512"/>
      <c r="G35" s="1512"/>
      <c r="H35" s="1512"/>
      <c r="I35" s="1512"/>
      <c r="J35" s="1512"/>
      <c r="K35" s="1512"/>
      <c r="L35" s="1512"/>
      <c r="M35" s="1512"/>
      <c r="N35" s="1512"/>
      <c r="O35" s="1512"/>
      <c r="P35" s="1512"/>
      <c r="Q35" s="1512"/>
    </row>
    <row r="36" spans="2:18" ht="18.75" customHeight="1" x14ac:dyDescent="0.3">
      <c r="B36" s="626" t="s">
        <v>433</v>
      </c>
      <c r="C36" s="629">
        <f>SUM(C33:C34)</f>
        <v>0</v>
      </c>
      <c r="D36" s="586" t="s">
        <v>430</v>
      </c>
      <c r="E36" s="1442"/>
      <c r="F36" s="1442"/>
      <c r="G36" s="1442"/>
      <c r="H36" s="1442"/>
      <c r="I36" s="1442"/>
      <c r="J36" s="1442"/>
      <c r="K36" s="1442"/>
      <c r="L36" s="1442"/>
      <c r="M36" s="1442"/>
      <c r="N36" s="1442"/>
      <c r="O36" s="1442"/>
      <c r="P36" s="1442"/>
      <c r="Q36" s="1442"/>
    </row>
    <row r="37" spans="2:18" ht="18.75" customHeight="1" x14ac:dyDescent="0.3">
      <c r="B37" s="626" t="s">
        <v>434</v>
      </c>
      <c r="C37" s="629">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630" t="s">
        <v>435</v>
      </c>
      <c r="C39" s="631"/>
      <c r="D39" s="631"/>
      <c r="E39" s="631"/>
      <c r="F39" s="631"/>
      <c r="G39" s="631"/>
      <c r="H39" s="513"/>
      <c r="I39" s="513"/>
      <c r="J39" s="513"/>
      <c r="K39" s="513"/>
      <c r="L39" s="513"/>
      <c r="M39" s="513"/>
      <c r="N39" s="513"/>
      <c r="O39" s="513"/>
      <c r="P39" s="513"/>
      <c r="Q39" s="514"/>
    </row>
    <row r="41" spans="2:18" ht="18.75" customHeight="1" x14ac:dyDescent="0.3">
      <c r="B41" s="632" t="s">
        <v>436</v>
      </c>
      <c r="C41" s="1596" t="s">
        <v>437</v>
      </c>
      <c r="D41" s="1597"/>
      <c r="E41" s="1597"/>
      <c r="F41" s="1597"/>
      <c r="G41" s="1597"/>
      <c r="H41" s="1597"/>
      <c r="I41" s="1597"/>
      <c r="J41" s="1597"/>
      <c r="K41" s="1597"/>
      <c r="L41" s="1597"/>
      <c r="M41" s="1598"/>
      <c r="N41" s="1205" t="s">
        <v>406</v>
      </c>
      <c r="O41" s="1205" t="s">
        <v>428</v>
      </c>
      <c r="P41" s="1599" t="s">
        <v>419</v>
      </c>
      <c r="Q41" s="159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t="e">
        <f>N49+N55</f>
        <v>#VALUE!</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t="e">
        <f>N50+N56</f>
        <v>#VALUE!</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623"/>
      <c r="R46" s="488"/>
    </row>
    <row r="47" spans="2:18" ht="18.75" customHeight="1" x14ac:dyDescent="0.3">
      <c r="B47" s="632" t="s">
        <v>450</v>
      </c>
      <c r="C47" s="1596" t="s">
        <v>451</v>
      </c>
      <c r="D47" s="1597"/>
      <c r="E47" s="1597"/>
      <c r="F47" s="1597"/>
      <c r="G47" s="1597"/>
      <c r="H47" s="1597"/>
      <c r="I47" s="1597"/>
      <c r="J47" s="1597"/>
      <c r="K47" s="1597"/>
      <c r="L47" s="1597"/>
      <c r="M47" s="1598"/>
      <c r="N47" s="1205" t="s">
        <v>406</v>
      </c>
      <c r="O47" s="1205" t="s">
        <v>428</v>
      </c>
      <c r="P47" s="1599" t="s">
        <v>419</v>
      </c>
      <c r="Q47" s="159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680</v>
      </c>
      <c r="D49" s="1505"/>
      <c r="E49" s="1505"/>
      <c r="F49" s="1505"/>
      <c r="G49" s="1505"/>
      <c r="H49" s="1505"/>
      <c r="I49" s="1505"/>
      <c r="J49" s="1505"/>
      <c r="K49" s="1505"/>
      <c r="L49" s="1505"/>
      <c r="M49" s="1506"/>
      <c r="N49" s="594" t="e">
        <f>H62*H65*H66*H67</f>
        <v>#VALUE!</v>
      </c>
      <c r="O49" s="1243" t="s">
        <v>443</v>
      </c>
      <c r="P49" s="1511" t="s">
        <v>681</v>
      </c>
      <c r="Q49" s="1511"/>
      <c r="R49" s="488"/>
    </row>
    <row r="50" spans="2:18" ht="18.75" customHeight="1" x14ac:dyDescent="0.3">
      <c r="B50" s="582" t="s">
        <v>456</v>
      </c>
      <c r="C50" s="1504" t="s">
        <v>457</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623"/>
      <c r="R52" s="488"/>
    </row>
    <row r="53" spans="2:18" s="634" customFormat="1" ht="18.75" customHeight="1" x14ac:dyDescent="0.3">
      <c r="B53" s="632" t="s">
        <v>460</v>
      </c>
      <c r="C53" s="1596" t="s">
        <v>461</v>
      </c>
      <c r="D53" s="1597"/>
      <c r="E53" s="1597"/>
      <c r="F53" s="1597"/>
      <c r="G53" s="1597"/>
      <c r="H53" s="1597"/>
      <c r="I53" s="1597"/>
      <c r="J53" s="1597"/>
      <c r="K53" s="1597"/>
      <c r="L53" s="1597"/>
      <c r="M53" s="1598"/>
      <c r="N53" s="1205" t="s">
        <v>406</v>
      </c>
      <c r="O53" s="1205" t="s">
        <v>428</v>
      </c>
      <c r="P53" s="1599" t="s">
        <v>419</v>
      </c>
      <c r="Q53" s="1599"/>
    </row>
    <row r="54" spans="2:18" s="634" customFormat="1" ht="18.75" customHeight="1" x14ac:dyDescent="0.3">
      <c r="B54" s="664" t="s">
        <v>462</v>
      </c>
      <c r="C54" s="1638" t="s">
        <v>463</v>
      </c>
      <c r="D54" s="1639"/>
      <c r="E54" s="1639"/>
      <c r="F54" s="1639"/>
      <c r="G54" s="1639"/>
      <c r="H54" s="1639"/>
      <c r="I54" s="1639"/>
      <c r="J54" s="1639"/>
      <c r="K54" s="1639"/>
      <c r="L54" s="1639"/>
      <c r="M54" s="1640"/>
      <c r="N54" s="667"/>
      <c r="O54" s="1246" t="s">
        <v>440</v>
      </c>
      <c r="P54" s="1641"/>
      <c r="Q54" s="1641"/>
    </row>
    <row r="55" spans="2:18" s="634" customFormat="1" ht="18.75" customHeight="1" x14ac:dyDescent="0.3">
      <c r="B55" s="664" t="s">
        <v>464</v>
      </c>
      <c r="C55" s="1638" t="s">
        <v>465</v>
      </c>
      <c r="D55" s="1639"/>
      <c r="E55" s="1639"/>
      <c r="F55" s="1639"/>
      <c r="G55" s="1639"/>
      <c r="H55" s="1639"/>
      <c r="I55" s="1639"/>
      <c r="J55" s="1639"/>
      <c r="K55" s="1639"/>
      <c r="L55" s="1639"/>
      <c r="M55" s="1640"/>
      <c r="N55" s="668"/>
      <c r="O55" s="1246" t="s">
        <v>443</v>
      </c>
      <c r="P55" s="1641"/>
      <c r="Q55" s="1641"/>
    </row>
    <row r="56" spans="2:18" s="634" customFormat="1" ht="18.75" customHeight="1" x14ac:dyDescent="0.3">
      <c r="B56" s="664" t="s">
        <v>466</v>
      </c>
      <c r="C56" s="1504" t="s">
        <v>682</v>
      </c>
      <c r="D56" s="1505"/>
      <c r="E56" s="1505"/>
      <c r="F56" s="1505"/>
      <c r="G56" s="1505"/>
      <c r="H56" s="1505"/>
      <c r="I56" s="1505"/>
      <c r="J56" s="1505"/>
      <c r="K56" s="1505"/>
      <c r="L56" s="1505"/>
      <c r="M56" s="1506"/>
      <c r="N56" s="594" t="e">
        <f>H62*H65*H66*H68*D86</f>
        <v>#VALUE!</v>
      </c>
      <c r="O56" s="1246" t="s">
        <v>446</v>
      </c>
      <c r="P56" s="1641" t="s">
        <v>683</v>
      </c>
      <c r="Q56" s="1641"/>
    </row>
    <row r="57" spans="2:18" s="634" customFormat="1" ht="18.75" customHeight="1" x14ac:dyDescent="0.3">
      <c r="B57" s="664" t="s">
        <v>468</v>
      </c>
      <c r="C57" s="1638" t="s">
        <v>469</v>
      </c>
      <c r="D57" s="1639"/>
      <c r="E57" s="1639"/>
      <c r="F57" s="1639"/>
      <c r="G57" s="1639"/>
      <c r="H57" s="1639"/>
      <c r="I57" s="1639"/>
      <c r="J57" s="1639"/>
      <c r="K57" s="1639"/>
      <c r="L57" s="1639"/>
      <c r="M57" s="1640"/>
      <c r="N57" s="669"/>
      <c r="O57" s="1246" t="s">
        <v>449</v>
      </c>
      <c r="P57" s="1641"/>
      <c r="Q57" s="1641"/>
    </row>
    <row r="58" spans="2:18" s="634" customFormat="1" ht="18.75" customHeight="1" x14ac:dyDescent="0.3">
      <c r="B58" s="660"/>
      <c r="C58" s="661"/>
      <c r="D58" s="662"/>
      <c r="E58" s="662"/>
      <c r="F58" s="662"/>
      <c r="G58" s="662"/>
      <c r="H58" s="662"/>
      <c r="I58" s="662"/>
      <c r="J58" s="662"/>
      <c r="K58" s="662"/>
      <c r="L58" s="662"/>
      <c r="M58" s="662"/>
      <c r="N58" s="662"/>
      <c r="O58" s="662"/>
      <c r="R58" s="623"/>
    </row>
    <row r="59" spans="2:18" ht="18.75" customHeight="1" x14ac:dyDescent="0.3">
      <c r="B59" s="630" t="s">
        <v>470</v>
      </c>
      <c r="C59" s="631"/>
      <c r="D59" s="631"/>
      <c r="E59" s="631"/>
      <c r="F59" s="631"/>
      <c r="G59" s="631"/>
      <c r="H59" s="513"/>
      <c r="I59" s="513"/>
      <c r="J59" s="513"/>
      <c r="K59" s="513"/>
      <c r="L59" s="513"/>
      <c r="M59" s="513"/>
      <c r="N59" s="513"/>
      <c r="O59" s="513"/>
      <c r="P59" s="513"/>
      <c r="Q59" s="514"/>
    </row>
    <row r="61" spans="2:18" ht="18.75" customHeight="1" x14ac:dyDescent="0.3">
      <c r="B61" s="632" t="s">
        <v>471</v>
      </c>
      <c r="C61" s="632" t="s">
        <v>472</v>
      </c>
      <c r="D61" s="1592" t="s">
        <v>473</v>
      </c>
      <c r="E61" s="1592"/>
      <c r="F61" s="632" t="s">
        <v>474</v>
      </c>
      <c r="G61" s="632" t="s">
        <v>475</v>
      </c>
      <c r="H61" s="1205" t="s">
        <v>406</v>
      </c>
      <c r="I61" s="1205" t="s">
        <v>428</v>
      </c>
      <c r="J61" s="1593" t="s">
        <v>476</v>
      </c>
      <c r="K61" s="1594"/>
      <c r="L61" s="1594"/>
      <c r="M61" s="1594"/>
      <c r="N61" s="1594"/>
      <c r="O61" s="1594"/>
      <c r="P61" s="1594"/>
      <c r="Q61" s="1595"/>
    </row>
    <row r="62" spans="2:18" ht="62.25" customHeight="1" x14ac:dyDescent="0.3">
      <c r="B62" s="535">
        <v>1</v>
      </c>
      <c r="C62" s="551" t="s">
        <v>684</v>
      </c>
      <c r="D62" s="1543" t="s">
        <v>685</v>
      </c>
      <c r="E62" s="1543"/>
      <c r="F62" s="552"/>
      <c r="G62" s="552"/>
      <c r="H62" s="552">
        <v>0.56000000000000005</v>
      </c>
      <c r="I62" s="552" t="s">
        <v>440</v>
      </c>
      <c r="J62" s="1482" t="s">
        <v>686</v>
      </c>
      <c r="K62" s="1484"/>
      <c r="L62" s="1484"/>
      <c r="M62" s="1484"/>
      <c r="N62" s="1484"/>
      <c r="O62" s="1484"/>
      <c r="P62" s="1484"/>
      <c r="Q62" s="1483"/>
      <c r="R62" s="488"/>
    </row>
    <row r="63" spans="2:18" ht="29.5" customHeight="1" x14ac:dyDescent="0.3">
      <c r="B63" s="533">
        <v>2</v>
      </c>
      <c r="C63" s="546" t="s">
        <v>687</v>
      </c>
      <c r="D63" s="1539" t="s">
        <v>688</v>
      </c>
      <c r="E63" s="1539"/>
      <c r="F63" s="1217"/>
      <c r="G63" s="1217"/>
      <c r="H63" s="1217" t="s">
        <v>689</v>
      </c>
      <c r="I63" s="1217" t="s">
        <v>597</v>
      </c>
      <c r="J63" s="1507" t="s">
        <v>690</v>
      </c>
      <c r="K63" s="1514"/>
      <c r="L63" s="1514"/>
      <c r="M63" s="1514"/>
      <c r="N63" s="1514"/>
      <c r="O63" s="1514"/>
      <c r="P63" s="1514"/>
      <c r="Q63" s="1515"/>
      <c r="R63" s="488"/>
    </row>
    <row r="64" spans="2:18" ht="41.25" customHeight="1" x14ac:dyDescent="0.3">
      <c r="B64" s="533">
        <v>3</v>
      </c>
      <c r="C64" s="546" t="s">
        <v>691</v>
      </c>
      <c r="D64" s="1539" t="s">
        <v>692</v>
      </c>
      <c r="E64" s="1539"/>
      <c r="F64" s="1217"/>
      <c r="G64" s="1217"/>
      <c r="H64" s="1217" t="s">
        <v>693</v>
      </c>
      <c r="I64" s="1217" t="s">
        <v>597</v>
      </c>
      <c r="J64" s="1507" t="s">
        <v>694</v>
      </c>
      <c r="K64" s="1514"/>
      <c r="L64" s="1514"/>
      <c r="M64" s="1514"/>
      <c r="N64" s="1514"/>
      <c r="O64" s="1514"/>
      <c r="P64" s="1514"/>
      <c r="Q64" s="1515"/>
      <c r="R64" s="488"/>
    </row>
    <row r="65" spans="2:18" ht="43.5" customHeight="1" x14ac:dyDescent="0.3">
      <c r="B65" s="533">
        <v>4</v>
      </c>
      <c r="C65" s="546" t="s">
        <v>695</v>
      </c>
      <c r="D65" s="1539" t="s">
        <v>696</v>
      </c>
      <c r="E65" s="1539"/>
      <c r="F65" s="1217"/>
      <c r="G65" s="1217"/>
      <c r="H65" s="554">
        <v>0.4</v>
      </c>
      <c r="I65" s="1217" t="s">
        <v>519</v>
      </c>
      <c r="J65" s="1468" t="s">
        <v>697</v>
      </c>
      <c r="K65" s="1478"/>
      <c r="L65" s="1478"/>
      <c r="M65" s="1478"/>
      <c r="N65" s="1478"/>
      <c r="O65" s="1478"/>
      <c r="P65" s="1478"/>
      <c r="Q65" s="1469"/>
      <c r="R65" s="488"/>
    </row>
    <row r="66" spans="2:18" ht="83.25" customHeight="1" x14ac:dyDescent="0.3">
      <c r="B66" s="534">
        <v>5</v>
      </c>
      <c r="C66" s="549" t="s">
        <v>698</v>
      </c>
      <c r="D66" s="1556" t="s">
        <v>699</v>
      </c>
      <c r="E66" s="1556"/>
      <c r="F66" s="1238" t="str">
        <f>H63</f>
        <v>Indoor conditioned space</v>
      </c>
      <c r="G66" s="1238" t="str">
        <f>C66</f>
        <v>Hours</v>
      </c>
      <c r="H66" s="670" t="str">
        <f>IFERROR(INDEX($C$96:$N$116,MATCH(F66,$C$96:$C$116,0),MATCH(G66,$C$96:$N$96,0)),"")</f>
        <v/>
      </c>
      <c r="I66" s="1238" t="s">
        <v>532</v>
      </c>
      <c r="J66" s="1462" t="s">
        <v>700</v>
      </c>
      <c r="K66" s="1464"/>
      <c r="L66" s="1464"/>
      <c r="M66" s="1464"/>
      <c r="N66" s="1464"/>
      <c r="O66" s="1464"/>
      <c r="P66" s="1464"/>
      <c r="Q66" s="1463"/>
      <c r="R66" s="488"/>
    </row>
    <row r="67" spans="2:18" ht="60" customHeight="1" x14ac:dyDescent="0.3">
      <c r="B67" s="534">
        <v>6</v>
      </c>
      <c r="C67" s="549" t="s">
        <v>701</v>
      </c>
      <c r="D67" s="1556" t="s">
        <v>702</v>
      </c>
      <c r="E67" s="1556"/>
      <c r="F67" s="1238" t="str">
        <f>H63</f>
        <v>Indoor conditioned space</v>
      </c>
      <c r="G67" s="1238" t="str">
        <f>_xlfn.IFS(H64="heating only",F96,H64="heating and cooling",G96,H64="cooling unknown",H96)</f>
        <v>Heating Only</v>
      </c>
      <c r="H67" s="671" t="str">
        <f>IFERROR(INDEX($C$96:$N$116,MATCH(F67,$C$96:$C$116,0),MATCH(G67,$C$96:$N$96,0)),"")</f>
        <v/>
      </c>
      <c r="I67" s="1238" t="s">
        <v>443</v>
      </c>
      <c r="J67" s="1462" t="s">
        <v>703</v>
      </c>
      <c r="K67" s="1464"/>
      <c r="L67" s="1464"/>
      <c r="M67" s="1464"/>
      <c r="N67" s="1464"/>
      <c r="O67" s="1464"/>
      <c r="P67" s="1464"/>
      <c r="Q67" s="1463"/>
      <c r="R67" s="488"/>
    </row>
    <row r="68" spans="2:18" ht="30" customHeight="1" x14ac:dyDescent="0.3">
      <c r="B68" s="534">
        <v>7</v>
      </c>
      <c r="C68" s="549" t="s">
        <v>704</v>
      </c>
      <c r="D68" s="1556" t="s">
        <v>705</v>
      </c>
      <c r="E68" s="1556"/>
      <c r="F68" s="1238" t="str">
        <f>H63</f>
        <v>Indoor conditioned space</v>
      </c>
      <c r="G68" s="1238" t="s">
        <v>706</v>
      </c>
      <c r="H68" s="672" t="str">
        <f>IFERROR(INDEX($C$96:$N$116,MATCH(F68,$C$96:$C$116,0),MATCH(G68,$C$96:$N$96,0)),"")</f>
        <v/>
      </c>
      <c r="I68" s="1238" t="s">
        <v>519</v>
      </c>
      <c r="J68" s="1462" t="s">
        <v>703</v>
      </c>
      <c r="K68" s="1464"/>
      <c r="L68" s="1464"/>
      <c r="M68" s="1464"/>
      <c r="N68" s="1464"/>
      <c r="O68" s="1464"/>
      <c r="P68" s="1464"/>
      <c r="Q68" s="1463"/>
      <c r="R68" s="488"/>
    </row>
    <row r="69" spans="2:18" ht="13" x14ac:dyDescent="0.3">
      <c r="B69" s="533">
        <v>8</v>
      </c>
      <c r="C69" s="546"/>
      <c r="D69" s="1539"/>
      <c r="E69" s="1539"/>
      <c r="F69" s="1217"/>
      <c r="G69" s="1217"/>
      <c r="H69" s="1217"/>
      <c r="I69" s="1217"/>
      <c r="J69" s="1507"/>
      <c r="K69" s="1514"/>
      <c r="L69" s="1514"/>
      <c r="M69" s="1514"/>
      <c r="N69" s="1514"/>
      <c r="O69" s="1514"/>
      <c r="P69" s="1514"/>
      <c r="Q69" s="1515"/>
      <c r="R69" s="488"/>
    </row>
    <row r="70" spans="2:18" ht="13" x14ac:dyDescent="0.3">
      <c r="B70" s="533">
        <v>9</v>
      </c>
      <c r="C70" s="546"/>
      <c r="D70" s="1539"/>
      <c r="E70" s="1539"/>
      <c r="F70" s="1217"/>
      <c r="G70" s="1217"/>
      <c r="H70" s="1217"/>
      <c r="I70" s="1217"/>
      <c r="J70" s="1507"/>
      <c r="K70" s="1514"/>
      <c r="L70" s="1514"/>
      <c r="M70" s="1514"/>
      <c r="N70" s="1514"/>
      <c r="O70" s="1514"/>
      <c r="P70" s="1514"/>
      <c r="Q70" s="1515"/>
      <c r="R70" s="488"/>
    </row>
    <row r="71" spans="2:18" ht="13" x14ac:dyDescent="0.3">
      <c r="B71" s="533">
        <v>10</v>
      </c>
      <c r="C71" s="546"/>
      <c r="D71" s="1539"/>
      <c r="E71" s="1539"/>
      <c r="F71" s="1217"/>
      <c r="G71" s="1217"/>
      <c r="H71" s="571"/>
      <c r="I71" s="1217"/>
      <c r="J71" s="1507"/>
      <c r="K71" s="1514"/>
      <c r="L71" s="1514"/>
      <c r="M71" s="1514"/>
      <c r="N71" s="1514"/>
      <c r="O71" s="1514"/>
      <c r="P71" s="1514"/>
      <c r="Q71" s="1515"/>
      <c r="R71" s="488"/>
    </row>
    <row r="72" spans="2:18" s="634" customFormat="1" ht="13" x14ac:dyDescent="0.3">
      <c r="B72" s="638">
        <v>11</v>
      </c>
      <c r="C72" s="647"/>
      <c r="D72" s="1642"/>
      <c r="E72" s="1643"/>
      <c r="F72" s="673"/>
      <c r="G72" s="674"/>
      <c r="H72" s="673"/>
      <c r="I72" s="674"/>
      <c r="J72" s="1642"/>
      <c r="K72" s="1647"/>
      <c r="L72" s="1647"/>
      <c r="M72" s="1647"/>
      <c r="N72" s="1647"/>
      <c r="O72" s="1647"/>
      <c r="P72" s="1647"/>
      <c r="Q72" s="1643"/>
    </row>
    <row r="73" spans="2:18" s="634" customFormat="1" ht="13" x14ac:dyDescent="0.3">
      <c r="B73" s="638">
        <v>12</v>
      </c>
      <c r="C73" s="647"/>
      <c r="D73" s="1642"/>
      <c r="E73" s="1643"/>
      <c r="F73" s="673"/>
      <c r="G73" s="674"/>
      <c r="H73" s="675"/>
      <c r="I73" s="674"/>
      <c r="J73" s="1644"/>
      <c r="K73" s="1645"/>
      <c r="L73" s="1645"/>
      <c r="M73" s="1645"/>
      <c r="N73" s="1645"/>
      <c r="O73" s="1645"/>
      <c r="P73" s="1645"/>
      <c r="Q73" s="1646"/>
    </row>
    <row r="74" spans="2:18" s="634" customFormat="1" ht="13" x14ac:dyDescent="0.3">
      <c r="B74" s="638">
        <v>13</v>
      </c>
      <c r="C74" s="647"/>
      <c r="D74" s="1642"/>
      <c r="E74" s="1643"/>
      <c r="F74" s="673"/>
      <c r="G74" s="674"/>
      <c r="H74" s="673"/>
      <c r="I74" s="674"/>
      <c r="J74" s="1644"/>
      <c r="K74" s="1645"/>
      <c r="L74" s="1645"/>
      <c r="M74" s="1645"/>
      <c r="N74" s="1645"/>
      <c r="O74" s="1645"/>
      <c r="P74" s="1645"/>
      <c r="Q74" s="1646"/>
    </row>
    <row r="75" spans="2:18" s="623" customFormat="1" ht="13.15" customHeight="1" x14ac:dyDescent="0.3">
      <c r="B75" s="638">
        <v>14</v>
      </c>
      <c r="C75" s="647"/>
      <c r="D75" s="1642"/>
      <c r="E75" s="1643"/>
      <c r="F75" s="673"/>
      <c r="G75" s="674"/>
      <c r="H75" s="673"/>
      <c r="I75" s="674"/>
      <c r="J75" s="1644"/>
      <c r="K75" s="1645"/>
      <c r="L75" s="1645"/>
      <c r="M75" s="1645"/>
      <c r="N75" s="1645"/>
      <c r="O75" s="1645"/>
      <c r="P75" s="1645"/>
      <c r="Q75" s="1646"/>
    </row>
    <row r="76" spans="2:18" s="623" customFormat="1" ht="13" x14ac:dyDescent="0.3">
      <c r="B76" s="638">
        <v>15</v>
      </c>
      <c r="C76" s="647"/>
      <c r="D76" s="1642"/>
      <c r="E76" s="1643"/>
      <c r="F76" s="673"/>
      <c r="G76" s="674"/>
      <c r="H76" s="676"/>
      <c r="I76" s="674"/>
      <c r="J76" s="1644"/>
      <c r="K76" s="1645"/>
      <c r="L76" s="1645"/>
      <c r="M76" s="1645"/>
      <c r="N76" s="1645"/>
      <c r="O76" s="1645"/>
      <c r="P76" s="1645"/>
      <c r="Q76" s="1646"/>
    </row>
    <row r="77" spans="2:18" ht="18.75" customHeight="1" x14ac:dyDescent="0.3">
      <c r="R77" s="488"/>
    </row>
    <row r="78" spans="2:18" ht="18.75" customHeight="1" x14ac:dyDescent="0.3">
      <c r="B78" s="630" t="s">
        <v>477</v>
      </c>
      <c r="C78" s="631"/>
      <c r="D78" s="631"/>
      <c r="E78" s="631"/>
      <c r="F78" s="631"/>
      <c r="G78" s="631"/>
      <c r="H78" s="513"/>
      <c r="I78" s="513"/>
      <c r="J78" s="513"/>
      <c r="K78" s="513"/>
      <c r="L78" s="513"/>
      <c r="M78" s="513"/>
      <c r="N78" s="513"/>
      <c r="O78" s="513"/>
      <c r="P78" s="513"/>
      <c r="Q78" s="514"/>
      <c r="R78" s="488"/>
    </row>
    <row r="79" spans="2:18" ht="18.75" customHeight="1" x14ac:dyDescent="0.3">
      <c r="R79" s="488"/>
    </row>
    <row r="80" spans="2:18" ht="18.75" customHeight="1" x14ac:dyDescent="0.3">
      <c r="B80" s="632" t="s">
        <v>478</v>
      </c>
      <c r="C80" s="632" t="s">
        <v>479</v>
      </c>
      <c r="D80" s="1204" t="s">
        <v>406</v>
      </c>
      <c r="E80" s="1210" t="s">
        <v>428</v>
      </c>
      <c r="F80" s="1562" t="s">
        <v>476</v>
      </c>
      <c r="G80" s="1563"/>
      <c r="H80" s="1563"/>
      <c r="I80" s="1563"/>
      <c r="J80" s="1563"/>
      <c r="K80" s="1563"/>
      <c r="L80" s="1563"/>
      <c r="M80" s="1563"/>
      <c r="N80" s="1563"/>
      <c r="O80" s="1563"/>
      <c r="P80" s="1563"/>
      <c r="Q80" s="1564"/>
      <c r="R80" s="488"/>
    </row>
    <row r="81" spans="2:18" ht="13" x14ac:dyDescent="0.3">
      <c r="B81" s="639">
        <v>1</v>
      </c>
      <c r="C81" s="648" t="s">
        <v>480</v>
      </c>
      <c r="D81" s="649">
        <v>1000</v>
      </c>
      <c r="E81" s="677" t="s">
        <v>481</v>
      </c>
      <c r="F81" s="1565" t="s">
        <v>482</v>
      </c>
      <c r="G81" s="1566"/>
      <c r="H81" s="1566"/>
      <c r="I81" s="1566"/>
      <c r="J81" s="1566"/>
      <c r="K81" s="1566"/>
      <c r="L81" s="1566"/>
      <c r="M81" s="1566"/>
      <c r="N81" s="1566"/>
      <c r="O81" s="1566"/>
      <c r="P81" s="1566"/>
      <c r="Q81" s="1567"/>
      <c r="R81" s="488"/>
    </row>
    <row r="82" spans="2:18" ht="13" x14ac:dyDescent="0.3">
      <c r="B82" s="639">
        <v>2</v>
      </c>
      <c r="C82" s="648" t="s">
        <v>483</v>
      </c>
      <c r="D82" s="650">
        <f>0.03412*0.10548</f>
        <v>3.5989775999999999E-3</v>
      </c>
      <c r="E82" s="677" t="s">
        <v>484</v>
      </c>
      <c r="F82" s="1568" t="s">
        <v>485</v>
      </c>
      <c r="G82" s="1569"/>
      <c r="H82" s="1569"/>
      <c r="I82" s="1569"/>
      <c r="J82" s="1569"/>
      <c r="K82" s="1569"/>
      <c r="L82" s="1569"/>
      <c r="M82" s="1569"/>
      <c r="N82" s="1569"/>
      <c r="O82" s="1569"/>
      <c r="P82" s="1569"/>
      <c r="Q82" s="1570"/>
      <c r="R82" s="488"/>
    </row>
    <row r="83" spans="2:18" ht="13" x14ac:dyDescent="0.3">
      <c r="B83" s="639">
        <v>3</v>
      </c>
      <c r="C83" s="648" t="s">
        <v>486</v>
      </c>
      <c r="D83" s="650">
        <v>3.7854099999999999E-3</v>
      </c>
      <c r="E83" s="677" t="s">
        <v>487</v>
      </c>
      <c r="F83" s="1568" t="s">
        <v>485</v>
      </c>
      <c r="G83" s="1569"/>
      <c r="H83" s="1569"/>
      <c r="I83" s="1569"/>
      <c r="J83" s="1569"/>
      <c r="K83" s="1569"/>
      <c r="L83" s="1569"/>
      <c r="M83" s="1569"/>
      <c r="N83" s="1569"/>
      <c r="O83" s="1569"/>
      <c r="P83" s="1569"/>
      <c r="Q83" s="1570"/>
      <c r="R83" s="488"/>
    </row>
    <row r="84" spans="2:18" ht="13" x14ac:dyDescent="0.3">
      <c r="B84" s="639">
        <v>4</v>
      </c>
      <c r="C84" s="648" t="s">
        <v>488</v>
      </c>
      <c r="D84" s="650">
        <v>0.1055</v>
      </c>
      <c r="E84" s="677" t="s">
        <v>489</v>
      </c>
      <c r="F84" s="1568" t="s">
        <v>485</v>
      </c>
      <c r="G84" s="1569"/>
      <c r="H84" s="1569"/>
      <c r="I84" s="1569"/>
      <c r="J84" s="1569"/>
      <c r="K84" s="1569"/>
      <c r="L84" s="1569"/>
      <c r="M84" s="1569"/>
      <c r="N84" s="1569"/>
      <c r="O84" s="1569"/>
      <c r="P84" s="1569"/>
      <c r="Q84" s="1570"/>
      <c r="R84" s="488"/>
    </row>
    <row r="85" spans="2:18" ht="13" x14ac:dyDescent="0.3">
      <c r="B85" s="639">
        <v>5</v>
      </c>
      <c r="C85" s="648" t="s">
        <v>490</v>
      </c>
      <c r="D85" s="650">
        <v>1.0000000000000001E-5</v>
      </c>
      <c r="E85" s="677" t="s">
        <v>491</v>
      </c>
      <c r="F85" s="1568" t="s">
        <v>485</v>
      </c>
      <c r="G85" s="1569"/>
      <c r="H85" s="1569"/>
      <c r="I85" s="1569"/>
      <c r="J85" s="1569"/>
      <c r="K85" s="1569"/>
      <c r="L85" s="1569"/>
      <c r="M85" s="1569"/>
      <c r="N85" s="1569"/>
      <c r="O85" s="1569"/>
      <c r="P85" s="1569"/>
      <c r="Q85" s="1570"/>
      <c r="R85" s="488"/>
    </row>
    <row r="86" spans="2:18" ht="13" x14ac:dyDescent="0.3">
      <c r="B86" s="533">
        <v>6</v>
      </c>
      <c r="C86" s="648" t="s">
        <v>707</v>
      </c>
      <c r="D86" s="650">
        <v>1.0548</v>
      </c>
      <c r="E86" s="677" t="s">
        <v>708</v>
      </c>
      <c r="F86" s="1565" t="s">
        <v>482</v>
      </c>
      <c r="G86" s="1566"/>
      <c r="H86" s="1566"/>
      <c r="I86" s="1566"/>
      <c r="J86" s="1566"/>
      <c r="K86" s="1566"/>
      <c r="L86" s="1566"/>
      <c r="M86" s="1566"/>
      <c r="N86" s="1566"/>
      <c r="O86" s="1566"/>
      <c r="P86" s="1566"/>
      <c r="Q86" s="1567"/>
      <c r="R86" s="488"/>
    </row>
    <row r="87" spans="2:18" ht="13" x14ac:dyDescent="0.3">
      <c r="B87" s="533">
        <v>7</v>
      </c>
      <c r="C87" s="563"/>
      <c r="D87" s="1233"/>
      <c r="E87" s="677"/>
      <c r="F87" s="1568"/>
      <c r="G87" s="1569"/>
      <c r="H87" s="1569"/>
      <c r="I87" s="1569"/>
      <c r="J87" s="1569"/>
      <c r="K87" s="1569"/>
      <c r="L87" s="1569"/>
      <c r="M87" s="1569"/>
      <c r="N87" s="1569"/>
      <c r="O87" s="1569"/>
      <c r="P87" s="1569"/>
      <c r="Q87" s="1570"/>
      <c r="R87" s="488"/>
    </row>
    <row r="88" spans="2:18" ht="13" x14ac:dyDescent="0.3">
      <c r="B88" s="533">
        <v>8</v>
      </c>
      <c r="C88" s="563"/>
      <c r="D88" s="564"/>
      <c r="E88" s="677"/>
      <c r="F88" s="1568"/>
      <c r="G88" s="1569"/>
      <c r="H88" s="1569"/>
      <c r="I88" s="1569"/>
      <c r="J88" s="1569"/>
      <c r="K88" s="1569"/>
      <c r="L88" s="1569"/>
      <c r="M88" s="1569"/>
      <c r="N88" s="1569"/>
      <c r="O88" s="1569"/>
      <c r="P88" s="1569"/>
      <c r="Q88" s="1570"/>
      <c r="R88" s="488"/>
    </row>
    <row r="89" spans="2:18" ht="13" x14ac:dyDescent="0.3">
      <c r="B89" s="533">
        <v>9</v>
      </c>
      <c r="C89" s="563"/>
      <c r="D89" s="1233"/>
      <c r="E89" s="677"/>
      <c r="F89" s="1568"/>
      <c r="G89" s="1569"/>
      <c r="H89" s="1569"/>
      <c r="I89" s="1569"/>
      <c r="J89" s="1569"/>
      <c r="K89" s="1569"/>
      <c r="L89" s="1569"/>
      <c r="M89" s="1569"/>
      <c r="N89" s="1569"/>
      <c r="O89" s="1569"/>
      <c r="P89" s="1569"/>
      <c r="Q89" s="1570"/>
      <c r="R89" s="488"/>
    </row>
    <row r="90" spans="2:18" ht="13" x14ac:dyDescent="0.3">
      <c r="B90" s="533">
        <v>10</v>
      </c>
      <c r="C90" s="563"/>
      <c r="D90" s="564"/>
      <c r="E90" s="677"/>
      <c r="F90" s="1568"/>
      <c r="G90" s="1569"/>
      <c r="H90" s="1569"/>
      <c r="I90" s="1569"/>
      <c r="J90" s="1569"/>
      <c r="K90" s="1569"/>
      <c r="L90" s="1569"/>
      <c r="M90" s="1569"/>
      <c r="N90" s="1569"/>
      <c r="O90" s="1569"/>
      <c r="P90" s="1569"/>
      <c r="Q90" s="1570"/>
      <c r="R90" s="488"/>
    </row>
    <row r="91" spans="2:18" ht="18.75" customHeight="1" x14ac:dyDescent="0.3">
      <c r="R91" s="488"/>
    </row>
    <row r="92" spans="2:18" ht="18.75" customHeight="1" x14ac:dyDescent="0.3">
      <c r="B92" s="630" t="s">
        <v>492</v>
      </c>
      <c r="C92" s="631"/>
      <c r="D92" s="631"/>
      <c r="E92" s="631"/>
      <c r="F92" s="631"/>
      <c r="G92" s="631"/>
      <c r="H92" s="513"/>
      <c r="I92" s="513"/>
      <c r="J92" s="513"/>
      <c r="K92" s="513"/>
      <c r="L92" s="513"/>
      <c r="M92" s="513"/>
      <c r="N92" s="513"/>
      <c r="O92" s="513"/>
      <c r="P92" s="513"/>
      <c r="Q92" s="514"/>
      <c r="R92" s="488"/>
    </row>
    <row r="93" spans="2:18" ht="18.75" customHeight="1" x14ac:dyDescent="0.3">
      <c r="R93" s="488"/>
    </row>
    <row r="94" spans="2:18" ht="18.75" customHeight="1" x14ac:dyDescent="0.3">
      <c r="B94" s="635" t="s">
        <v>493</v>
      </c>
      <c r="E94" s="1574" t="s">
        <v>494</v>
      </c>
      <c r="F94" s="1577"/>
      <c r="G94" s="1577"/>
      <c r="H94" s="1577"/>
      <c r="I94" s="1577"/>
      <c r="J94" s="1577"/>
      <c r="K94" s="1577"/>
      <c r="L94" s="1577"/>
      <c r="M94" s="1577"/>
      <c r="N94" s="1577"/>
      <c r="O94" s="1578" t="s">
        <v>476</v>
      </c>
      <c r="P94" s="1579"/>
      <c r="Q94" s="1580"/>
      <c r="R94" s="488"/>
    </row>
    <row r="95" spans="2:18" ht="36" customHeight="1" x14ac:dyDescent="0.3">
      <c r="B95" s="1571" t="s">
        <v>709</v>
      </c>
      <c r="C95" s="1572"/>
      <c r="D95" s="1573"/>
      <c r="E95" s="636" t="s">
        <v>495</v>
      </c>
      <c r="F95" s="636" t="s">
        <v>496</v>
      </c>
      <c r="G95" s="636" t="s">
        <v>497</v>
      </c>
      <c r="H95" s="636" t="s">
        <v>498</v>
      </c>
      <c r="I95" s="636" t="s">
        <v>499</v>
      </c>
      <c r="J95" s="636" t="s">
        <v>500</v>
      </c>
      <c r="K95" s="636" t="s">
        <v>501</v>
      </c>
      <c r="L95" s="636" t="s">
        <v>502</v>
      </c>
      <c r="M95" s="636" t="s">
        <v>503</v>
      </c>
      <c r="N95" s="1209" t="s">
        <v>504</v>
      </c>
      <c r="O95" s="1581"/>
      <c r="P95" s="1582"/>
      <c r="Q95" s="1583"/>
      <c r="R95" s="488"/>
    </row>
    <row r="96" spans="2:18" ht="25.5" customHeight="1" x14ac:dyDescent="0.3">
      <c r="B96" s="1205" t="s">
        <v>478</v>
      </c>
      <c r="C96" s="1574" t="s">
        <v>505</v>
      </c>
      <c r="D96" s="1575"/>
      <c r="E96" s="651" t="s">
        <v>698</v>
      </c>
      <c r="F96" s="651" t="s">
        <v>693</v>
      </c>
      <c r="G96" s="651" t="s">
        <v>710</v>
      </c>
      <c r="H96" s="651" t="s">
        <v>711</v>
      </c>
      <c r="I96" s="651" t="s">
        <v>706</v>
      </c>
      <c r="J96" s="651"/>
      <c r="K96" s="651"/>
      <c r="L96" s="651"/>
      <c r="M96" s="651"/>
      <c r="N96" s="652"/>
      <c r="O96" s="1584"/>
      <c r="P96" s="1585"/>
      <c r="Q96" s="1586"/>
      <c r="R96" s="488"/>
    </row>
    <row r="97" spans="2:18" ht="13" x14ac:dyDescent="0.3">
      <c r="B97" s="533">
        <v>1</v>
      </c>
      <c r="C97" s="546" t="s">
        <v>712</v>
      </c>
      <c r="D97" s="1184"/>
      <c r="E97" s="1190">
        <v>938</v>
      </c>
      <c r="F97" s="568">
        <v>1</v>
      </c>
      <c r="G97" s="678">
        <v>1.075</v>
      </c>
      <c r="H97" s="678">
        <v>1.048</v>
      </c>
      <c r="I97" s="679">
        <v>-2.8999999999999998E-3</v>
      </c>
      <c r="J97" s="568"/>
      <c r="K97" s="568"/>
      <c r="L97" s="568"/>
      <c r="M97" s="568"/>
      <c r="N97" s="568"/>
      <c r="O97" s="1501"/>
      <c r="P97" s="1502"/>
      <c r="Q97" s="1503"/>
      <c r="R97" s="488"/>
    </row>
    <row r="98" spans="2:18" ht="26" x14ac:dyDescent="0.3">
      <c r="B98" s="533">
        <v>2</v>
      </c>
      <c r="C98" s="546" t="s">
        <v>713</v>
      </c>
      <c r="D98" s="1184"/>
      <c r="E98" s="1190">
        <v>5950</v>
      </c>
      <c r="F98" s="568">
        <v>1</v>
      </c>
      <c r="G98" s="678">
        <v>1.075</v>
      </c>
      <c r="H98" s="678">
        <v>1.034</v>
      </c>
      <c r="I98" s="679">
        <v>-2.8999999999999998E-3</v>
      </c>
      <c r="J98" s="568"/>
      <c r="K98" s="568"/>
      <c r="L98" s="568"/>
      <c r="M98" s="568"/>
      <c r="N98" s="568"/>
      <c r="O98" s="1495"/>
      <c r="P98" s="1496"/>
      <c r="Q98" s="1497"/>
      <c r="R98" s="488"/>
    </row>
    <row r="99" spans="2:18" ht="26" x14ac:dyDescent="0.3">
      <c r="B99" s="533">
        <v>3</v>
      </c>
      <c r="C99" s="546" t="s">
        <v>714</v>
      </c>
      <c r="D99" s="1184"/>
      <c r="E99" s="1190">
        <v>1825</v>
      </c>
      <c r="F99" s="568">
        <v>1</v>
      </c>
      <c r="G99" s="568">
        <v>1</v>
      </c>
      <c r="H99" s="568">
        <v>1</v>
      </c>
      <c r="I99" s="680">
        <v>0</v>
      </c>
      <c r="J99" s="568"/>
      <c r="K99" s="568"/>
      <c r="L99" s="568"/>
      <c r="M99" s="568"/>
      <c r="N99" s="568"/>
      <c r="O99" s="1495"/>
      <c r="P99" s="1496"/>
      <c r="Q99" s="1497"/>
      <c r="R99" s="488"/>
    </row>
    <row r="100" spans="2:18" ht="13" x14ac:dyDescent="0.3">
      <c r="B100" s="533">
        <v>4</v>
      </c>
      <c r="C100" s="546"/>
      <c r="D100" s="1184"/>
      <c r="E100" s="1190"/>
      <c r="F100" s="678"/>
      <c r="G100" s="678"/>
      <c r="H100" s="678"/>
      <c r="I100" s="679"/>
      <c r="J100" s="568"/>
      <c r="K100" s="568"/>
      <c r="L100" s="568"/>
      <c r="M100" s="568"/>
      <c r="N100" s="568"/>
      <c r="O100" s="1495"/>
      <c r="P100" s="1496"/>
      <c r="Q100" s="1497"/>
      <c r="R100" s="488"/>
    </row>
    <row r="101" spans="2:18" ht="13" x14ac:dyDescent="0.3">
      <c r="B101" s="533">
        <v>5</v>
      </c>
      <c r="C101" s="546"/>
      <c r="D101" s="1184"/>
      <c r="E101" s="1190"/>
      <c r="F101" s="678"/>
      <c r="G101" s="678"/>
      <c r="H101" s="678"/>
      <c r="I101" s="679"/>
      <c r="J101" s="568"/>
      <c r="K101" s="568"/>
      <c r="L101" s="568"/>
      <c r="M101" s="568"/>
      <c r="N101" s="568"/>
      <c r="O101" s="1495"/>
      <c r="P101" s="1496"/>
      <c r="Q101" s="1497"/>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sheetData>
  <sheetProtection algorithmName="SHA-512" hashValue="38eWMn8t9+2drue16riQBKEjN3XIxLSxeqZWlKYrnAwMYM2GXdeulc6KVmSx8m5qL5lhaWVxSu9ySW1+MzivEQ==" saltValue="8g9iAsR0nybBpXjmh0SBnw==" spinCount="100000" sheet="1" objects="1" scenarios="1" selectLockedCells="1" selectUnlockedCells="1"/>
  <mergeCells count="121">
    <mergeCell ref="O113:Q113"/>
    <mergeCell ref="O114:Q114"/>
    <mergeCell ref="O115:Q115"/>
    <mergeCell ref="O116:Q116"/>
    <mergeCell ref="O107:Q107"/>
    <mergeCell ref="O108:Q108"/>
    <mergeCell ref="O109:Q109"/>
    <mergeCell ref="O110:Q110"/>
    <mergeCell ref="O111:Q111"/>
    <mergeCell ref="O112:Q112"/>
    <mergeCell ref="O101:Q101"/>
    <mergeCell ref="O102:Q102"/>
    <mergeCell ref="O103:Q103"/>
    <mergeCell ref="O104:Q104"/>
    <mergeCell ref="O105:Q105"/>
    <mergeCell ref="O106:Q106"/>
    <mergeCell ref="B95:D95"/>
    <mergeCell ref="C96:D96"/>
    <mergeCell ref="O97:Q97"/>
    <mergeCell ref="O98:Q98"/>
    <mergeCell ref="O99:Q99"/>
    <mergeCell ref="O100:Q100"/>
    <mergeCell ref="F86:Q86"/>
    <mergeCell ref="F87:Q87"/>
    <mergeCell ref="F88:Q88"/>
    <mergeCell ref="F89:Q89"/>
    <mergeCell ref="F90:Q90"/>
    <mergeCell ref="E94:N94"/>
    <mergeCell ref="O94:Q96"/>
    <mergeCell ref="F80:Q80"/>
    <mergeCell ref="F81:Q81"/>
    <mergeCell ref="F82:Q82"/>
    <mergeCell ref="F83:Q83"/>
    <mergeCell ref="F84:Q84"/>
    <mergeCell ref="F85:Q85"/>
    <mergeCell ref="D74:E74"/>
    <mergeCell ref="J74:Q74"/>
    <mergeCell ref="D75:E75"/>
    <mergeCell ref="J75:Q75"/>
    <mergeCell ref="D76:E76"/>
    <mergeCell ref="J76:Q76"/>
    <mergeCell ref="D71:E71"/>
    <mergeCell ref="J71:Q71"/>
    <mergeCell ref="D72:E72"/>
    <mergeCell ref="J72:Q72"/>
    <mergeCell ref="D73:E73"/>
    <mergeCell ref="J73:Q73"/>
    <mergeCell ref="D68:E68"/>
    <mergeCell ref="J68:Q68"/>
    <mergeCell ref="D69:E69"/>
    <mergeCell ref="J69:Q69"/>
    <mergeCell ref="D70:E70"/>
    <mergeCell ref="J70:Q70"/>
    <mergeCell ref="D65:E65"/>
    <mergeCell ref="J65:Q65"/>
    <mergeCell ref="D66:E66"/>
    <mergeCell ref="J66:Q66"/>
    <mergeCell ref="D67:E67"/>
    <mergeCell ref="J67:Q67"/>
    <mergeCell ref="D62:E62"/>
    <mergeCell ref="J62:Q62"/>
    <mergeCell ref="D63:E63"/>
    <mergeCell ref="J63:Q63"/>
    <mergeCell ref="D64:E64"/>
    <mergeCell ref="J64:Q64"/>
    <mergeCell ref="C56:M56"/>
    <mergeCell ref="P56:Q56"/>
    <mergeCell ref="C57:M57"/>
    <mergeCell ref="P57:Q57"/>
    <mergeCell ref="D61:E61"/>
    <mergeCell ref="J61:Q61"/>
    <mergeCell ref="C53:M53"/>
    <mergeCell ref="P53:Q53"/>
    <mergeCell ref="C54:M54"/>
    <mergeCell ref="P54:Q54"/>
    <mergeCell ref="C55:M55"/>
    <mergeCell ref="P55:Q55"/>
    <mergeCell ref="C49:M49"/>
    <mergeCell ref="P49:Q49"/>
    <mergeCell ref="C50:M50"/>
    <mergeCell ref="P50:Q50"/>
    <mergeCell ref="C51:M51"/>
    <mergeCell ref="P51:Q51"/>
    <mergeCell ref="C45:M45"/>
    <mergeCell ref="P45:Q45"/>
    <mergeCell ref="C47:M47"/>
    <mergeCell ref="P47:Q47"/>
    <mergeCell ref="C48:M48"/>
    <mergeCell ref="P48:Q48"/>
    <mergeCell ref="C42:M42"/>
    <mergeCell ref="P42:Q42"/>
    <mergeCell ref="C43:M43"/>
    <mergeCell ref="P43:Q43"/>
    <mergeCell ref="C44:M44"/>
    <mergeCell ref="P44:Q44"/>
    <mergeCell ref="E34:Q34"/>
    <mergeCell ref="E35:Q35"/>
    <mergeCell ref="E36:Q36"/>
    <mergeCell ref="E37:Q37"/>
    <mergeCell ref="C41:M41"/>
    <mergeCell ref="P41:Q41"/>
    <mergeCell ref="D25:Q25"/>
    <mergeCell ref="D26:Q26"/>
    <mergeCell ref="D27:Q27"/>
    <mergeCell ref="D28:Q28"/>
    <mergeCell ref="E32:Q32"/>
    <mergeCell ref="E33:Q33"/>
    <mergeCell ref="D29:Q29"/>
    <mergeCell ref="D30:Q30"/>
    <mergeCell ref="D17:F17"/>
    <mergeCell ref="D18:F18"/>
    <mergeCell ref="B20:Q20"/>
    <mergeCell ref="C21:Q21"/>
    <mergeCell ref="C22:Q22"/>
    <mergeCell ref="C23:Q23"/>
    <mergeCell ref="C2:F2"/>
    <mergeCell ref="C3:F3"/>
    <mergeCell ref="C4:F4"/>
    <mergeCell ref="C5:F5"/>
    <mergeCell ref="D7:F7"/>
    <mergeCell ref="D8:F16"/>
  </mergeCells>
  <conditionalFormatting sqref="H71">
    <cfRule type="expression" dxfId="4016" priority="48">
      <formula>IF(OR(#REF!="L",#REF!="C"),TRUE,FALSE)</formula>
    </cfRule>
  </conditionalFormatting>
  <conditionalFormatting sqref="H70">
    <cfRule type="expression" dxfId="4015" priority="41">
      <formula>IF(OR(#REF!="L",#REF!="C"),TRUE,FALSE)</formula>
    </cfRule>
  </conditionalFormatting>
  <conditionalFormatting sqref="F109:F116 G102:G116 H104:H116">
    <cfRule type="expression" dxfId="4014" priority="40">
      <formula>IF(OR(#REF!="L",#REF!="C"),TRUE,FALSE)</formula>
    </cfRule>
  </conditionalFormatting>
  <conditionalFormatting sqref="E110:E116">
    <cfRule type="expression" dxfId="4013" priority="39">
      <formula>IF(OR(#REF!="L",#REF!="C"),TRUE,FALSE)</formula>
    </cfRule>
  </conditionalFormatting>
  <conditionalFormatting sqref="E107">
    <cfRule type="expression" dxfId="4012" priority="38">
      <formula>IF(OR(#REF!="L",#REF!="C"),TRUE,FALSE)</formula>
    </cfRule>
  </conditionalFormatting>
  <conditionalFormatting sqref="E108">
    <cfRule type="expression" dxfId="4011" priority="37">
      <formula>IF(OR(#REF!="L",#REF!="C"),TRUE,FALSE)</formula>
    </cfRule>
  </conditionalFormatting>
  <conditionalFormatting sqref="E109">
    <cfRule type="expression" dxfId="4010" priority="36">
      <formula>IF(OR(#REF!="L",#REF!="C"),TRUE,FALSE)</formula>
    </cfRule>
  </conditionalFormatting>
  <conditionalFormatting sqref="E106">
    <cfRule type="expression" dxfId="4009" priority="35">
      <formula>IF(OR(#REF!="L",#REF!="C"),TRUE,FALSE)</formula>
    </cfRule>
  </conditionalFormatting>
  <conditionalFormatting sqref="E95 G95 I95 K95 M95">
    <cfRule type="duplicateValues" dxfId="4008" priority="34"/>
  </conditionalFormatting>
  <conditionalFormatting sqref="M104:M116">
    <cfRule type="expression" dxfId="4007" priority="24">
      <formula>IF(OR(#REF!="L",#REF!="C"),TRUE,FALSE)</formula>
    </cfRule>
  </conditionalFormatting>
  <conditionalFormatting sqref="F102:F106">
    <cfRule type="expression" dxfId="4006" priority="33">
      <formula>IF(OR(#REF!="L",#REF!="C"),TRUE,FALSE)</formula>
    </cfRule>
  </conditionalFormatting>
  <conditionalFormatting sqref="I102:I103">
    <cfRule type="expression" dxfId="4005" priority="31">
      <formula>IF(OR(#REF!="L",#REF!="C"),TRUE,FALSE)</formula>
    </cfRule>
  </conditionalFormatting>
  <conditionalFormatting sqref="N102:N103">
    <cfRule type="expression" dxfId="4004" priority="21">
      <formula>IF(OR(#REF!="L",#REF!="C"),TRUE,FALSE)</formula>
    </cfRule>
  </conditionalFormatting>
  <conditionalFormatting sqref="I104:I116">
    <cfRule type="expression" dxfId="4003" priority="32">
      <formula>IF(OR(#REF!="L",#REF!="C"),TRUE,FALSE)</formula>
    </cfRule>
  </conditionalFormatting>
  <conditionalFormatting sqref="J102:J103">
    <cfRule type="expression" dxfId="4002" priority="29">
      <formula>IF(OR(#REF!="L",#REF!="C"),TRUE,FALSE)</formula>
    </cfRule>
  </conditionalFormatting>
  <conditionalFormatting sqref="J104:J116">
    <cfRule type="expression" dxfId="4001" priority="30">
      <formula>IF(OR(#REF!="L",#REF!="C"),TRUE,FALSE)</formula>
    </cfRule>
  </conditionalFormatting>
  <conditionalFormatting sqref="K102:K103">
    <cfRule type="expression" dxfId="4000" priority="27">
      <formula>IF(OR(#REF!="L",#REF!="C"),TRUE,FALSE)</formula>
    </cfRule>
  </conditionalFormatting>
  <conditionalFormatting sqref="K104:K116">
    <cfRule type="expression" dxfId="3999" priority="28">
      <formula>IF(OR(#REF!="L",#REF!="C"),TRUE,FALSE)</formula>
    </cfRule>
  </conditionalFormatting>
  <conditionalFormatting sqref="L102:L103">
    <cfRule type="expression" dxfId="3998" priority="25">
      <formula>IF(OR(#REF!="L",#REF!="C"),TRUE,FALSE)</formula>
    </cfRule>
  </conditionalFormatting>
  <conditionalFormatting sqref="L104:L116">
    <cfRule type="expression" dxfId="3997" priority="26">
      <formula>IF(OR(#REF!="L",#REF!="C"),TRUE,FALSE)</formula>
    </cfRule>
  </conditionalFormatting>
  <conditionalFormatting sqref="M102:M103">
    <cfRule type="expression" dxfId="3996" priority="23">
      <formula>IF(OR(#REF!="L",#REF!="C"),TRUE,FALSE)</formula>
    </cfRule>
  </conditionalFormatting>
  <conditionalFormatting sqref="N104:N116">
    <cfRule type="expression" dxfId="3995" priority="22">
      <formula>IF(OR(#REF!="L",#REF!="C"),TRUE,FALSE)</formula>
    </cfRule>
  </conditionalFormatting>
  <conditionalFormatting sqref="H72">
    <cfRule type="expression" dxfId="3994" priority="15">
      <formula>IF(OR(#REF!="L",#REF!="C"),TRUE,FALSE)</formula>
    </cfRule>
  </conditionalFormatting>
  <conditionalFormatting sqref="O102:O103">
    <cfRule type="expression" dxfId="3993" priority="18">
      <formula>IF(OR(#REF!="L",#REF!="C"),TRUE,FALSE)</formula>
    </cfRule>
  </conditionalFormatting>
  <conditionalFormatting sqref="O104:O116">
    <cfRule type="expression" dxfId="3992" priority="19">
      <formula>IF(OR(#REF!="L",#REF!="C"),TRUE,FALSE)</formula>
    </cfRule>
  </conditionalFormatting>
  <conditionalFormatting sqref="H76">
    <cfRule type="expression" dxfId="3991" priority="11">
      <formula>IF(OR(#REF!="L",#REF!="C"),TRUE,FALSE)</formula>
    </cfRule>
  </conditionalFormatting>
  <conditionalFormatting sqref="H73">
    <cfRule type="expression" dxfId="3990" priority="14">
      <formula>IF(OR(#REF!="L",#REF!="C"),TRUE,FALSE)</formula>
    </cfRule>
  </conditionalFormatting>
  <conditionalFormatting sqref="H74">
    <cfRule type="expression" dxfId="3989" priority="13">
      <formula>IF(OR(#REF!="L",#REF!="C"),TRUE,FALSE)</formula>
    </cfRule>
  </conditionalFormatting>
  <conditionalFormatting sqref="H75">
    <cfRule type="expression" dxfId="3988" priority="12">
      <formula>IF(OR(#REF!="L",#REF!="C"),TRUE,FALSE)</formula>
    </cfRule>
  </conditionalFormatting>
  <conditionalFormatting sqref="E96:F96 I96:N96">
    <cfRule type="duplicateValues" dxfId="3987" priority="209"/>
  </conditionalFormatting>
  <conditionalFormatting sqref="F96:I96">
    <cfRule type="duplicateValues" dxfId="3986" priority="212"/>
  </conditionalFormatting>
  <conditionalFormatting sqref="H69">
    <cfRule type="expression" dxfId="3985" priority="6">
      <formula>IF(OR(#REF!="L",#REF!="C"),TRUE,FALSE)</formula>
    </cfRule>
  </conditionalFormatting>
  <conditionalFormatting sqref="H63:H64">
    <cfRule type="expression" dxfId="3984" priority="5">
      <formula>IF(OR(#REF!="L",#REF!="C"),TRUE,FALSE)</formula>
    </cfRule>
  </conditionalFormatting>
  <conditionalFormatting sqref="H67:H68">
    <cfRule type="expression" dxfId="3983" priority="3">
      <formula>IF(OR(#REF!="L",#REF!="C"),TRUE,FALSE)</formula>
    </cfRule>
  </conditionalFormatting>
  <conditionalFormatting sqref="H65">
    <cfRule type="expression" dxfId="3982" priority="4">
      <formula>IF(OR(#REF!="L",#REF!="C"),TRUE,FALSE)</formula>
    </cfRule>
  </conditionalFormatting>
  <conditionalFormatting sqref="H62:H64">
    <cfRule type="expression" dxfId="3981" priority="2">
      <formula>IF(OR(#REF!="L",#REF!="C"),TRUE,FALSE)</formula>
    </cfRule>
  </conditionalFormatting>
  <conditionalFormatting sqref="H66">
    <cfRule type="expression" dxfId="3980" priority="1">
      <formula>IF(OR(#REF!="L",#REF!="C"),TRUE,FALSE)</formula>
    </cfRule>
  </conditionalFormatting>
  <dataValidations disablePrompts="1" count="8">
    <dataValidation type="list" allowBlank="1" showInputMessage="1" showErrorMessage="1" sqref="C4" xr:uid="{8A54A5D8-C844-41DF-B446-F11DBA4A0A0C}">
      <formula1>"COM,RES"</formula1>
    </dataValidation>
    <dataValidation type="list" allowBlank="1" showInputMessage="1" showErrorMessage="1" sqref="H63" xr:uid="{3E43A1AD-098C-4F1B-91F3-A27A3E1EE645}">
      <formula1>$C$97:$C$116</formula1>
    </dataValidation>
    <dataValidation type="list" allowBlank="1" showInputMessage="1" showErrorMessage="1" sqref="H64" xr:uid="{4F53DF36-7694-419E-9141-CD95FFF185CB}">
      <formula1>$F$96:$H$96</formula1>
    </dataValidation>
    <dataValidation type="list" allowBlank="1" showInputMessage="1" showErrorMessage="1" sqref="C9" xr:uid="{A14E5B1E-6A1B-4903-BE4A-98BA9FEBF5D3}">
      <formula1>INDIRECT("MeasureTypeList[Index]")</formula1>
    </dataValidation>
    <dataValidation type="list" allowBlank="1" showInputMessage="1" showErrorMessage="1" sqref="C26" xr:uid="{C2CC3D40-5C42-4AE3-A3EC-91F4507261EF}">
      <formula1>INDIRECT("RegionList[Index]")</formula1>
    </dataValidation>
    <dataValidation type="list" allowBlank="1" showInputMessage="1" showErrorMessage="1" sqref="C27" xr:uid="{C341AAB2-E717-4F35-8FC7-68ADB2CE8F70}">
      <formula1>INDIRECT("ReplacementTypeList[Index]")</formula1>
    </dataValidation>
    <dataValidation type="list" allowBlank="1" showInputMessage="1" showErrorMessage="1" sqref="C28" xr:uid="{17B74C09-1C51-4BC8-B664-13969749B0BD}">
      <formula1>INDIRECT("BuildingType[Building]")</formula1>
    </dataValidation>
    <dataValidation type="list" allowBlank="1" showInputMessage="1" showErrorMessage="1" sqref="C29 C30" xr:uid="{E9B7C274-682D-47AD-9DF2-5CC449E5950B}">
      <formula1>INDIRECT("FuelTypeList[Index]")</formula1>
    </dataValidation>
  </dataValidations>
  <hyperlinks>
    <hyperlink ref="F83" r:id="rId1" xr:uid="{D95EFA38-6C43-4FE2-87D4-0C320172DDDA}"/>
    <hyperlink ref="F85" r:id="rId2" xr:uid="{2BE0CF35-EB4A-4F68-B41D-3B80AF76EC3B}"/>
    <hyperlink ref="F84" r:id="rId3" xr:uid="{85B1783F-8AA6-4910-BFE1-70CCF29B7802}"/>
    <hyperlink ref="F82" r:id="rId4" xr:uid="{C069F8B6-DC2C-411D-911F-9581E4FC6218}"/>
  </hyperlinks>
  <pageMargins left="0.7" right="0.7" top="0.75" bottom="0.75" header="0.3" footer="0.3"/>
  <pageSetup orientation="portrait"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C3026-F725-49F6-8705-65CECD7DC695}">
  <sheetPr codeName="Sheet394"/>
  <dimension ref="A1:R116"/>
  <sheetViews>
    <sheetView workbookViewId="0">
      <selection activeCell="C76" sqref="C76"/>
    </sheetView>
  </sheetViews>
  <sheetFormatPr defaultColWidth="9.08984375" defaultRowHeight="18.75" customHeight="1" x14ac:dyDescent="0.3"/>
  <cols>
    <col min="1" max="1" width="2.36328125" style="491" customWidth="1"/>
    <col min="2" max="2" width="44.36328125" style="491" bestFit="1" customWidth="1"/>
    <col min="3" max="3" width="21.08984375" style="491" customWidth="1"/>
    <col min="4" max="4" width="21.6328125" style="491" customWidth="1"/>
    <col min="5" max="5" width="14.36328125" style="491" customWidth="1"/>
    <col min="6" max="6" width="15.6328125" style="491" customWidth="1"/>
    <col min="7" max="7" width="19.6328125" style="491" customWidth="1"/>
    <col min="8" max="8" width="16" style="491" customWidth="1"/>
    <col min="9" max="9" width="10.36328125" style="491" customWidth="1"/>
    <col min="10" max="10" width="14.6328125" style="491" customWidth="1"/>
    <col min="11" max="12" width="9.08984375" style="491" bestFit="1"/>
    <col min="13" max="13" width="11" style="491" customWidth="1"/>
    <col min="14" max="14" width="12.36328125" style="491" customWidth="1"/>
    <col min="15" max="15" width="10.6328125" style="491" customWidth="1"/>
    <col min="16" max="17" width="9.08984375" style="491" bestFit="1"/>
    <col min="18" max="18" width="9.81640625" style="489" customWidth="1"/>
    <col min="19" max="19" width="9.08984375" style="491" bestFit="1"/>
    <col min="20" max="20" width="8.6328125" style="491" customWidth="1"/>
    <col min="21" max="16384" width="9.08984375" style="491"/>
  </cols>
  <sheetData>
    <row r="1" spans="1:18" s="488" customFormat="1" ht="18.75" customHeight="1" x14ac:dyDescent="0.3">
      <c r="R1" s="489"/>
    </row>
    <row r="2" spans="1:18" s="488" customFormat="1" ht="18.75" customHeight="1" x14ac:dyDescent="0.3">
      <c r="B2" s="1193" t="s">
        <v>506</v>
      </c>
      <c r="C2" s="1366" t="s">
        <v>406</v>
      </c>
      <c r="D2" s="1366"/>
      <c r="E2" s="1366"/>
      <c r="F2" s="1366"/>
      <c r="R2" s="489"/>
    </row>
    <row r="3" spans="1:18" s="488" customFormat="1" ht="18.75" customHeight="1" x14ac:dyDescent="0.3">
      <c r="B3" s="490" t="s">
        <v>407</v>
      </c>
      <c r="C3" s="1367" t="str">
        <f>IF(ISBLANK(C8)+ISBLANK(C10),C8,C8&amp;"_"&amp;C10)</f>
        <v>R-L-002</v>
      </c>
      <c r="D3" s="1367"/>
      <c r="E3" s="1367"/>
      <c r="F3" s="1367"/>
      <c r="R3" s="489"/>
    </row>
    <row r="4" spans="1:18" s="488" customFormat="1" ht="18.75" customHeight="1" x14ac:dyDescent="0.3">
      <c r="B4" s="490" t="s">
        <v>11</v>
      </c>
      <c r="C4" s="1367" t="str" cm="1">
        <f t="array" ref="C4">_xlfn.SWITCH(LEFT(C8,1),"R","Residential","C","Commercial","ERROR")</f>
        <v>Residential</v>
      </c>
      <c r="D4" s="1367"/>
      <c r="E4" s="1367"/>
      <c r="F4" s="1367"/>
      <c r="R4" s="489"/>
    </row>
    <row r="5" spans="1:18" ht="44.25" customHeight="1" x14ac:dyDescent="0.3">
      <c r="B5" s="490" t="s">
        <v>408</v>
      </c>
      <c r="C5" s="1458" t="s">
        <v>372</v>
      </c>
      <c r="D5" s="1459"/>
      <c r="E5" s="1459"/>
      <c r="F5" s="1460"/>
      <c r="R5" s="491"/>
    </row>
    <row r="6" spans="1:18" ht="18.75" customHeight="1" x14ac:dyDescent="0.3">
      <c r="A6" s="492"/>
    </row>
    <row r="7" spans="1:18" ht="18.75" customHeight="1" x14ac:dyDescent="0.3">
      <c r="B7" s="1193" t="s">
        <v>507</v>
      </c>
      <c r="C7" s="493" t="s">
        <v>406</v>
      </c>
      <c r="D7" s="1366" t="s">
        <v>410</v>
      </c>
      <c r="E7" s="1366"/>
      <c r="F7" s="1366"/>
      <c r="R7" s="491"/>
    </row>
    <row r="8" spans="1:18" ht="18.75" customHeight="1" x14ac:dyDescent="0.3">
      <c r="B8" s="490" t="s">
        <v>411</v>
      </c>
      <c r="C8" s="1199" t="s">
        <v>166</v>
      </c>
      <c r="D8" s="1626" t="s">
        <v>715</v>
      </c>
      <c r="E8" s="1627"/>
      <c r="F8" s="1628"/>
      <c r="R8" s="491"/>
    </row>
    <row r="9" spans="1:18" ht="18.75" customHeight="1" x14ac:dyDescent="0.3">
      <c r="B9" s="490" t="s">
        <v>49</v>
      </c>
      <c r="C9" s="1199" t="s">
        <v>716</v>
      </c>
      <c r="D9" s="1629"/>
      <c r="E9" s="1649"/>
      <c r="F9" s="1631"/>
      <c r="R9" s="491"/>
    </row>
    <row r="10" spans="1:18" ht="18.75" customHeight="1" x14ac:dyDescent="0.3">
      <c r="B10" s="490" t="s">
        <v>412</v>
      </c>
      <c r="C10" s="1199"/>
      <c r="D10" s="1629"/>
      <c r="E10" s="1649"/>
      <c r="F10" s="1631"/>
      <c r="R10" s="491"/>
    </row>
    <row r="11" spans="1:18" ht="18.75" customHeight="1" x14ac:dyDescent="0.3">
      <c r="B11" s="490" t="s">
        <v>413</v>
      </c>
      <c r="C11" s="1199"/>
      <c r="D11" s="1629"/>
      <c r="E11" s="1649"/>
      <c r="F11" s="1631"/>
      <c r="R11" s="491"/>
    </row>
    <row r="12" spans="1:18" ht="18.75" customHeight="1" x14ac:dyDescent="0.3">
      <c r="B12" s="490" t="s">
        <v>414</v>
      </c>
      <c r="C12" s="540"/>
      <c r="D12" s="1629"/>
      <c r="E12" s="1649"/>
      <c r="F12" s="1631"/>
      <c r="R12" s="491"/>
    </row>
    <row r="13" spans="1:18" ht="18.75" customHeight="1" x14ac:dyDescent="0.3">
      <c r="B13" s="494" t="s">
        <v>415</v>
      </c>
      <c r="C13" s="495">
        <f>N43</f>
        <v>37.713846954722761</v>
      </c>
      <c r="D13" s="1629"/>
      <c r="E13" s="1649"/>
      <c r="F13" s="1631"/>
      <c r="R13" s="491"/>
    </row>
    <row r="14" spans="1:18" ht="18.75" customHeight="1" x14ac:dyDescent="0.3">
      <c r="B14" s="494" t="s">
        <v>416</v>
      </c>
      <c r="C14" s="495">
        <f>N42</f>
        <v>0</v>
      </c>
      <c r="D14" s="1629"/>
      <c r="E14" s="1649"/>
      <c r="F14" s="1631"/>
      <c r="R14" s="491"/>
    </row>
    <row r="15" spans="1:18" ht="18.75" customHeight="1" x14ac:dyDescent="0.3">
      <c r="B15" s="494" t="s">
        <v>417</v>
      </c>
      <c r="C15" s="495">
        <f>N44</f>
        <v>-7.4355227196560916E-2</v>
      </c>
      <c r="D15" s="1629"/>
      <c r="E15" s="1649"/>
      <c r="F15" s="1631"/>
      <c r="R15" s="491"/>
    </row>
    <row r="16" spans="1:18" ht="18.75" customHeight="1" x14ac:dyDescent="0.3">
      <c r="B16" s="494" t="s">
        <v>418</v>
      </c>
      <c r="C16" s="496">
        <f>C37</f>
        <v>0</v>
      </c>
      <c r="D16" s="1632"/>
      <c r="E16" s="1633"/>
      <c r="F16" s="1634"/>
      <c r="R16" s="491"/>
    </row>
    <row r="17" spans="2:18" ht="18.75" customHeight="1" x14ac:dyDescent="0.3">
      <c r="B17" s="490" t="s">
        <v>48</v>
      </c>
      <c r="C17" s="1194" t="s">
        <v>717</v>
      </c>
      <c r="D17" s="1366" t="s">
        <v>419</v>
      </c>
      <c r="E17" s="1366"/>
      <c r="F17" s="1366"/>
      <c r="R17" s="491"/>
    </row>
    <row r="18" spans="2:18" ht="18.75" customHeight="1" x14ac:dyDescent="0.3">
      <c r="B18" s="490" t="s">
        <v>420</v>
      </c>
      <c r="C18" s="541">
        <v>15</v>
      </c>
      <c r="D18" s="1648" t="s">
        <v>718</v>
      </c>
      <c r="E18" s="1648"/>
      <c r="F18" s="1648"/>
      <c r="R18" s="491"/>
    </row>
    <row r="19" spans="2:18" ht="18.75" customHeight="1" x14ac:dyDescent="0.3">
      <c r="B19" s="497"/>
      <c r="C19" s="498"/>
      <c r="F19" s="489"/>
      <c r="R19" s="491"/>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91"/>
    </row>
    <row r="21" spans="2:18" ht="18.75" customHeight="1" x14ac:dyDescent="0.3">
      <c r="B21" s="499" t="s">
        <v>422</v>
      </c>
      <c r="C21" s="1439" t="s">
        <v>373</v>
      </c>
      <c r="D21" s="1439"/>
      <c r="E21" s="1439"/>
      <c r="F21" s="1439"/>
      <c r="G21" s="1439"/>
      <c r="H21" s="1439"/>
      <c r="I21" s="1439"/>
      <c r="J21" s="1439"/>
      <c r="K21" s="1439"/>
      <c r="L21" s="1439"/>
      <c r="M21" s="1439"/>
      <c r="N21" s="1439"/>
      <c r="O21" s="1439"/>
      <c r="P21" s="1439"/>
      <c r="Q21" s="1439"/>
      <c r="R21" s="491"/>
    </row>
    <row r="22" spans="2:18" ht="18.75" customHeight="1" x14ac:dyDescent="0.3">
      <c r="B22" s="500" t="s">
        <v>423</v>
      </c>
      <c r="C22" s="1440" t="s">
        <v>374</v>
      </c>
      <c r="D22" s="1440"/>
      <c r="E22" s="1440"/>
      <c r="F22" s="1440"/>
      <c r="G22" s="1440"/>
      <c r="H22" s="1440"/>
      <c r="I22" s="1440"/>
      <c r="J22" s="1440"/>
      <c r="K22" s="1440"/>
      <c r="L22" s="1440"/>
      <c r="M22" s="1440"/>
      <c r="N22" s="1440"/>
      <c r="O22" s="1440"/>
      <c r="P22" s="1440"/>
      <c r="Q22" s="1440"/>
      <c r="R22" s="491"/>
    </row>
    <row r="23" spans="2:18" ht="18.75" customHeight="1" x14ac:dyDescent="0.3">
      <c r="B23" s="500" t="s">
        <v>424</v>
      </c>
      <c r="C23" s="1440"/>
      <c r="D23" s="1440"/>
      <c r="E23" s="1440"/>
      <c r="F23" s="1440"/>
      <c r="G23" s="1440"/>
      <c r="H23" s="1440"/>
      <c r="I23" s="1440"/>
      <c r="J23" s="1440"/>
      <c r="K23" s="1440"/>
      <c r="L23" s="1440"/>
      <c r="M23" s="1440"/>
      <c r="N23" s="1440"/>
      <c r="O23" s="1440"/>
      <c r="P23" s="1440"/>
      <c r="Q23" s="1440"/>
      <c r="R23" s="491"/>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91"/>
    </row>
    <row r="26" spans="2:18" ht="18.75" customHeight="1" x14ac:dyDescent="0.3">
      <c r="B26" s="490" t="s">
        <v>9</v>
      </c>
      <c r="C26" s="538" t="str">
        <f>Default.Region</f>
        <v>Average</v>
      </c>
      <c r="D26" s="1446"/>
      <c r="E26" s="1446"/>
      <c r="F26" s="1446"/>
      <c r="G26" s="1446"/>
      <c r="H26" s="1446"/>
      <c r="I26" s="1446"/>
      <c r="J26" s="1446"/>
      <c r="K26" s="1446"/>
      <c r="L26" s="1446"/>
      <c r="M26" s="1446"/>
      <c r="N26" s="1446"/>
      <c r="O26" s="1446"/>
      <c r="P26" s="1446"/>
      <c r="Q26" s="1446"/>
      <c r="R26" s="491"/>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91"/>
    </row>
    <row r="28" spans="2:18" ht="18.75" customHeight="1" x14ac:dyDescent="0.3">
      <c r="B28" s="490" t="s">
        <v>54</v>
      </c>
      <c r="C28" s="539" t="str">
        <f>Default.BuildingType.R</f>
        <v>Home - detached</v>
      </c>
      <c r="D28" s="1461"/>
      <c r="E28" s="1461"/>
      <c r="F28" s="1461"/>
      <c r="G28" s="1461"/>
      <c r="H28" s="1461"/>
      <c r="I28" s="1461"/>
      <c r="J28" s="1461"/>
      <c r="K28" s="1461"/>
      <c r="L28" s="1461"/>
      <c r="M28" s="1461"/>
      <c r="N28" s="1461"/>
      <c r="O28" s="1461"/>
      <c r="P28" s="1461"/>
      <c r="Q28" s="1461"/>
      <c r="R28" s="491"/>
    </row>
    <row r="29" spans="2:18" ht="18.75" customHeight="1" x14ac:dyDescent="0.3">
      <c r="B29" s="490" t="s">
        <v>33</v>
      </c>
      <c r="C29" s="538" t="str">
        <f>Default.SpaceHeatingFuel</f>
        <v>Natural gas</v>
      </c>
      <c r="D29" s="1446"/>
      <c r="E29" s="1446"/>
      <c r="F29" s="1446"/>
      <c r="G29" s="1446"/>
      <c r="H29" s="1446"/>
      <c r="I29" s="1446"/>
      <c r="J29" s="1446"/>
      <c r="K29" s="1446"/>
      <c r="L29" s="1446"/>
      <c r="M29" s="1446"/>
      <c r="N29" s="1446"/>
      <c r="O29" s="1446"/>
      <c r="P29" s="1446"/>
      <c r="Q29" s="1446"/>
      <c r="R29" s="491"/>
    </row>
    <row r="30" spans="2:18" ht="18.75" customHeight="1" x14ac:dyDescent="0.3">
      <c r="B30" s="490" t="s">
        <v>35</v>
      </c>
      <c r="C30" s="538" t="str">
        <f>Default.WaterHeatingFuel</f>
        <v>Natural gas</v>
      </c>
      <c r="D30" s="1446"/>
      <c r="E30" s="1446"/>
      <c r="F30" s="1446"/>
      <c r="G30" s="1446"/>
      <c r="H30" s="1446"/>
      <c r="I30" s="1446"/>
      <c r="J30" s="1446"/>
      <c r="K30" s="1446"/>
      <c r="L30" s="1446"/>
      <c r="M30" s="1446"/>
      <c r="N30" s="1446"/>
      <c r="O30" s="1446"/>
      <c r="P30" s="1446"/>
      <c r="Q30" s="1446"/>
      <c r="R30" s="491"/>
    </row>
    <row r="31" spans="2:18" ht="18.75" customHeight="1" x14ac:dyDescent="0.3">
      <c r="B31" s="502"/>
      <c r="C31" s="503"/>
      <c r="D31" s="503"/>
      <c r="E31" s="503"/>
      <c r="F31" s="503"/>
      <c r="G31" s="503"/>
      <c r="H31" s="503"/>
      <c r="I31" s="503"/>
      <c r="J31" s="503"/>
      <c r="K31" s="503"/>
      <c r="L31" s="503"/>
      <c r="M31" s="503"/>
      <c r="N31" s="503"/>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37" t="s">
        <v>430</v>
      </c>
      <c r="E33" s="1475"/>
      <c r="F33" s="1476"/>
      <c r="G33" s="1476"/>
      <c r="H33" s="1476"/>
      <c r="I33" s="1476"/>
      <c r="J33" s="1476"/>
      <c r="K33" s="1476"/>
      <c r="L33" s="1476"/>
      <c r="M33" s="1476"/>
      <c r="N33" s="1476"/>
      <c r="O33" s="1476"/>
      <c r="P33" s="1476"/>
      <c r="Q33" s="1477"/>
      <c r="R33" s="491"/>
    </row>
    <row r="34" spans="2:18" ht="18.75" customHeight="1" x14ac:dyDescent="0.3">
      <c r="B34" s="494" t="s">
        <v>431</v>
      </c>
      <c r="C34" s="542"/>
      <c r="D34" s="537" t="s">
        <v>430</v>
      </c>
      <c r="E34" s="1475"/>
      <c r="F34" s="1476"/>
      <c r="G34" s="1476"/>
      <c r="H34" s="1476"/>
      <c r="I34" s="1476"/>
      <c r="J34" s="1476"/>
      <c r="K34" s="1476"/>
      <c r="L34" s="1476"/>
      <c r="M34" s="1476"/>
      <c r="N34" s="1476"/>
      <c r="O34" s="1476"/>
      <c r="P34" s="1476"/>
      <c r="Q34" s="1477"/>
    </row>
    <row r="35" spans="2:18" ht="18.75" customHeight="1" x14ac:dyDescent="0.3">
      <c r="B35" s="490" t="s">
        <v>432</v>
      </c>
      <c r="C35" s="542"/>
      <c r="D35" s="537" t="s">
        <v>430</v>
      </c>
      <c r="E35" s="1475"/>
      <c r="F35" s="1476"/>
      <c r="G35" s="1476"/>
      <c r="H35" s="1476"/>
      <c r="I35" s="1476"/>
      <c r="J35" s="1476"/>
      <c r="K35" s="1476"/>
      <c r="L35" s="1476"/>
      <c r="M35" s="1476"/>
      <c r="N35" s="1476"/>
      <c r="O35" s="1476"/>
      <c r="P35" s="1476"/>
      <c r="Q35" s="1477"/>
    </row>
    <row r="36" spans="2:18" ht="18.75" customHeight="1" x14ac:dyDescent="0.3">
      <c r="B36" s="494" t="s">
        <v>433</v>
      </c>
      <c r="C36" s="504">
        <f>SUM(C33:C34)</f>
        <v>0</v>
      </c>
      <c r="D36" s="537" t="s">
        <v>430</v>
      </c>
      <c r="E36" s="1441"/>
      <c r="F36" s="1441"/>
      <c r="G36" s="1441"/>
      <c r="H36" s="1441"/>
      <c r="I36" s="1441"/>
      <c r="J36" s="1441"/>
      <c r="K36" s="1441"/>
      <c r="L36" s="1441"/>
      <c r="M36" s="1441"/>
      <c r="N36" s="1441"/>
      <c r="O36" s="1441"/>
      <c r="P36" s="1441"/>
      <c r="Q36" s="1441"/>
    </row>
    <row r="37" spans="2:18" ht="18.75" customHeight="1" x14ac:dyDescent="0.3">
      <c r="B37" s="494" t="s">
        <v>434</v>
      </c>
      <c r="C37" s="504">
        <f>IF(C27="RET",C33+(C34-C35),C34-C35)</f>
        <v>0</v>
      </c>
      <c r="D37" s="537" t="s">
        <v>430</v>
      </c>
      <c r="E37" s="1442"/>
      <c r="F37" s="1442"/>
      <c r="G37" s="1442"/>
      <c r="H37" s="1442"/>
      <c r="I37" s="1442"/>
      <c r="J37" s="1442"/>
      <c r="K37" s="1442"/>
      <c r="L37" s="1442"/>
      <c r="M37" s="1442"/>
      <c r="N37" s="1442"/>
      <c r="O37" s="1442"/>
      <c r="P37" s="1442"/>
      <c r="Q37" s="1442"/>
    </row>
    <row r="38" spans="2:18" ht="18.75" customHeight="1" x14ac:dyDescent="0.3">
      <c r="B38" s="502"/>
      <c r="C38" s="503"/>
      <c r="D38" s="505"/>
      <c r="E38" s="503"/>
      <c r="F38" s="503"/>
      <c r="G38" s="503"/>
      <c r="H38" s="503"/>
      <c r="I38" s="503"/>
      <c r="J38" s="503"/>
      <c r="K38" s="503"/>
      <c r="L38" s="503"/>
      <c r="M38" s="503"/>
      <c r="N38" s="503"/>
    </row>
    <row r="39" spans="2:18" ht="18.75" customHeight="1" x14ac:dyDescent="0.3">
      <c r="B39" s="511" t="s">
        <v>435</v>
      </c>
      <c r="C39" s="512"/>
      <c r="D39" s="512"/>
      <c r="E39" s="512"/>
      <c r="F39" s="512"/>
      <c r="G39" s="512"/>
      <c r="H39" s="681"/>
      <c r="I39" s="681"/>
      <c r="J39" s="681"/>
      <c r="K39" s="681"/>
      <c r="L39" s="681"/>
      <c r="M39" s="681"/>
      <c r="N39" s="681"/>
      <c r="O39" s="681"/>
      <c r="P39" s="681"/>
      <c r="Q39" s="682"/>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31" t="s">
        <v>438</v>
      </c>
      <c r="C42" s="1387" t="s">
        <v>439</v>
      </c>
      <c r="D42" s="1388"/>
      <c r="E42" s="1388"/>
      <c r="F42" s="1388"/>
      <c r="G42" s="1388"/>
      <c r="H42" s="1388"/>
      <c r="I42" s="1388"/>
      <c r="J42" s="1388"/>
      <c r="K42" s="1388"/>
      <c r="L42" s="1388"/>
      <c r="M42" s="1389"/>
      <c r="N42" s="508">
        <f>N48+N54</f>
        <v>0</v>
      </c>
      <c r="O42" s="509" t="s">
        <v>440</v>
      </c>
      <c r="P42" s="1447"/>
      <c r="Q42" s="1447"/>
      <c r="R42" s="491"/>
    </row>
    <row r="43" spans="2:18" ht="18.75" customHeight="1" x14ac:dyDescent="0.3">
      <c r="B43" s="531" t="s">
        <v>441</v>
      </c>
      <c r="C43" s="1387" t="s">
        <v>442</v>
      </c>
      <c r="D43" s="1388"/>
      <c r="E43" s="1388"/>
      <c r="F43" s="1388"/>
      <c r="G43" s="1388"/>
      <c r="H43" s="1388"/>
      <c r="I43" s="1388"/>
      <c r="J43" s="1388"/>
      <c r="K43" s="1388"/>
      <c r="L43" s="1388"/>
      <c r="M43" s="1389"/>
      <c r="N43" s="508">
        <f>N49+N55</f>
        <v>37.713846954722761</v>
      </c>
      <c r="O43" s="509" t="s">
        <v>443</v>
      </c>
      <c r="P43" s="1447"/>
      <c r="Q43" s="1447"/>
      <c r="R43" s="491"/>
    </row>
    <row r="44" spans="2:18" ht="18.75" customHeight="1" x14ac:dyDescent="0.3">
      <c r="B44" s="531" t="s">
        <v>444</v>
      </c>
      <c r="C44" s="1387" t="s">
        <v>445</v>
      </c>
      <c r="D44" s="1388"/>
      <c r="E44" s="1388"/>
      <c r="F44" s="1388"/>
      <c r="G44" s="1388"/>
      <c r="H44" s="1388"/>
      <c r="I44" s="1388"/>
      <c r="J44" s="1388"/>
      <c r="K44" s="1388"/>
      <c r="L44" s="1388"/>
      <c r="M44" s="1389"/>
      <c r="N44" s="508">
        <f>N50+N56</f>
        <v>-7.4355227196560916E-2</v>
      </c>
      <c r="O44" s="509" t="s">
        <v>446</v>
      </c>
      <c r="P44" s="1447"/>
      <c r="Q44" s="1447"/>
      <c r="R44" s="491"/>
    </row>
    <row r="45" spans="2:18" ht="18.75" customHeight="1" x14ac:dyDescent="0.3">
      <c r="B45" s="531" t="s">
        <v>447</v>
      </c>
      <c r="C45" s="1387" t="s">
        <v>448</v>
      </c>
      <c r="D45" s="1388"/>
      <c r="E45" s="1388"/>
      <c r="F45" s="1388"/>
      <c r="G45" s="1388"/>
      <c r="H45" s="1388"/>
      <c r="I45" s="1388"/>
      <c r="J45" s="1388"/>
      <c r="K45" s="1388"/>
      <c r="L45" s="1388"/>
      <c r="M45" s="1389"/>
      <c r="N45" s="508">
        <f>N51+N57</f>
        <v>0</v>
      </c>
      <c r="O45" s="509" t="s">
        <v>449</v>
      </c>
      <c r="P45" s="1447"/>
      <c r="Q45" s="1447"/>
      <c r="R45" s="491"/>
    </row>
    <row r="46" spans="2:18" ht="18.75" customHeight="1" x14ac:dyDescent="0.3">
      <c r="B46" s="532"/>
      <c r="C46" s="503"/>
      <c r="D46" s="503"/>
      <c r="E46" s="503"/>
      <c r="F46" s="503"/>
      <c r="G46" s="503"/>
      <c r="H46" s="503"/>
      <c r="I46" s="503"/>
      <c r="J46" s="503"/>
      <c r="K46" s="503"/>
      <c r="L46" s="503"/>
      <c r="M46" s="503"/>
      <c r="Q46" s="489"/>
      <c r="R46" s="491"/>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91"/>
    </row>
    <row r="48" spans="2:18" ht="18.75" customHeight="1" x14ac:dyDescent="0.3">
      <c r="B48" s="531" t="s">
        <v>452</v>
      </c>
      <c r="C48" s="1449" t="s">
        <v>453</v>
      </c>
      <c r="D48" s="1450"/>
      <c r="E48" s="1450"/>
      <c r="F48" s="1450"/>
      <c r="G48" s="1450"/>
      <c r="H48" s="1450"/>
      <c r="I48" s="1450"/>
      <c r="J48" s="1450"/>
      <c r="K48" s="1450"/>
      <c r="L48" s="1450"/>
      <c r="M48" s="1451"/>
      <c r="N48" s="543"/>
      <c r="O48" s="509" t="s">
        <v>440</v>
      </c>
      <c r="P48" s="1447"/>
      <c r="Q48" s="1447"/>
      <c r="R48" s="491"/>
    </row>
    <row r="49" spans="2:18" ht="18.75" customHeight="1" x14ac:dyDescent="0.3">
      <c r="B49" s="531" t="s">
        <v>454</v>
      </c>
      <c r="C49" s="1449" t="s">
        <v>719</v>
      </c>
      <c r="D49" s="1450"/>
      <c r="E49" s="1450"/>
      <c r="F49" s="1450"/>
      <c r="G49" s="1450"/>
      <c r="H49" s="1450"/>
      <c r="I49" s="1450"/>
      <c r="J49" s="1450"/>
      <c r="K49" s="1450"/>
      <c r="L49" s="1450"/>
      <c r="M49" s="1451"/>
      <c r="N49" s="545">
        <f>(H62-H63)*H64/1000</f>
        <v>37.507399999999997</v>
      </c>
      <c r="O49" s="509" t="s">
        <v>443</v>
      </c>
      <c r="P49" s="1447"/>
      <c r="Q49" s="1447"/>
      <c r="R49" s="491"/>
    </row>
    <row r="50" spans="2:18" ht="18.75" customHeight="1" x14ac:dyDescent="0.3">
      <c r="B50" s="531" t="s">
        <v>456</v>
      </c>
      <c r="C50" s="1449" t="s">
        <v>457</v>
      </c>
      <c r="D50" s="1450"/>
      <c r="E50" s="1450"/>
      <c r="F50" s="1450"/>
      <c r="G50" s="1450"/>
      <c r="H50" s="1450"/>
      <c r="I50" s="1450"/>
      <c r="J50" s="1450"/>
      <c r="K50" s="1450"/>
      <c r="L50" s="1450"/>
      <c r="M50" s="1451"/>
      <c r="N50" s="545"/>
      <c r="O50" s="509" t="s">
        <v>446</v>
      </c>
      <c r="P50" s="1447"/>
      <c r="Q50" s="1447"/>
      <c r="R50" s="491"/>
    </row>
    <row r="51" spans="2:18" ht="18.75" customHeight="1" x14ac:dyDescent="0.3">
      <c r="B51" s="531" t="s">
        <v>458</v>
      </c>
      <c r="C51" s="1449" t="s">
        <v>459</v>
      </c>
      <c r="D51" s="1450"/>
      <c r="E51" s="1450"/>
      <c r="F51" s="1450"/>
      <c r="G51" s="1450"/>
      <c r="H51" s="1450"/>
      <c r="I51" s="1450"/>
      <c r="J51" s="1450"/>
      <c r="K51" s="1450"/>
      <c r="L51" s="1450"/>
      <c r="M51" s="1451"/>
      <c r="N51" s="545"/>
      <c r="O51" s="509" t="s">
        <v>449</v>
      </c>
      <c r="P51" s="1447"/>
      <c r="Q51" s="1447"/>
      <c r="R51" s="491"/>
    </row>
    <row r="52" spans="2:18" ht="18.75" customHeight="1" x14ac:dyDescent="0.3">
      <c r="B52" s="532"/>
      <c r="C52" s="503"/>
      <c r="D52" s="503"/>
      <c r="E52" s="503"/>
      <c r="F52" s="503"/>
      <c r="G52" s="503"/>
      <c r="H52" s="503"/>
      <c r="I52" s="503"/>
      <c r="J52" s="503"/>
      <c r="K52" s="503"/>
      <c r="L52" s="503"/>
      <c r="M52" s="503"/>
      <c r="Q52" s="489"/>
      <c r="R52" s="491"/>
    </row>
    <row r="53" spans="2:18"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c r="R53" s="491"/>
    </row>
    <row r="54" spans="2:18" ht="18.75" customHeight="1" x14ac:dyDescent="0.3">
      <c r="B54" s="531" t="s">
        <v>462</v>
      </c>
      <c r="C54" s="1449" t="s">
        <v>463</v>
      </c>
      <c r="D54" s="1450"/>
      <c r="E54" s="1450"/>
      <c r="F54" s="1450"/>
      <c r="G54" s="1450"/>
      <c r="H54" s="1450"/>
      <c r="I54" s="1450"/>
      <c r="J54" s="1450"/>
      <c r="K54" s="1450"/>
      <c r="L54" s="1450"/>
      <c r="M54" s="1451"/>
      <c r="N54" s="545"/>
      <c r="O54" s="509" t="s">
        <v>440</v>
      </c>
      <c r="P54" s="1447"/>
      <c r="Q54" s="1447"/>
      <c r="R54" s="491"/>
    </row>
    <row r="55" spans="2:18" ht="18.75" customHeight="1" x14ac:dyDescent="0.3">
      <c r="B55" s="531" t="s">
        <v>464</v>
      </c>
      <c r="C55" s="1449" t="s">
        <v>720</v>
      </c>
      <c r="D55" s="1450"/>
      <c r="E55" s="1450"/>
      <c r="F55" s="1450"/>
      <c r="G55" s="1450"/>
      <c r="H55" s="1450"/>
      <c r="I55" s="1450"/>
      <c r="J55" s="1450"/>
      <c r="K55" s="1450"/>
      <c r="L55" s="1450"/>
      <c r="M55" s="1451"/>
      <c r="N55" s="545">
        <f>(H62-H63)*H64*H66*H67/1000</f>
        <v>0.206446954722765</v>
      </c>
      <c r="O55" s="509" t="s">
        <v>443</v>
      </c>
      <c r="P55" s="1452"/>
      <c r="Q55" s="1453"/>
      <c r="R55" s="491"/>
    </row>
    <row r="56" spans="2:18" ht="18.75" customHeight="1" x14ac:dyDescent="0.3">
      <c r="B56" s="531" t="s">
        <v>466</v>
      </c>
      <c r="C56" s="1449" t="s">
        <v>721</v>
      </c>
      <c r="D56" s="1450"/>
      <c r="E56" s="1450"/>
      <c r="F56" s="1450"/>
      <c r="G56" s="1450"/>
      <c r="H56" s="1450"/>
      <c r="I56" s="1450"/>
      <c r="J56" s="1450"/>
      <c r="K56" s="1450"/>
      <c r="L56" s="1450"/>
      <c r="M56" s="1451"/>
      <c r="N56" s="543">
        <f>N49*H65*H68*D82</f>
        <v>-7.4355227196560916E-2</v>
      </c>
      <c r="O56" s="509" t="s">
        <v>446</v>
      </c>
      <c r="P56" s="1452"/>
      <c r="Q56" s="1453"/>
      <c r="R56" s="491"/>
    </row>
    <row r="57" spans="2:18" ht="18.75" customHeight="1" x14ac:dyDescent="0.3">
      <c r="B57" s="531" t="s">
        <v>468</v>
      </c>
      <c r="C57" s="1449" t="s">
        <v>469</v>
      </c>
      <c r="D57" s="1450"/>
      <c r="E57" s="1450"/>
      <c r="F57" s="1450"/>
      <c r="G57" s="1450"/>
      <c r="H57" s="1450"/>
      <c r="I57" s="1450"/>
      <c r="J57" s="1450"/>
      <c r="K57" s="1450"/>
      <c r="L57" s="1450"/>
      <c r="M57" s="1451"/>
      <c r="N57" s="545"/>
      <c r="O57" s="509" t="s">
        <v>449</v>
      </c>
      <c r="P57" s="1447"/>
      <c r="Q57" s="1447"/>
      <c r="R57" s="491"/>
    </row>
    <row r="58" spans="2:18" ht="18.75" customHeight="1" x14ac:dyDescent="0.3">
      <c r="B58" s="510"/>
      <c r="C58" s="502"/>
      <c r="D58" s="503"/>
      <c r="E58" s="503"/>
      <c r="F58" s="503"/>
      <c r="G58" s="503"/>
      <c r="H58" s="503"/>
      <c r="I58" s="503"/>
      <c r="J58" s="503"/>
      <c r="K58" s="503"/>
      <c r="L58" s="503"/>
      <c r="M58" s="503"/>
      <c r="N58" s="503"/>
      <c r="O58" s="503"/>
    </row>
    <row r="59" spans="2:18" ht="18.75" customHeight="1" x14ac:dyDescent="0.3">
      <c r="B59" s="511" t="s">
        <v>470</v>
      </c>
      <c r="C59" s="512"/>
      <c r="D59" s="512"/>
      <c r="E59" s="512"/>
      <c r="F59" s="512"/>
      <c r="G59" s="512"/>
      <c r="H59" s="681"/>
      <c r="I59" s="681"/>
      <c r="J59" s="681"/>
      <c r="K59" s="681"/>
      <c r="L59" s="681"/>
      <c r="M59" s="681"/>
      <c r="N59" s="681"/>
      <c r="O59" s="681"/>
      <c r="P59" s="681"/>
      <c r="Q59" s="682"/>
    </row>
    <row r="61" spans="2:18" ht="18.75" customHeight="1" x14ac:dyDescent="0.3">
      <c r="B61" s="506" t="s">
        <v>471</v>
      </c>
      <c r="C61" s="506" t="s">
        <v>472</v>
      </c>
      <c r="D61" s="1395" t="s">
        <v>473</v>
      </c>
      <c r="E61" s="1395"/>
      <c r="F61" s="506" t="s">
        <v>474</v>
      </c>
      <c r="G61" s="506" t="s">
        <v>475</v>
      </c>
      <c r="H61" s="506" t="s">
        <v>406</v>
      </c>
      <c r="I61" s="506" t="s">
        <v>428</v>
      </c>
      <c r="J61" s="1396" t="s">
        <v>476</v>
      </c>
      <c r="K61" s="1397"/>
      <c r="L61" s="1397"/>
      <c r="M61" s="1397"/>
      <c r="N61" s="1397"/>
      <c r="O61" s="1397"/>
      <c r="P61" s="1397"/>
      <c r="Q61" s="1398"/>
    </row>
    <row r="62" spans="2:18" ht="39" x14ac:dyDescent="0.3">
      <c r="B62" s="535">
        <v>1</v>
      </c>
      <c r="C62" s="551" t="s">
        <v>722</v>
      </c>
      <c r="D62" s="1543" t="s">
        <v>723</v>
      </c>
      <c r="E62" s="1543"/>
      <c r="F62" s="552" t="s">
        <v>724</v>
      </c>
      <c r="G62" s="552" t="s">
        <v>725</v>
      </c>
      <c r="H62" s="687">
        <f>INDEX($B$96:$N$116,MATCH($F62,$C$96:$C$116,0),MATCH($G62,$B$96:$N$96,0))</f>
        <v>54.3</v>
      </c>
      <c r="I62" s="552" t="s">
        <v>726</v>
      </c>
      <c r="J62" s="1659" t="s">
        <v>727</v>
      </c>
      <c r="K62" s="1660"/>
      <c r="L62" s="1660"/>
      <c r="M62" s="1660"/>
      <c r="N62" s="1660"/>
      <c r="O62" s="1660"/>
      <c r="P62" s="1660"/>
      <c r="Q62" s="1661"/>
      <c r="R62" s="491"/>
    </row>
    <row r="63" spans="2:18" ht="39" x14ac:dyDescent="0.3">
      <c r="B63" s="535">
        <v>2</v>
      </c>
      <c r="C63" s="551" t="s">
        <v>728</v>
      </c>
      <c r="D63" s="1543" t="s">
        <v>729</v>
      </c>
      <c r="E63" s="1543"/>
      <c r="F63" s="552" t="s">
        <v>724</v>
      </c>
      <c r="G63" s="552" t="s">
        <v>730</v>
      </c>
      <c r="H63" s="687">
        <f>INDEX($B$96:$N$116,MATCH($F63,$C$96:$C$116,0),MATCH($G63,$B$96:$N$96,0))</f>
        <v>17.600000000000001</v>
      </c>
      <c r="I63" s="552" t="s">
        <v>726</v>
      </c>
      <c r="J63" s="1659" t="s">
        <v>727</v>
      </c>
      <c r="K63" s="1660"/>
      <c r="L63" s="1660"/>
      <c r="M63" s="1660"/>
      <c r="N63" s="1660"/>
      <c r="O63" s="1660"/>
      <c r="P63" s="1660"/>
      <c r="Q63" s="1661"/>
      <c r="R63" s="491"/>
    </row>
    <row r="64" spans="2:18" ht="26.5" customHeight="1" x14ac:dyDescent="0.3">
      <c r="B64" s="536">
        <v>3</v>
      </c>
      <c r="C64" s="555" t="s">
        <v>731</v>
      </c>
      <c r="D64" s="1437" t="s">
        <v>732</v>
      </c>
      <c r="E64" s="1438"/>
      <c r="F64" s="557" t="str">
        <f>C28</f>
        <v>Home - detached</v>
      </c>
      <c r="G64" s="557" t="s">
        <v>733</v>
      </c>
      <c r="H64" s="688">
        <f>INDEX(BuildingType[],MATCH($C$28,BuildingType[Building],0),MATCH($G$64,BuildingType[#Headers],0))</f>
        <v>1021.9999999999999</v>
      </c>
      <c r="I64" s="1217" t="s">
        <v>532</v>
      </c>
      <c r="J64" s="1462" t="s">
        <v>734</v>
      </c>
      <c r="K64" s="1470"/>
      <c r="L64" s="1470"/>
      <c r="M64" s="1470"/>
      <c r="N64" s="1470"/>
      <c r="O64" s="1470"/>
      <c r="P64" s="1470"/>
      <c r="Q64" s="1471"/>
      <c r="R64" s="491"/>
    </row>
    <row r="65" spans="2:17" s="491" customFormat="1" ht="25.15" customHeight="1" x14ac:dyDescent="0.3">
      <c r="B65" s="536">
        <v>4</v>
      </c>
      <c r="C65" s="555" t="s">
        <v>735</v>
      </c>
      <c r="D65" s="1437" t="s">
        <v>736</v>
      </c>
      <c r="E65" s="1438"/>
      <c r="F65" s="557" t="str">
        <f>C29</f>
        <v>Natural gas</v>
      </c>
      <c r="G65" s="557" t="s">
        <v>737</v>
      </c>
      <c r="H65" s="548">
        <f>INDEX(BuildingType[],MATCH($C$28,BuildingType[Building],0),MATCH($G$65,BuildingType[#Headers],0))</f>
        <v>-0.57999999999999996</v>
      </c>
      <c r="I65" s="557" t="s">
        <v>519</v>
      </c>
      <c r="J65" s="1462" t="s">
        <v>738</v>
      </c>
      <c r="K65" s="1470"/>
      <c r="L65" s="1470"/>
      <c r="M65" s="1470"/>
      <c r="N65" s="1470"/>
      <c r="O65" s="1470"/>
      <c r="P65" s="1470"/>
      <c r="Q65" s="1471"/>
    </row>
    <row r="66" spans="2:17" s="491" customFormat="1" ht="13.15" customHeight="1" x14ac:dyDescent="0.3">
      <c r="B66" s="536">
        <v>5</v>
      </c>
      <c r="C66" s="555" t="s">
        <v>739</v>
      </c>
      <c r="D66" s="1437" t="s">
        <v>740</v>
      </c>
      <c r="E66" s="1438"/>
      <c r="F66" s="557" t="str">
        <f>C30</f>
        <v>Natural gas</v>
      </c>
      <c r="G66" s="557" t="s">
        <v>741</v>
      </c>
      <c r="H66" s="548">
        <f>INDEX(BuildingType[],MATCH($C$28,BuildingType[Building],0),MATCH($G$66,BuildingType[#Headers],0))</f>
        <v>0.04</v>
      </c>
      <c r="I66" s="557" t="s">
        <v>519</v>
      </c>
      <c r="J66" s="1462" t="s">
        <v>742</v>
      </c>
      <c r="K66" s="1470"/>
      <c r="L66" s="1470"/>
      <c r="M66" s="1470"/>
      <c r="N66" s="1470"/>
      <c r="O66" s="1470"/>
      <c r="P66" s="1470"/>
      <c r="Q66" s="1471"/>
    </row>
    <row r="67" spans="2:17" s="491" customFormat="1" ht="13.15" customHeight="1" x14ac:dyDescent="0.3">
      <c r="B67" s="536">
        <v>6</v>
      </c>
      <c r="C67" s="555" t="s">
        <v>743</v>
      </c>
      <c r="D67" s="1437" t="s">
        <v>744</v>
      </c>
      <c r="E67" s="1438"/>
      <c r="F67" s="557"/>
      <c r="G67" s="557"/>
      <c r="H67" s="559">
        <f>SpaceCoolingShare.R.E</f>
        <v>0.13760414926305545</v>
      </c>
      <c r="I67" s="557" t="s">
        <v>519</v>
      </c>
      <c r="J67" s="1472" t="s">
        <v>745</v>
      </c>
      <c r="K67" s="1473"/>
      <c r="L67" s="1473"/>
      <c r="M67" s="1473"/>
      <c r="N67" s="1473"/>
      <c r="O67" s="1473"/>
      <c r="P67" s="1473"/>
      <c r="Q67" s="1474"/>
    </row>
    <row r="68" spans="2:17" s="491" customFormat="1" ht="13.15" customHeight="1" x14ac:dyDescent="0.3">
      <c r="B68" s="536">
        <v>7</v>
      </c>
      <c r="C68" s="555" t="s">
        <v>746</v>
      </c>
      <c r="D68" s="1437" t="s">
        <v>747</v>
      </c>
      <c r="E68" s="1438"/>
      <c r="F68" s="557"/>
      <c r="G68" s="557"/>
      <c r="H68" s="554">
        <f>SpaceHeatingShare.R.NG</f>
        <v>0.94970212059486481</v>
      </c>
      <c r="I68" s="557" t="s">
        <v>519</v>
      </c>
      <c r="J68" s="1472" t="s">
        <v>748</v>
      </c>
      <c r="K68" s="1473"/>
      <c r="L68" s="1473"/>
      <c r="M68" s="1473"/>
      <c r="N68" s="1473"/>
      <c r="O68" s="1473"/>
      <c r="P68" s="1473"/>
      <c r="Q68" s="1474"/>
    </row>
    <row r="69" spans="2:17" s="491" customFormat="1" ht="13" x14ac:dyDescent="0.3">
      <c r="B69" s="536">
        <v>8</v>
      </c>
      <c r="C69" s="555"/>
      <c r="D69" s="1587"/>
      <c r="E69" s="1587"/>
      <c r="F69" s="557"/>
      <c r="G69" s="557"/>
      <c r="H69" s="1217"/>
      <c r="I69" s="557"/>
      <c r="J69" s="1472"/>
      <c r="K69" s="1473"/>
      <c r="L69" s="1473"/>
      <c r="M69" s="1473"/>
      <c r="N69" s="1473"/>
      <c r="O69" s="1473"/>
      <c r="P69" s="1473"/>
      <c r="Q69" s="1474"/>
    </row>
    <row r="70" spans="2:17" s="491" customFormat="1" ht="13" x14ac:dyDescent="0.3">
      <c r="B70" s="536">
        <v>9</v>
      </c>
      <c r="C70" s="555"/>
      <c r="D70" s="1587"/>
      <c r="E70" s="1587"/>
      <c r="F70" s="557"/>
      <c r="G70" s="557"/>
      <c r="H70" s="1217"/>
      <c r="I70" s="557"/>
      <c r="J70" s="1472"/>
      <c r="K70" s="1473"/>
      <c r="L70" s="1473"/>
      <c r="M70" s="1473"/>
      <c r="N70" s="1473"/>
      <c r="O70" s="1473"/>
      <c r="P70" s="1473"/>
      <c r="Q70" s="1474"/>
    </row>
    <row r="71" spans="2:17" s="491" customFormat="1" ht="13" x14ac:dyDescent="0.3">
      <c r="B71" s="536">
        <v>10</v>
      </c>
      <c r="C71" s="555"/>
      <c r="D71" s="1587"/>
      <c r="E71" s="1587"/>
      <c r="F71" s="557"/>
      <c r="G71" s="557"/>
      <c r="H71" s="689"/>
      <c r="I71" s="557"/>
      <c r="J71" s="1472"/>
      <c r="K71" s="1473"/>
      <c r="L71" s="1473"/>
      <c r="M71" s="1473"/>
      <c r="N71" s="1473"/>
      <c r="O71" s="1473"/>
      <c r="P71" s="1473"/>
      <c r="Q71" s="1474"/>
    </row>
    <row r="72" spans="2:17" s="491" customFormat="1" ht="13" x14ac:dyDescent="0.3">
      <c r="B72" s="536">
        <v>11</v>
      </c>
      <c r="C72" s="555"/>
      <c r="D72" s="1437"/>
      <c r="E72" s="1438"/>
      <c r="F72" s="556"/>
      <c r="G72" s="557"/>
      <c r="H72" s="556"/>
      <c r="I72" s="557"/>
      <c r="J72" s="1437"/>
      <c r="K72" s="1448"/>
      <c r="L72" s="1448"/>
      <c r="M72" s="1448"/>
      <c r="N72" s="1448"/>
      <c r="O72" s="1448"/>
      <c r="P72" s="1448"/>
      <c r="Q72" s="1438"/>
    </row>
    <row r="73" spans="2:17" s="491" customFormat="1" ht="13" x14ac:dyDescent="0.3">
      <c r="B73" s="536">
        <v>12</v>
      </c>
      <c r="C73" s="555"/>
      <c r="D73" s="1437"/>
      <c r="E73" s="1438"/>
      <c r="F73" s="556"/>
      <c r="G73" s="557"/>
      <c r="H73" s="558"/>
      <c r="I73" s="557"/>
      <c r="J73" s="1472"/>
      <c r="K73" s="1473"/>
      <c r="L73" s="1473"/>
      <c r="M73" s="1473"/>
      <c r="N73" s="1473"/>
      <c r="O73" s="1473"/>
      <c r="P73" s="1473"/>
      <c r="Q73" s="1474"/>
    </row>
    <row r="74" spans="2:17" s="491" customFormat="1" ht="13" x14ac:dyDescent="0.3">
      <c r="B74" s="536">
        <v>13</v>
      </c>
      <c r="C74" s="555"/>
      <c r="D74" s="1437"/>
      <c r="E74" s="1438"/>
      <c r="F74" s="556"/>
      <c r="G74" s="557"/>
      <c r="H74" s="556"/>
      <c r="I74" s="557"/>
      <c r="J74" s="1472"/>
      <c r="K74" s="1473"/>
      <c r="L74" s="1473"/>
      <c r="M74" s="1473"/>
      <c r="N74" s="1473"/>
      <c r="O74" s="1473"/>
      <c r="P74" s="1473"/>
      <c r="Q74" s="1474"/>
    </row>
    <row r="75" spans="2:17" s="489" customFormat="1" ht="13.15" customHeight="1" x14ac:dyDescent="0.3">
      <c r="B75" s="536">
        <v>14</v>
      </c>
      <c r="C75" s="555"/>
      <c r="D75" s="1437"/>
      <c r="E75" s="1438"/>
      <c r="F75" s="556"/>
      <c r="G75" s="557"/>
      <c r="H75" s="556"/>
      <c r="I75" s="557"/>
      <c r="J75" s="1472"/>
      <c r="K75" s="1473"/>
      <c r="L75" s="1473"/>
      <c r="M75" s="1473"/>
      <c r="N75" s="1473"/>
      <c r="O75" s="1473"/>
      <c r="P75" s="1473"/>
      <c r="Q75" s="1474"/>
    </row>
    <row r="76" spans="2:17" s="489" customFormat="1" ht="13" x14ac:dyDescent="0.3">
      <c r="B76" s="536">
        <v>15</v>
      </c>
      <c r="C76" s="555"/>
      <c r="D76" s="1437"/>
      <c r="E76" s="1438"/>
      <c r="F76" s="556"/>
      <c r="G76" s="557"/>
      <c r="H76" s="559"/>
      <c r="I76" s="557"/>
      <c r="J76" s="1472"/>
      <c r="K76" s="1473"/>
      <c r="L76" s="1473"/>
      <c r="M76" s="1473"/>
      <c r="N76" s="1473"/>
      <c r="O76" s="1473"/>
      <c r="P76" s="1473"/>
      <c r="Q76" s="1474"/>
    </row>
    <row r="77" spans="2:17" s="491" customFormat="1" ht="18.75" customHeight="1" x14ac:dyDescent="0.3"/>
    <row r="78" spans="2:17" s="491" customFormat="1" ht="18.75" customHeight="1" x14ac:dyDescent="0.3">
      <c r="B78" s="511" t="s">
        <v>477</v>
      </c>
      <c r="C78" s="512"/>
      <c r="D78" s="512"/>
      <c r="E78" s="512"/>
      <c r="F78" s="512"/>
      <c r="G78" s="512"/>
      <c r="H78" s="513"/>
      <c r="I78" s="513"/>
      <c r="J78" s="513"/>
      <c r="K78" s="513"/>
      <c r="L78" s="513"/>
      <c r="M78" s="513"/>
      <c r="N78" s="513"/>
      <c r="O78" s="513"/>
      <c r="P78" s="513"/>
      <c r="Q78" s="514"/>
    </row>
    <row r="79" spans="2:17" s="491" customFormat="1" ht="18.75" customHeight="1" x14ac:dyDescent="0.3">
      <c r="B79" s="488"/>
      <c r="C79" s="488"/>
      <c r="D79" s="488"/>
      <c r="E79" s="488"/>
      <c r="F79" s="488"/>
      <c r="G79" s="488"/>
      <c r="H79" s="488"/>
      <c r="I79" s="488"/>
      <c r="J79" s="488"/>
      <c r="K79" s="488"/>
      <c r="L79" s="488"/>
      <c r="M79" s="488"/>
      <c r="N79" s="488"/>
      <c r="O79" s="488"/>
      <c r="P79" s="488"/>
      <c r="Q79" s="488"/>
    </row>
    <row r="80" spans="2:17" s="491" customFormat="1"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row>
    <row r="81" spans="2:17" s="491" customFormat="1" ht="13" x14ac:dyDescent="0.3">
      <c r="B81" s="533">
        <v>1</v>
      </c>
      <c r="C81" s="560" t="s">
        <v>480</v>
      </c>
      <c r="D81" s="561">
        <v>1000</v>
      </c>
      <c r="E81" s="1182" t="s">
        <v>481</v>
      </c>
      <c r="F81" s="1486" t="s">
        <v>482</v>
      </c>
      <c r="G81" s="1487"/>
      <c r="H81" s="1487"/>
      <c r="I81" s="1487"/>
      <c r="J81" s="1487"/>
      <c r="K81" s="1487"/>
      <c r="L81" s="1487"/>
      <c r="M81" s="1487"/>
      <c r="N81" s="1487"/>
      <c r="O81" s="1487"/>
      <c r="P81" s="1487"/>
      <c r="Q81" s="1488"/>
    </row>
    <row r="82" spans="2:17" s="491" customFormat="1"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row>
    <row r="83" spans="2:17" s="491" customFormat="1"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row>
    <row r="84" spans="2:17" s="491" customFormat="1" ht="13" x14ac:dyDescent="0.3">
      <c r="B84" s="533">
        <v>4</v>
      </c>
      <c r="C84" s="560" t="s">
        <v>488</v>
      </c>
      <c r="D84" s="562">
        <v>0.1055</v>
      </c>
      <c r="E84" s="1182" t="s">
        <v>489</v>
      </c>
      <c r="F84" s="1489" t="s">
        <v>485</v>
      </c>
      <c r="G84" s="1490"/>
      <c r="H84" s="1490"/>
      <c r="I84" s="1490"/>
      <c r="J84" s="1490"/>
      <c r="K84" s="1490"/>
      <c r="L84" s="1490"/>
      <c r="M84" s="1490"/>
      <c r="N84" s="1490"/>
      <c r="O84" s="1490"/>
      <c r="P84" s="1490"/>
      <c r="Q84" s="1491"/>
    </row>
    <row r="85" spans="2:17" s="491" customFormat="1"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row>
    <row r="86" spans="2:17" s="491" customFormat="1" ht="13" x14ac:dyDescent="0.3">
      <c r="B86" s="533">
        <v>6</v>
      </c>
      <c r="C86" s="563"/>
      <c r="D86" s="564"/>
      <c r="E86" s="1182"/>
      <c r="F86" s="1489"/>
      <c r="G86" s="1490"/>
      <c r="H86" s="1490"/>
      <c r="I86" s="1490"/>
      <c r="J86" s="1490"/>
      <c r="K86" s="1490"/>
      <c r="L86" s="1490"/>
      <c r="M86" s="1490"/>
      <c r="N86" s="1490"/>
      <c r="O86" s="1490"/>
      <c r="P86" s="1490"/>
      <c r="Q86" s="1491"/>
    </row>
    <row r="87" spans="2:17" s="491" customFormat="1" ht="13" x14ac:dyDescent="0.3">
      <c r="B87" s="533">
        <v>7</v>
      </c>
      <c r="C87" s="563"/>
      <c r="D87" s="1233"/>
      <c r="E87" s="1182"/>
      <c r="F87" s="1489"/>
      <c r="G87" s="1490"/>
      <c r="H87" s="1490"/>
      <c r="I87" s="1490"/>
      <c r="J87" s="1490"/>
      <c r="K87" s="1490"/>
      <c r="L87" s="1490"/>
      <c r="M87" s="1490"/>
      <c r="N87" s="1490"/>
      <c r="O87" s="1490"/>
      <c r="P87" s="1490"/>
      <c r="Q87" s="1491"/>
    </row>
    <row r="88" spans="2:17" s="491" customFormat="1" ht="13" x14ac:dyDescent="0.3">
      <c r="B88" s="533">
        <v>8</v>
      </c>
      <c r="C88" s="563"/>
      <c r="D88" s="564"/>
      <c r="E88" s="1182"/>
      <c r="F88" s="1489"/>
      <c r="G88" s="1490"/>
      <c r="H88" s="1490"/>
      <c r="I88" s="1490"/>
      <c r="J88" s="1490"/>
      <c r="K88" s="1490"/>
      <c r="L88" s="1490"/>
      <c r="M88" s="1490"/>
      <c r="N88" s="1490"/>
      <c r="O88" s="1490"/>
      <c r="P88" s="1490"/>
      <c r="Q88" s="1491"/>
    </row>
    <row r="89" spans="2:17" s="491" customFormat="1" ht="13" x14ac:dyDescent="0.3">
      <c r="B89" s="533">
        <v>9</v>
      </c>
      <c r="C89" s="563"/>
      <c r="D89" s="1233"/>
      <c r="E89" s="1182"/>
      <c r="F89" s="1489"/>
      <c r="G89" s="1490"/>
      <c r="H89" s="1490"/>
      <c r="I89" s="1490"/>
      <c r="J89" s="1490"/>
      <c r="K89" s="1490"/>
      <c r="L89" s="1490"/>
      <c r="M89" s="1490"/>
      <c r="N89" s="1490"/>
      <c r="O89" s="1490"/>
      <c r="P89" s="1490"/>
      <c r="Q89" s="1491"/>
    </row>
    <row r="90" spans="2:17" s="491" customFormat="1" ht="13" x14ac:dyDescent="0.3">
      <c r="B90" s="533">
        <v>10</v>
      </c>
      <c r="C90" s="563"/>
      <c r="D90" s="564"/>
      <c r="E90" s="1182"/>
      <c r="F90" s="1489"/>
      <c r="G90" s="1490"/>
      <c r="H90" s="1490"/>
      <c r="I90" s="1490"/>
      <c r="J90" s="1490"/>
      <c r="K90" s="1490"/>
      <c r="L90" s="1490"/>
      <c r="M90" s="1490"/>
      <c r="N90" s="1490"/>
      <c r="O90" s="1490"/>
      <c r="P90" s="1490"/>
      <c r="Q90" s="1491"/>
    </row>
    <row r="91" spans="2:17" s="491" customFormat="1" ht="18.75" customHeight="1" x14ac:dyDescent="0.3"/>
    <row r="92" spans="2:17" s="491" customFormat="1" ht="18.75" customHeight="1" x14ac:dyDescent="0.3">
      <c r="B92" s="511" t="s">
        <v>492</v>
      </c>
      <c r="C92" s="512"/>
      <c r="D92" s="512"/>
      <c r="E92" s="512"/>
      <c r="F92" s="512"/>
      <c r="G92" s="512"/>
      <c r="H92" s="681"/>
      <c r="I92" s="681"/>
      <c r="J92" s="681"/>
      <c r="K92" s="681"/>
      <c r="L92" s="681"/>
      <c r="M92" s="681"/>
      <c r="N92" s="681"/>
      <c r="O92" s="681"/>
      <c r="P92" s="681"/>
      <c r="Q92" s="682"/>
    </row>
    <row r="93" spans="2:17" s="491" customFormat="1" ht="18.75" customHeight="1" x14ac:dyDescent="0.3"/>
    <row r="94" spans="2:17" s="491" customFormat="1" ht="18.75" customHeight="1" x14ac:dyDescent="0.3">
      <c r="B94" s="523" t="s">
        <v>493</v>
      </c>
      <c r="E94" s="1402" t="s">
        <v>494</v>
      </c>
      <c r="F94" s="1403"/>
      <c r="G94" s="1403"/>
      <c r="H94" s="1403"/>
      <c r="I94" s="1403"/>
      <c r="J94" s="1403"/>
      <c r="K94" s="1403"/>
      <c r="L94" s="1403"/>
      <c r="M94" s="1403"/>
      <c r="N94" s="1403"/>
      <c r="O94" s="1404" t="s">
        <v>476</v>
      </c>
      <c r="P94" s="1405"/>
      <c r="Q94" s="1406"/>
    </row>
    <row r="95" spans="2:17" s="491" customFormat="1" ht="25.5" customHeight="1" x14ac:dyDescent="0.3">
      <c r="B95" s="1498" t="s">
        <v>749</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row>
    <row r="96" spans="2:17" s="491" customFormat="1" ht="25.5" customHeight="1" x14ac:dyDescent="0.3">
      <c r="B96" s="1188" t="s">
        <v>478</v>
      </c>
      <c r="C96" s="1402" t="s">
        <v>538</v>
      </c>
      <c r="D96" s="1431"/>
      <c r="E96" s="565" t="s">
        <v>725</v>
      </c>
      <c r="F96" s="565" t="s">
        <v>730</v>
      </c>
      <c r="G96" s="565" t="s">
        <v>750</v>
      </c>
      <c r="H96" s="565"/>
      <c r="I96" s="565"/>
      <c r="J96" s="565"/>
      <c r="K96" s="565"/>
      <c r="L96" s="565"/>
      <c r="M96" s="565"/>
      <c r="N96" s="566"/>
      <c r="O96" s="1410"/>
      <c r="P96" s="1411"/>
      <c r="Q96" s="1412"/>
    </row>
    <row r="97" spans="2:17" s="491" customFormat="1" ht="78" x14ac:dyDescent="0.3">
      <c r="B97" s="536">
        <v>1</v>
      </c>
      <c r="C97" s="1217" t="s">
        <v>724</v>
      </c>
      <c r="D97" s="1198" t="s">
        <v>751</v>
      </c>
      <c r="E97" s="690">
        <v>54.3</v>
      </c>
      <c r="F97" s="690">
        <v>17.600000000000001</v>
      </c>
      <c r="G97" s="559">
        <v>1</v>
      </c>
      <c r="H97" s="691"/>
      <c r="I97" s="692"/>
      <c r="J97" s="692"/>
      <c r="K97" s="692"/>
      <c r="L97" s="692"/>
      <c r="M97" s="692"/>
      <c r="N97" s="692"/>
      <c r="O97" s="1656"/>
      <c r="P97" s="1657"/>
      <c r="Q97" s="1658"/>
    </row>
    <row r="98" spans="2:17" s="491" customFormat="1" ht="13" x14ac:dyDescent="0.3">
      <c r="B98" s="536">
        <v>2</v>
      </c>
      <c r="C98" s="555"/>
      <c r="D98" s="1198"/>
      <c r="E98" s="691"/>
      <c r="F98" s="691"/>
      <c r="G98" s="691"/>
      <c r="H98" s="691"/>
      <c r="I98" s="692"/>
      <c r="J98" s="692"/>
      <c r="K98" s="692"/>
      <c r="L98" s="692"/>
      <c r="M98" s="692"/>
      <c r="N98" s="692"/>
      <c r="O98" s="1653"/>
      <c r="P98" s="1654"/>
      <c r="Q98" s="1655"/>
    </row>
    <row r="99" spans="2:17" s="491" customFormat="1" ht="13" x14ac:dyDescent="0.3">
      <c r="B99" s="536">
        <v>3</v>
      </c>
      <c r="C99" s="555"/>
      <c r="D99" s="1198"/>
      <c r="E99" s="691"/>
      <c r="F99" s="691"/>
      <c r="G99" s="691"/>
      <c r="H99" s="691"/>
      <c r="I99" s="692"/>
      <c r="J99" s="692"/>
      <c r="K99" s="692"/>
      <c r="L99" s="692"/>
      <c r="M99" s="692"/>
      <c r="N99" s="692"/>
      <c r="O99" s="1653"/>
      <c r="P99" s="1654"/>
      <c r="Q99" s="1655"/>
    </row>
    <row r="100" spans="2:17" s="491" customFormat="1" ht="13" x14ac:dyDescent="0.3">
      <c r="B100" s="536">
        <v>4</v>
      </c>
      <c r="C100" s="555"/>
      <c r="D100" s="1198"/>
      <c r="E100" s="691"/>
      <c r="F100" s="691"/>
      <c r="G100" s="691"/>
      <c r="H100" s="691"/>
      <c r="I100" s="692"/>
      <c r="J100" s="692"/>
      <c r="K100" s="692"/>
      <c r="L100" s="692"/>
      <c r="M100" s="692"/>
      <c r="N100" s="692"/>
      <c r="O100" s="1653"/>
      <c r="P100" s="1654"/>
      <c r="Q100" s="1655"/>
    </row>
    <row r="101" spans="2:17" s="491" customFormat="1" ht="13" x14ac:dyDescent="0.3">
      <c r="B101" s="536">
        <v>5</v>
      </c>
      <c r="C101" s="555"/>
      <c r="D101" s="1198"/>
      <c r="E101" s="691"/>
      <c r="F101" s="691"/>
      <c r="G101" s="691"/>
      <c r="H101" s="691"/>
      <c r="I101" s="692"/>
      <c r="J101" s="692"/>
      <c r="K101" s="692"/>
      <c r="L101" s="692"/>
      <c r="M101" s="692"/>
      <c r="N101" s="692"/>
      <c r="O101" s="1653"/>
      <c r="P101" s="1654"/>
      <c r="Q101" s="1655"/>
    </row>
    <row r="102" spans="2:17" s="491" customFormat="1" ht="13" x14ac:dyDescent="0.3">
      <c r="B102" s="536">
        <v>6</v>
      </c>
      <c r="C102" s="555"/>
      <c r="D102" s="1221"/>
      <c r="E102" s="691"/>
      <c r="F102" s="693"/>
      <c r="G102" s="691"/>
      <c r="H102" s="691"/>
      <c r="I102" s="556"/>
      <c r="J102" s="556"/>
      <c r="K102" s="556"/>
      <c r="L102" s="556"/>
      <c r="M102" s="556"/>
      <c r="N102" s="556"/>
      <c r="O102" s="1650"/>
      <c r="P102" s="1651"/>
      <c r="Q102" s="1652"/>
    </row>
    <row r="103" spans="2:17" s="491" customFormat="1" ht="13" x14ac:dyDescent="0.3">
      <c r="B103" s="536">
        <v>7</v>
      </c>
      <c r="C103" s="555"/>
      <c r="D103" s="1221"/>
      <c r="E103" s="691"/>
      <c r="F103" s="556"/>
      <c r="G103" s="556"/>
      <c r="H103" s="691"/>
      <c r="I103" s="556"/>
      <c r="J103" s="556"/>
      <c r="K103" s="556"/>
      <c r="L103" s="556"/>
      <c r="M103" s="556"/>
      <c r="N103" s="556"/>
      <c r="O103" s="1650"/>
      <c r="P103" s="1651"/>
      <c r="Q103" s="1652"/>
    </row>
    <row r="104" spans="2:17" s="491" customFormat="1" ht="13" x14ac:dyDescent="0.3">
      <c r="B104" s="536">
        <v>8</v>
      </c>
      <c r="C104" s="555"/>
      <c r="D104" s="1221"/>
      <c r="E104" s="691"/>
      <c r="F104" s="556"/>
      <c r="G104" s="556"/>
      <c r="H104" s="556"/>
      <c r="I104" s="556"/>
      <c r="J104" s="556"/>
      <c r="K104" s="556"/>
      <c r="L104" s="556"/>
      <c r="M104" s="556"/>
      <c r="N104" s="556"/>
      <c r="O104" s="1650"/>
      <c r="P104" s="1651"/>
      <c r="Q104" s="1652"/>
    </row>
    <row r="105" spans="2:17" s="491" customFormat="1" ht="13" x14ac:dyDescent="0.3">
      <c r="B105" s="536">
        <v>9</v>
      </c>
      <c r="C105" s="555"/>
      <c r="D105" s="1221"/>
      <c r="E105" s="691"/>
      <c r="F105" s="1217"/>
      <c r="G105" s="1217"/>
      <c r="H105" s="1217"/>
      <c r="I105" s="569"/>
      <c r="J105" s="569"/>
      <c r="K105" s="569"/>
      <c r="L105" s="569"/>
      <c r="M105" s="569"/>
      <c r="N105" s="569"/>
      <c r="O105" s="1492"/>
      <c r="P105" s="1493"/>
      <c r="Q105" s="1494"/>
    </row>
    <row r="106" spans="2:17" s="491" customFormat="1" ht="13" x14ac:dyDescent="0.3">
      <c r="B106" s="536">
        <v>10</v>
      </c>
      <c r="C106" s="555"/>
      <c r="D106" s="1221"/>
      <c r="E106" s="1217"/>
      <c r="F106" s="1217"/>
      <c r="G106" s="1217"/>
      <c r="H106" s="1217"/>
      <c r="I106" s="569"/>
      <c r="J106" s="569"/>
      <c r="K106" s="569"/>
      <c r="L106" s="569"/>
      <c r="M106" s="569"/>
      <c r="N106" s="569"/>
      <c r="O106" s="1492"/>
      <c r="P106" s="1493"/>
      <c r="Q106" s="1494"/>
    </row>
    <row r="107" spans="2:17" s="491" customFormat="1" ht="13" x14ac:dyDescent="0.3">
      <c r="B107" s="536">
        <v>11</v>
      </c>
      <c r="C107" s="555"/>
      <c r="D107" s="1221"/>
      <c r="E107" s="689"/>
      <c r="F107" s="691"/>
      <c r="G107" s="689"/>
      <c r="H107" s="689"/>
      <c r="I107" s="556"/>
      <c r="J107" s="556"/>
      <c r="K107" s="556"/>
      <c r="L107" s="556"/>
      <c r="M107" s="556"/>
      <c r="N107" s="556"/>
      <c r="O107" s="1650"/>
      <c r="P107" s="1651"/>
      <c r="Q107" s="1652"/>
    </row>
    <row r="108" spans="2:17" s="491" customFormat="1" ht="13" x14ac:dyDescent="0.3">
      <c r="B108" s="536">
        <v>12</v>
      </c>
      <c r="C108" s="555"/>
      <c r="D108" s="1221"/>
      <c r="E108" s="1217"/>
      <c r="F108" s="691"/>
      <c r="G108" s="1217"/>
      <c r="H108" s="1217"/>
      <c r="I108" s="569"/>
      <c r="J108" s="569"/>
      <c r="K108" s="569"/>
      <c r="L108" s="569"/>
      <c r="M108" s="569"/>
      <c r="N108" s="569"/>
      <c r="O108" s="1492"/>
      <c r="P108" s="1493"/>
      <c r="Q108" s="1494"/>
    </row>
    <row r="109" spans="2:17" s="491" customFormat="1" ht="13" x14ac:dyDescent="0.3">
      <c r="B109" s="536">
        <v>13</v>
      </c>
      <c r="C109" s="555"/>
      <c r="D109" s="1221"/>
      <c r="E109" s="1217"/>
      <c r="F109" s="1217"/>
      <c r="G109" s="1217"/>
      <c r="H109" s="1217"/>
      <c r="I109" s="569"/>
      <c r="J109" s="569"/>
      <c r="K109" s="569"/>
      <c r="L109" s="569"/>
      <c r="M109" s="569"/>
      <c r="N109" s="569"/>
      <c r="O109" s="1492"/>
      <c r="P109" s="1493"/>
      <c r="Q109" s="1494"/>
    </row>
    <row r="110" spans="2:17" s="491" customFormat="1" ht="13" x14ac:dyDescent="0.3">
      <c r="B110" s="536">
        <v>14</v>
      </c>
      <c r="C110" s="555"/>
      <c r="D110" s="1221"/>
      <c r="E110" s="690"/>
      <c r="F110" s="690"/>
      <c r="G110" s="690"/>
      <c r="H110" s="690"/>
      <c r="I110" s="556"/>
      <c r="J110" s="556"/>
      <c r="K110" s="556"/>
      <c r="L110" s="556"/>
      <c r="M110" s="556"/>
      <c r="N110" s="556"/>
      <c r="O110" s="1650"/>
      <c r="P110" s="1651"/>
      <c r="Q110" s="1652"/>
    </row>
    <row r="111" spans="2:17" s="491" customFormat="1" ht="13" x14ac:dyDescent="0.3">
      <c r="B111" s="536">
        <v>15</v>
      </c>
      <c r="C111" s="555"/>
      <c r="D111" s="1221"/>
      <c r="E111" s="690"/>
      <c r="F111" s="690"/>
      <c r="G111" s="690"/>
      <c r="H111" s="690"/>
      <c r="I111" s="556"/>
      <c r="J111" s="556"/>
      <c r="K111" s="556"/>
      <c r="L111" s="556"/>
      <c r="M111" s="556"/>
      <c r="N111" s="556"/>
      <c r="O111" s="1650"/>
      <c r="P111" s="1651"/>
      <c r="Q111" s="1652"/>
    </row>
    <row r="112" spans="2:17" s="491" customFormat="1" ht="13" x14ac:dyDescent="0.3">
      <c r="B112" s="536">
        <v>16</v>
      </c>
      <c r="C112" s="555"/>
      <c r="D112" s="1221"/>
      <c r="E112" s="690"/>
      <c r="F112" s="690"/>
      <c r="G112" s="690"/>
      <c r="H112" s="690"/>
      <c r="I112" s="556"/>
      <c r="J112" s="556"/>
      <c r="K112" s="556"/>
      <c r="L112" s="556"/>
      <c r="M112" s="556"/>
      <c r="N112" s="556"/>
      <c r="O112" s="1650"/>
      <c r="P112" s="1651"/>
      <c r="Q112" s="1652"/>
    </row>
    <row r="113" spans="2:17" s="491" customFormat="1" ht="13" x14ac:dyDescent="0.3">
      <c r="B113" s="536">
        <v>17</v>
      </c>
      <c r="C113" s="555"/>
      <c r="D113" s="1221"/>
      <c r="E113" s="690"/>
      <c r="F113" s="690"/>
      <c r="G113" s="690"/>
      <c r="H113" s="690"/>
      <c r="I113" s="556"/>
      <c r="J113" s="556"/>
      <c r="K113" s="556"/>
      <c r="L113" s="556"/>
      <c r="M113" s="556"/>
      <c r="N113" s="556"/>
      <c r="O113" s="1650"/>
      <c r="P113" s="1651"/>
      <c r="Q113" s="1652"/>
    </row>
    <row r="114" spans="2:17" s="491" customFormat="1" ht="13" x14ac:dyDescent="0.3">
      <c r="B114" s="536">
        <v>18</v>
      </c>
      <c r="C114" s="555"/>
      <c r="D114" s="1221"/>
      <c r="E114" s="690"/>
      <c r="F114" s="690"/>
      <c r="G114" s="690"/>
      <c r="H114" s="690"/>
      <c r="I114" s="556"/>
      <c r="J114" s="556"/>
      <c r="K114" s="556"/>
      <c r="L114" s="556"/>
      <c r="M114" s="556"/>
      <c r="N114" s="556"/>
      <c r="O114" s="1650"/>
      <c r="P114" s="1651"/>
      <c r="Q114" s="1652"/>
    </row>
    <row r="115" spans="2:17" s="491" customFormat="1" ht="13" x14ac:dyDescent="0.3">
      <c r="B115" s="536">
        <v>19</v>
      </c>
      <c r="C115" s="555"/>
      <c r="D115" s="1221"/>
      <c r="E115" s="690"/>
      <c r="F115" s="690"/>
      <c r="G115" s="690"/>
      <c r="H115" s="690"/>
      <c r="I115" s="556"/>
      <c r="J115" s="556"/>
      <c r="K115" s="556"/>
      <c r="L115" s="556"/>
      <c r="M115" s="556"/>
      <c r="N115" s="556"/>
      <c r="O115" s="1650"/>
      <c r="P115" s="1651"/>
      <c r="Q115" s="1652"/>
    </row>
    <row r="116" spans="2:17" s="491" customFormat="1" ht="13" x14ac:dyDescent="0.3">
      <c r="B116" s="536">
        <v>20</v>
      </c>
      <c r="C116" s="555"/>
      <c r="D116" s="1221"/>
      <c r="E116" s="690"/>
      <c r="F116" s="690"/>
      <c r="G116" s="690"/>
      <c r="H116" s="690"/>
      <c r="I116" s="556"/>
      <c r="J116" s="556"/>
      <c r="K116" s="556"/>
      <c r="L116" s="556"/>
      <c r="M116" s="556"/>
      <c r="N116" s="556"/>
      <c r="O116" s="1650"/>
      <c r="P116" s="1651"/>
      <c r="Q116" s="1652"/>
    </row>
  </sheetData>
  <sheetProtection algorithmName="SHA-512" hashValue="quFEkmzDmcjE9bEaGVaXPzVOKzF2WjjU0Ib7kSuy91elqQXuffLNU8SCSw7XRANivsW/kh51U0Fqd4aCwKljVA==" saltValue="wLOvn74sHATRPXz86a9J2g==" spinCount="100000" sheet="1" objects="1" scenarios="1" selectLockedCells="1" selectUnlockedCells="1"/>
  <mergeCells count="121">
    <mergeCell ref="E33:Q33"/>
    <mergeCell ref="E34:Q34"/>
    <mergeCell ref="C22:Q22"/>
    <mergeCell ref="C23:Q23"/>
    <mergeCell ref="D25:Q25"/>
    <mergeCell ref="B20:Q20"/>
    <mergeCell ref="C21:Q21"/>
    <mergeCell ref="P47:Q47"/>
    <mergeCell ref="C48:M48"/>
    <mergeCell ref="P48:Q48"/>
    <mergeCell ref="D29:Q29"/>
    <mergeCell ref="D30:Q30"/>
    <mergeCell ref="C49:M49"/>
    <mergeCell ref="P49:Q49"/>
    <mergeCell ref="C43:M43"/>
    <mergeCell ref="P43:Q43"/>
    <mergeCell ref="C44:M44"/>
    <mergeCell ref="P44:Q44"/>
    <mergeCell ref="C45:M45"/>
    <mergeCell ref="P45:Q45"/>
    <mergeCell ref="P54:Q54"/>
    <mergeCell ref="C55:M55"/>
    <mergeCell ref="P55:Q55"/>
    <mergeCell ref="C56:M56"/>
    <mergeCell ref="P56:Q56"/>
    <mergeCell ref="C50:M50"/>
    <mergeCell ref="P50:Q50"/>
    <mergeCell ref="C51:M51"/>
    <mergeCell ref="P51:Q51"/>
    <mergeCell ref="C53:M53"/>
    <mergeCell ref="P53:Q53"/>
    <mergeCell ref="J63:Q63"/>
    <mergeCell ref="C57:M57"/>
    <mergeCell ref="P57:Q57"/>
    <mergeCell ref="D61:E61"/>
    <mergeCell ref="J61:Q61"/>
    <mergeCell ref="D62:E62"/>
    <mergeCell ref="J62:Q62"/>
    <mergeCell ref="J68:Q68"/>
    <mergeCell ref="D70:E70"/>
    <mergeCell ref="J70:Q70"/>
    <mergeCell ref="J64:Q64"/>
    <mergeCell ref="J65:Q65"/>
    <mergeCell ref="J66:Q66"/>
    <mergeCell ref="J67:Q67"/>
    <mergeCell ref="D64:E64"/>
    <mergeCell ref="D65:E65"/>
    <mergeCell ref="D66:E66"/>
    <mergeCell ref="D67:E67"/>
    <mergeCell ref="D69:E69"/>
    <mergeCell ref="J69:Q69"/>
    <mergeCell ref="D71:E71"/>
    <mergeCell ref="J71:Q71"/>
    <mergeCell ref="D68:E68"/>
    <mergeCell ref="E94:N94"/>
    <mergeCell ref="O94:Q96"/>
    <mergeCell ref="F80:Q80"/>
    <mergeCell ref="F81:Q81"/>
    <mergeCell ref="F82:Q82"/>
    <mergeCell ref="F83:Q83"/>
    <mergeCell ref="F84:Q84"/>
    <mergeCell ref="F85:Q85"/>
    <mergeCell ref="F86:Q86"/>
    <mergeCell ref="F87:Q87"/>
    <mergeCell ref="F88:Q88"/>
    <mergeCell ref="F89:Q89"/>
    <mergeCell ref="F90:Q90"/>
    <mergeCell ref="J72:Q72"/>
    <mergeCell ref="D73:E73"/>
    <mergeCell ref="J73:Q73"/>
    <mergeCell ref="D74:E74"/>
    <mergeCell ref="J74:Q74"/>
    <mergeCell ref="D75:E75"/>
    <mergeCell ref="J75:Q75"/>
    <mergeCell ref="D76:E76"/>
    <mergeCell ref="O101:Q101"/>
    <mergeCell ref="O102:Q102"/>
    <mergeCell ref="O103:Q103"/>
    <mergeCell ref="O104:Q104"/>
    <mergeCell ref="O105:Q105"/>
    <mergeCell ref="O106:Q106"/>
    <mergeCell ref="B95:D95"/>
    <mergeCell ref="C96:D96"/>
    <mergeCell ref="O97:Q97"/>
    <mergeCell ref="O98:Q98"/>
    <mergeCell ref="O99:Q99"/>
    <mergeCell ref="O100:Q100"/>
    <mergeCell ref="O113:Q113"/>
    <mergeCell ref="O114:Q114"/>
    <mergeCell ref="O115:Q115"/>
    <mergeCell ref="O116:Q116"/>
    <mergeCell ref="O107:Q107"/>
    <mergeCell ref="O108:Q108"/>
    <mergeCell ref="O109:Q109"/>
    <mergeCell ref="O110:Q110"/>
    <mergeCell ref="O111:Q111"/>
    <mergeCell ref="O112:Q112"/>
    <mergeCell ref="J76:Q76"/>
    <mergeCell ref="C2:F2"/>
    <mergeCell ref="C3:F3"/>
    <mergeCell ref="C4:F4"/>
    <mergeCell ref="D7:F7"/>
    <mergeCell ref="D17:F17"/>
    <mergeCell ref="D18:F18"/>
    <mergeCell ref="D8:F16"/>
    <mergeCell ref="C5:F5"/>
    <mergeCell ref="D72:E72"/>
    <mergeCell ref="D63:E63"/>
    <mergeCell ref="C54:M54"/>
    <mergeCell ref="C47:M47"/>
    <mergeCell ref="E35:Q35"/>
    <mergeCell ref="E36:Q36"/>
    <mergeCell ref="E37:Q37"/>
    <mergeCell ref="C41:M41"/>
    <mergeCell ref="P41:Q41"/>
    <mergeCell ref="C42:M42"/>
    <mergeCell ref="P42:Q42"/>
    <mergeCell ref="D26:Q26"/>
    <mergeCell ref="D27:Q27"/>
    <mergeCell ref="D28:Q28"/>
    <mergeCell ref="E32:Q32"/>
  </mergeCells>
  <conditionalFormatting sqref="H71">
    <cfRule type="expression" dxfId="3979" priority="44">
      <formula>IF(OR(#REF!="L",#REF!="C"),TRUE,FALSE)</formula>
    </cfRule>
  </conditionalFormatting>
  <conditionalFormatting sqref="H67">
    <cfRule type="expression" dxfId="3978" priority="40">
      <formula>IF(OR(#REF!="L",#REF!="C"),TRUE,FALSE)</formula>
    </cfRule>
  </conditionalFormatting>
  <conditionalFormatting sqref="H70">
    <cfRule type="expression" dxfId="3977" priority="39">
      <formula>IF(OR(#REF!="L",#REF!="C"),TRUE,FALSE)</formula>
    </cfRule>
  </conditionalFormatting>
  <conditionalFormatting sqref="F109:F116 G102:G116 H104:H116">
    <cfRule type="expression" dxfId="3976" priority="38">
      <formula>IF(OR(#REF!="L",#REF!="C"),TRUE,FALSE)</formula>
    </cfRule>
  </conditionalFormatting>
  <conditionalFormatting sqref="E110:E116">
    <cfRule type="expression" dxfId="3975" priority="37">
      <formula>IF(OR(#REF!="L",#REF!="C"),TRUE,FALSE)</formula>
    </cfRule>
  </conditionalFormatting>
  <conditionalFormatting sqref="E107">
    <cfRule type="expression" dxfId="3974" priority="36">
      <formula>IF(OR(#REF!="L",#REF!="C"),TRUE,FALSE)</formula>
    </cfRule>
  </conditionalFormatting>
  <conditionalFormatting sqref="E108">
    <cfRule type="expression" dxfId="3973" priority="35">
      <formula>IF(OR(#REF!="L",#REF!="C"),TRUE,FALSE)</formula>
    </cfRule>
  </conditionalFormatting>
  <conditionalFormatting sqref="E109">
    <cfRule type="expression" dxfId="3972" priority="34">
      <formula>IF(OR(#REF!="L",#REF!="C"),TRUE,FALSE)</formula>
    </cfRule>
  </conditionalFormatting>
  <conditionalFormatting sqref="E106">
    <cfRule type="expression" dxfId="3971" priority="33">
      <formula>IF(OR(#REF!="L",#REF!="C"),TRUE,FALSE)</formula>
    </cfRule>
  </conditionalFormatting>
  <conditionalFormatting sqref="E95 G95 I95 K95 M95">
    <cfRule type="duplicateValues" dxfId="3970" priority="32"/>
  </conditionalFormatting>
  <conditionalFormatting sqref="M104:M116">
    <cfRule type="expression" dxfId="3969" priority="22">
      <formula>IF(OR(#REF!="L",#REF!="C"),TRUE,FALSE)</formula>
    </cfRule>
  </conditionalFormatting>
  <conditionalFormatting sqref="F102:F106">
    <cfRule type="expression" dxfId="3968" priority="31">
      <formula>IF(OR(#REF!="L",#REF!="C"),TRUE,FALSE)</formula>
    </cfRule>
  </conditionalFormatting>
  <conditionalFormatting sqref="I102:I103">
    <cfRule type="expression" dxfId="3967" priority="29">
      <formula>IF(OR(#REF!="L",#REF!="C"),TRUE,FALSE)</formula>
    </cfRule>
  </conditionalFormatting>
  <conditionalFormatting sqref="N102:N103">
    <cfRule type="expression" dxfId="3966" priority="19">
      <formula>IF(OR(#REF!="L",#REF!="C"),TRUE,FALSE)</formula>
    </cfRule>
  </conditionalFormatting>
  <conditionalFormatting sqref="I104:I116">
    <cfRule type="expression" dxfId="3965" priority="30">
      <formula>IF(OR(#REF!="L",#REF!="C"),TRUE,FALSE)</formula>
    </cfRule>
  </conditionalFormatting>
  <conditionalFormatting sqref="J102:J103">
    <cfRule type="expression" dxfId="3964" priority="27">
      <formula>IF(OR(#REF!="L",#REF!="C"),TRUE,FALSE)</formula>
    </cfRule>
  </conditionalFormatting>
  <conditionalFormatting sqref="J104:J116">
    <cfRule type="expression" dxfId="3963" priority="28">
      <formula>IF(OR(#REF!="L",#REF!="C"),TRUE,FALSE)</formula>
    </cfRule>
  </conditionalFormatting>
  <conditionalFormatting sqref="K102:K103">
    <cfRule type="expression" dxfId="3962" priority="25">
      <formula>IF(OR(#REF!="L",#REF!="C"),TRUE,FALSE)</formula>
    </cfRule>
  </conditionalFormatting>
  <conditionalFormatting sqref="K104:K116">
    <cfRule type="expression" dxfId="3961" priority="26">
      <formula>IF(OR(#REF!="L",#REF!="C"),TRUE,FALSE)</formula>
    </cfRule>
  </conditionalFormatting>
  <conditionalFormatting sqref="L102:L103">
    <cfRule type="expression" dxfId="3960" priority="23">
      <formula>IF(OR(#REF!="L",#REF!="C"),TRUE,FALSE)</formula>
    </cfRule>
  </conditionalFormatting>
  <conditionalFormatting sqref="L104:L116">
    <cfRule type="expression" dxfId="3959" priority="24">
      <formula>IF(OR(#REF!="L",#REF!="C"),TRUE,FALSE)</formula>
    </cfRule>
  </conditionalFormatting>
  <conditionalFormatting sqref="M102:M103">
    <cfRule type="expression" dxfId="3958" priority="21">
      <formula>IF(OR(#REF!="L",#REF!="C"),TRUE,FALSE)</formula>
    </cfRule>
  </conditionalFormatting>
  <conditionalFormatting sqref="N104:N116">
    <cfRule type="expression" dxfId="3957" priority="20">
      <formula>IF(OR(#REF!="L",#REF!="C"),TRUE,FALSE)</formula>
    </cfRule>
  </conditionalFormatting>
  <conditionalFormatting sqref="O104:O116">
    <cfRule type="expression" dxfId="3956" priority="16">
      <formula>IF(OR(#REF!="L",#REF!="C"),TRUE,FALSE)</formula>
    </cfRule>
  </conditionalFormatting>
  <conditionalFormatting sqref="O102:O103">
    <cfRule type="expression" dxfId="3955" priority="15">
      <formula>IF(OR(#REF!="L",#REF!="C"),TRUE,FALSE)</formula>
    </cfRule>
  </conditionalFormatting>
  <conditionalFormatting sqref="G96:N96">
    <cfRule type="duplicateValues" dxfId="3954" priority="14"/>
  </conditionalFormatting>
  <conditionalFormatting sqref="E96:F96">
    <cfRule type="duplicateValues" dxfId="3953" priority="13"/>
  </conditionalFormatting>
  <conditionalFormatting sqref="H68">
    <cfRule type="expression" dxfId="3952" priority="11">
      <formula>IF(OR(#REF!="L",#REF!="C"),TRUE,FALSE)</formula>
    </cfRule>
  </conditionalFormatting>
  <conditionalFormatting sqref="H62">
    <cfRule type="expression" dxfId="3951" priority="10">
      <formula>IF(OR(#REF!="L",#REF!="C"),TRUE,FALSE)</formula>
    </cfRule>
  </conditionalFormatting>
  <conditionalFormatting sqref="H63">
    <cfRule type="expression" dxfId="3950" priority="9">
      <formula>IF(OR(#REF!="L",#REF!="C"),TRUE,FALSE)</formula>
    </cfRule>
  </conditionalFormatting>
  <conditionalFormatting sqref="H72">
    <cfRule type="expression" dxfId="3949" priority="7">
      <formula>IF(OR(#REF!="L",#REF!="C"),TRUE,FALSE)</formula>
    </cfRule>
  </conditionalFormatting>
  <conditionalFormatting sqref="H73">
    <cfRule type="expression" dxfId="3948" priority="6">
      <formula>IF(OR(#REF!="L",#REF!="C"),TRUE,FALSE)</formula>
    </cfRule>
  </conditionalFormatting>
  <conditionalFormatting sqref="H74">
    <cfRule type="expression" dxfId="3947" priority="5">
      <formula>IF(OR(#REF!="L",#REF!="C"),TRUE,FALSE)</formula>
    </cfRule>
  </conditionalFormatting>
  <conditionalFormatting sqref="H75">
    <cfRule type="expression" dxfId="3946" priority="4">
      <formula>IF(OR(#REF!="L",#REF!="C"),TRUE,FALSE)</formula>
    </cfRule>
  </conditionalFormatting>
  <conditionalFormatting sqref="H76">
    <cfRule type="expression" dxfId="3945" priority="2">
      <formula>IF(OR(#REF!="L",#REF!="C"),TRUE,FALSE)</formula>
    </cfRule>
  </conditionalFormatting>
  <conditionalFormatting sqref="H69">
    <cfRule type="expression" dxfId="3944" priority="1">
      <formula>IF(OR(#REF!="L",#REF!="C"),TRUE,FALSE)</formula>
    </cfRule>
  </conditionalFormatting>
  <dataValidations disablePrompts="1" count="7">
    <dataValidation type="list" allowBlank="1" showInputMessage="1" showErrorMessage="1" sqref="F72:F74" xr:uid="{270E0133-9A2B-4294-9D43-097215D4494F}">
      <formula1>$C$102:$C$107</formula1>
    </dataValidation>
    <dataValidation type="list" allowBlank="1" showInputMessage="1" showErrorMessage="1" sqref="C4" xr:uid="{6CDB47AA-B57A-4384-9510-A0F39839A9ED}">
      <formula1>"COM,RES"</formula1>
    </dataValidation>
    <dataValidation type="list" allowBlank="1" showInputMessage="1" showErrorMessage="1" sqref="C9" xr:uid="{3DD51F57-BBF5-47FB-9409-4B314201B570}">
      <formula1>INDIRECT("MeasureTypeList[Index]")</formula1>
    </dataValidation>
    <dataValidation type="list" allowBlank="1" showInputMessage="1" showErrorMessage="1" sqref="C26" xr:uid="{80C2452B-4522-4AB4-AEFF-461C06D46D38}">
      <formula1>INDIRECT("RegionList[Index]")</formula1>
    </dataValidation>
    <dataValidation type="list" allowBlank="1" showInputMessage="1" showErrorMessage="1" sqref="C27" xr:uid="{B48F9B50-7156-473B-8CA9-E99D74A52EBA}">
      <formula1>INDIRECT("ReplacementTypeList[Index]")</formula1>
    </dataValidation>
    <dataValidation type="list" allowBlank="1" showInputMessage="1" showErrorMessage="1" sqref="C28" xr:uid="{0D03E4B2-A78A-401F-BF30-19ADE57E0CEC}">
      <formula1>INDIRECT("BuildingType[Building]")</formula1>
    </dataValidation>
    <dataValidation type="list" allowBlank="1" showInputMessage="1" showErrorMessage="1" sqref="C29 C30" xr:uid="{BD46D8EC-A43C-4378-B9CB-F301CA750FD6}">
      <formula1>INDIRECT("FuelTypeList[Index]")</formula1>
    </dataValidation>
  </dataValidations>
  <hyperlinks>
    <hyperlink ref="F82" r:id="rId1" xr:uid="{CF7A38D6-5CDE-459C-9EE3-0E56C3E58383}"/>
    <hyperlink ref="F83" r:id="rId2" xr:uid="{B150725A-0410-4E7F-8F88-421F0A9DEA8D}"/>
    <hyperlink ref="F85" r:id="rId3" xr:uid="{B8979F9A-B391-4A89-A247-A7D97F9D1E64}"/>
    <hyperlink ref="F84" r:id="rId4" xr:uid="{E395A583-A8EE-4E61-A3C5-66304182FA0E}"/>
  </hyperlinks>
  <pageMargins left="0.7" right="0.7" top="0.75" bottom="0.75" header="0.3" footer="0.3"/>
  <pageSetup orientation="portrait"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5F836-5754-4717-821B-2A12835CF454}">
  <sheetPr codeName="Sheet395"/>
  <dimension ref="A1:R116"/>
  <sheetViews>
    <sheetView topLeftCell="A49" workbookViewId="0">
      <selection activeCell="D72" sqref="D72:E74"/>
    </sheetView>
  </sheetViews>
  <sheetFormatPr defaultColWidth="9.08984375" defaultRowHeight="18.75" customHeight="1" x14ac:dyDescent="0.3"/>
  <cols>
    <col min="1" max="1" width="2.36328125" style="491" customWidth="1"/>
    <col min="2" max="2" width="44.36328125" style="491" bestFit="1" customWidth="1"/>
    <col min="3" max="3" width="21.08984375" style="491" customWidth="1"/>
    <col min="4" max="4" width="21.6328125" style="491" customWidth="1"/>
    <col min="5" max="5" width="14.36328125" style="491" customWidth="1"/>
    <col min="6" max="6" width="15.6328125" style="491" customWidth="1"/>
    <col min="7" max="7" width="19.6328125" style="491" customWidth="1"/>
    <col min="8" max="8" width="16" style="491" customWidth="1"/>
    <col min="9" max="9" width="10.36328125" style="491" customWidth="1"/>
    <col min="10" max="10" width="14.6328125" style="491" customWidth="1"/>
    <col min="11" max="12" width="9.08984375" style="491"/>
    <col min="13" max="13" width="11" style="491" customWidth="1"/>
    <col min="14" max="14" width="12.36328125" style="491" customWidth="1"/>
    <col min="15" max="15" width="10.6328125" style="491" customWidth="1"/>
    <col min="16" max="17" width="9.08984375" style="491"/>
    <col min="18" max="18" width="9.81640625" style="489" customWidth="1"/>
    <col min="19" max="19" width="9.08984375" style="491"/>
    <col min="20" max="20" width="8.6328125" style="491" customWidth="1"/>
    <col min="21" max="16384" width="9.08984375" style="491"/>
  </cols>
  <sheetData>
    <row r="1" spans="1:18" s="488" customFormat="1" ht="18.75" customHeight="1" x14ac:dyDescent="0.3">
      <c r="R1" s="489"/>
    </row>
    <row r="2" spans="1:18" s="488" customFormat="1" ht="18.75" customHeight="1" x14ac:dyDescent="0.3">
      <c r="B2" s="1193" t="s">
        <v>506</v>
      </c>
      <c r="C2" s="1366" t="s">
        <v>406</v>
      </c>
      <c r="D2" s="1366"/>
      <c r="E2" s="1366"/>
      <c r="F2" s="1366"/>
      <c r="R2" s="489"/>
    </row>
    <row r="3" spans="1:18" s="488" customFormat="1" ht="18.75" customHeight="1" x14ac:dyDescent="0.3">
      <c r="B3" s="490" t="s">
        <v>407</v>
      </c>
      <c r="C3" s="1367" t="str">
        <f>IF(ISBLANK(C8)+ISBLANK(C10),C8,C8&amp;"_"&amp;C10)</f>
        <v>R-L-003</v>
      </c>
      <c r="D3" s="1367"/>
      <c r="E3" s="1367"/>
      <c r="F3" s="1367"/>
      <c r="R3" s="489"/>
    </row>
    <row r="4" spans="1:18" s="488" customFormat="1" ht="18.75" customHeight="1" x14ac:dyDescent="0.3">
      <c r="B4" s="490" t="s">
        <v>11</v>
      </c>
      <c r="C4" s="1367" t="str" cm="1">
        <f t="array" ref="C4">_xlfn.SWITCH(LEFT(C8,1),"R","Residential","C","Commercial","ERROR")</f>
        <v>Residential</v>
      </c>
      <c r="D4" s="1367"/>
      <c r="E4" s="1367"/>
      <c r="F4" s="1367"/>
      <c r="R4" s="489"/>
    </row>
    <row r="5" spans="1:18" ht="44.25" customHeight="1" x14ac:dyDescent="0.3">
      <c r="B5" s="490" t="s">
        <v>408</v>
      </c>
      <c r="C5" s="1458" t="s">
        <v>263</v>
      </c>
      <c r="D5" s="1459"/>
      <c r="E5" s="1459"/>
      <c r="F5" s="1460"/>
      <c r="R5" s="491"/>
    </row>
    <row r="6" spans="1:18" ht="18.75" customHeight="1" x14ac:dyDescent="0.3">
      <c r="A6" s="492"/>
    </row>
    <row r="7" spans="1:18" ht="18.75" customHeight="1" x14ac:dyDescent="0.3">
      <c r="B7" s="1193" t="s">
        <v>507</v>
      </c>
      <c r="C7" s="493" t="s">
        <v>406</v>
      </c>
      <c r="D7" s="1366" t="s">
        <v>410</v>
      </c>
      <c r="E7" s="1366"/>
      <c r="F7" s="1366"/>
      <c r="R7" s="491"/>
    </row>
    <row r="8" spans="1:18" ht="18.75" customHeight="1" x14ac:dyDescent="0.3">
      <c r="B8" s="490" t="s">
        <v>411</v>
      </c>
      <c r="C8" s="1199" t="s">
        <v>168</v>
      </c>
      <c r="D8" s="1626"/>
      <c r="E8" s="1627"/>
      <c r="F8" s="1628"/>
      <c r="R8" s="491"/>
    </row>
    <row r="9" spans="1:18" ht="18.75" customHeight="1" x14ac:dyDescent="0.3">
      <c r="B9" s="490" t="s">
        <v>49</v>
      </c>
      <c r="C9" s="1199" t="s">
        <v>752</v>
      </c>
      <c r="D9" s="1629"/>
      <c r="E9" s="1649"/>
      <c r="F9" s="1631"/>
      <c r="R9" s="491"/>
    </row>
    <row r="10" spans="1:18" ht="18.75" customHeight="1" x14ac:dyDescent="0.3">
      <c r="B10" s="490" t="s">
        <v>412</v>
      </c>
      <c r="C10" s="1199"/>
      <c r="D10" s="1629"/>
      <c r="E10" s="1649"/>
      <c r="F10" s="1631"/>
      <c r="R10" s="491"/>
    </row>
    <row r="11" spans="1:18" ht="18.75" customHeight="1" x14ac:dyDescent="0.3">
      <c r="B11" s="490" t="s">
        <v>413</v>
      </c>
      <c r="C11" s="1199"/>
      <c r="D11" s="1629"/>
      <c r="E11" s="1649"/>
      <c r="F11" s="1631"/>
      <c r="R11" s="491"/>
    </row>
    <row r="12" spans="1:18" ht="18.75" customHeight="1" x14ac:dyDescent="0.3">
      <c r="B12" s="490" t="s">
        <v>414</v>
      </c>
      <c r="C12" s="540"/>
      <c r="D12" s="1629"/>
      <c r="E12" s="1649"/>
      <c r="F12" s="1631"/>
      <c r="R12" s="491"/>
    </row>
    <row r="13" spans="1:18" ht="18.75" customHeight="1" x14ac:dyDescent="0.3">
      <c r="B13" s="494" t="s">
        <v>415</v>
      </c>
      <c r="C13" s="495">
        <f>N43</f>
        <v>51.381262881093683</v>
      </c>
      <c r="D13" s="1629"/>
      <c r="E13" s="1649"/>
      <c r="F13" s="1631"/>
      <c r="R13" s="491"/>
    </row>
    <row r="14" spans="1:18" ht="18.75" customHeight="1" x14ac:dyDescent="0.3">
      <c r="B14" s="494" t="s">
        <v>416</v>
      </c>
      <c r="C14" s="495">
        <f>N42</f>
        <v>0</v>
      </c>
      <c r="D14" s="1629"/>
      <c r="E14" s="1649"/>
      <c r="F14" s="1631"/>
      <c r="R14" s="491"/>
    </row>
    <row r="15" spans="1:18" ht="18.75" customHeight="1" x14ac:dyDescent="0.3">
      <c r="B15" s="494" t="s">
        <v>417</v>
      </c>
      <c r="C15" s="495">
        <f>N44</f>
        <v>-0.10130139945035548</v>
      </c>
      <c r="D15" s="1629"/>
      <c r="E15" s="1649"/>
      <c r="F15" s="1631"/>
      <c r="R15" s="491"/>
    </row>
    <row r="16" spans="1:18" ht="18.75" customHeight="1" x14ac:dyDescent="0.3">
      <c r="B16" s="494" t="s">
        <v>418</v>
      </c>
      <c r="C16" s="496">
        <f>C37</f>
        <v>0</v>
      </c>
      <c r="D16" s="1632"/>
      <c r="E16" s="1633"/>
      <c r="F16" s="1634"/>
      <c r="R16" s="491"/>
    </row>
    <row r="17" spans="2:18" ht="18.75" customHeight="1" x14ac:dyDescent="0.3">
      <c r="B17" s="490" t="s">
        <v>48</v>
      </c>
      <c r="C17" s="1194" t="s">
        <v>753</v>
      </c>
      <c r="D17" s="1366" t="s">
        <v>419</v>
      </c>
      <c r="E17" s="1366"/>
      <c r="F17" s="1366"/>
      <c r="R17" s="491"/>
    </row>
    <row r="18" spans="2:18" ht="18.75" customHeight="1" x14ac:dyDescent="0.3">
      <c r="B18" s="490" t="s">
        <v>420</v>
      </c>
      <c r="C18" s="541">
        <v>15</v>
      </c>
      <c r="D18" s="1648" t="s">
        <v>718</v>
      </c>
      <c r="E18" s="1648"/>
      <c r="F18" s="1648"/>
      <c r="R18" s="491"/>
    </row>
    <row r="19" spans="2:18" ht="18.75" customHeight="1" x14ac:dyDescent="0.3">
      <c r="B19" s="497"/>
      <c r="C19" s="498"/>
      <c r="F19" s="489"/>
      <c r="R19" s="491"/>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91"/>
    </row>
    <row r="21" spans="2:18" ht="18.75" customHeight="1" x14ac:dyDescent="0.3">
      <c r="B21" s="499" t="s">
        <v>422</v>
      </c>
      <c r="C21" s="1439" t="s">
        <v>375</v>
      </c>
      <c r="D21" s="1439"/>
      <c r="E21" s="1439"/>
      <c r="F21" s="1439"/>
      <c r="G21" s="1439"/>
      <c r="H21" s="1439"/>
      <c r="I21" s="1439"/>
      <c r="J21" s="1439"/>
      <c r="K21" s="1439"/>
      <c r="L21" s="1439"/>
      <c r="M21" s="1439"/>
      <c r="N21" s="1439"/>
      <c r="O21" s="1439"/>
      <c r="P21" s="1439"/>
      <c r="Q21" s="1439"/>
      <c r="R21" s="491"/>
    </row>
    <row r="22" spans="2:18" ht="18.75" customHeight="1" x14ac:dyDescent="0.3">
      <c r="B22" s="500" t="s">
        <v>423</v>
      </c>
      <c r="C22" s="1440" t="s">
        <v>376</v>
      </c>
      <c r="D22" s="1440"/>
      <c r="E22" s="1440"/>
      <c r="F22" s="1440"/>
      <c r="G22" s="1440"/>
      <c r="H22" s="1440"/>
      <c r="I22" s="1440"/>
      <c r="J22" s="1440"/>
      <c r="K22" s="1440"/>
      <c r="L22" s="1440"/>
      <c r="M22" s="1440"/>
      <c r="N22" s="1440"/>
      <c r="O22" s="1440"/>
      <c r="P22" s="1440"/>
      <c r="Q22" s="1440"/>
      <c r="R22" s="491"/>
    </row>
    <row r="23" spans="2:18" ht="18.75" customHeight="1" x14ac:dyDescent="0.3">
      <c r="B23" s="500" t="s">
        <v>424</v>
      </c>
      <c r="C23" s="1440"/>
      <c r="D23" s="1440"/>
      <c r="E23" s="1440"/>
      <c r="F23" s="1440"/>
      <c r="G23" s="1440"/>
      <c r="H23" s="1440"/>
      <c r="I23" s="1440"/>
      <c r="J23" s="1440"/>
      <c r="K23" s="1440"/>
      <c r="L23" s="1440"/>
      <c r="M23" s="1440"/>
      <c r="N23" s="1440"/>
      <c r="O23" s="1440"/>
      <c r="P23" s="1440"/>
      <c r="Q23" s="1440"/>
      <c r="R23" s="491"/>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91"/>
    </row>
    <row r="26" spans="2:18" ht="18.75" customHeight="1" x14ac:dyDescent="0.3">
      <c r="B26" s="490" t="s">
        <v>9</v>
      </c>
      <c r="C26" s="538" t="str">
        <f>Default.Region</f>
        <v>Average</v>
      </c>
      <c r="D26" s="1446"/>
      <c r="E26" s="1446"/>
      <c r="F26" s="1446"/>
      <c r="G26" s="1446"/>
      <c r="H26" s="1446"/>
      <c r="I26" s="1446"/>
      <c r="J26" s="1446"/>
      <c r="K26" s="1446"/>
      <c r="L26" s="1446"/>
      <c r="M26" s="1446"/>
      <c r="N26" s="1446"/>
      <c r="O26" s="1446"/>
      <c r="P26" s="1446"/>
      <c r="Q26" s="1446"/>
      <c r="R26" s="491"/>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91"/>
    </row>
    <row r="28" spans="2:18" ht="18.75" customHeight="1" x14ac:dyDescent="0.3">
      <c r="B28" s="490" t="s">
        <v>54</v>
      </c>
      <c r="C28" s="539" t="str">
        <f>Default.BuildingType.R</f>
        <v>Home - detached</v>
      </c>
      <c r="D28" s="1461"/>
      <c r="E28" s="1461"/>
      <c r="F28" s="1461"/>
      <c r="G28" s="1461"/>
      <c r="H28" s="1461"/>
      <c r="I28" s="1461"/>
      <c r="J28" s="1461"/>
      <c r="K28" s="1461"/>
      <c r="L28" s="1461"/>
      <c r="M28" s="1461"/>
      <c r="N28" s="1461"/>
      <c r="O28" s="1461"/>
      <c r="P28" s="1461"/>
      <c r="Q28" s="1461"/>
      <c r="R28" s="491"/>
    </row>
    <row r="29" spans="2:18" ht="18.75" customHeight="1" x14ac:dyDescent="0.3">
      <c r="B29" s="490" t="s">
        <v>33</v>
      </c>
      <c r="C29" s="538" t="str">
        <f>Default.SpaceHeatingFuel</f>
        <v>Natural gas</v>
      </c>
      <c r="D29" s="1446"/>
      <c r="E29" s="1446"/>
      <c r="F29" s="1446"/>
      <c r="G29" s="1446"/>
      <c r="H29" s="1446"/>
      <c r="I29" s="1446"/>
      <c r="J29" s="1446"/>
      <c r="K29" s="1446"/>
      <c r="L29" s="1446"/>
      <c r="M29" s="1446"/>
      <c r="N29" s="1446"/>
      <c r="O29" s="1446"/>
      <c r="P29" s="1446"/>
      <c r="Q29" s="1446"/>
      <c r="R29" s="491"/>
    </row>
    <row r="30" spans="2:18" ht="18.75" customHeight="1" x14ac:dyDescent="0.3">
      <c r="B30" s="490" t="s">
        <v>35</v>
      </c>
      <c r="C30" s="538" t="str">
        <f>Default.WaterHeatingFuel</f>
        <v>Natural gas</v>
      </c>
      <c r="D30" s="1446"/>
      <c r="E30" s="1446"/>
      <c r="F30" s="1446"/>
      <c r="G30" s="1446"/>
      <c r="H30" s="1446"/>
      <c r="I30" s="1446"/>
      <c r="J30" s="1446"/>
      <c r="K30" s="1446"/>
      <c r="L30" s="1446"/>
      <c r="M30" s="1446"/>
      <c r="N30" s="1446"/>
      <c r="O30" s="1446"/>
      <c r="P30" s="1446"/>
      <c r="Q30" s="1446"/>
      <c r="R30" s="491"/>
    </row>
    <row r="31" spans="2:18" ht="18.75" customHeight="1" x14ac:dyDescent="0.3">
      <c r="B31" s="502"/>
      <c r="C31" s="503"/>
      <c r="D31" s="503"/>
      <c r="E31" s="503"/>
      <c r="F31" s="503"/>
      <c r="G31" s="503"/>
      <c r="H31" s="503"/>
      <c r="I31" s="503"/>
      <c r="J31" s="503"/>
      <c r="K31" s="503"/>
      <c r="L31" s="503"/>
      <c r="M31" s="503"/>
      <c r="N31" s="503"/>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37" t="s">
        <v>430</v>
      </c>
      <c r="E33" s="1475"/>
      <c r="F33" s="1476"/>
      <c r="G33" s="1476"/>
      <c r="H33" s="1476"/>
      <c r="I33" s="1476"/>
      <c r="J33" s="1476"/>
      <c r="K33" s="1476"/>
      <c r="L33" s="1476"/>
      <c r="M33" s="1476"/>
      <c r="N33" s="1476"/>
      <c r="O33" s="1476"/>
      <c r="P33" s="1476"/>
      <c r="Q33" s="1477"/>
      <c r="R33" s="491"/>
    </row>
    <row r="34" spans="2:18" ht="18.75" customHeight="1" x14ac:dyDescent="0.3">
      <c r="B34" s="494" t="s">
        <v>431</v>
      </c>
      <c r="C34" s="542"/>
      <c r="D34" s="537" t="s">
        <v>430</v>
      </c>
      <c r="E34" s="1475"/>
      <c r="F34" s="1476"/>
      <c r="G34" s="1476"/>
      <c r="H34" s="1476"/>
      <c r="I34" s="1476"/>
      <c r="J34" s="1476"/>
      <c r="K34" s="1476"/>
      <c r="L34" s="1476"/>
      <c r="M34" s="1476"/>
      <c r="N34" s="1476"/>
      <c r="O34" s="1476"/>
      <c r="P34" s="1476"/>
      <c r="Q34" s="1477"/>
    </row>
    <row r="35" spans="2:18" ht="18.75" customHeight="1" x14ac:dyDescent="0.3">
      <c r="B35" s="490" t="s">
        <v>432</v>
      </c>
      <c r="C35" s="542"/>
      <c r="D35" s="537" t="s">
        <v>430</v>
      </c>
      <c r="E35" s="1475"/>
      <c r="F35" s="1476"/>
      <c r="G35" s="1476"/>
      <c r="H35" s="1476"/>
      <c r="I35" s="1476"/>
      <c r="J35" s="1476"/>
      <c r="K35" s="1476"/>
      <c r="L35" s="1476"/>
      <c r="M35" s="1476"/>
      <c r="N35" s="1476"/>
      <c r="O35" s="1476"/>
      <c r="P35" s="1476"/>
      <c r="Q35" s="1477"/>
    </row>
    <row r="36" spans="2:18" ht="18.75" customHeight="1" x14ac:dyDescent="0.3">
      <c r="B36" s="494" t="s">
        <v>433</v>
      </c>
      <c r="C36" s="504">
        <f>SUM(C33:C34)</f>
        <v>0</v>
      </c>
      <c r="D36" s="537" t="s">
        <v>430</v>
      </c>
      <c r="E36" s="1441"/>
      <c r="F36" s="1441"/>
      <c r="G36" s="1441"/>
      <c r="H36" s="1441"/>
      <c r="I36" s="1441"/>
      <c r="J36" s="1441"/>
      <c r="K36" s="1441"/>
      <c r="L36" s="1441"/>
      <c r="M36" s="1441"/>
      <c r="N36" s="1441"/>
      <c r="O36" s="1441"/>
      <c r="P36" s="1441"/>
      <c r="Q36" s="1441"/>
    </row>
    <row r="37" spans="2:18" ht="18.75" customHeight="1" x14ac:dyDescent="0.3">
      <c r="B37" s="494" t="s">
        <v>434</v>
      </c>
      <c r="C37" s="504">
        <f>IF(C27="RET",C33+(C34-C35),C34-C35)</f>
        <v>0</v>
      </c>
      <c r="D37" s="537" t="s">
        <v>430</v>
      </c>
      <c r="E37" s="1442"/>
      <c r="F37" s="1442"/>
      <c r="G37" s="1442"/>
      <c r="H37" s="1442"/>
      <c r="I37" s="1442"/>
      <c r="J37" s="1442"/>
      <c r="K37" s="1442"/>
      <c r="L37" s="1442"/>
      <c r="M37" s="1442"/>
      <c r="N37" s="1442"/>
      <c r="O37" s="1442"/>
      <c r="P37" s="1442"/>
      <c r="Q37" s="1442"/>
    </row>
    <row r="38" spans="2:18" ht="18.75" customHeight="1" x14ac:dyDescent="0.3">
      <c r="B38" s="502"/>
      <c r="C38" s="503"/>
      <c r="D38" s="505"/>
      <c r="E38" s="503"/>
      <c r="F38" s="503"/>
      <c r="G38" s="503"/>
      <c r="H38" s="503"/>
      <c r="I38" s="503"/>
      <c r="J38" s="503"/>
      <c r="K38" s="503"/>
      <c r="L38" s="503"/>
      <c r="M38" s="503"/>
      <c r="N38" s="503"/>
    </row>
    <row r="39" spans="2:18" ht="18.75" customHeight="1" x14ac:dyDescent="0.3">
      <c r="B39" s="511" t="s">
        <v>435</v>
      </c>
      <c r="C39" s="512"/>
      <c r="D39" s="512"/>
      <c r="E39" s="512"/>
      <c r="F39" s="512"/>
      <c r="G39" s="512"/>
      <c r="H39" s="681"/>
      <c r="I39" s="681"/>
      <c r="J39" s="681"/>
      <c r="K39" s="681"/>
      <c r="L39" s="681"/>
      <c r="M39" s="681"/>
      <c r="N39" s="681"/>
      <c r="O39" s="681"/>
      <c r="P39" s="681"/>
      <c r="Q39" s="682"/>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31" t="s">
        <v>438</v>
      </c>
      <c r="C42" s="1387" t="s">
        <v>439</v>
      </c>
      <c r="D42" s="1388"/>
      <c r="E42" s="1388"/>
      <c r="F42" s="1388"/>
      <c r="G42" s="1388"/>
      <c r="H42" s="1388"/>
      <c r="I42" s="1388"/>
      <c r="J42" s="1388"/>
      <c r="K42" s="1388"/>
      <c r="L42" s="1388"/>
      <c r="M42" s="1389"/>
      <c r="N42" s="508">
        <f>N48+N54</f>
        <v>0</v>
      </c>
      <c r="O42" s="509" t="s">
        <v>440</v>
      </c>
      <c r="P42" s="1447"/>
      <c r="Q42" s="1447"/>
      <c r="R42" s="491"/>
    </row>
    <row r="43" spans="2:18" ht="18.75" customHeight="1" x14ac:dyDescent="0.3">
      <c r="B43" s="531" t="s">
        <v>441</v>
      </c>
      <c r="C43" s="1387" t="s">
        <v>442</v>
      </c>
      <c r="D43" s="1388"/>
      <c r="E43" s="1388"/>
      <c r="F43" s="1388"/>
      <c r="G43" s="1388"/>
      <c r="H43" s="1388"/>
      <c r="I43" s="1388"/>
      <c r="J43" s="1388"/>
      <c r="K43" s="1388"/>
      <c r="L43" s="1388"/>
      <c r="M43" s="1389"/>
      <c r="N43" s="508">
        <f>N49+N55</f>
        <v>51.381262881093683</v>
      </c>
      <c r="O43" s="509" t="s">
        <v>443</v>
      </c>
      <c r="P43" s="1447"/>
      <c r="Q43" s="1447"/>
      <c r="R43" s="491"/>
    </row>
    <row r="44" spans="2:18" ht="18.75" customHeight="1" x14ac:dyDescent="0.3">
      <c r="B44" s="531" t="s">
        <v>444</v>
      </c>
      <c r="C44" s="1387" t="s">
        <v>445</v>
      </c>
      <c r="D44" s="1388"/>
      <c r="E44" s="1388"/>
      <c r="F44" s="1388"/>
      <c r="G44" s="1388"/>
      <c r="H44" s="1388"/>
      <c r="I44" s="1388"/>
      <c r="J44" s="1388"/>
      <c r="K44" s="1388"/>
      <c r="L44" s="1388"/>
      <c r="M44" s="1389"/>
      <c r="N44" s="508">
        <f>N50+N56</f>
        <v>-0.10130139945035548</v>
      </c>
      <c r="O44" s="509" t="s">
        <v>446</v>
      </c>
      <c r="P44" s="1447"/>
      <c r="Q44" s="1447"/>
      <c r="R44" s="491"/>
    </row>
    <row r="45" spans="2:18" ht="18.75" customHeight="1" x14ac:dyDescent="0.3">
      <c r="B45" s="531" t="s">
        <v>447</v>
      </c>
      <c r="C45" s="1387" t="s">
        <v>448</v>
      </c>
      <c r="D45" s="1388"/>
      <c r="E45" s="1388"/>
      <c r="F45" s="1388"/>
      <c r="G45" s="1388"/>
      <c r="H45" s="1388"/>
      <c r="I45" s="1388"/>
      <c r="J45" s="1388"/>
      <c r="K45" s="1388"/>
      <c r="L45" s="1388"/>
      <c r="M45" s="1389"/>
      <c r="N45" s="508">
        <f>N51+N57</f>
        <v>0</v>
      </c>
      <c r="O45" s="509" t="s">
        <v>449</v>
      </c>
      <c r="P45" s="1447"/>
      <c r="Q45" s="1447"/>
      <c r="R45" s="491"/>
    </row>
    <row r="46" spans="2:18" ht="18.75" customHeight="1" x14ac:dyDescent="0.3">
      <c r="B46" s="532"/>
      <c r="C46" s="503"/>
      <c r="D46" s="503"/>
      <c r="E46" s="503"/>
      <c r="F46" s="503"/>
      <c r="G46" s="503"/>
      <c r="H46" s="503"/>
      <c r="I46" s="503"/>
      <c r="J46" s="503"/>
      <c r="K46" s="503"/>
      <c r="L46" s="503"/>
      <c r="M46" s="503"/>
      <c r="Q46" s="489"/>
      <c r="R46" s="491"/>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91"/>
    </row>
    <row r="48" spans="2:18" ht="18.75" customHeight="1" x14ac:dyDescent="0.3">
      <c r="B48" s="531" t="s">
        <v>452</v>
      </c>
      <c r="C48" s="1449" t="s">
        <v>453</v>
      </c>
      <c r="D48" s="1450"/>
      <c r="E48" s="1450"/>
      <c r="F48" s="1450"/>
      <c r="G48" s="1450"/>
      <c r="H48" s="1450"/>
      <c r="I48" s="1450"/>
      <c r="J48" s="1450"/>
      <c r="K48" s="1450"/>
      <c r="L48" s="1450"/>
      <c r="M48" s="1451"/>
      <c r="N48" s="543"/>
      <c r="O48" s="509" t="s">
        <v>440</v>
      </c>
      <c r="P48" s="1447"/>
      <c r="Q48" s="1447"/>
      <c r="R48" s="491"/>
    </row>
    <row r="49" spans="2:18" ht="18.75" customHeight="1" x14ac:dyDescent="0.3">
      <c r="B49" s="531" t="s">
        <v>454</v>
      </c>
      <c r="C49" s="1449" t="s">
        <v>754</v>
      </c>
      <c r="D49" s="1450"/>
      <c r="E49" s="1450"/>
      <c r="F49" s="1450"/>
      <c r="G49" s="1450"/>
      <c r="H49" s="1450"/>
      <c r="I49" s="1450"/>
      <c r="J49" s="1450"/>
      <c r="K49" s="1450"/>
      <c r="L49" s="1450"/>
      <c r="M49" s="1451"/>
      <c r="N49" s="545">
        <f>((H62-H63)/1000)*H64</f>
        <v>51.099999999999994</v>
      </c>
      <c r="O49" s="509" t="s">
        <v>443</v>
      </c>
      <c r="P49" s="1447"/>
      <c r="Q49" s="1447"/>
      <c r="R49" s="491"/>
    </row>
    <row r="50" spans="2:18" ht="18.75" customHeight="1" x14ac:dyDescent="0.3">
      <c r="B50" s="531" t="s">
        <v>456</v>
      </c>
      <c r="C50" s="1449" t="s">
        <v>457</v>
      </c>
      <c r="D50" s="1450"/>
      <c r="E50" s="1450"/>
      <c r="F50" s="1450"/>
      <c r="G50" s="1450"/>
      <c r="H50" s="1450"/>
      <c r="I50" s="1450"/>
      <c r="J50" s="1450"/>
      <c r="K50" s="1450"/>
      <c r="L50" s="1450"/>
      <c r="M50" s="1451"/>
      <c r="N50" s="545"/>
      <c r="O50" s="509" t="s">
        <v>446</v>
      </c>
      <c r="P50" s="1447"/>
      <c r="Q50" s="1447"/>
      <c r="R50" s="491"/>
    </row>
    <row r="51" spans="2:18" ht="18.75" customHeight="1" x14ac:dyDescent="0.3">
      <c r="B51" s="531" t="s">
        <v>458</v>
      </c>
      <c r="C51" s="1449" t="s">
        <v>459</v>
      </c>
      <c r="D51" s="1450"/>
      <c r="E51" s="1450"/>
      <c r="F51" s="1450"/>
      <c r="G51" s="1450"/>
      <c r="H51" s="1450"/>
      <c r="I51" s="1450"/>
      <c r="J51" s="1450"/>
      <c r="K51" s="1450"/>
      <c r="L51" s="1450"/>
      <c r="M51" s="1451"/>
      <c r="N51" s="545"/>
      <c r="O51" s="509" t="s">
        <v>449</v>
      </c>
      <c r="P51" s="1447"/>
      <c r="Q51" s="1447"/>
      <c r="R51" s="491"/>
    </row>
    <row r="52" spans="2:18" ht="18.75" customHeight="1" x14ac:dyDescent="0.3">
      <c r="B52" s="532"/>
      <c r="C52" s="503"/>
      <c r="D52" s="503"/>
      <c r="E52" s="503"/>
      <c r="F52" s="503"/>
      <c r="G52" s="503"/>
      <c r="H52" s="503"/>
      <c r="I52" s="503"/>
      <c r="J52" s="503"/>
      <c r="K52" s="503"/>
      <c r="L52" s="503"/>
      <c r="M52" s="503"/>
      <c r="Q52" s="489"/>
      <c r="R52" s="491"/>
    </row>
    <row r="53" spans="2:18"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c r="R53" s="491"/>
    </row>
    <row r="54" spans="2:18" ht="18.75" customHeight="1" x14ac:dyDescent="0.3">
      <c r="B54" s="531" t="s">
        <v>462</v>
      </c>
      <c r="C54" s="1449" t="s">
        <v>463</v>
      </c>
      <c r="D54" s="1450"/>
      <c r="E54" s="1450"/>
      <c r="F54" s="1450"/>
      <c r="G54" s="1450"/>
      <c r="H54" s="1450"/>
      <c r="I54" s="1450"/>
      <c r="J54" s="1450"/>
      <c r="K54" s="1450"/>
      <c r="L54" s="1450"/>
      <c r="M54" s="1451"/>
      <c r="N54" s="545"/>
      <c r="O54" s="509" t="s">
        <v>440</v>
      </c>
      <c r="P54" s="1447"/>
      <c r="Q54" s="1447"/>
      <c r="R54" s="491"/>
    </row>
    <row r="55" spans="2:18" ht="18.75" customHeight="1" x14ac:dyDescent="0.3">
      <c r="B55" s="531" t="s">
        <v>464</v>
      </c>
      <c r="C55" s="1449" t="s">
        <v>755</v>
      </c>
      <c r="D55" s="1450"/>
      <c r="E55" s="1450"/>
      <c r="F55" s="1450"/>
      <c r="G55" s="1450"/>
      <c r="H55" s="1450"/>
      <c r="I55" s="1450"/>
      <c r="J55" s="1450"/>
      <c r="K55" s="1450"/>
      <c r="L55" s="1450"/>
      <c r="M55" s="1451"/>
      <c r="N55" s="545">
        <f>(((H62-H63)/1000)*H64)*H66*H67</f>
        <v>0.2812628810936853</v>
      </c>
      <c r="O55" s="509" t="s">
        <v>443</v>
      </c>
      <c r="P55" s="1452"/>
      <c r="Q55" s="1453"/>
      <c r="R55" s="491"/>
    </row>
    <row r="56" spans="2:18" ht="18.75" customHeight="1" x14ac:dyDescent="0.3">
      <c r="B56" s="531" t="s">
        <v>466</v>
      </c>
      <c r="C56" s="1449" t="s">
        <v>756</v>
      </c>
      <c r="D56" s="1450"/>
      <c r="E56" s="1450"/>
      <c r="F56" s="1450"/>
      <c r="G56" s="1450"/>
      <c r="H56" s="1450"/>
      <c r="I56" s="1450"/>
      <c r="J56" s="1450"/>
      <c r="K56" s="1450"/>
      <c r="L56" s="1450"/>
      <c r="M56" s="1451"/>
      <c r="N56" s="543">
        <f>N49*H65*H68*D82</f>
        <v>-0.10130139945035548</v>
      </c>
      <c r="O56" s="509" t="s">
        <v>446</v>
      </c>
      <c r="P56" s="1452"/>
      <c r="Q56" s="1453"/>
      <c r="R56" s="491"/>
    </row>
    <row r="57" spans="2:18" ht="18.75" customHeight="1" x14ac:dyDescent="0.3">
      <c r="B57" s="531" t="s">
        <v>468</v>
      </c>
      <c r="C57" s="1449" t="s">
        <v>469</v>
      </c>
      <c r="D57" s="1450"/>
      <c r="E57" s="1450"/>
      <c r="F57" s="1450"/>
      <c r="G57" s="1450"/>
      <c r="H57" s="1450"/>
      <c r="I57" s="1450"/>
      <c r="J57" s="1450"/>
      <c r="K57" s="1450"/>
      <c r="L57" s="1450"/>
      <c r="M57" s="1451"/>
      <c r="N57" s="545"/>
      <c r="O57" s="509" t="s">
        <v>449</v>
      </c>
      <c r="P57" s="1447"/>
      <c r="Q57" s="1447"/>
      <c r="R57" s="491"/>
    </row>
    <row r="58" spans="2:18" ht="18.75" customHeight="1" x14ac:dyDescent="0.3">
      <c r="B58" s="510"/>
      <c r="C58" s="502"/>
      <c r="D58" s="503"/>
      <c r="E58" s="503"/>
      <c r="F58" s="503"/>
      <c r="G58" s="503"/>
      <c r="H58" s="503"/>
      <c r="I58" s="503"/>
      <c r="J58" s="503"/>
      <c r="K58" s="503"/>
      <c r="L58" s="503"/>
      <c r="M58" s="503"/>
      <c r="N58" s="503"/>
      <c r="O58" s="503"/>
    </row>
    <row r="59" spans="2:18" ht="18.75" customHeight="1" x14ac:dyDescent="0.3">
      <c r="B59" s="511" t="s">
        <v>470</v>
      </c>
      <c r="C59" s="512"/>
      <c r="D59" s="512"/>
      <c r="E59" s="512"/>
      <c r="F59" s="512"/>
      <c r="G59" s="512"/>
      <c r="H59" s="681"/>
      <c r="I59" s="681"/>
      <c r="J59" s="681"/>
      <c r="K59" s="681"/>
      <c r="L59" s="681"/>
      <c r="M59" s="681"/>
      <c r="N59" s="681"/>
      <c r="O59" s="681"/>
      <c r="P59" s="681"/>
      <c r="Q59" s="682"/>
    </row>
    <row r="61" spans="2:18" ht="18.75" customHeight="1" x14ac:dyDescent="0.3">
      <c r="B61" s="506" t="s">
        <v>471</v>
      </c>
      <c r="C61" s="506" t="s">
        <v>472</v>
      </c>
      <c r="D61" s="1395" t="s">
        <v>473</v>
      </c>
      <c r="E61" s="1395"/>
      <c r="F61" s="506" t="s">
        <v>474</v>
      </c>
      <c r="G61" s="506" t="s">
        <v>475</v>
      </c>
      <c r="H61" s="506" t="s">
        <v>406</v>
      </c>
      <c r="I61" s="506" t="s">
        <v>428</v>
      </c>
      <c r="J61" s="1396" t="s">
        <v>476</v>
      </c>
      <c r="K61" s="1397"/>
      <c r="L61" s="1397"/>
      <c r="M61" s="1397"/>
      <c r="N61" s="1397"/>
      <c r="O61" s="1397"/>
      <c r="P61" s="1397"/>
      <c r="Q61" s="1398"/>
    </row>
    <row r="62" spans="2:18" ht="13" x14ac:dyDescent="0.3">
      <c r="B62" s="535">
        <v>1</v>
      </c>
      <c r="C62" s="551" t="s">
        <v>722</v>
      </c>
      <c r="D62" s="1543" t="s">
        <v>723</v>
      </c>
      <c r="E62" s="1543"/>
      <c r="F62" s="552"/>
      <c r="G62" s="552" t="s">
        <v>725</v>
      </c>
      <c r="H62" s="687">
        <v>60</v>
      </c>
      <c r="I62" s="552" t="s">
        <v>726</v>
      </c>
      <c r="J62" s="1659" t="s">
        <v>727</v>
      </c>
      <c r="K62" s="1660"/>
      <c r="L62" s="1660"/>
      <c r="M62" s="1660"/>
      <c r="N62" s="1660"/>
      <c r="O62" s="1660"/>
      <c r="P62" s="1660"/>
      <c r="Q62" s="1661"/>
      <c r="R62" s="491"/>
    </row>
    <row r="63" spans="2:18" ht="13" x14ac:dyDescent="0.3">
      <c r="B63" s="535">
        <v>2</v>
      </c>
      <c r="C63" s="551" t="s">
        <v>728</v>
      </c>
      <c r="D63" s="1543" t="s">
        <v>729</v>
      </c>
      <c r="E63" s="1543"/>
      <c r="F63" s="552"/>
      <c r="G63" s="552" t="s">
        <v>730</v>
      </c>
      <c r="H63" s="687">
        <v>10</v>
      </c>
      <c r="I63" s="552" t="s">
        <v>726</v>
      </c>
      <c r="J63" s="1659" t="s">
        <v>727</v>
      </c>
      <c r="K63" s="1660"/>
      <c r="L63" s="1660"/>
      <c r="M63" s="1660"/>
      <c r="N63" s="1660"/>
      <c r="O63" s="1660"/>
      <c r="P63" s="1660"/>
      <c r="Q63" s="1661"/>
      <c r="R63" s="491"/>
    </row>
    <row r="64" spans="2:18" ht="28.9" customHeight="1" x14ac:dyDescent="0.3">
      <c r="B64" s="536">
        <v>3</v>
      </c>
      <c r="C64" s="555" t="s">
        <v>731</v>
      </c>
      <c r="D64" s="1437" t="s">
        <v>732</v>
      </c>
      <c r="E64" s="1438"/>
      <c r="F64" s="557" t="str">
        <f>$C$28</f>
        <v>Home - detached</v>
      </c>
      <c r="G64" s="557" t="s">
        <v>733</v>
      </c>
      <c r="H64" s="688">
        <f>INDEX(BuildingType[],MATCH($C$28,BuildingType[Building],0),MATCH($G$64,BuildingType[#Headers],0))</f>
        <v>1021.9999999999999</v>
      </c>
      <c r="I64" s="1217" t="s">
        <v>532</v>
      </c>
      <c r="J64" s="1462" t="s">
        <v>734</v>
      </c>
      <c r="K64" s="1464"/>
      <c r="L64" s="1464"/>
      <c r="M64" s="1464"/>
      <c r="N64" s="1464"/>
      <c r="O64" s="1464"/>
      <c r="P64" s="1464"/>
      <c r="Q64" s="1463"/>
      <c r="R64" s="491"/>
    </row>
    <row r="65" spans="2:18" ht="13.9" customHeight="1" x14ac:dyDescent="0.3">
      <c r="B65" s="536">
        <v>4</v>
      </c>
      <c r="C65" s="555" t="s">
        <v>735</v>
      </c>
      <c r="D65" s="1437" t="s">
        <v>736</v>
      </c>
      <c r="E65" s="1438"/>
      <c r="F65" s="557" t="str">
        <f>$C$28</f>
        <v>Home - detached</v>
      </c>
      <c r="G65" s="557" t="s">
        <v>737</v>
      </c>
      <c r="H65" s="548">
        <f>INDEX(BuildingType[],MATCH($C$28,BuildingType[Building],0),MATCH($G$65,BuildingType[#Headers],0))</f>
        <v>-0.57999999999999996</v>
      </c>
      <c r="I65" s="557" t="s">
        <v>519</v>
      </c>
      <c r="J65" s="1462" t="s">
        <v>738</v>
      </c>
      <c r="K65" s="1464"/>
      <c r="L65" s="1464"/>
      <c r="M65" s="1464"/>
      <c r="N65" s="1464"/>
      <c r="O65" s="1464"/>
      <c r="P65" s="1464"/>
      <c r="Q65" s="1463"/>
      <c r="R65" s="491"/>
    </row>
    <row r="66" spans="2:18" ht="13.9" customHeight="1" x14ac:dyDescent="0.3">
      <c r="B66" s="536">
        <v>5</v>
      </c>
      <c r="C66" s="555" t="s">
        <v>739</v>
      </c>
      <c r="D66" s="1437" t="s">
        <v>740</v>
      </c>
      <c r="E66" s="1438"/>
      <c r="F66" s="557" t="str">
        <f>$C$28</f>
        <v>Home - detached</v>
      </c>
      <c r="G66" s="557" t="s">
        <v>741</v>
      </c>
      <c r="H66" s="548">
        <f>INDEX(BuildingType[],MATCH($C$28,BuildingType[Building],0),MATCH($G$66,BuildingType[#Headers],0))</f>
        <v>0.04</v>
      </c>
      <c r="I66" s="557" t="s">
        <v>519</v>
      </c>
      <c r="J66" s="1462" t="s">
        <v>742</v>
      </c>
      <c r="K66" s="1464"/>
      <c r="L66" s="1464"/>
      <c r="M66" s="1464"/>
      <c r="N66" s="1464"/>
      <c r="O66" s="1464"/>
      <c r="P66" s="1464"/>
      <c r="Q66" s="1463"/>
      <c r="R66" s="491"/>
    </row>
    <row r="67" spans="2:18" ht="13.9" customHeight="1" x14ac:dyDescent="0.3">
      <c r="B67" s="536">
        <v>6</v>
      </c>
      <c r="C67" s="555" t="s">
        <v>743</v>
      </c>
      <c r="D67" s="1437" t="s">
        <v>744</v>
      </c>
      <c r="E67" s="1438"/>
      <c r="F67" s="557"/>
      <c r="G67" s="557"/>
      <c r="H67" s="559">
        <f>SpaceCoolingShare.R.E</f>
        <v>0.13760414926305545</v>
      </c>
      <c r="I67" s="557" t="s">
        <v>519</v>
      </c>
      <c r="J67" s="1472" t="s">
        <v>745</v>
      </c>
      <c r="K67" s="1473"/>
      <c r="L67" s="1473"/>
      <c r="M67" s="1473"/>
      <c r="N67" s="1473"/>
      <c r="O67" s="1473"/>
      <c r="P67" s="1473"/>
      <c r="Q67" s="1474"/>
      <c r="R67" s="491"/>
    </row>
    <row r="68" spans="2:18" ht="13.9" customHeight="1" x14ac:dyDescent="0.3">
      <c r="B68" s="536">
        <v>7</v>
      </c>
      <c r="C68" s="555" t="s">
        <v>746</v>
      </c>
      <c r="D68" s="1437" t="s">
        <v>747</v>
      </c>
      <c r="E68" s="1438"/>
      <c r="F68" s="557"/>
      <c r="G68" s="557"/>
      <c r="H68" s="554">
        <f>SpaceHeatingShare.R.NG</f>
        <v>0.94970212059486481</v>
      </c>
      <c r="I68" s="557" t="s">
        <v>519</v>
      </c>
      <c r="J68" s="1472" t="s">
        <v>748</v>
      </c>
      <c r="K68" s="1473"/>
      <c r="L68" s="1473"/>
      <c r="M68" s="1473"/>
      <c r="N68" s="1473"/>
      <c r="O68" s="1473"/>
      <c r="P68" s="1473"/>
      <c r="Q68" s="1474"/>
      <c r="R68" s="491"/>
    </row>
    <row r="69" spans="2:18" ht="13" x14ac:dyDescent="0.3">
      <c r="B69" s="536">
        <v>8</v>
      </c>
      <c r="C69" s="555"/>
      <c r="D69" s="1587"/>
      <c r="E69" s="1587"/>
      <c r="F69" s="557"/>
      <c r="G69" s="557"/>
      <c r="H69" s="1217"/>
      <c r="I69" s="557"/>
      <c r="J69" s="1472"/>
      <c r="K69" s="1473"/>
      <c r="L69" s="1473"/>
      <c r="M69" s="1473"/>
      <c r="N69" s="1473"/>
      <c r="O69" s="1473"/>
      <c r="P69" s="1473"/>
      <c r="Q69" s="1474"/>
      <c r="R69" s="491"/>
    </row>
    <row r="70" spans="2:18" ht="13" x14ac:dyDescent="0.3">
      <c r="B70" s="536">
        <v>9</v>
      </c>
      <c r="C70" s="555"/>
      <c r="D70" s="1587"/>
      <c r="E70" s="1587"/>
      <c r="F70" s="557"/>
      <c r="G70" s="557"/>
      <c r="H70" s="1217"/>
      <c r="I70" s="557"/>
      <c r="J70" s="1472"/>
      <c r="K70" s="1473"/>
      <c r="L70" s="1473"/>
      <c r="M70" s="1473"/>
      <c r="N70" s="1473"/>
      <c r="O70" s="1473"/>
      <c r="P70" s="1473"/>
      <c r="Q70" s="1474"/>
      <c r="R70" s="491"/>
    </row>
    <row r="71" spans="2:18" ht="13" x14ac:dyDescent="0.3">
      <c r="B71" s="536">
        <v>10</v>
      </c>
      <c r="C71" s="555"/>
      <c r="D71" s="1587"/>
      <c r="E71" s="1587"/>
      <c r="F71" s="557"/>
      <c r="G71" s="557"/>
      <c r="H71" s="689"/>
      <c r="I71" s="557"/>
      <c r="J71" s="1472"/>
      <c r="K71" s="1473"/>
      <c r="L71" s="1473"/>
      <c r="M71" s="1473"/>
      <c r="N71" s="1473"/>
      <c r="O71" s="1473"/>
      <c r="P71" s="1473"/>
      <c r="Q71" s="1474"/>
      <c r="R71" s="491"/>
    </row>
    <row r="72" spans="2:18" ht="13" x14ac:dyDescent="0.3">
      <c r="B72" s="536">
        <v>11</v>
      </c>
      <c r="C72" s="555"/>
      <c r="D72" s="1437"/>
      <c r="E72" s="1438"/>
      <c r="F72" s="556"/>
      <c r="G72" s="557"/>
      <c r="H72" s="556"/>
      <c r="I72" s="557"/>
      <c r="J72" s="1437"/>
      <c r="K72" s="1448"/>
      <c r="L72" s="1448"/>
      <c r="M72" s="1448"/>
      <c r="N72" s="1448"/>
      <c r="O72" s="1448"/>
      <c r="P72" s="1448"/>
      <c r="Q72" s="1438"/>
      <c r="R72" s="491"/>
    </row>
    <row r="73" spans="2:18" ht="13" x14ac:dyDescent="0.3">
      <c r="B73" s="536">
        <v>12</v>
      </c>
      <c r="C73" s="555"/>
      <c r="D73" s="1437"/>
      <c r="E73" s="1438"/>
      <c r="F73" s="556"/>
      <c r="G73" s="557"/>
      <c r="H73" s="558"/>
      <c r="I73" s="557"/>
      <c r="J73" s="1472"/>
      <c r="K73" s="1473"/>
      <c r="L73" s="1473"/>
      <c r="M73" s="1473"/>
      <c r="N73" s="1473"/>
      <c r="O73" s="1473"/>
      <c r="P73" s="1473"/>
      <c r="Q73" s="1474"/>
      <c r="R73" s="491"/>
    </row>
    <row r="74" spans="2:18" ht="13" x14ac:dyDescent="0.3">
      <c r="B74" s="536">
        <v>13</v>
      </c>
      <c r="C74" s="555"/>
      <c r="D74" s="1437"/>
      <c r="E74" s="1438"/>
      <c r="F74" s="556"/>
      <c r="G74" s="557"/>
      <c r="H74" s="556"/>
      <c r="I74" s="557"/>
      <c r="J74" s="1472"/>
      <c r="K74" s="1473"/>
      <c r="L74" s="1473"/>
      <c r="M74" s="1473"/>
      <c r="N74" s="1473"/>
      <c r="O74" s="1473"/>
      <c r="P74" s="1473"/>
      <c r="Q74" s="1474"/>
      <c r="R74" s="491"/>
    </row>
    <row r="75" spans="2:18" s="489" customFormat="1" ht="13.15" customHeight="1" x14ac:dyDescent="0.3">
      <c r="B75" s="536">
        <v>14</v>
      </c>
      <c r="C75" s="555"/>
      <c r="D75" s="1437"/>
      <c r="E75" s="1438"/>
      <c r="F75" s="556"/>
      <c r="G75" s="557"/>
      <c r="H75" s="556"/>
      <c r="I75" s="557"/>
      <c r="J75" s="1472"/>
      <c r="K75" s="1473"/>
      <c r="L75" s="1473"/>
      <c r="M75" s="1473"/>
      <c r="N75" s="1473"/>
      <c r="O75" s="1473"/>
      <c r="P75" s="1473"/>
      <c r="Q75" s="1474"/>
    </row>
    <row r="76" spans="2:18" s="489" customFormat="1" ht="13" x14ac:dyDescent="0.3">
      <c r="B76" s="536">
        <v>15</v>
      </c>
      <c r="C76" s="555"/>
      <c r="D76" s="1437"/>
      <c r="E76" s="1438"/>
      <c r="F76" s="556"/>
      <c r="G76" s="557"/>
      <c r="H76" s="559"/>
      <c r="I76" s="557"/>
      <c r="J76" s="1472"/>
      <c r="K76" s="1473"/>
      <c r="L76" s="1473"/>
      <c r="M76" s="1473"/>
      <c r="N76" s="1473"/>
      <c r="O76" s="1473"/>
      <c r="P76" s="1473"/>
      <c r="Q76" s="1474"/>
    </row>
    <row r="77" spans="2:18" ht="18.75" customHeight="1" x14ac:dyDescent="0.3">
      <c r="R77" s="491"/>
    </row>
    <row r="78" spans="2:18" ht="18.75" customHeight="1" x14ac:dyDescent="0.3">
      <c r="B78" s="511" t="s">
        <v>477</v>
      </c>
      <c r="C78" s="512"/>
      <c r="D78" s="512"/>
      <c r="E78" s="512"/>
      <c r="F78" s="512"/>
      <c r="G78" s="512"/>
      <c r="H78" s="513"/>
      <c r="I78" s="513"/>
      <c r="J78" s="513"/>
      <c r="K78" s="513"/>
      <c r="L78" s="513"/>
      <c r="M78" s="513"/>
      <c r="N78" s="513"/>
      <c r="O78" s="513"/>
      <c r="P78" s="513"/>
      <c r="Q78" s="514"/>
      <c r="R78" s="491"/>
    </row>
    <row r="79" spans="2:18" ht="18.75" customHeight="1" x14ac:dyDescent="0.3">
      <c r="B79" s="488"/>
      <c r="C79" s="488"/>
      <c r="D79" s="488"/>
      <c r="E79" s="488"/>
      <c r="F79" s="488"/>
      <c r="G79" s="488"/>
      <c r="H79" s="488"/>
      <c r="I79" s="488"/>
      <c r="J79" s="488"/>
      <c r="K79" s="488"/>
      <c r="L79" s="488"/>
      <c r="M79" s="488"/>
      <c r="N79" s="488"/>
      <c r="O79" s="488"/>
      <c r="P79" s="488"/>
      <c r="Q79" s="488"/>
      <c r="R79" s="491"/>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91"/>
    </row>
    <row r="81" spans="2:18" ht="13" x14ac:dyDescent="0.3">
      <c r="B81" s="533">
        <v>1</v>
      </c>
      <c r="C81" s="560" t="s">
        <v>480</v>
      </c>
      <c r="D81" s="561">
        <v>1000</v>
      </c>
      <c r="E81" s="1182" t="s">
        <v>481</v>
      </c>
      <c r="F81" s="1486" t="s">
        <v>482</v>
      </c>
      <c r="G81" s="1487"/>
      <c r="H81" s="1487"/>
      <c r="I81" s="1487"/>
      <c r="J81" s="1487"/>
      <c r="K81" s="1487"/>
      <c r="L81" s="1487"/>
      <c r="M81" s="1487"/>
      <c r="N81" s="1487"/>
      <c r="O81" s="1487"/>
      <c r="P81" s="1487"/>
      <c r="Q81" s="1488"/>
      <c r="R81" s="491"/>
    </row>
    <row r="82" spans="2:18"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c r="R82" s="491"/>
    </row>
    <row r="83" spans="2:18"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c r="R83" s="491"/>
    </row>
    <row r="84" spans="2:18" ht="13" x14ac:dyDescent="0.3">
      <c r="B84" s="533">
        <v>4</v>
      </c>
      <c r="C84" s="560" t="s">
        <v>488</v>
      </c>
      <c r="D84" s="562">
        <v>0.1055</v>
      </c>
      <c r="E84" s="1182" t="s">
        <v>489</v>
      </c>
      <c r="F84" s="1489" t="s">
        <v>485</v>
      </c>
      <c r="G84" s="1490"/>
      <c r="H84" s="1490"/>
      <c r="I84" s="1490"/>
      <c r="J84" s="1490"/>
      <c r="K84" s="1490"/>
      <c r="L84" s="1490"/>
      <c r="M84" s="1490"/>
      <c r="N84" s="1490"/>
      <c r="O84" s="1490"/>
      <c r="P84" s="1490"/>
      <c r="Q84" s="1491"/>
      <c r="R84" s="491"/>
    </row>
    <row r="85" spans="2:18"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c r="R85" s="491"/>
    </row>
    <row r="86" spans="2:18" ht="13" x14ac:dyDescent="0.3">
      <c r="B86" s="533">
        <v>6</v>
      </c>
      <c r="C86" s="563"/>
      <c r="D86" s="564"/>
      <c r="E86" s="1182"/>
      <c r="F86" s="1489"/>
      <c r="G86" s="1490"/>
      <c r="H86" s="1490"/>
      <c r="I86" s="1490"/>
      <c r="J86" s="1490"/>
      <c r="K86" s="1490"/>
      <c r="L86" s="1490"/>
      <c r="M86" s="1490"/>
      <c r="N86" s="1490"/>
      <c r="O86" s="1490"/>
      <c r="P86" s="1490"/>
      <c r="Q86" s="1491"/>
      <c r="R86" s="491"/>
    </row>
    <row r="87" spans="2:18" ht="13" x14ac:dyDescent="0.3">
      <c r="B87" s="533">
        <v>7</v>
      </c>
      <c r="C87" s="563"/>
      <c r="D87" s="1233"/>
      <c r="E87" s="1182"/>
      <c r="F87" s="1489"/>
      <c r="G87" s="1490"/>
      <c r="H87" s="1490"/>
      <c r="I87" s="1490"/>
      <c r="J87" s="1490"/>
      <c r="K87" s="1490"/>
      <c r="L87" s="1490"/>
      <c r="M87" s="1490"/>
      <c r="N87" s="1490"/>
      <c r="O87" s="1490"/>
      <c r="P87" s="1490"/>
      <c r="Q87" s="1491"/>
      <c r="R87" s="491"/>
    </row>
    <row r="88" spans="2:18" ht="13" x14ac:dyDescent="0.3">
      <c r="B88" s="533">
        <v>8</v>
      </c>
      <c r="C88" s="563"/>
      <c r="D88" s="564"/>
      <c r="E88" s="1182"/>
      <c r="F88" s="1489"/>
      <c r="G88" s="1490"/>
      <c r="H88" s="1490"/>
      <c r="I88" s="1490"/>
      <c r="J88" s="1490"/>
      <c r="K88" s="1490"/>
      <c r="L88" s="1490"/>
      <c r="M88" s="1490"/>
      <c r="N88" s="1490"/>
      <c r="O88" s="1490"/>
      <c r="P88" s="1490"/>
      <c r="Q88" s="1491"/>
      <c r="R88" s="491"/>
    </row>
    <row r="89" spans="2:18" ht="13" x14ac:dyDescent="0.3">
      <c r="B89" s="533">
        <v>9</v>
      </c>
      <c r="C89" s="563"/>
      <c r="D89" s="1233"/>
      <c r="E89" s="1182"/>
      <c r="F89" s="1489"/>
      <c r="G89" s="1490"/>
      <c r="H89" s="1490"/>
      <c r="I89" s="1490"/>
      <c r="J89" s="1490"/>
      <c r="K89" s="1490"/>
      <c r="L89" s="1490"/>
      <c r="M89" s="1490"/>
      <c r="N89" s="1490"/>
      <c r="O89" s="1490"/>
      <c r="P89" s="1490"/>
      <c r="Q89" s="1491"/>
      <c r="R89" s="491"/>
    </row>
    <row r="90" spans="2:18" ht="13" x14ac:dyDescent="0.3">
      <c r="B90" s="533">
        <v>10</v>
      </c>
      <c r="C90" s="563"/>
      <c r="D90" s="564"/>
      <c r="E90" s="1182"/>
      <c r="F90" s="1489"/>
      <c r="G90" s="1490"/>
      <c r="H90" s="1490"/>
      <c r="I90" s="1490"/>
      <c r="J90" s="1490"/>
      <c r="K90" s="1490"/>
      <c r="L90" s="1490"/>
      <c r="M90" s="1490"/>
      <c r="N90" s="1490"/>
      <c r="O90" s="1490"/>
      <c r="P90" s="1490"/>
      <c r="Q90" s="1491"/>
      <c r="R90" s="491"/>
    </row>
    <row r="91" spans="2:18" ht="18.75" customHeight="1" x14ac:dyDescent="0.3">
      <c r="R91" s="491"/>
    </row>
    <row r="92" spans="2:18" ht="18.75" customHeight="1" x14ac:dyDescent="0.3">
      <c r="B92" s="511" t="s">
        <v>492</v>
      </c>
      <c r="C92" s="512"/>
      <c r="D92" s="512"/>
      <c r="E92" s="512"/>
      <c r="F92" s="512"/>
      <c r="G92" s="512"/>
      <c r="H92" s="681"/>
      <c r="I92" s="681"/>
      <c r="J92" s="681"/>
      <c r="K92" s="681"/>
      <c r="L92" s="681"/>
      <c r="M92" s="681"/>
      <c r="N92" s="681"/>
      <c r="O92" s="681"/>
      <c r="P92" s="681"/>
      <c r="Q92" s="682"/>
      <c r="R92" s="491"/>
    </row>
    <row r="93" spans="2:18" ht="18.75" customHeight="1" x14ac:dyDescent="0.3">
      <c r="R93" s="491"/>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91"/>
    </row>
    <row r="95" spans="2:18" ht="25.5" customHeight="1" x14ac:dyDescent="0.3">
      <c r="B95" s="1498"/>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c r="R95" s="491"/>
    </row>
    <row r="96" spans="2:18" ht="25.5" customHeight="1" x14ac:dyDescent="0.3">
      <c r="B96" s="1188" t="s">
        <v>478</v>
      </c>
      <c r="C96" s="1402" t="s">
        <v>538</v>
      </c>
      <c r="D96" s="1431"/>
      <c r="E96" s="565"/>
      <c r="F96" s="565"/>
      <c r="G96" s="565"/>
      <c r="H96" s="565"/>
      <c r="I96" s="565"/>
      <c r="J96" s="565"/>
      <c r="K96" s="565"/>
      <c r="L96" s="565"/>
      <c r="M96" s="565"/>
      <c r="N96" s="566"/>
      <c r="O96" s="1410"/>
      <c r="P96" s="1411"/>
      <c r="Q96" s="1412"/>
      <c r="R96" s="491"/>
    </row>
    <row r="97" spans="2:18" ht="52" x14ac:dyDescent="0.3">
      <c r="B97" s="536">
        <v>1</v>
      </c>
      <c r="C97" s="1217" t="s">
        <v>757</v>
      </c>
      <c r="D97" s="1184" t="s">
        <v>758</v>
      </c>
      <c r="E97" s="1190">
        <v>60.4</v>
      </c>
      <c r="F97" s="1190">
        <v>12.2</v>
      </c>
      <c r="G97" s="694">
        <v>0.89</v>
      </c>
      <c r="H97" s="691"/>
      <c r="I97" s="692"/>
      <c r="J97" s="692"/>
      <c r="K97" s="692"/>
      <c r="L97" s="692"/>
      <c r="M97" s="692"/>
      <c r="N97" s="692"/>
      <c r="O97" s="1656"/>
      <c r="P97" s="1657"/>
      <c r="Q97" s="1658"/>
      <c r="R97" s="491"/>
    </row>
    <row r="98" spans="2:18" ht="13" x14ac:dyDescent="0.3">
      <c r="B98" s="536">
        <v>2</v>
      </c>
      <c r="C98" s="555"/>
      <c r="D98" s="1198"/>
      <c r="E98" s="691"/>
      <c r="F98" s="691"/>
      <c r="G98" s="691"/>
      <c r="H98" s="691"/>
      <c r="I98" s="692"/>
      <c r="J98" s="692"/>
      <c r="K98" s="692"/>
      <c r="L98" s="692"/>
      <c r="M98" s="692"/>
      <c r="N98" s="692"/>
      <c r="O98" s="1653"/>
      <c r="P98" s="1654"/>
      <c r="Q98" s="1655"/>
      <c r="R98" s="491"/>
    </row>
    <row r="99" spans="2:18" ht="13" x14ac:dyDescent="0.3">
      <c r="B99" s="536">
        <v>3</v>
      </c>
      <c r="C99" s="555"/>
      <c r="D99" s="1198"/>
      <c r="E99" s="691"/>
      <c r="F99" s="691"/>
      <c r="G99" s="691"/>
      <c r="H99" s="691"/>
      <c r="I99" s="692"/>
      <c r="J99" s="692"/>
      <c r="K99" s="692"/>
      <c r="L99" s="692"/>
      <c r="M99" s="692"/>
      <c r="N99" s="692"/>
      <c r="O99" s="1653"/>
      <c r="P99" s="1654"/>
      <c r="Q99" s="1655"/>
      <c r="R99" s="491"/>
    </row>
    <row r="100" spans="2:18" ht="13" x14ac:dyDescent="0.3">
      <c r="B100" s="536">
        <v>4</v>
      </c>
      <c r="C100" s="555"/>
      <c r="D100" s="1198"/>
      <c r="E100" s="691"/>
      <c r="F100" s="691"/>
      <c r="G100" s="691"/>
      <c r="H100" s="691"/>
      <c r="I100" s="692"/>
      <c r="J100" s="692"/>
      <c r="K100" s="692"/>
      <c r="L100" s="692"/>
      <c r="M100" s="692"/>
      <c r="N100" s="692"/>
      <c r="O100" s="1653"/>
      <c r="P100" s="1654"/>
      <c r="Q100" s="1655"/>
      <c r="R100" s="491"/>
    </row>
    <row r="101" spans="2:18" ht="13" x14ac:dyDescent="0.3">
      <c r="B101" s="536">
        <v>5</v>
      </c>
      <c r="C101" s="555"/>
      <c r="D101" s="1198"/>
      <c r="E101" s="691"/>
      <c r="F101" s="691"/>
      <c r="G101" s="691"/>
      <c r="H101" s="691"/>
      <c r="I101" s="692"/>
      <c r="J101" s="692"/>
      <c r="K101" s="692"/>
      <c r="L101" s="692"/>
      <c r="M101" s="692"/>
      <c r="N101" s="692"/>
      <c r="O101" s="1653"/>
      <c r="P101" s="1654"/>
      <c r="Q101" s="1655"/>
      <c r="R101" s="491"/>
    </row>
    <row r="102" spans="2:18" ht="13" x14ac:dyDescent="0.3">
      <c r="B102" s="536">
        <v>6</v>
      </c>
      <c r="C102" s="555"/>
      <c r="D102" s="1221"/>
      <c r="E102" s="691"/>
      <c r="F102" s="693"/>
      <c r="G102" s="691"/>
      <c r="H102" s="691"/>
      <c r="I102" s="556"/>
      <c r="J102" s="556"/>
      <c r="K102" s="556"/>
      <c r="L102" s="556"/>
      <c r="M102" s="556"/>
      <c r="N102" s="556"/>
      <c r="O102" s="1650"/>
      <c r="P102" s="1651"/>
      <c r="Q102" s="1652"/>
      <c r="R102" s="491"/>
    </row>
    <row r="103" spans="2:18" ht="13" x14ac:dyDescent="0.3">
      <c r="B103" s="536">
        <v>7</v>
      </c>
      <c r="C103" s="555"/>
      <c r="D103" s="1221"/>
      <c r="E103" s="691"/>
      <c r="F103" s="556"/>
      <c r="G103" s="556"/>
      <c r="H103" s="691"/>
      <c r="I103" s="556"/>
      <c r="J103" s="556"/>
      <c r="K103" s="556"/>
      <c r="L103" s="556"/>
      <c r="M103" s="556"/>
      <c r="N103" s="556"/>
      <c r="O103" s="1650"/>
      <c r="P103" s="1651"/>
      <c r="Q103" s="1652"/>
      <c r="R103" s="491"/>
    </row>
    <row r="104" spans="2:18" ht="13" x14ac:dyDescent="0.3">
      <c r="B104" s="536">
        <v>8</v>
      </c>
      <c r="C104" s="555"/>
      <c r="D104" s="1221"/>
      <c r="E104" s="691"/>
      <c r="F104" s="556"/>
      <c r="G104" s="556"/>
      <c r="H104" s="556"/>
      <c r="I104" s="556"/>
      <c r="J104" s="556"/>
      <c r="K104" s="556"/>
      <c r="L104" s="556"/>
      <c r="M104" s="556"/>
      <c r="N104" s="556"/>
      <c r="O104" s="1650"/>
      <c r="P104" s="1651"/>
      <c r="Q104" s="1652"/>
      <c r="R104" s="491"/>
    </row>
    <row r="105" spans="2:18" ht="13" x14ac:dyDescent="0.3">
      <c r="B105" s="536">
        <v>9</v>
      </c>
      <c r="C105" s="555"/>
      <c r="D105" s="1221"/>
      <c r="E105" s="691"/>
      <c r="F105" s="1217"/>
      <c r="G105" s="1217"/>
      <c r="H105" s="1217"/>
      <c r="I105" s="569"/>
      <c r="J105" s="569"/>
      <c r="K105" s="569"/>
      <c r="L105" s="569"/>
      <c r="M105" s="569"/>
      <c r="N105" s="569"/>
      <c r="O105" s="1492"/>
      <c r="P105" s="1493"/>
      <c r="Q105" s="1494"/>
      <c r="R105" s="491"/>
    </row>
    <row r="106" spans="2:18" ht="13" x14ac:dyDescent="0.3">
      <c r="B106" s="536">
        <v>10</v>
      </c>
      <c r="C106" s="555"/>
      <c r="D106" s="1221"/>
      <c r="E106" s="1217"/>
      <c r="F106" s="1217"/>
      <c r="G106" s="1217"/>
      <c r="H106" s="1217"/>
      <c r="I106" s="569"/>
      <c r="J106" s="569"/>
      <c r="K106" s="569"/>
      <c r="L106" s="569"/>
      <c r="M106" s="569"/>
      <c r="N106" s="569"/>
      <c r="O106" s="1492"/>
      <c r="P106" s="1493"/>
      <c r="Q106" s="1494"/>
      <c r="R106" s="491"/>
    </row>
    <row r="107" spans="2:18" ht="13" x14ac:dyDescent="0.3">
      <c r="B107" s="536">
        <v>11</v>
      </c>
      <c r="C107" s="555"/>
      <c r="D107" s="1221"/>
      <c r="E107" s="689"/>
      <c r="F107" s="691"/>
      <c r="G107" s="689"/>
      <c r="H107" s="689"/>
      <c r="I107" s="556"/>
      <c r="J107" s="556"/>
      <c r="K107" s="556"/>
      <c r="L107" s="556"/>
      <c r="M107" s="556"/>
      <c r="N107" s="556"/>
      <c r="O107" s="1650"/>
      <c r="P107" s="1651"/>
      <c r="Q107" s="1652"/>
      <c r="R107" s="491"/>
    </row>
    <row r="108" spans="2:18" ht="13" x14ac:dyDescent="0.3">
      <c r="B108" s="536">
        <v>12</v>
      </c>
      <c r="C108" s="555"/>
      <c r="D108" s="1221"/>
      <c r="E108" s="1217"/>
      <c r="F108" s="691"/>
      <c r="G108" s="1217"/>
      <c r="H108" s="1217"/>
      <c r="I108" s="569"/>
      <c r="J108" s="569"/>
      <c r="K108" s="569"/>
      <c r="L108" s="569"/>
      <c r="M108" s="569"/>
      <c r="N108" s="569"/>
      <c r="O108" s="1492"/>
      <c r="P108" s="1493"/>
      <c r="Q108" s="1494"/>
      <c r="R108" s="491"/>
    </row>
    <row r="109" spans="2:18" ht="13" x14ac:dyDescent="0.3">
      <c r="B109" s="536">
        <v>13</v>
      </c>
      <c r="C109" s="555"/>
      <c r="D109" s="1221"/>
      <c r="E109" s="1217"/>
      <c r="F109" s="1217"/>
      <c r="G109" s="1217"/>
      <c r="H109" s="1217"/>
      <c r="I109" s="569"/>
      <c r="J109" s="569"/>
      <c r="K109" s="569"/>
      <c r="L109" s="569"/>
      <c r="M109" s="569"/>
      <c r="N109" s="569"/>
      <c r="O109" s="1492"/>
      <c r="P109" s="1493"/>
      <c r="Q109" s="1494"/>
      <c r="R109" s="491"/>
    </row>
    <row r="110" spans="2:18" ht="13" x14ac:dyDescent="0.3">
      <c r="B110" s="536">
        <v>14</v>
      </c>
      <c r="C110" s="555"/>
      <c r="D110" s="1221"/>
      <c r="E110" s="690"/>
      <c r="F110" s="690"/>
      <c r="G110" s="690"/>
      <c r="H110" s="690"/>
      <c r="I110" s="556"/>
      <c r="J110" s="556"/>
      <c r="K110" s="556"/>
      <c r="L110" s="556"/>
      <c r="M110" s="556"/>
      <c r="N110" s="556"/>
      <c r="O110" s="1650"/>
      <c r="P110" s="1651"/>
      <c r="Q110" s="1652"/>
      <c r="R110" s="491"/>
    </row>
    <row r="111" spans="2:18" ht="13" x14ac:dyDescent="0.3">
      <c r="B111" s="536">
        <v>15</v>
      </c>
      <c r="C111" s="555"/>
      <c r="D111" s="1221"/>
      <c r="E111" s="690"/>
      <c r="F111" s="690"/>
      <c r="G111" s="690"/>
      <c r="H111" s="690"/>
      <c r="I111" s="556"/>
      <c r="J111" s="556"/>
      <c r="K111" s="556"/>
      <c r="L111" s="556"/>
      <c r="M111" s="556"/>
      <c r="N111" s="556"/>
      <c r="O111" s="1650"/>
      <c r="P111" s="1651"/>
      <c r="Q111" s="1652"/>
      <c r="R111" s="491"/>
    </row>
    <row r="112" spans="2:18" ht="13" x14ac:dyDescent="0.3">
      <c r="B112" s="536">
        <v>16</v>
      </c>
      <c r="C112" s="555"/>
      <c r="D112" s="1221"/>
      <c r="E112" s="690"/>
      <c r="F112" s="690"/>
      <c r="G112" s="690"/>
      <c r="H112" s="690"/>
      <c r="I112" s="556"/>
      <c r="J112" s="556"/>
      <c r="K112" s="556"/>
      <c r="L112" s="556"/>
      <c r="M112" s="556"/>
      <c r="N112" s="556"/>
      <c r="O112" s="1650"/>
      <c r="P112" s="1651"/>
      <c r="Q112" s="1652"/>
      <c r="R112" s="491"/>
    </row>
    <row r="113" spans="2:18" ht="13" x14ac:dyDescent="0.3">
      <c r="B113" s="536">
        <v>17</v>
      </c>
      <c r="C113" s="555"/>
      <c r="D113" s="1221"/>
      <c r="E113" s="690"/>
      <c r="F113" s="690"/>
      <c r="G113" s="690"/>
      <c r="H113" s="690"/>
      <c r="I113" s="556"/>
      <c r="J113" s="556"/>
      <c r="K113" s="556"/>
      <c r="L113" s="556"/>
      <c r="M113" s="556"/>
      <c r="N113" s="556"/>
      <c r="O113" s="1650"/>
      <c r="P113" s="1651"/>
      <c r="Q113" s="1652"/>
      <c r="R113" s="491"/>
    </row>
    <row r="114" spans="2:18" ht="13" x14ac:dyDescent="0.3">
      <c r="B114" s="536">
        <v>18</v>
      </c>
      <c r="C114" s="555"/>
      <c r="D114" s="1221"/>
      <c r="E114" s="690"/>
      <c r="F114" s="690"/>
      <c r="G114" s="690"/>
      <c r="H114" s="690"/>
      <c r="I114" s="556"/>
      <c r="J114" s="556"/>
      <c r="K114" s="556"/>
      <c r="L114" s="556"/>
      <c r="M114" s="556"/>
      <c r="N114" s="556"/>
      <c r="O114" s="1650"/>
      <c r="P114" s="1651"/>
      <c r="Q114" s="1652"/>
      <c r="R114" s="491"/>
    </row>
    <row r="115" spans="2:18" ht="13" x14ac:dyDescent="0.3">
      <c r="B115" s="536">
        <v>19</v>
      </c>
      <c r="C115" s="555"/>
      <c r="D115" s="1221"/>
      <c r="E115" s="690"/>
      <c r="F115" s="690"/>
      <c r="G115" s="690"/>
      <c r="H115" s="690"/>
      <c r="I115" s="556"/>
      <c r="J115" s="556"/>
      <c r="K115" s="556"/>
      <c r="L115" s="556"/>
      <c r="M115" s="556"/>
      <c r="N115" s="556"/>
      <c r="O115" s="1650"/>
      <c r="P115" s="1651"/>
      <c r="Q115" s="1652"/>
      <c r="R115" s="491"/>
    </row>
    <row r="116" spans="2:18" ht="13" x14ac:dyDescent="0.3">
      <c r="B116" s="536">
        <v>20</v>
      </c>
      <c r="C116" s="555"/>
      <c r="D116" s="1221"/>
      <c r="E116" s="690"/>
      <c r="F116" s="690"/>
      <c r="G116" s="690"/>
      <c r="H116" s="690"/>
      <c r="I116" s="556"/>
      <c r="J116" s="556"/>
      <c r="K116" s="556"/>
      <c r="L116" s="556"/>
      <c r="M116" s="556"/>
      <c r="N116" s="556"/>
      <c r="O116" s="1650"/>
      <c r="P116" s="1651"/>
      <c r="Q116" s="1652"/>
      <c r="R116" s="491"/>
    </row>
  </sheetData>
  <sheetProtection algorithmName="SHA-512" hashValue="Jez4gLohjuVEtyAf5z6qh6NAj/NE/2jtKoIFgUc+hpxkCBsn4HJ7FHB9kUHd2GHMx5WfAdXUMKugBnkUTdk57g==" saltValue="q9Ip6y7wuhm6VAE+K5dWcQ==" spinCount="100000" sheet="1" objects="1" scenarios="1" selectLockedCells="1" selectUnlockedCells="1"/>
  <mergeCells count="121">
    <mergeCell ref="D67:E67"/>
    <mergeCell ref="J67:Q67"/>
    <mergeCell ref="D69:E69"/>
    <mergeCell ref="J69:Q69"/>
    <mergeCell ref="C2:F2"/>
    <mergeCell ref="C3:F3"/>
    <mergeCell ref="C4:F4"/>
    <mergeCell ref="C5:F5"/>
    <mergeCell ref="D7:F7"/>
    <mergeCell ref="D8:F16"/>
    <mergeCell ref="D25:Q25"/>
    <mergeCell ref="D26:Q26"/>
    <mergeCell ref="D27:Q27"/>
    <mergeCell ref="D28:Q28"/>
    <mergeCell ref="D29:Q29"/>
    <mergeCell ref="D30:Q30"/>
    <mergeCell ref="D17:F17"/>
    <mergeCell ref="D18:F18"/>
    <mergeCell ref="B20:Q20"/>
    <mergeCell ref="C21:Q21"/>
    <mergeCell ref="C22:Q22"/>
    <mergeCell ref="C23:Q23"/>
    <mergeCell ref="C41:M41"/>
    <mergeCell ref="P41:Q41"/>
    <mergeCell ref="C42:M42"/>
    <mergeCell ref="P42:Q42"/>
    <mergeCell ref="C43:M43"/>
    <mergeCell ref="P43:Q43"/>
    <mergeCell ref="E32:Q32"/>
    <mergeCell ref="E33:Q33"/>
    <mergeCell ref="E34:Q34"/>
    <mergeCell ref="E35:Q35"/>
    <mergeCell ref="E36:Q36"/>
    <mergeCell ref="E37:Q37"/>
    <mergeCell ref="C48:M48"/>
    <mergeCell ref="P48:Q48"/>
    <mergeCell ref="C49:M49"/>
    <mergeCell ref="P49:Q49"/>
    <mergeCell ref="C50:M50"/>
    <mergeCell ref="P50:Q50"/>
    <mergeCell ref="C44:M44"/>
    <mergeCell ref="P44:Q44"/>
    <mergeCell ref="C45:M45"/>
    <mergeCell ref="P45:Q45"/>
    <mergeCell ref="C47:M47"/>
    <mergeCell ref="P47:Q47"/>
    <mergeCell ref="C55:M55"/>
    <mergeCell ref="P55:Q55"/>
    <mergeCell ref="C56:M56"/>
    <mergeCell ref="P56:Q56"/>
    <mergeCell ref="C57:M57"/>
    <mergeCell ref="P57:Q57"/>
    <mergeCell ref="C51:M51"/>
    <mergeCell ref="P51:Q51"/>
    <mergeCell ref="C53:M53"/>
    <mergeCell ref="P53:Q53"/>
    <mergeCell ref="C54:M54"/>
    <mergeCell ref="P54:Q54"/>
    <mergeCell ref="D64:E64"/>
    <mergeCell ref="J64:Q64"/>
    <mergeCell ref="D65:E65"/>
    <mergeCell ref="J65:Q65"/>
    <mergeCell ref="D66:E66"/>
    <mergeCell ref="J66:Q66"/>
    <mergeCell ref="D61:E61"/>
    <mergeCell ref="J61:Q61"/>
    <mergeCell ref="D62:E62"/>
    <mergeCell ref="J62:Q62"/>
    <mergeCell ref="D63:E63"/>
    <mergeCell ref="J63:Q63"/>
    <mergeCell ref="D70:E70"/>
    <mergeCell ref="J70:Q70"/>
    <mergeCell ref="D71:E71"/>
    <mergeCell ref="J71:Q71"/>
    <mergeCell ref="D72:E72"/>
    <mergeCell ref="J72:Q72"/>
    <mergeCell ref="D68:E68"/>
    <mergeCell ref="J68:Q68"/>
    <mergeCell ref="D76:E76"/>
    <mergeCell ref="J76:Q76"/>
    <mergeCell ref="F80:Q80"/>
    <mergeCell ref="F81:Q81"/>
    <mergeCell ref="F82:Q82"/>
    <mergeCell ref="F83:Q83"/>
    <mergeCell ref="D73:E73"/>
    <mergeCell ref="J73:Q73"/>
    <mergeCell ref="D74:E74"/>
    <mergeCell ref="J74:Q74"/>
    <mergeCell ref="D75:E75"/>
    <mergeCell ref="J75:Q75"/>
    <mergeCell ref="B95:D95"/>
    <mergeCell ref="C96:D96"/>
    <mergeCell ref="O97:Q97"/>
    <mergeCell ref="F84:Q84"/>
    <mergeCell ref="F85:Q85"/>
    <mergeCell ref="F86:Q86"/>
    <mergeCell ref="F87:Q87"/>
    <mergeCell ref="F88:Q88"/>
    <mergeCell ref="F89:Q89"/>
    <mergeCell ref="O98:Q98"/>
    <mergeCell ref="O99:Q99"/>
    <mergeCell ref="O100:Q100"/>
    <mergeCell ref="O101:Q101"/>
    <mergeCell ref="O102:Q102"/>
    <mergeCell ref="O103:Q103"/>
    <mergeCell ref="F90:Q90"/>
    <mergeCell ref="E94:N94"/>
    <mergeCell ref="O94:Q96"/>
    <mergeCell ref="O116:Q116"/>
    <mergeCell ref="O110:Q110"/>
    <mergeCell ref="O111:Q111"/>
    <mergeCell ref="O112:Q112"/>
    <mergeCell ref="O113:Q113"/>
    <mergeCell ref="O114:Q114"/>
    <mergeCell ref="O115:Q115"/>
    <mergeCell ref="O104:Q104"/>
    <mergeCell ref="O105:Q105"/>
    <mergeCell ref="O106:Q106"/>
    <mergeCell ref="O107:Q107"/>
    <mergeCell ref="O108:Q108"/>
    <mergeCell ref="O109:Q109"/>
  </mergeCells>
  <conditionalFormatting sqref="H71">
    <cfRule type="expression" dxfId="3943" priority="41">
      <formula>IF(OR(#REF!="L",#REF!="C"),TRUE,FALSE)</formula>
    </cfRule>
  </conditionalFormatting>
  <conditionalFormatting sqref="H70">
    <cfRule type="expression" dxfId="3942" priority="37">
      <formula>IF(OR(#REF!="L",#REF!="C"),TRUE,FALSE)</formula>
    </cfRule>
  </conditionalFormatting>
  <conditionalFormatting sqref="F109:F116 G102:G116 H104:H116">
    <cfRule type="expression" dxfId="3941" priority="36">
      <formula>IF(OR(#REF!="L",#REF!="C"),TRUE,FALSE)</formula>
    </cfRule>
  </conditionalFormatting>
  <conditionalFormatting sqref="E110:E116">
    <cfRule type="expression" dxfId="3940" priority="35">
      <formula>IF(OR(#REF!="L",#REF!="C"),TRUE,FALSE)</formula>
    </cfRule>
  </conditionalFormatting>
  <conditionalFormatting sqref="E107">
    <cfRule type="expression" dxfId="3939" priority="34">
      <formula>IF(OR(#REF!="L",#REF!="C"),TRUE,FALSE)</formula>
    </cfRule>
  </conditionalFormatting>
  <conditionalFormatting sqref="E108">
    <cfRule type="expression" dxfId="3938" priority="33">
      <formula>IF(OR(#REF!="L",#REF!="C"),TRUE,FALSE)</formula>
    </cfRule>
  </conditionalFormatting>
  <conditionalFormatting sqref="E109">
    <cfRule type="expression" dxfId="3937" priority="32">
      <formula>IF(OR(#REF!="L",#REF!="C"),TRUE,FALSE)</formula>
    </cfRule>
  </conditionalFormatting>
  <conditionalFormatting sqref="E106">
    <cfRule type="expression" dxfId="3936" priority="31">
      <formula>IF(OR(#REF!="L",#REF!="C"),TRUE,FALSE)</formula>
    </cfRule>
  </conditionalFormatting>
  <conditionalFormatting sqref="E95 G95 I95 K95 M95">
    <cfRule type="duplicateValues" dxfId="3935" priority="30"/>
  </conditionalFormatting>
  <conditionalFormatting sqref="M104:M116">
    <cfRule type="expression" dxfId="3934" priority="20">
      <formula>IF(OR(#REF!="L",#REF!="C"),TRUE,FALSE)</formula>
    </cfRule>
  </conditionalFormatting>
  <conditionalFormatting sqref="F102:F106">
    <cfRule type="expression" dxfId="3933" priority="29">
      <formula>IF(OR(#REF!="L",#REF!="C"),TRUE,FALSE)</formula>
    </cfRule>
  </conditionalFormatting>
  <conditionalFormatting sqref="I102:I103">
    <cfRule type="expression" dxfId="3932" priority="27">
      <formula>IF(OR(#REF!="L",#REF!="C"),TRUE,FALSE)</formula>
    </cfRule>
  </conditionalFormatting>
  <conditionalFormatting sqref="N102:N103">
    <cfRule type="expression" dxfId="3931" priority="17">
      <formula>IF(OR(#REF!="L",#REF!="C"),TRUE,FALSE)</formula>
    </cfRule>
  </conditionalFormatting>
  <conditionalFormatting sqref="I104:I116">
    <cfRule type="expression" dxfId="3930" priority="28">
      <formula>IF(OR(#REF!="L",#REF!="C"),TRUE,FALSE)</formula>
    </cfRule>
  </conditionalFormatting>
  <conditionalFormatting sqref="J102:J103">
    <cfRule type="expression" dxfId="3929" priority="25">
      <formula>IF(OR(#REF!="L",#REF!="C"),TRUE,FALSE)</formula>
    </cfRule>
  </conditionalFormatting>
  <conditionalFormatting sqref="J104:J116">
    <cfRule type="expression" dxfId="3928" priority="26">
      <formula>IF(OR(#REF!="L",#REF!="C"),TRUE,FALSE)</formula>
    </cfRule>
  </conditionalFormatting>
  <conditionalFormatting sqref="K102:K103">
    <cfRule type="expression" dxfId="3927" priority="23">
      <formula>IF(OR(#REF!="L",#REF!="C"),TRUE,FALSE)</formula>
    </cfRule>
  </conditionalFormatting>
  <conditionalFormatting sqref="K104:K116">
    <cfRule type="expression" dxfId="3926" priority="24">
      <formula>IF(OR(#REF!="L",#REF!="C"),TRUE,FALSE)</formula>
    </cfRule>
  </conditionalFormatting>
  <conditionalFormatting sqref="L102:L103">
    <cfRule type="expression" dxfId="3925" priority="21">
      <formula>IF(OR(#REF!="L",#REF!="C"),TRUE,FALSE)</formula>
    </cfRule>
  </conditionalFormatting>
  <conditionalFormatting sqref="L104:L116">
    <cfRule type="expression" dxfId="3924" priority="22">
      <formula>IF(OR(#REF!="L",#REF!="C"),TRUE,FALSE)</formula>
    </cfRule>
  </conditionalFormatting>
  <conditionalFormatting sqref="M102:M103">
    <cfRule type="expression" dxfId="3923" priority="19">
      <formula>IF(OR(#REF!="L",#REF!="C"),TRUE,FALSE)</formula>
    </cfRule>
  </conditionalFormatting>
  <conditionalFormatting sqref="N104:N116">
    <cfRule type="expression" dxfId="3922" priority="18">
      <formula>IF(OR(#REF!="L",#REF!="C"),TRUE,FALSE)</formula>
    </cfRule>
  </conditionalFormatting>
  <conditionalFormatting sqref="O104:O116">
    <cfRule type="expression" dxfId="3921" priority="16">
      <formula>IF(OR(#REF!="L",#REF!="C"),TRUE,FALSE)</formula>
    </cfRule>
  </conditionalFormatting>
  <conditionalFormatting sqref="O102:O103">
    <cfRule type="expression" dxfId="3920" priority="15">
      <formula>IF(OR(#REF!="L",#REF!="C"),TRUE,FALSE)</formula>
    </cfRule>
  </conditionalFormatting>
  <conditionalFormatting sqref="G96:N96">
    <cfRule type="duplicateValues" dxfId="3919" priority="14"/>
  </conditionalFormatting>
  <conditionalFormatting sqref="E96:F96">
    <cfRule type="duplicateValues" dxfId="3918" priority="13"/>
  </conditionalFormatting>
  <conditionalFormatting sqref="H63">
    <cfRule type="expression" dxfId="3917" priority="10">
      <formula>IF(OR(#REF!="L",#REF!="C"),TRUE,FALSE)</formula>
    </cfRule>
  </conditionalFormatting>
  <conditionalFormatting sqref="H62">
    <cfRule type="expression" dxfId="3916" priority="11">
      <formula>IF(OR(#REF!="L",#REF!="C"),TRUE,FALSE)</formula>
    </cfRule>
  </conditionalFormatting>
  <conditionalFormatting sqref="H72">
    <cfRule type="expression" dxfId="3915" priority="8">
      <formula>IF(OR(#REF!="L",#REF!="C"),TRUE,FALSE)</formula>
    </cfRule>
  </conditionalFormatting>
  <conditionalFormatting sqref="H73">
    <cfRule type="expression" dxfId="3914" priority="7">
      <formula>IF(OR(#REF!="L",#REF!="C"),TRUE,FALSE)</formula>
    </cfRule>
  </conditionalFormatting>
  <conditionalFormatting sqref="H74">
    <cfRule type="expression" dxfId="3913" priority="6">
      <formula>IF(OR(#REF!="L",#REF!="C"),TRUE,FALSE)</formula>
    </cfRule>
  </conditionalFormatting>
  <conditionalFormatting sqref="H75">
    <cfRule type="expression" dxfId="3912" priority="5">
      <formula>IF(OR(#REF!="L",#REF!="C"),TRUE,FALSE)</formula>
    </cfRule>
  </conditionalFormatting>
  <conditionalFormatting sqref="H76">
    <cfRule type="expression" dxfId="3911" priority="4">
      <formula>IF(OR(#REF!="L",#REF!="C"),TRUE,FALSE)</formula>
    </cfRule>
  </conditionalFormatting>
  <conditionalFormatting sqref="H67">
    <cfRule type="expression" dxfId="3910" priority="3">
      <formula>IF(OR(#REF!="L",#REF!="C"),TRUE,FALSE)</formula>
    </cfRule>
  </conditionalFormatting>
  <conditionalFormatting sqref="H68">
    <cfRule type="expression" dxfId="3909" priority="2">
      <formula>IF(OR(#REF!="L",#REF!="C"),TRUE,FALSE)</formula>
    </cfRule>
  </conditionalFormatting>
  <conditionalFormatting sqref="H69">
    <cfRule type="expression" dxfId="3908" priority="1">
      <formula>IF(OR(#REF!="L",#REF!="C"),TRUE,FALSE)</formula>
    </cfRule>
  </conditionalFormatting>
  <dataValidations count="7">
    <dataValidation type="list" allowBlank="1" showInputMessage="1" showErrorMessage="1" sqref="C4" xr:uid="{9421ECE0-5482-4F6D-838C-4703FD593A56}">
      <formula1>"COM,RES"</formula1>
    </dataValidation>
    <dataValidation type="list" allowBlank="1" showInputMessage="1" showErrorMessage="1" sqref="F72:F74" xr:uid="{390A630E-7D0E-4AE0-B233-647A17693EC2}">
      <formula1>$C$102:$C$107</formula1>
    </dataValidation>
    <dataValidation type="list" allowBlank="1" showInputMessage="1" showErrorMessage="1" sqref="C9" xr:uid="{6971D75E-3B7E-4945-8A3B-0B300154E169}">
      <formula1>INDIRECT("MeasureTypeList[Index]")</formula1>
    </dataValidation>
    <dataValidation type="list" allowBlank="1" showInputMessage="1" showErrorMessage="1" sqref="C26" xr:uid="{C30C1840-A115-4299-A7F4-F75C3B577A62}">
      <formula1>INDIRECT("RegionList[Index]")</formula1>
    </dataValidation>
    <dataValidation type="list" allowBlank="1" showInputMessage="1" showErrorMessage="1" sqref="C27" xr:uid="{95110BF5-A75C-41DD-BDFD-0947DB8A5123}">
      <formula1>INDIRECT("ReplacementTypeList[Index]")</formula1>
    </dataValidation>
    <dataValidation type="list" allowBlank="1" showInputMessage="1" showErrorMessage="1" sqref="C28" xr:uid="{AE86883E-C176-48A5-A464-0CDE9B8B7FB8}">
      <formula1>INDIRECT("BuildingType[Building]")</formula1>
    </dataValidation>
    <dataValidation type="list" allowBlank="1" showInputMessage="1" showErrorMessage="1" sqref="C29 C30" xr:uid="{19FE847A-7DA4-47B9-B96A-4DA5FEBACB12}">
      <formula1>INDIRECT("FuelTypeList[Index]")</formula1>
    </dataValidation>
  </dataValidations>
  <hyperlinks>
    <hyperlink ref="F82" r:id="rId1" xr:uid="{ECE9E4ED-9557-456C-99A0-D62517DB2F38}"/>
    <hyperlink ref="F83" r:id="rId2" xr:uid="{D64BC8F5-2B7C-48A7-B7F2-65ECE9CA17CB}"/>
    <hyperlink ref="F85" r:id="rId3" xr:uid="{64442517-9464-4101-9E3A-4EDD2DE5DFB0}"/>
    <hyperlink ref="F84" r:id="rId4" xr:uid="{8EA9DEEF-ADB1-47F1-B8E1-4B6F116D47F9}"/>
  </hyperlinks>
  <pageMargins left="0.7" right="0.7" top="0.75" bottom="0.75" header="0.3" footer="0.3"/>
  <pageSetup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9FCCE-5276-47F2-A20D-7F461280A6A4}">
  <sheetPr codeName="Sheet5">
    <tabColor rgb="FF00B0F0"/>
  </sheetPr>
  <dimension ref="A1:M102"/>
  <sheetViews>
    <sheetView zoomScale="80" zoomScaleNormal="80" workbookViewId="0"/>
  </sheetViews>
  <sheetFormatPr defaultColWidth="9.08984375" defaultRowHeight="14.5" x14ac:dyDescent="0.35"/>
  <cols>
    <col min="1" max="1" width="2.7265625" style="1113" customWidth="1"/>
    <col min="2" max="2" width="38.7265625" style="1113" customWidth="1"/>
    <col min="3" max="3" width="3" style="1114" customWidth="1"/>
    <col min="4" max="4" width="2.26953125" style="1082" customWidth="1"/>
    <col min="5" max="5" width="58.6328125" style="469" customWidth="1"/>
    <col min="6" max="6" width="15.36328125" style="469" customWidth="1"/>
    <col min="7" max="7" width="15.26953125" style="469" customWidth="1"/>
    <col min="8" max="8" width="15.26953125" style="347" customWidth="1"/>
    <col min="9" max="9" width="16.81640625" style="347" customWidth="1"/>
    <col min="10" max="10" width="13.7265625" style="347" customWidth="1"/>
    <col min="11" max="11" width="21.08984375" style="1109" hidden="1" customWidth="1"/>
    <col min="12" max="12" width="16.36328125" style="347" customWidth="1"/>
    <col min="13" max="13" width="2.7265625" style="347" customWidth="1"/>
    <col min="14" max="14" width="12.36328125" style="1115" customWidth="1"/>
    <col min="15" max="15" width="11" style="1115" customWidth="1"/>
    <col min="16" max="16" width="13.6328125" style="1115" customWidth="1"/>
    <col min="17" max="16384" width="9.08984375" style="1115"/>
  </cols>
  <sheetData>
    <row r="1" spans="1:13" s="1113" customFormat="1" ht="15" customHeight="1" x14ac:dyDescent="0.35">
      <c r="B1" s="1342" t="s">
        <v>0</v>
      </c>
      <c r="C1" s="1114"/>
      <c r="E1" s="1117"/>
      <c r="F1" s="1117"/>
      <c r="G1" s="1117"/>
      <c r="K1" s="1118"/>
    </row>
    <row r="2" spans="1:13" s="1113" customFormat="1" ht="15.75" customHeight="1" x14ac:dyDescent="0.35">
      <c r="B2" s="1342"/>
      <c r="C2" s="1114"/>
      <c r="D2" s="1343" t="s">
        <v>1</v>
      </c>
      <c r="E2" s="1349"/>
      <c r="F2" s="1349"/>
      <c r="G2" s="1349"/>
      <c r="H2" s="1349"/>
      <c r="I2" s="1349"/>
      <c r="J2" s="1349"/>
      <c r="K2" s="1349"/>
      <c r="L2" s="1349"/>
      <c r="M2" s="1349"/>
    </row>
    <row r="3" spans="1:13" s="1113" customFormat="1" ht="20.25" customHeight="1" x14ac:dyDescent="0.35">
      <c r="B3" s="1342"/>
      <c r="C3" s="1114"/>
      <c r="D3" s="1349"/>
      <c r="E3" s="1349"/>
      <c r="F3" s="1349"/>
      <c r="G3" s="1349"/>
      <c r="H3" s="1349"/>
      <c r="I3" s="1349"/>
      <c r="J3" s="1349"/>
      <c r="K3" s="1349"/>
      <c r="L3" s="1349"/>
      <c r="M3" s="1349"/>
    </row>
    <row r="4" spans="1:13" s="1114" customFormat="1" ht="15" customHeight="1" x14ac:dyDescent="0.35">
      <c r="A4" s="1113"/>
      <c r="B4" s="1342"/>
      <c r="E4" s="1124"/>
      <c r="F4" s="1124"/>
      <c r="G4" s="1124"/>
      <c r="K4" s="1125"/>
    </row>
    <row r="5" spans="1:13" ht="22.5" customHeight="1" x14ac:dyDescent="0.45">
      <c r="B5" s="1119" t="s">
        <v>2</v>
      </c>
      <c r="E5" s="1084" t="s">
        <v>3</v>
      </c>
      <c r="F5" s="1085"/>
      <c r="G5" s="1085"/>
    </row>
    <row r="6" spans="1:13" ht="23.25" customHeight="1" x14ac:dyDescent="0.35">
      <c r="E6" s="1346" t="s">
        <v>4</v>
      </c>
      <c r="F6" s="1126" t="s">
        <v>5</v>
      </c>
      <c r="G6" s="1095">
        <v>2020</v>
      </c>
      <c r="L6" s="1086"/>
      <c r="M6" s="1086"/>
    </row>
    <row r="7" spans="1:13" ht="23.25" customHeight="1" x14ac:dyDescent="0.45">
      <c r="B7" s="1120" t="s">
        <v>6</v>
      </c>
      <c r="E7" s="1347"/>
      <c r="F7" s="1127" t="s">
        <v>7</v>
      </c>
      <c r="G7" s="1096" t="s">
        <v>8</v>
      </c>
      <c r="L7" s="1086"/>
      <c r="M7" s="1086"/>
    </row>
    <row r="8" spans="1:13" ht="23.25" customHeight="1" x14ac:dyDescent="0.35">
      <c r="E8" s="1348"/>
      <c r="F8" s="1128" t="s">
        <v>9</v>
      </c>
      <c r="G8" s="1112" t="s">
        <v>10</v>
      </c>
    </row>
    <row r="9" spans="1:13" ht="11.25" customHeight="1" x14ac:dyDescent="0.35">
      <c r="E9" s="347"/>
      <c r="F9" s="347"/>
      <c r="G9" s="347"/>
    </row>
    <row r="10" spans="1:13" hidden="1" x14ac:dyDescent="0.35">
      <c r="E10" s="1097" t="s">
        <v>11</v>
      </c>
      <c r="F10" s="1097" t="s">
        <v>2874</v>
      </c>
      <c r="G10" s="1111" t="s">
        <v>13</v>
      </c>
      <c r="H10" s="1105"/>
      <c r="I10" s="1105"/>
      <c r="J10" s="1105"/>
      <c r="K10" s="1111"/>
      <c r="L10" s="1105"/>
      <c r="M10" s="1105"/>
    </row>
    <row r="11" spans="1:13" ht="15.75" customHeight="1" x14ac:dyDescent="0.45">
      <c r="B11" s="1120" t="s">
        <v>14</v>
      </c>
      <c r="E11" s="1106" t="s">
        <v>15</v>
      </c>
      <c r="F11" s="1105"/>
      <c r="G11" s="1105"/>
      <c r="H11" s="1103"/>
      <c r="I11" s="1103"/>
      <c r="J11" s="1103"/>
      <c r="K11" s="1111"/>
      <c r="L11" s="1103"/>
      <c r="M11" s="1103"/>
    </row>
    <row r="12" spans="1:13" ht="58" x14ac:dyDescent="0.35">
      <c r="E12" s="1097" t="s">
        <v>16</v>
      </c>
      <c r="F12" s="1098" t="s">
        <v>17</v>
      </c>
      <c r="G12" s="1098" t="s">
        <v>18</v>
      </c>
      <c r="H12" s="1098" t="s">
        <v>19</v>
      </c>
      <c r="I12" s="1098" t="s">
        <v>20</v>
      </c>
      <c r="J12" s="1098" t="s">
        <v>21</v>
      </c>
      <c r="K12" s="1110" t="s">
        <v>22</v>
      </c>
      <c r="L12" s="1099" t="s">
        <v>23</v>
      </c>
      <c r="M12" s="1100"/>
    </row>
    <row r="13" spans="1:13" ht="18.5" x14ac:dyDescent="0.35">
      <c r="B13" s="1121" t="s">
        <v>24</v>
      </c>
      <c r="E13" s="1339" t="s">
        <v>2875</v>
      </c>
      <c r="F13" s="1101">
        <v>15</v>
      </c>
      <c r="G13" s="1102">
        <v>0</v>
      </c>
      <c r="H13" s="1102">
        <v>25.391128360583476</v>
      </c>
      <c r="I13" s="1102">
        <v>1.30985213873742</v>
      </c>
      <c r="J13" s="1273">
        <v>135.98170336898147</v>
      </c>
      <c r="K13" s="1111" t="str">
        <f ca="1">IF(E13&lt;&gt;"",_xlfn.XLOOKUP($F$10&amp;$E13,'Measure Summary'!$D:$D,'Measure Summary'!$A:$A,"",0,1))</f>
        <v/>
      </c>
      <c r="L13" s="1104" t="str">
        <f t="shared" ref="L13:L44" ca="1" si="0">IF(K13&lt;&gt;FALSE,HYPERLINK("#'"&amp;K13&amp;"'!A1","Go to "&amp;K13),"")</f>
        <v xml:space="preserve">Go to </v>
      </c>
      <c r="M13" s="1104"/>
    </row>
    <row r="14" spans="1:13" x14ac:dyDescent="0.35">
      <c r="E14" s="1339" t="s">
        <v>2876</v>
      </c>
      <c r="F14" s="1101">
        <v>15</v>
      </c>
      <c r="G14" s="1102">
        <v>0</v>
      </c>
      <c r="H14" s="1102">
        <v>0</v>
      </c>
      <c r="I14" s="1102">
        <v>0</v>
      </c>
      <c r="J14" s="1273">
        <v>0</v>
      </c>
      <c r="K14" s="1111" t="str">
        <f ca="1">IF(E14&lt;&gt;"",_xlfn.XLOOKUP($F$10&amp;$E14,'Measure Summary'!$D:$D,'Measure Summary'!$A:$A,"",0,1))</f>
        <v/>
      </c>
      <c r="L14" s="1104" t="str">
        <f t="shared" ca="1" si="0"/>
        <v xml:space="preserve">Go to </v>
      </c>
      <c r="M14" s="1104"/>
    </row>
    <row r="15" spans="1:13" x14ac:dyDescent="0.35">
      <c r="E15" s="1339" t="s">
        <v>2877</v>
      </c>
      <c r="F15" s="1101">
        <v>15</v>
      </c>
      <c r="G15" s="1102">
        <v>0</v>
      </c>
      <c r="H15" s="1102">
        <v>0</v>
      </c>
      <c r="I15" s="1102">
        <v>0</v>
      </c>
      <c r="J15" s="1273">
        <v>0</v>
      </c>
      <c r="K15" s="1111" t="str">
        <f ca="1">IF(E15&lt;&gt;"",_xlfn.XLOOKUP($F$10&amp;$E15,'Measure Summary'!$D:$D,'Measure Summary'!$A:$A,"",0,1))</f>
        <v/>
      </c>
      <c r="L15" s="1104" t="str">
        <f t="shared" ca="1" si="0"/>
        <v xml:space="preserve">Go to </v>
      </c>
      <c r="M15" s="1104"/>
    </row>
    <row r="16" spans="1:13" s="1116" customFormat="1" x14ac:dyDescent="0.35">
      <c r="A16" s="1122"/>
      <c r="B16" s="1113"/>
      <c r="C16" s="1123"/>
      <c r="D16" s="1083"/>
      <c r="E16" s="1254" t="s">
        <v>2865</v>
      </c>
      <c r="F16" s="1101">
        <v>16</v>
      </c>
      <c r="G16" s="1102">
        <v>-5171.0562803990151</v>
      </c>
      <c r="H16" s="1102">
        <v>55.545216914909567</v>
      </c>
      <c r="I16" s="1102">
        <v>-8.2090974837998765E-2</v>
      </c>
      <c r="J16" s="1273">
        <v>-138.73363669402181</v>
      </c>
      <c r="K16" s="1111" t="str">
        <f ca="1">IF(E16&lt;&gt;"",_xlfn.XLOOKUP($F$10&amp;$E16,'Measure Summary'!$D:$D,'Measure Summary'!$A:$A,"",0,1))</f>
        <v/>
      </c>
      <c r="L16" s="1104" t="str">
        <f t="shared" ca="1" si="0"/>
        <v xml:space="preserve">Go to </v>
      </c>
      <c r="M16" s="1104"/>
    </row>
    <row r="17" spans="2:13" x14ac:dyDescent="0.35">
      <c r="B17" s="1122"/>
      <c r="E17" s="1339" t="s">
        <v>2878</v>
      </c>
      <c r="F17" s="1101">
        <v>20</v>
      </c>
      <c r="G17" s="1102">
        <v>4.9686954088735407</v>
      </c>
      <c r="H17" s="1102">
        <v>0.52745490039744047</v>
      </c>
      <c r="I17" s="1102">
        <v>3.0041972329860681E-2</v>
      </c>
      <c r="J17" s="1273">
        <v>3.0497856641585677</v>
      </c>
      <c r="K17" s="1111" t="str">
        <f ca="1">IF(E17&lt;&gt;"",_xlfn.XLOOKUP($F$10&amp;$E17,'Measure Summary'!$D:$D,'Measure Summary'!$A:$A,"",0,1))</f>
        <v/>
      </c>
      <c r="L17" s="1104" t="str">
        <f t="shared" ca="1" si="0"/>
        <v xml:space="preserve">Go to </v>
      </c>
      <c r="M17" s="1104"/>
    </row>
    <row r="18" spans="2:13" x14ac:dyDescent="0.35">
      <c r="E18" s="1339" t="s">
        <v>2879</v>
      </c>
      <c r="F18" s="1101">
        <v>8</v>
      </c>
      <c r="G18" s="1102">
        <v>18456</v>
      </c>
      <c r="H18" s="1102">
        <v>0</v>
      </c>
      <c r="I18" s="1102">
        <v>10.519919999999999</v>
      </c>
      <c r="J18" s="1273">
        <v>1724.7580932384014</v>
      </c>
      <c r="K18" s="1111" t="str">
        <f ca="1">IF(E18&lt;&gt;"",_xlfn.XLOOKUP($F$10&amp;$E18,'Measure Summary'!$D:$D,'Measure Summary'!$A:$A,"",0,1))</f>
        <v/>
      </c>
      <c r="L18" s="1104" t="str">
        <f t="shared" ca="1" si="0"/>
        <v xml:space="preserve">Go to </v>
      </c>
      <c r="M18" s="1104"/>
    </row>
    <row r="19" spans="2:13" x14ac:dyDescent="0.35">
      <c r="E19" s="1339" t="s">
        <v>2880</v>
      </c>
      <c r="F19" s="1101">
        <v>8</v>
      </c>
      <c r="G19" s="1102">
        <v>7544</v>
      </c>
      <c r="H19" s="1102">
        <v>0</v>
      </c>
      <c r="I19" s="1102">
        <v>4.3000799999999995</v>
      </c>
      <c r="J19" s="1273">
        <v>705.00515037876562</v>
      </c>
      <c r="K19" s="1111" t="str">
        <f ca="1">IF(E19&lt;&gt;"",_xlfn.XLOOKUP($F$10&amp;$E19,'Measure Summary'!$D:$D,'Measure Summary'!$A:$A,"",0,1))</f>
        <v/>
      </c>
      <c r="L19" s="1104" t="str">
        <f t="shared" ca="1" si="0"/>
        <v xml:space="preserve">Go to </v>
      </c>
      <c r="M19" s="1104"/>
    </row>
    <row r="20" spans="2:13" x14ac:dyDescent="0.35">
      <c r="E20" s="1339" t="s">
        <v>2881</v>
      </c>
      <c r="F20" s="1101">
        <v>9</v>
      </c>
      <c r="G20" s="1102">
        <v>2424.0596683464541</v>
      </c>
      <c r="H20" s="1102">
        <v>-3.8360744251582637</v>
      </c>
      <c r="I20" s="1102">
        <v>1.1838224395868397</v>
      </c>
      <c r="J20" s="1273">
        <v>202.2872659391335</v>
      </c>
      <c r="K20" s="1111" t="str">
        <f ca="1">IF(E20&lt;&gt;"",_xlfn.XLOOKUP($F$10&amp;$E20,'Measure Summary'!$D:$D,'Measure Summary'!$A:$A,"",0,1))</f>
        <v/>
      </c>
      <c r="L20" s="1104" t="str">
        <f t="shared" ca="1" si="0"/>
        <v xml:space="preserve">Go to </v>
      </c>
      <c r="M20" s="1104"/>
    </row>
    <row r="21" spans="2:13" x14ac:dyDescent="0.35">
      <c r="E21" s="1339" t="s">
        <v>2882</v>
      </c>
      <c r="F21" s="1101">
        <v>15</v>
      </c>
      <c r="G21" s="1102">
        <v>0</v>
      </c>
      <c r="H21" s="1102">
        <v>0</v>
      </c>
      <c r="I21" s="1102">
        <v>0</v>
      </c>
      <c r="J21" s="1273">
        <v>0</v>
      </c>
      <c r="K21" s="1111" t="str">
        <f ca="1">IF(E21&lt;&gt;"",_xlfn.XLOOKUP($F$10&amp;$E21,'Measure Summary'!$D:$D,'Measure Summary'!$A:$A,"",0,1))</f>
        <v/>
      </c>
      <c r="L21" s="1104" t="str">
        <f t="shared" ca="1" si="0"/>
        <v xml:space="preserve">Go to </v>
      </c>
      <c r="M21" s="1104"/>
    </row>
    <row r="22" spans="2:13" x14ac:dyDescent="0.35">
      <c r="E22" s="1339" t="s">
        <v>2883</v>
      </c>
      <c r="F22" s="1101">
        <v>20</v>
      </c>
      <c r="G22" s="1102">
        <v>0</v>
      </c>
      <c r="H22" s="1102">
        <v>0</v>
      </c>
      <c r="I22" s="1102">
        <v>0</v>
      </c>
      <c r="J22" s="1273">
        <v>0</v>
      </c>
      <c r="K22" s="1111" t="str">
        <f ca="1">IF(E22&lt;&gt;"",_xlfn.XLOOKUP($F$10&amp;$E22,'Measure Summary'!$D:$D,'Measure Summary'!$A:$A,"",0,1))</f>
        <v/>
      </c>
      <c r="L22" s="1104" t="str">
        <f t="shared" ca="1" si="0"/>
        <v xml:space="preserve">Go to </v>
      </c>
      <c r="M22" s="1104"/>
    </row>
    <row r="23" spans="2:13" x14ac:dyDescent="0.35">
      <c r="E23" s="1339" t="s">
        <v>2884</v>
      </c>
      <c r="F23" s="1101">
        <v>20</v>
      </c>
      <c r="G23" s="1102">
        <v>2.6820494117361402E-2</v>
      </c>
      <c r="H23" s="1102">
        <v>0.46441849236688587</v>
      </c>
      <c r="I23" s="1102">
        <v>2.3973244447377438E-2</v>
      </c>
      <c r="J23" s="1273">
        <v>2.3421886434415531</v>
      </c>
      <c r="K23" s="1111" t="str">
        <f ca="1">IF(E23&lt;&gt;"",_xlfn.XLOOKUP($F$10&amp;$E23,'Measure Summary'!$D:$D,'Measure Summary'!$A:$A,"",0,1))</f>
        <v/>
      </c>
      <c r="L23" s="1104" t="str">
        <f t="shared" ca="1" si="0"/>
        <v xml:space="preserve">Go to </v>
      </c>
      <c r="M23" s="1104"/>
    </row>
    <row r="24" spans="2:13" x14ac:dyDescent="0.35">
      <c r="E24" s="1339" t="s">
        <v>2885</v>
      </c>
      <c r="F24" s="1101">
        <v>10</v>
      </c>
      <c r="G24" s="1102">
        <v>5.7748882985131917</v>
      </c>
      <c r="H24" s="1102">
        <v>0.12605187217099484</v>
      </c>
      <c r="I24" s="1102">
        <v>9.7943242598376307E-3</v>
      </c>
      <c r="J24" s="1273">
        <v>1.2337327181669544</v>
      </c>
      <c r="K24" s="1111" t="str">
        <f ca="1">IF(E24&lt;&gt;"",_xlfn.XLOOKUP($F$10&amp;$E24,'Measure Summary'!$D:$D,'Measure Summary'!$A:$A,"",0,1))</f>
        <v/>
      </c>
      <c r="L24" s="1104" t="str">
        <f t="shared" ca="1" si="0"/>
        <v xml:space="preserve">Go to </v>
      </c>
      <c r="M24" s="1104"/>
    </row>
    <row r="25" spans="2:13" x14ac:dyDescent="0.35">
      <c r="E25" s="1339" t="s">
        <v>2886</v>
      </c>
      <c r="F25" s="1101">
        <v>15</v>
      </c>
      <c r="G25" s="1102">
        <v>74490</v>
      </c>
      <c r="H25" s="1102">
        <v>1888.6040033659515</v>
      </c>
      <c r="I25" s="1102">
        <v>139.88671472163935</v>
      </c>
      <c r="J25" s="1273">
        <v>16442.062803427078</v>
      </c>
      <c r="K25" s="1111" t="str">
        <f ca="1">IF(E25&lt;&gt;"",_xlfn.XLOOKUP($F$10&amp;$E25,'Measure Summary'!$D:$D,'Measure Summary'!$A:$A,"",0,1))</f>
        <v/>
      </c>
      <c r="L25" s="1104" t="str">
        <f t="shared" ca="1" si="0"/>
        <v xml:space="preserve">Go to </v>
      </c>
      <c r="M25" s="1104"/>
    </row>
    <row r="26" spans="2:13" x14ac:dyDescent="0.35">
      <c r="E26" s="1339" t="s">
        <v>2869</v>
      </c>
      <c r="F26" s="1101">
        <v>10</v>
      </c>
      <c r="G26" s="1102">
        <v>0</v>
      </c>
      <c r="H26" s="1102">
        <v>4.1159005733947991E-2</v>
      </c>
      <c r="I26" s="1102">
        <v>2.123269628797175E-3</v>
      </c>
      <c r="J26" s="1273">
        <v>0.23088905680379918</v>
      </c>
      <c r="K26" s="1111" t="str">
        <f ca="1">IF(E26&lt;&gt;"",_xlfn.XLOOKUP($F$10&amp;$E26,'Measure Summary'!$D:$D,'Measure Summary'!$A:$A,"",0,1))</f>
        <v/>
      </c>
      <c r="L26" s="1104" t="str">
        <f t="shared" ca="1" si="0"/>
        <v xml:space="preserve">Go to </v>
      </c>
      <c r="M26" s="1104"/>
    </row>
    <row r="27" spans="2:13" x14ac:dyDescent="0.35">
      <c r="E27" s="1339" t="s">
        <v>2887</v>
      </c>
      <c r="F27" s="1101">
        <v>9</v>
      </c>
      <c r="G27" s="1102">
        <v>135.65535424164523</v>
      </c>
      <c r="H27" s="1102">
        <v>-0.21467459808740355</v>
      </c>
      <c r="I27" s="1102">
        <v>6.624913342620288E-2</v>
      </c>
      <c r="J27" s="1273">
        <v>11.320410581421811</v>
      </c>
      <c r="K27" s="1111" t="str">
        <f ca="1">IF(E27&lt;&gt;"",_xlfn.XLOOKUP($F$10&amp;$E27,'Measure Summary'!$D:$D,'Measure Summary'!$A:$A,"",0,1))</f>
        <v/>
      </c>
      <c r="L27" s="1104" t="str">
        <f t="shared" ca="1" si="0"/>
        <v xml:space="preserve">Go to </v>
      </c>
      <c r="M27" s="1104"/>
    </row>
    <row r="28" spans="2:13" x14ac:dyDescent="0.35">
      <c r="E28" s="1339" t="s">
        <v>2888</v>
      </c>
      <c r="F28" s="1101">
        <v>40</v>
      </c>
      <c r="G28" s="1102">
        <v>0</v>
      </c>
      <c r="H28" s="1102">
        <v>252.78448195339269</v>
      </c>
      <c r="I28" s="1102">
        <v>13.040393070529669</v>
      </c>
      <c r="J28" s="1273">
        <v>1273.7088268944331</v>
      </c>
      <c r="K28" s="1111" t="str">
        <f ca="1">IF(E28&lt;&gt;"",_xlfn.XLOOKUP($F$10&amp;$E28,'Measure Summary'!$D:$D,'Measure Summary'!$A:$A,"",0,1))</f>
        <v/>
      </c>
      <c r="L28" s="1104" t="str">
        <f t="shared" ca="1" si="0"/>
        <v xml:space="preserve">Go to </v>
      </c>
      <c r="M28" s="1104"/>
    </row>
    <row r="29" spans="2:13" x14ac:dyDescent="0.35">
      <c r="E29" s="1254" t="s">
        <v>2866</v>
      </c>
      <c r="F29" s="1101">
        <v>6</v>
      </c>
      <c r="G29" s="1102">
        <v>4651.4657313700682</v>
      </c>
      <c r="H29" s="1102">
        <v>0</v>
      </c>
      <c r="I29" s="1102">
        <v>2.6513354668809388</v>
      </c>
      <c r="J29" s="1273">
        <v>443.29848662486336</v>
      </c>
      <c r="K29" s="1111" t="str">
        <f ca="1">IF(E29&lt;&gt;"",_xlfn.XLOOKUP($F$10&amp;$E29,'Measure Summary'!$D:$D,'Measure Summary'!$A:$A,"",0,1))</f>
        <v/>
      </c>
      <c r="L29" s="1104" t="str">
        <f t="shared" ca="1" si="0"/>
        <v xml:space="preserve">Go to </v>
      </c>
      <c r="M29" s="1104"/>
    </row>
    <row r="30" spans="2:13" x14ac:dyDescent="0.35">
      <c r="E30" s="1339" t="s">
        <v>2889</v>
      </c>
      <c r="F30" s="1101">
        <v>13</v>
      </c>
      <c r="G30" s="1102">
        <v>44772</v>
      </c>
      <c r="H30" s="1102">
        <v>0</v>
      </c>
      <c r="I30" s="1102">
        <v>25.520039999999998</v>
      </c>
      <c r="J30" s="1273">
        <v>3915.8190485219334</v>
      </c>
      <c r="K30" s="1111" t="str">
        <f ca="1">IF(E30&lt;&gt;"",_xlfn.XLOOKUP($F$10&amp;$E30,'Measure Summary'!$D:$D,'Measure Summary'!$A:$A,"",0,1))</f>
        <v/>
      </c>
      <c r="L30" s="1104" t="str">
        <f t="shared" ca="1" si="0"/>
        <v xml:space="preserve">Go to </v>
      </c>
      <c r="M30" s="1104"/>
    </row>
    <row r="31" spans="2:13" x14ac:dyDescent="0.35">
      <c r="E31" s="1339" t="s">
        <v>2890</v>
      </c>
      <c r="F31" s="1101">
        <v>30</v>
      </c>
      <c r="G31" s="1102">
        <v>1726.3854432164053</v>
      </c>
      <c r="H31" s="1102">
        <v>-3.0318632280053324</v>
      </c>
      <c r="I31" s="1102">
        <v>0.82763497429023991</v>
      </c>
      <c r="J31" s="1273">
        <v>130.41367046748087</v>
      </c>
      <c r="K31" s="1111" t="str">
        <f ca="1">IF(E31&lt;&gt;"",_xlfn.XLOOKUP($F$10&amp;$E31,'Measure Summary'!$D:$D,'Measure Summary'!$A:$A,"",0,1))</f>
        <v/>
      </c>
      <c r="L31" s="1104" t="str">
        <f t="shared" ca="1" si="0"/>
        <v xml:space="preserve">Go to </v>
      </c>
      <c r="M31" s="1104"/>
    </row>
    <row r="32" spans="2:13" x14ac:dyDescent="0.35">
      <c r="E32" s="1254" t="s">
        <v>2867</v>
      </c>
      <c r="F32" s="1101">
        <v>18</v>
      </c>
      <c r="G32" s="1102">
        <v>0</v>
      </c>
      <c r="H32" s="1102">
        <v>0</v>
      </c>
      <c r="I32" s="1102">
        <v>0</v>
      </c>
      <c r="J32" s="1273">
        <v>0</v>
      </c>
      <c r="K32" s="1111" t="str">
        <f ca="1">IF(E32&lt;&gt;"",_xlfn.XLOOKUP($F$10&amp;$E32,'Measure Summary'!$D:$D,'Measure Summary'!$A:$A,"",0,1))</f>
        <v/>
      </c>
      <c r="L32" s="1104" t="str">
        <f t="shared" ca="1" si="0"/>
        <v xml:space="preserve">Go to </v>
      </c>
      <c r="M32" s="1104"/>
    </row>
    <row r="33" spans="5:13" x14ac:dyDescent="0.35">
      <c r="E33" s="1339" t="s">
        <v>2891</v>
      </c>
      <c r="F33" s="1101">
        <v>15</v>
      </c>
      <c r="G33" s="1102">
        <v>41279.401259475526</v>
      </c>
      <c r="H33" s="1102">
        <v>-73.637216849817179</v>
      </c>
      <c r="I33" s="1102">
        <v>19.730535612269527</v>
      </c>
      <c r="J33" s="1273">
        <v>3112.1864396460128</v>
      </c>
      <c r="K33" s="1111" t="str">
        <f ca="1">IF(E33&lt;&gt;"",_xlfn.XLOOKUP($F$10&amp;$E33,'Measure Summary'!$D:$D,'Measure Summary'!$A:$A,"",0,1))</f>
        <v/>
      </c>
      <c r="L33" s="1104" t="str">
        <f t="shared" ca="1" si="0"/>
        <v xml:space="preserve">Go to </v>
      </c>
      <c r="M33" s="1104"/>
    </row>
    <row r="34" spans="5:13" x14ac:dyDescent="0.35">
      <c r="E34" s="1254" t="s">
        <v>2868</v>
      </c>
      <c r="F34" s="1101">
        <v>16</v>
      </c>
      <c r="G34" s="1102">
        <v>1048.2028126394962</v>
      </c>
      <c r="H34" s="1102">
        <v>0</v>
      </c>
      <c r="I34" s="1102">
        <v>0.59747560320451276</v>
      </c>
      <c r="J34" s="1273">
        <v>87.740169427199461</v>
      </c>
      <c r="K34" s="1111" t="str">
        <f ca="1">IF(E34&lt;&gt;"",_xlfn.XLOOKUP($F$10&amp;$E34,'Measure Summary'!$D:$D,'Measure Summary'!$A:$A,"",0,1))</f>
        <v/>
      </c>
      <c r="L34" s="1104" t="str">
        <f t="shared" ca="1" si="0"/>
        <v xml:space="preserve">Go to </v>
      </c>
      <c r="M34" s="1104"/>
    </row>
    <row r="35" spans="5:13" x14ac:dyDescent="0.35">
      <c r="E35" s="1339" t="s">
        <v>2892</v>
      </c>
      <c r="F35" s="1101">
        <v>18</v>
      </c>
      <c r="G35" s="1102">
        <v>382.19281119150332</v>
      </c>
      <c r="H35" s="1102">
        <v>0</v>
      </c>
      <c r="I35" s="1102">
        <v>0.21784990237915688</v>
      </c>
      <c r="J35" s="1273">
        <v>31.058740630506918</v>
      </c>
      <c r="K35" s="1111" t="str">
        <f ca="1">IF(E35&lt;&gt;"",_xlfn.XLOOKUP($F$10&amp;$E35,'Measure Summary'!$D:$D,'Measure Summary'!$A:$A,"",0,1))</f>
        <v/>
      </c>
      <c r="L35" s="1104" t="str">
        <f t="shared" ca="1" si="0"/>
        <v xml:space="preserve">Go to </v>
      </c>
      <c r="M35" s="1104"/>
    </row>
    <row r="36" spans="5:13" x14ac:dyDescent="0.35">
      <c r="E36" s="1339" t="s">
        <v>2893</v>
      </c>
      <c r="F36" s="1101">
        <v>12</v>
      </c>
      <c r="G36" s="1102">
        <v>39660</v>
      </c>
      <c r="H36" s="1102">
        <v>0</v>
      </c>
      <c r="I36" s="1102">
        <v>22.606200000000001</v>
      </c>
      <c r="J36" s="1273">
        <v>3518.9624866504259</v>
      </c>
      <c r="K36" s="1111" t="str">
        <f ca="1">IF(E36&lt;&gt;"",_xlfn.XLOOKUP($F$10&amp;$E36,'Measure Summary'!$D:$D,'Measure Summary'!$A:$A,"",0,1))</f>
        <v/>
      </c>
      <c r="L36" s="1104" t="str">
        <f t="shared" ca="1" si="0"/>
        <v xml:space="preserve">Go to </v>
      </c>
      <c r="M36" s="1104"/>
    </row>
    <row r="37" spans="5:13" x14ac:dyDescent="0.35">
      <c r="E37" s="1339" t="s">
        <v>2894</v>
      </c>
      <c r="F37" s="1101">
        <v>12</v>
      </c>
      <c r="G37" s="1102">
        <v>10080</v>
      </c>
      <c r="H37" s="1102">
        <v>0</v>
      </c>
      <c r="I37" s="1102">
        <v>5.7455999999999996</v>
      </c>
      <c r="J37" s="1273">
        <v>894.38078329390544</v>
      </c>
      <c r="K37" s="1111" t="str">
        <f ca="1">IF(E37&lt;&gt;"",_xlfn.XLOOKUP($F$10&amp;$E37,'Measure Summary'!$D:$D,'Measure Summary'!$A:$A,"",0,1))</f>
        <v/>
      </c>
      <c r="L37" s="1104" t="str">
        <f t="shared" ca="1" si="0"/>
        <v xml:space="preserve">Go to </v>
      </c>
      <c r="M37" s="1104"/>
    </row>
    <row r="38" spans="5:13" x14ac:dyDescent="0.35">
      <c r="E38" s="1339" t="s">
        <v>2895</v>
      </c>
      <c r="F38" s="1101">
        <v>23</v>
      </c>
      <c r="G38" s="1102">
        <v>1410.619807193586</v>
      </c>
      <c r="H38" s="1102">
        <v>0</v>
      </c>
      <c r="I38" s="1102">
        <v>0.80405329010034399</v>
      </c>
      <c r="J38" s="1273">
        <v>106.58850484340418</v>
      </c>
      <c r="K38" s="1111" t="str">
        <f ca="1">IF(E38&lt;&gt;"",_xlfn.XLOOKUP($F$10&amp;$E38,'Measure Summary'!$D:$D,'Measure Summary'!$A:$A,"",0,1))</f>
        <v/>
      </c>
      <c r="L38" s="1104" t="str">
        <f t="shared" ca="1" si="0"/>
        <v xml:space="preserve">Go to </v>
      </c>
      <c r="M38" s="1104"/>
    </row>
    <row r="39" spans="5:13" x14ac:dyDescent="0.35">
      <c r="E39" s="1339" t="s">
        <v>2870</v>
      </c>
      <c r="F39" s="1101">
        <v>15</v>
      </c>
      <c r="G39" s="1102">
        <v>32413.231501015962</v>
      </c>
      <c r="H39" s="1102">
        <v>0</v>
      </c>
      <c r="I39" s="1102">
        <v>18.475541955579097</v>
      </c>
      <c r="J39" s="1273">
        <v>2753.3972362597483</v>
      </c>
      <c r="K39" s="1111" t="str">
        <f ca="1">IF(E39&lt;&gt;"",_xlfn.XLOOKUP($F$10&amp;$E39,'Measure Summary'!$D:$D,'Measure Summary'!$A:$A,"",0,1))</f>
        <v/>
      </c>
      <c r="L39" s="1104" t="str">
        <f t="shared" ca="1" si="0"/>
        <v xml:space="preserve">Go to </v>
      </c>
      <c r="M39" s="1104"/>
    </row>
    <row r="40" spans="5:13" x14ac:dyDescent="0.35">
      <c r="E40" s="1339" t="s">
        <v>2896</v>
      </c>
      <c r="F40" s="1101">
        <v>10</v>
      </c>
      <c r="G40" s="1102">
        <v>3394.3485000000001</v>
      </c>
      <c r="H40" s="1102">
        <v>0</v>
      </c>
      <c r="I40" s="1102">
        <v>1.9347786449999997</v>
      </c>
      <c r="J40" s="1273">
        <v>309.53614044915258</v>
      </c>
      <c r="K40" s="1111" t="str">
        <f ca="1">IF(E40&lt;&gt;"",_xlfn.XLOOKUP($F$10&amp;$E40,'Measure Summary'!$D:$D,'Measure Summary'!$A:$A,"",0,1))</f>
        <v/>
      </c>
      <c r="L40" s="1104" t="str">
        <f t="shared" ca="1" si="0"/>
        <v xml:space="preserve">Go to </v>
      </c>
      <c r="M40" s="1104"/>
    </row>
    <row r="41" spans="5:13" x14ac:dyDescent="0.35">
      <c r="E41" s="1339" t="s">
        <v>2897</v>
      </c>
      <c r="F41" s="1101">
        <v>10</v>
      </c>
      <c r="G41" s="1102">
        <v>3570.1725200000001</v>
      </c>
      <c r="H41" s="1102">
        <v>0</v>
      </c>
      <c r="I41" s="1102">
        <v>2.0349983363999997</v>
      </c>
      <c r="J41" s="1273">
        <v>325.56981776574355</v>
      </c>
      <c r="K41" s="1111" t="str">
        <f ca="1">IF(E41&lt;&gt;"",_xlfn.XLOOKUP($F$10&amp;$E41,'Measure Summary'!$D:$D,'Measure Summary'!$A:$A,"",0,1))</f>
        <v/>
      </c>
      <c r="L41" s="1104" t="str">
        <f t="shared" ca="1" si="0"/>
        <v xml:space="preserve">Go to </v>
      </c>
      <c r="M41" s="1104"/>
    </row>
    <row r="42" spans="5:13" x14ac:dyDescent="0.35">
      <c r="E42" s="1254" t="s">
        <v>2846</v>
      </c>
      <c r="F42" s="1101">
        <v>50</v>
      </c>
      <c r="G42" s="1102">
        <v>0</v>
      </c>
      <c r="H42" s="1102">
        <v>431.5602986084179</v>
      </c>
      <c r="I42" s="1102">
        <v>22.262901124312453</v>
      </c>
      <c r="J42" s="1273">
        <v>2037.0035398000186</v>
      </c>
      <c r="K42" s="1111" t="str">
        <f ca="1">IF(E42&lt;&gt;"",_xlfn.XLOOKUP($F$10&amp;$E42,'Measure Summary'!$D:$D,'Measure Summary'!$A:$A,"",0,1))</f>
        <v/>
      </c>
      <c r="L42" s="1104" t="str">
        <f t="shared" ca="1" si="0"/>
        <v xml:space="preserve">Go to </v>
      </c>
      <c r="M42" s="1104"/>
    </row>
    <row r="43" spans="5:13" x14ac:dyDescent="0.35">
      <c r="E43" s="1254" t="s">
        <v>2847</v>
      </c>
      <c r="F43" s="1101">
        <v>37</v>
      </c>
      <c r="G43" s="1102">
        <v>0</v>
      </c>
      <c r="H43" s="1102">
        <v>13.019175562934279</v>
      </c>
      <c r="I43" s="1102">
        <v>0.67162020976509063</v>
      </c>
      <c r="J43" s="1273">
        <v>66.773860382704569</v>
      </c>
      <c r="K43" s="1111" t="str">
        <f ca="1">IF(E43&lt;&gt;"",_xlfn.XLOOKUP($F$10&amp;$E43,'Measure Summary'!$D:$D,'Measure Summary'!$A:$A,"",0,1))</f>
        <v/>
      </c>
      <c r="L43" s="1104" t="str">
        <f t="shared" ca="1" si="0"/>
        <v xml:space="preserve">Go to </v>
      </c>
      <c r="M43" s="1104"/>
    </row>
    <row r="44" spans="5:13" x14ac:dyDescent="0.35">
      <c r="E44" s="1339" t="s">
        <v>2871</v>
      </c>
      <c r="F44" s="1101">
        <v>15</v>
      </c>
      <c r="G44" s="1102">
        <v>-1.2574823943661972</v>
      </c>
      <c r="H44" s="1102">
        <v>0.35026157358983384</v>
      </c>
      <c r="I44" s="1102">
        <v>1.7352178831990025E-2</v>
      </c>
      <c r="J44" s="1273">
        <v>1.7690001860987934</v>
      </c>
      <c r="K44" s="1111" t="str">
        <f ca="1">IF(E44&lt;&gt;"",_xlfn.XLOOKUP($F$10&amp;$E44,'Measure Summary'!$D:$D,'Measure Summary'!$A:$A,"",0,1))</f>
        <v/>
      </c>
      <c r="L44" s="1104" t="str">
        <f t="shared" ca="1" si="0"/>
        <v xml:space="preserve">Go to </v>
      </c>
      <c r="M44" s="1104"/>
    </row>
    <row r="45" spans="5:13" x14ac:dyDescent="0.35">
      <c r="E45" s="1339" t="s">
        <v>2898</v>
      </c>
      <c r="F45" s="1101">
        <v>15</v>
      </c>
      <c r="G45" s="1102">
        <v>0</v>
      </c>
      <c r="H45" s="1102">
        <v>262.28373502283654</v>
      </c>
      <c r="I45" s="1102">
        <v>13.530431038623069</v>
      </c>
      <c r="J45" s="1273">
        <v>1404.6555374731017</v>
      </c>
      <c r="K45" s="1111" t="str">
        <f ca="1">IF(E45&lt;&gt;"",_xlfn.XLOOKUP($F$10&amp;$E45,'Measure Summary'!$D:$D,'Measure Summary'!$A:$A,"",0,1))</f>
        <v/>
      </c>
      <c r="L45" s="1104" t="str">
        <f t="shared" ref="L45:L76" ca="1" si="1">IF(K45&lt;&gt;FALSE,HYPERLINK("#'"&amp;K45&amp;"'!A1","Go to "&amp;K45),"")</f>
        <v xml:space="preserve">Go to </v>
      </c>
      <c r="M45" s="1104"/>
    </row>
    <row r="46" spans="5:13" x14ac:dyDescent="0.35">
      <c r="E46" s="1339" t="s">
        <v>2872</v>
      </c>
      <c r="F46" s="1101">
        <v>12</v>
      </c>
      <c r="G46" s="1102">
        <v>0</v>
      </c>
      <c r="H46" s="1102">
        <v>3.1900937273134291</v>
      </c>
      <c r="I46" s="1102">
        <v>0.16456736511091785</v>
      </c>
      <c r="J46" s="1273">
        <v>17.624104957135678</v>
      </c>
      <c r="K46" s="1111" t="str">
        <f ca="1">IF(E46&lt;&gt;"",_xlfn.XLOOKUP($F$10&amp;$E46,'Measure Summary'!$D:$D,'Measure Summary'!$A:$A,"",0,1))</f>
        <v/>
      </c>
      <c r="L46" s="1104" t="str">
        <f t="shared" ca="1" si="1"/>
        <v xml:space="preserve">Go to </v>
      </c>
      <c r="M46" s="1104"/>
    </row>
    <row r="47" spans="5:13" x14ac:dyDescent="0.35">
      <c r="E47" s="1339" t="s">
        <v>2899</v>
      </c>
      <c r="F47" s="1101">
        <v>5</v>
      </c>
      <c r="G47" s="1102">
        <v>0</v>
      </c>
      <c r="H47" s="1102">
        <v>157.4225846345455</v>
      </c>
      <c r="I47" s="1102">
        <v>8.1209588735422997</v>
      </c>
      <c r="J47" s="1273">
        <v>901.68128366809515</v>
      </c>
      <c r="K47" s="1111" t="str">
        <f ca="1">IF(E47&lt;&gt;"",_xlfn.XLOOKUP($F$10&amp;$E47,'Measure Summary'!$D:$D,'Measure Summary'!$A:$A,"",0,1))</f>
        <v/>
      </c>
      <c r="L47" s="1104" t="str">
        <f t="shared" ca="1" si="1"/>
        <v xml:space="preserve">Go to </v>
      </c>
      <c r="M47" s="1104"/>
    </row>
    <row r="48" spans="5:13" x14ac:dyDescent="0.35">
      <c r="E48" s="1339" t="s">
        <v>2900</v>
      </c>
      <c r="F48" s="1101">
        <v>15</v>
      </c>
      <c r="G48" s="1102">
        <v>281.52070278988202</v>
      </c>
      <c r="H48" s="1102">
        <v>0</v>
      </c>
      <c r="I48" s="1102">
        <v>0.16046680059023277</v>
      </c>
      <c r="J48" s="1273">
        <v>23.914256281027306</v>
      </c>
      <c r="K48" s="1111" t="str">
        <f ca="1">IF(E48&lt;&gt;"",_xlfn.XLOOKUP($F$10&amp;$E48,'Measure Summary'!$D:$D,'Measure Summary'!$A:$A,"",0,1))</f>
        <v/>
      </c>
      <c r="L48" s="1104" t="str">
        <f t="shared" ca="1" si="1"/>
        <v xml:space="preserve">Go to </v>
      </c>
      <c r="M48" s="1104"/>
    </row>
    <row r="49" spans="5:13" x14ac:dyDescent="0.35">
      <c r="E49" s="1339" t="s">
        <v>2901</v>
      </c>
      <c r="F49" s="1101">
        <v>15</v>
      </c>
      <c r="G49" s="1102">
        <v>0</v>
      </c>
      <c r="H49" s="1102">
        <v>0</v>
      </c>
      <c r="I49" s="1102">
        <v>0</v>
      </c>
      <c r="J49" s="1273">
        <v>0</v>
      </c>
      <c r="K49" s="1111" t="str">
        <f ca="1">IF(E49&lt;&gt;"",_xlfn.XLOOKUP($F$10&amp;$E49,'Measure Summary'!$D:$D,'Measure Summary'!$A:$A,"",0,1))</f>
        <v/>
      </c>
      <c r="L49" s="1104" t="str">
        <f t="shared" ca="1" si="1"/>
        <v xml:space="preserve">Go to </v>
      </c>
      <c r="M49" s="1104"/>
    </row>
    <row r="50" spans="5:13" x14ac:dyDescent="0.35">
      <c r="E50" s="1339" t="s">
        <v>2902</v>
      </c>
      <c r="F50" s="1101">
        <v>18</v>
      </c>
      <c r="G50" s="1102">
        <v>2545.4406400000003</v>
      </c>
      <c r="H50" s="1102">
        <v>-6.4271579903999996</v>
      </c>
      <c r="I50" s="1102">
        <v>1.1193433655492351</v>
      </c>
      <c r="J50" s="1273">
        <v>197.07305065024025</v>
      </c>
      <c r="K50" s="1111" t="str">
        <f ca="1">IF(E50&lt;&gt;"",_xlfn.XLOOKUP($F$10&amp;$E50,'Measure Summary'!$D:$D,'Measure Summary'!$A:$A,"",0,1))</f>
        <v/>
      </c>
      <c r="L50" s="1104" t="str">
        <f t="shared" ca="1" si="1"/>
        <v xml:space="preserve">Go to </v>
      </c>
      <c r="M50" s="1104"/>
    </row>
    <row r="51" spans="5:13" x14ac:dyDescent="0.35">
      <c r="E51" s="1339" t="s">
        <v>2903</v>
      </c>
      <c r="F51" s="1101">
        <v>5</v>
      </c>
      <c r="G51" s="1102">
        <v>872.21699999999987</v>
      </c>
      <c r="H51" s="1102">
        <v>-1.3802834024999997</v>
      </c>
      <c r="I51" s="1102">
        <v>0.42595901011523241</v>
      </c>
      <c r="J51" s="1273">
        <v>76.82584153345806</v>
      </c>
      <c r="K51" s="1111" t="str">
        <f ca="1">IF(E51&lt;&gt;"",_xlfn.XLOOKUP($F$10&amp;$E51,'Measure Summary'!$D:$D,'Measure Summary'!$A:$A,"",0,1))</f>
        <v/>
      </c>
      <c r="L51" s="1104" t="str">
        <f t="shared" ca="1" si="1"/>
        <v xml:space="preserve">Go to </v>
      </c>
      <c r="M51" s="1104"/>
    </row>
    <row r="52" spans="5:13" x14ac:dyDescent="0.35">
      <c r="E52" s="1339" t="s">
        <v>2904</v>
      </c>
      <c r="F52" s="1101">
        <v>15</v>
      </c>
      <c r="G52" s="1102">
        <v>565.70770432084146</v>
      </c>
      <c r="H52" s="1102">
        <v>-1.1153284079484138</v>
      </c>
      <c r="I52" s="1102">
        <v>0.26491694488204476</v>
      </c>
      <c r="J52" s="1273">
        <v>42.081885852691826</v>
      </c>
      <c r="K52" s="1111" t="str">
        <f ca="1">IF(E52&lt;&gt;"",_xlfn.XLOOKUP($F$10&amp;$E52,'Measure Summary'!$D:$D,'Measure Summary'!$A:$A,"",0,1))</f>
        <v/>
      </c>
      <c r="L52" s="1104" t="str">
        <f t="shared" ca="1" si="1"/>
        <v xml:space="preserve">Go to </v>
      </c>
      <c r="M52" s="1104"/>
    </row>
    <row r="53" spans="5:13" x14ac:dyDescent="0.35">
      <c r="E53" s="1339" t="s">
        <v>2905</v>
      </c>
      <c r="F53" s="1101">
        <v>9</v>
      </c>
      <c r="G53" s="1102">
        <v>404.8087572681784</v>
      </c>
      <c r="H53" s="1102">
        <v>-0.64060985837689244</v>
      </c>
      <c r="I53" s="1102">
        <v>0.19769385087877295</v>
      </c>
      <c r="J53" s="1273">
        <v>33.781205060788345</v>
      </c>
      <c r="K53" s="1111" t="str">
        <f ca="1">IF(E53&lt;&gt;"",_xlfn.XLOOKUP($F$10&amp;$E53,'Measure Summary'!$D:$D,'Measure Summary'!$A:$A,"",0,1))</f>
        <v/>
      </c>
      <c r="L53" s="1104" t="str">
        <f t="shared" ca="1" si="1"/>
        <v xml:space="preserve">Go to </v>
      </c>
      <c r="M53" s="1104"/>
    </row>
    <row r="54" spans="5:13" x14ac:dyDescent="0.35">
      <c r="E54" s="1339" t="s">
        <v>2906</v>
      </c>
      <c r="F54" s="1101">
        <v>15</v>
      </c>
      <c r="G54" s="1102">
        <v>9840</v>
      </c>
      <c r="H54" s="1102">
        <v>86.325374999999994</v>
      </c>
      <c r="I54" s="1102">
        <v>10.062067120124999</v>
      </c>
      <c r="J54" s="1273">
        <v>1298.1894822048978</v>
      </c>
      <c r="K54" s="1111" t="str">
        <f ca="1">IF(E54&lt;&gt;"",_xlfn.XLOOKUP($F$10&amp;$E54,'Measure Summary'!$D:$D,'Measure Summary'!$A:$A,"",0,1))</f>
        <v/>
      </c>
      <c r="L54" s="1104" t="str">
        <f t="shared" ca="1" si="1"/>
        <v xml:space="preserve">Go to </v>
      </c>
      <c r="M54" s="1104"/>
    </row>
    <row r="55" spans="5:13" x14ac:dyDescent="0.35">
      <c r="E55" s="1339" t="s">
        <v>2907</v>
      </c>
      <c r="F55" s="1101">
        <v>15</v>
      </c>
      <c r="G55" s="1102">
        <v>11302.467495615945</v>
      </c>
      <c r="H55" s="1102">
        <v>-17.886154811812233</v>
      </c>
      <c r="I55" s="1102">
        <v>5.5197134042241309</v>
      </c>
      <c r="J55" s="1273">
        <v>864.31841898594882</v>
      </c>
      <c r="K55" s="1111" t="str">
        <f ca="1">IF(E55&lt;&gt;"",_xlfn.XLOOKUP($F$10&amp;$E55,'Measure Summary'!$D:$D,'Measure Summary'!$A:$A,"",0,1))</f>
        <v/>
      </c>
      <c r="L55" s="1104" t="str">
        <f t="shared" ca="1" si="1"/>
        <v xml:space="preserve">Go to </v>
      </c>
      <c r="M55" s="1104"/>
    </row>
    <row r="56" spans="5:13" x14ac:dyDescent="0.35">
      <c r="E56" s="1339" t="s">
        <v>2908</v>
      </c>
      <c r="F56" s="1101">
        <v>8</v>
      </c>
      <c r="G56" s="1102">
        <v>805.90255999999988</v>
      </c>
      <c r="H56" s="1102">
        <v>0</v>
      </c>
      <c r="I56" s="1102">
        <v>0.45936445919999991</v>
      </c>
      <c r="J56" s="1273">
        <v>75.313554547114549</v>
      </c>
      <c r="K56" s="1111" t="str">
        <f ca="1">IF(E56&lt;&gt;"",_xlfn.XLOOKUP($F$10&amp;$E56,'Measure Summary'!$D:$D,'Measure Summary'!$A:$A,"",0,1))</f>
        <v/>
      </c>
      <c r="L56" s="1104" t="str">
        <f t="shared" ca="1" si="1"/>
        <v xml:space="preserve">Go to </v>
      </c>
      <c r="M56" s="1104"/>
    </row>
    <row r="57" spans="5:13" x14ac:dyDescent="0.35">
      <c r="E57" s="1254" t="s">
        <v>2848</v>
      </c>
      <c r="F57" s="1101">
        <v>33</v>
      </c>
      <c r="G57" s="1102">
        <v>0</v>
      </c>
      <c r="H57" s="1102">
        <v>0.63311088648072489</v>
      </c>
      <c r="I57" s="1102">
        <v>3.2660291300881154E-2</v>
      </c>
      <c r="J57" s="1273">
        <v>3.3906132702137421</v>
      </c>
      <c r="K57" s="1111" t="str">
        <f ca="1">IF(E57&lt;&gt;"",_xlfn.XLOOKUP($F$10&amp;$E57,'Measure Summary'!$D:$D,'Measure Summary'!$A:$A,"",0,1))</f>
        <v/>
      </c>
      <c r="L57" s="1104" t="str">
        <f t="shared" ca="1" si="1"/>
        <v xml:space="preserve">Go to </v>
      </c>
      <c r="M57" s="1104"/>
    </row>
    <row r="58" spans="5:13" x14ac:dyDescent="0.35">
      <c r="E58" s="1339" t="s">
        <v>2909</v>
      </c>
      <c r="F58" s="1101">
        <v>15</v>
      </c>
      <c r="G58" s="1102">
        <v>21119.823059594972</v>
      </c>
      <c r="H58" s="1102">
        <v>0</v>
      </c>
      <c r="I58" s="1102">
        <v>12.038299143969134</v>
      </c>
      <c r="J58" s="1273">
        <v>1794.05939333019</v>
      </c>
      <c r="K58" s="1111" t="str">
        <f ca="1">IF(E58&lt;&gt;"",_xlfn.XLOOKUP($F$10&amp;$E58,'Measure Summary'!$D:$D,'Measure Summary'!$A:$A,"",0,1))</f>
        <v/>
      </c>
      <c r="L58" s="1104" t="str">
        <f t="shared" ca="1" si="1"/>
        <v xml:space="preserve">Go to </v>
      </c>
      <c r="M58" s="1104"/>
    </row>
    <row r="59" spans="5:13" x14ac:dyDescent="0.35">
      <c r="E59" s="1339" t="s">
        <v>2910</v>
      </c>
      <c r="F59" s="1101">
        <v>10</v>
      </c>
      <c r="G59" s="1102">
        <v>4032.31925</v>
      </c>
      <c r="H59" s="1102">
        <v>0</v>
      </c>
      <c r="I59" s="1102">
        <v>2.2984219724999999</v>
      </c>
      <c r="J59" s="1273">
        <v>367.71372700941629</v>
      </c>
      <c r="K59" s="1111" t="str">
        <f ca="1">IF(E59&lt;&gt;"",_xlfn.XLOOKUP($F$10&amp;$E59,'Measure Summary'!$D:$D,'Measure Summary'!$A:$A,"",0,1))</f>
        <v/>
      </c>
      <c r="L59" s="1104" t="str">
        <f t="shared" ca="1" si="1"/>
        <v xml:space="preserve">Go to </v>
      </c>
      <c r="M59" s="1104"/>
    </row>
    <row r="60" spans="5:13" x14ac:dyDescent="0.35">
      <c r="E60" s="1339" t="s">
        <v>2911</v>
      </c>
      <c r="F60" s="1101">
        <v>11</v>
      </c>
      <c r="G60" s="1102">
        <v>0</v>
      </c>
      <c r="H60" s="1102">
        <v>3.0024411551185222</v>
      </c>
      <c r="I60" s="1102">
        <v>0.15488693186909921</v>
      </c>
      <c r="J60" s="1273">
        <v>16.716623594523213</v>
      </c>
      <c r="K60" s="1111" t="str">
        <f ca="1">IF(E60&lt;&gt;"",_xlfn.XLOOKUP($F$10&amp;$E60,'Measure Summary'!$D:$D,'Measure Summary'!$A:$A,"",0,1))</f>
        <v/>
      </c>
      <c r="L60" s="1104" t="str">
        <f t="shared" ca="1" si="1"/>
        <v xml:space="preserve">Go to </v>
      </c>
      <c r="M60" s="1104"/>
    </row>
    <row r="61" spans="5:13" x14ac:dyDescent="0.35">
      <c r="E61" s="1339" t="s">
        <v>2912</v>
      </c>
      <c r="F61" s="1101">
        <v>20</v>
      </c>
      <c r="G61" s="1102">
        <v>1.9543911196315909E-2</v>
      </c>
      <c r="H61" s="1102">
        <v>0.338418588898029</v>
      </c>
      <c r="I61" s="1102">
        <v>1.7469139774864525E-2</v>
      </c>
      <c r="J61" s="1273">
        <v>1.7067368950078361</v>
      </c>
      <c r="K61" s="1111" t="str">
        <f ca="1">IF(E61&lt;&gt;"",_xlfn.XLOOKUP($F$10&amp;$E61,'Measure Summary'!$D:$D,'Measure Summary'!$A:$A,"",0,1))</f>
        <v/>
      </c>
      <c r="L61" s="1104" t="str">
        <f t="shared" ca="1" si="1"/>
        <v xml:space="preserve">Go to </v>
      </c>
      <c r="M61" s="1104"/>
    </row>
    <row r="62" spans="5:13" x14ac:dyDescent="0.35">
      <c r="E62" s="1339" t="s">
        <v>2913</v>
      </c>
      <c r="F62" s="1101">
        <v>11</v>
      </c>
      <c r="G62" s="1102">
        <v>21.823316595380422</v>
      </c>
      <c r="H62" s="1102">
        <v>2.5020342959321025</v>
      </c>
      <c r="I62" s="1102">
        <v>0.14151173368361622</v>
      </c>
      <c r="J62" s="1273">
        <v>15.893448322315402</v>
      </c>
      <c r="K62" s="1111" t="str">
        <f ca="1">IF(E62&lt;&gt;"",_xlfn.XLOOKUP($F$10&amp;$E62,'Measure Summary'!$D:$D,'Measure Summary'!$A:$A,"",0,1))</f>
        <v/>
      </c>
      <c r="L62" s="1104" t="str">
        <f t="shared" ca="1" si="1"/>
        <v xml:space="preserve">Go to </v>
      </c>
      <c r="M62" s="1104"/>
    </row>
    <row r="63" spans="5:13" x14ac:dyDescent="0.35">
      <c r="E63" s="1339" t="s">
        <v>2914</v>
      </c>
      <c r="F63" s="1101">
        <v>4</v>
      </c>
      <c r="G63" s="1102">
        <v>214.66666666666666</v>
      </c>
      <c r="H63" s="1102">
        <v>0</v>
      </c>
      <c r="I63" s="1102">
        <v>0.12236</v>
      </c>
      <c r="J63" s="1273">
        <v>21.2433691946508</v>
      </c>
      <c r="K63" s="1111" t="str">
        <f ca="1">IF(E63&lt;&gt;"",_xlfn.XLOOKUP($F$10&amp;$E63,'Measure Summary'!$D:$D,'Measure Summary'!$A:$A,"",0,1))</f>
        <v/>
      </c>
      <c r="L63" s="1104" t="str">
        <f t="shared" ca="1" si="1"/>
        <v xml:space="preserve">Go to </v>
      </c>
      <c r="M63" s="1104"/>
    </row>
    <row r="64" spans="5:13" x14ac:dyDescent="0.35">
      <c r="E64" s="1339" t="s">
        <v>2915</v>
      </c>
      <c r="F64" s="1101">
        <v>4</v>
      </c>
      <c r="G64" s="1102">
        <v>514</v>
      </c>
      <c r="H64" s="1102">
        <v>0</v>
      </c>
      <c r="I64" s="1102">
        <v>0.29297999999999996</v>
      </c>
      <c r="J64" s="1273">
        <v>50.865334313899901</v>
      </c>
      <c r="K64" s="1111" t="str">
        <f ca="1">IF(E64&lt;&gt;"",_xlfn.XLOOKUP($F$10&amp;$E64,'Measure Summary'!$D:$D,'Measure Summary'!$A:$A,"",0,1))</f>
        <v/>
      </c>
      <c r="L64" s="1104" t="str">
        <f t="shared" ca="1" si="1"/>
        <v xml:space="preserve">Go to </v>
      </c>
      <c r="M64" s="1104"/>
    </row>
    <row r="65" spans="5:13" x14ac:dyDescent="0.35">
      <c r="E65" s="1339" t="s">
        <v>2916</v>
      </c>
      <c r="F65" s="1101">
        <v>33</v>
      </c>
      <c r="G65" s="1102">
        <v>0</v>
      </c>
      <c r="H65" s="1102">
        <v>197.0319257591479</v>
      </c>
      <c r="I65" s="1102">
        <v>10.164285954137164</v>
      </c>
      <c r="J65" s="1273">
        <v>1045.4330542988287</v>
      </c>
      <c r="K65" s="1111" t="str">
        <f ca="1">IF(E65&lt;&gt;"",_xlfn.XLOOKUP($F$10&amp;$E65,'Measure Summary'!$D:$D,'Measure Summary'!$A:$A,"",0,1))</f>
        <v/>
      </c>
      <c r="L65" s="1104" t="str">
        <f t="shared" ca="1" si="1"/>
        <v xml:space="preserve">Go to </v>
      </c>
      <c r="M65" s="1104"/>
    </row>
    <row r="66" spans="5:13" x14ac:dyDescent="0.35">
      <c r="E66" s="1339" t="s">
        <v>2917</v>
      </c>
      <c r="F66" s="1101">
        <v>15</v>
      </c>
      <c r="G66" s="1102">
        <v>0</v>
      </c>
      <c r="H66" s="1102">
        <v>0.9290167588284719</v>
      </c>
      <c r="I66" s="1102">
        <v>4.7925187537684384E-2</v>
      </c>
      <c r="J66" s="1273">
        <v>4.9753315224831107</v>
      </c>
      <c r="K66" s="1111" t="str">
        <f ca="1">IF(E66&lt;&gt;"",_xlfn.XLOOKUP($F$10&amp;$E66,'Measure Summary'!$D:$D,'Measure Summary'!$A:$A,"",0,1))</f>
        <v/>
      </c>
      <c r="L66" s="1104" t="str">
        <f t="shared" ca="1" si="1"/>
        <v xml:space="preserve">Go to </v>
      </c>
      <c r="M66" s="1104"/>
    </row>
    <row r="67" spans="5:13" x14ac:dyDescent="0.35">
      <c r="E67" s="1339" t="s">
        <v>2918</v>
      </c>
      <c r="F67" s="1101">
        <v>15</v>
      </c>
      <c r="G67" s="1102">
        <v>1021.458022674707</v>
      </c>
      <c r="H67" s="1102">
        <v>-1.6164573208827235</v>
      </c>
      <c r="I67" s="1102">
        <v>0.49884288911220587</v>
      </c>
      <c r="J67" s="1273">
        <v>78.112587677086097</v>
      </c>
      <c r="K67" s="1111" t="str">
        <f ca="1">IF(E67&lt;&gt;"",_xlfn.XLOOKUP($F$10&amp;$E67,'Measure Summary'!$D:$D,'Measure Summary'!$A:$A,"",0,1))</f>
        <v/>
      </c>
      <c r="L67" s="1104" t="str">
        <f t="shared" ca="1" si="1"/>
        <v xml:space="preserve">Go to </v>
      </c>
      <c r="M67" s="1104"/>
    </row>
    <row r="68" spans="5:13" x14ac:dyDescent="0.35">
      <c r="E68" s="1339" t="s">
        <v>2919</v>
      </c>
      <c r="F68" s="1101">
        <v>15</v>
      </c>
      <c r="G68" s="1102">
        <v>1892.2596822580645</v>
      </c>
      <c r="H68" s="1102">
        <v>0</v>
      </c>
      <c r="I68" s="1102">
        <v>1.0785880188870967</v>
      </c>
      <c r="J68" s="1273">
        <v>160.74122628753622</v>
      </c>
      <c r="K68" s="1111" t="str">
        <f ca="1">IF(E68&lt;&gt;"",_xlfn.XLOOKUP($F$10&amp;$E68,'Measure Summary'!$D:$D,'Measure Summary'!$A:$A,"",0,1))</f>
        <v/>
      </c>
      <c r="L68" s="1104" t="str">
        <f t="shared" ca="1" si="1"/>
        <v xml:space="preserve">Go to </v>
      </c>
      <c r="M68" s="1104"/>
    </row>
    <row r="69" spans="5:13" x14ac:dyDescent="0.35">
      <c r="E69" s="1339" t="s">
        <v>2920</v>
      </c>
      <c r="F69" s="1101">
        <v>15</v>
      </c>
      <c r="G69" s="1102">
        <v>1892.2596822580645</v>
      </c>
      <c r="H69" s="1102">
        <v>0</v>
      </c>
      <c r="I69" s="1102">
        <v>1.0785880188870967</v>
      </c>
      <c r="J69" s="1273">
        <v>160.74122628753622</v>
      </c>
      <c r="K69" s="1111" t="str">
        <f ca="1">IF(E69&lt;&gt;"",_xlfn.XLOOKUP($F$10&amp;$E69,'Measure Summary'!$D:$D,'Measure Summary'!$A:$A,"",0,1))</f>
        <v/>
      </c>
      <c r="L69" s="1104" t="str">
        <f t="shared" ca="1" si="1"/>
        <v xml:space="preserve">Go to </v>
      </c>
      <c r="M69" s="1104"/>
    </row>
    <row r="70" spans="5:13" x14ac:dyDescent="0.35">
      <c r="E70" s="1339" t="s">
        <v>2921</v>
      </c>
      <c r="F70" s="1101">
        <v>15</v>
      </c>
      <c r="G70" s="1102">
        <v>3191.5648741935479</v>
      </c>
      <c r="H70" s="1102">
        <v>0</v>
      </c>
      <c r="I70" s="1102">
        <v>1.8191919782903223</v>
      </c>
      <c r="J70" s="1273">
        <v>271.11292200756861</v>
      </c>
      <c r="K70" s="1111" t="str">
        <f ca="1">IF(E70&lt;&gt;"",_xlfn.XLOOKUP($F$10&amp;$E70,'Measure Summary'!$D:$D,'Measure Summary'!$A:$A,"",0,1))</f>
        <v/>
      </c>
      <c r="L70" s="1104" t="str">
        <f t="shared" ca="1" si="1"/>
        <v xml:space="preserve">Go to </v>
      </c>
      <c r="M70" s="1104"/>
    </row>
    <row r="71" spans="5:13" x14ac:dyDescent="0.35">
      <c r="E71" s="1339" t="s">
        <v>2922</v>
      </c>
      <c r="F71" s="1101">
        <v>15</v>
      </c>
      <c r="G71" s="1102">
        <v>26542.748625983866</v>
      </c>
      <c r="H71" s="1102">
        <v>0</v>
      </c>
      <c r="I71" s="1102">
        <v>15.129366716810804</v>
      </c>
      <c r="J71" s="1273">
        <v>2254.71905531019</v>
      </c>
      <c r="K71" s="1111" t="str">
        <f ca="1">IF(E71&lt;&gt;"",_xlfn.XLOOKUP($F$10&amp;$E71,'Measure Summary'!$D:$D,'Measure Summary'!$A:$A,"",0,1))</f>
        <v/>
      </c>
      <c r="L71" s="1104" t="str">
        <f t="shared" ca="1" si="1"/>
        <v xml:space="preserve">Go to </v>
      </c>
      <c r="M71" s="1104"/>
    </row>
    <row r="72" spans="5:13" x14ac:dyDescent="0.35">
      <c r="E72" s="1339" t="s">
        <v>2873</v>
      </c>
      <c r="F72" s="1101">
        <v>15</v>
      </c>
      <c r="G72" s="1102">
        <v>456.34512859108867</v>
      </c>
      <c r="H72" s="1102">
        <v>1060.7676852400211</v>
      </c>
      <c r="I72" s="1102">
        <v>54.981939301773885</v>
      </c>
      <c r="J72" s="1273">
        <v>5719.6861098601748</v>
      </c>
      <c r="K72" s="1111" t="str">
        <f ca="1">IF(E72&lt;&gt;"",_xlfn.XLOOKUP($F$10&amp;$E72,'Measure Summary'!$D:$D,'Measure Summary'!$A:$A,"",0,1))</f>
        <v/>
      </c>
      <c r="L72" s="1104" t="str">
        <f t="shared" ca="1" si="1"/>
        <v xml:space="preserve">Go to </v>
      </c>
      <c r="M72" s="1104"/>
    </row>
    <row r="73" spans="5:13" x14ac:dyDescent="0.35">
      <c r="E73" s="1339" t="s">
        <v>2923</v>
      </c>
      <c r="F73" s="1101">
        <v>20</v>
      </c>
      <c r="G73" s="1102">
        <v>1.7407532239633604E-2</v>
      </c>
      <c r="H73" s="1102">
        <v>0.30142546379581531</v>
      </c>
      <c r="I73" s="1102">
        <v>1.5559557694211315E-2</v>
      </c>
      <c r="J73" s="1273">
        <v>1.5201705137721619</v>
      </c>
      <c r="K73" s="1111" t="str">
        <f ca="1">IF(E73&lt;&gt;"",_xlfn.XLOOKUP($F$10&amp;$E73,'Measure Summary'!$D:$D,'Measure Summary'!$A:$A,"",0,1))</f>
        <v/>
      </c>
      <c r="L73" s="1104" t="str">
        <f t="shared" ca="1" si="1"/>
        <v xml:space="preserve">Go to </v>
      </c>
      <c r="M73" s="1104"/>
    </row>
    <row r="74" spans="5:13" x14ac:dyDescent="0.35">
      <c r="E74" s="1339" t="s">
        <v>2924</v>
      </c>
      <c r="F74" s="1101">
        <v>15</v>
      </c>
      <c r="G74" s="1102">
        <v>0</v>
      </c>
      <c r="H74" s="1102">
        <v>0</v>
      </c>
      <c r="I74" s="1102">
        <v>0</v>
      </c>
      <c r="J74" s="1273">
        <v>0</v>
      </c>
      <c r="K74" s="1111" t="str">
        <f ca="1">IF(E74&lt;&gt;"",_xlfn.XLOOKUP($F$10&amp;$E74,'Measure Summary'!$D:$D,'Measure Summary'!$A:$A,"",0,1))</f>
        <v/>
      </c>
      <c r="L74" s="1104" t="str">
        <f t="shared" ca="1" si="1"/>
        <v xml:space="preserve">Go to </v>
      </c>
      <c r="M74" s="1104"/>
    </row>
    <row r="75" spans="5:13" x14ac:dyDescent="0.35">
      <c r="E75" s="1097"/>
      <c r="F75" s="1103"/>
      <c r="G75" s="1103"/>
      <c r="H75" s="1103"/>
      <c r="I75" s="1103"/>
      <c r="J75" s="1103"/>
      <c r="K75" s="1111" t="b">
        <f>IF(E75&lt;&gt;"",_xlfn.XLOOKUP($F$10&amp;$E75,'Measure Summary'!$D:$D,'Measure Summary'!$A:$A,"",0,1))</f>
        <v>0</v>
      </c>
      <c r="L75" s="1104" t="str">
        <f t="shared" si="1"/>
        <v/>
      </c>
      <c r="M75" s="1104"/>
    </row>
    <row r="76" spans="5:13" x14ac:dyDescent="0.35">
      <c r="E76" s="1097"/>
      <c r="F76" s="1103"/>
      <c r="G76" s="1103"/>
      <c r="H76" s="1103"/>
      <c r="I76" s="1103"/>
      <c r="J76" s="1103"/>
      <c r="K76" s="1111" t="b">
        <f>IF(E76&lt;&gt;"",_xlfn.XLOOKUP($F$10&amp;$E76,'Measure Summary'!$D:$D,'Measure Summary'!$A:$A,"",0,1))</f>
        <v>0</v>
      </c>
      <c r="L76" s="1104" t="str">
        <f t="shared" si="1"/>
        <v/>
      </c>
      <c r="M76" s="1104"/>
    </row>
    <row r="77" spans="5:13" x14ac:dyDescent="0.35">
      <c r="E77" s="1105"/>
      <c r="F77" s="1105"/>
      <c r="G77" s="1105"/>
      <c r="H77" s="1103"/>
      <c r="I77" s="1103"/>
      <c r="J77" s="1103"/>
      <c r="K77" s="1111" t="b">
        <f>IF(E77&lt;&gt;"",_xlfn.XLOOKUP($F$10&amp;$E77,'Measure Summary'!$D:$D,'Measure Summary'!$A:$A,"",0,1))</f>
        <v>0</v>
      </c>
      <c r="L77" s="1104" t="str">
        <f t="shared" ref="L77:L101" si="2">IF(K77&lt;&gt;FALSE,HYPERLINK("#'"&amp;K77&amp;"'!A1","Go to "&amp;K77),"")</f>
        <v/>
      </c>
      <c r="M77" s="1104"/>
    </row>
    <row r="78" spans="5:13" x14ac:dyDescent="0.35">
      <c r="E78" s="1105"/>
      <c r="F78" s="1105"/>
      <c r="G78" s="1105"/>
      <c r="H78" s="1103"/>
      <c r="I78" s="1103"/>
      <c r="J78" s="1103"/>
      <c r="K78" s="1111" t="b">
        <f>IF(E78&lt;&gt;"",_xlfn.XLOOKUP($F$10&amp;$E78,'Measure Summary'!$D:$D,'Measure Summary'!$A:$A,"",0,1))</f>
        <v>0</v>
      </c>
      <c r="L78" s="1104" t="str">
        <f t="shared" si="2"/>
        <v/>
      </c>
      <c r="M78" s="1104"/>
    </row>
    <row r="79" spans="5:13" x14ac:dyDescent="0.35">
      <c r="E79" s="1105"/>
      <c r="F79" s="1105"/>
      <c r="G79" s="1105"/>
      <c r="H79" s="1103"/>
      <c r="I79" s="1103"/>
      <c r="J79" s="1103"/>
      <c r="K79" s="1111" t="b">
        <f>IF(E79&lt;&gt;"",_xlfn.XLOOKUP($F$10&amp;$E79,'Measure Summary'!$D:$D,'Measure Summary'!$A:$A,"",0,1))</f>
        <v>0</v>
      </c>
      <c r="L79" s="1104" t="str">
        <f t="shared" si="2"/>
        <v/>
      </c>
      <c r="M79" s="1104"/>
    </row>
    <row r="80" spans="5:13" x14ac:dyDescent="0.35">
      <c r="E80" s="1105"/>
      <c r="F80" s="1105"/>
      <c r="G80" s="1105"/>
      <c r="H80" s="1103"/>
      <c r="I80" s="1103"/>
      <c r="J80" s="1103"/>
      <c r="K80" s="1111" t="b">
        <f>IF(E80&lt;&gt;"",_xlfn.XLOOKUP($F$10&amp;$E80,'Measure Summary'!$D:$D,'Measure Summary'!$A:$A,"",0,1))</f>
        <v>0</v>
      </c>
      <c r="L80" s="1104" t="str">
        <f t="shared" si="2"/>
        <v/>
      </c>
      <c r="M80" s="1104"/>
    </row>
    <row r="81" spans="5:13" x14ac:dyDescent="0.35">
      <c r="E81" s="1105"/>
      <c r="F81" s="1105"/>
      <c r="G81" s="1105"/>
      <c r="H81" s="1103"/>
      <c r="I81" s="1103"/>
      <c r="J81" s="1103"/>
      <c r="K81" s="1111" t="b">
        <f>IF(E81&lt;&gt;"",_xlfn.XLOOKUP($F$10&amp;$E81,'Measure Summary'!$D:$D,'Measure Summary'!$A:$A,"",0,1))</f>
        <v>0</v>
      </c>
      <c r="L81" s="1104" t="str">
        <f t="shared" si="2"/>
        <v/>
      </c>
      <c r="M81" s="1104"/>
    </row>
    <row r="82" spans="5:13" x14ac:dyDescent="0.35">
      <c r="E82" s="1105"/>
      <c r="F82" s="1105"/>
      <c r="G82" s="1105"/>
      <c r="H82" s="1103"/>
      <c r="I82" s="1103"/>
      <c r="J82" s="1103"/>
      <c r="K82" s="1111" t="b">
        <f>IF(E82&lt;&gt;"",_xlfn.XLOOKUP($F$10&amp;$E82,'Measure Summary'!$D:$D,'Measure Summary'!$A:$A,"",0,1))</f>
        <v>0</v>
      </c>
      <c r="L82" s="1104" t="str">
        <f t="shared" si="2"/>
        <v/>
      </c>
      <c r="M82" s="1104"/>
    </row>
    <row r="83" spans="5:13" x14ac:dyDescent="0.35">
      <c r="E83" s="1105"/>
      <c r="F83" s="1105"/>
      <c r="G83" s="1105"/>
      <c r="H83" s="1103"/>
      <c r="I83" s="1103"/>
      <c r="J83" s="1103"/>
      <c r="K83" s="1111" t="b">
        <f>IF(E83&lt;&gt;"",_xlfn.XLOOKUP($F$10&amp;$E83,'Measure Summary'!$D:$D,'Measure Summary'!$A:$A,"",0,1))</f>
        <v>0</v>
      </c>
      <c r="L83" s="1104" t="str">
        <f t="shared" si="2"/>
        <v/>
      </c>
      <c r="M83" s="1104"/>
    </row>
    <row r="84" spans="5:13" x14ac:dyDescent="0.35">
      <c r="E84" s="1105"/>
      <c r="F84" s="1105"/>
      <c r="G84" s="1105"/>
      <c r="H84" s="1103"/>
      <c r="I84" s="1103"/>
      <c r="J84" s="1103"/>
      <c r="K84" s="1111" t="b">
        <f>IF(E84&lt;&gt;"",_xlfn.XLOOKUP($F$10&amp;$E84,'Measure Summary'!$D:$D,'Measure Summary'!$A:$A,"",0,1))</f>
        <v>0</v>
      </c>
      <c r="L84" s="1104" t="str">
        <f t="shared" si="2"/>
        <v/>
      </c>
      <c r="M84" s="1104"/>
    </row>
    <row r="85" spans="5:13" x14ac:dyDescent="0.35">
      <c r="E85" s="1105"/>
      <c r="F85" s="1105"/>
      <c r="G85" s="1105"/>
      <c r="H85" s="1103"/>
      <c r="I85" s="1103"/>
      <c r="J85" s="1103"/>
      <c r="K85" s="1111" t="b">
        <f>IF(E85&lt;&gt;"",_xlfn.XLOOKUP($F$10&amp;$E85,'Measure Summary'!$D:$D,'Measure Summary'!$A:$A,"",0,1))</f>
        <v>0</v>
      </c>
      <c r="L85" s="1104" t="str">
        <f t="shared" si="2"/>
        <v/>
      </c>
      <c r="M85" s="1104"/>
    </row>
    <row r="86" spans="5:13" x14ac:dyDescent="0.35">
      <c r="E86" s="1105"/>
      <c r="F86" s="1105"/>
      <c r="G86" s="1105"/>
      <c r="H86" s="1103"/>
      <c r="I86" s="1103"/>
      <c r="J86" s="1103"/>
      <c r="K86" s="1111" t="b">
        <f>IF(E86&lt;&gt;"",_xlfn.XLOOKUP($F$10&amp;$E86,'Measure Summary'!$D:$D,'Measure Summary'!$A:$A,"",0,1))</f>
        <v>0</v>
      </c>
      <c r="L86" s="1104" t="str">
        <f t="shared" si="2"/>
        <v/>
      </c>
      <c r="M86" s="1104"/>
    </row>
    <row r="87" spans="5:13" x14ac:dyDescent="0.35">
      <c r="E87" s="1105"/>
      <c r="F87" s="1105"/>
      <c r="G87" s="1105"/>
      <c r="H87" s="1103"/>
      <c r="I87" s="1103"/>
      <c r="J87" s="1103"/>
      <c r="K87" s="1111" t="b">
        <f>IF(E87&lt;&gt;"",_xlfn.XLOOKUP($F$10&amp;$E87,'Measure Summary'!$D:$D,'Measure Summary'!$A:$A,"",0,1))</f>
        <v>0</v>
      </c>
      <c r="L87" s="1104" t="str">
        <f t="shared" si="2"/>
        <v/>
      </c>
      <c r="M87" s="1104"/>
    </row>
    <row r="88" spans="5:13" x14ac:dyDescent="0.35">
      <c r="E88" s="1105"/>
      <c r="F88" s="1105"/>
      <c r="G88" s="1105"/>
      <c r="H88" s="1103"/>
      <c r="I88" s="1103"/>
      <c r="J88" s="1103"/>
      <c r="K88" s="1111" t="b">
        <f>IF(E88&lt;&gt;"",_xlfn.XLOOKUP($F$10&amp;$E88,'Measure Summary'!$D:$D,'Measure Summary'!$A:$A,"",0,1))</f>
        <v>0</v>
      </c>
      <c r="L88" s="1104" t="str">
        <f t="shared" si="2"/>
        <v/>
      </c>
      <c r="M88" s="1104"/>
    </row>
    <row r="89" spans="5:13" x14ac:dyDescent="0.35">
      <c r="E89" s="1105"/>
      <c r="F89" s="1105"/>
      <c r="G89" s="1105"/>
      <c r="H89" s="1103"/>
      <c r="I89" s="1103"/>
      <c r="J89" s="1103"/>
      <c r="K89" s="1111" t="b">
        <f>IF(E89&lt;&gt;"",_xlfn.XLOOKUP($F$10&amp;$E89,'Measure Summary'!$D:$D,'Measure Summary'!$A:$A,"",0,1))</f>
        <v>0</v>
      </c>
      <c r="L89" s="1104" t="str">
        <f t="shared" si="2"/>
        <v/>
      </c>
      <c r="M89" s="1104"/>
    </row>
    <row r="90" spans="5:13" x14ac:dyDescent="0.35">
      <c r="E90" s="1105"/>
      <c r="F90" s="1105"/>
      <c r="G90" s="1105"/>
      <c r="H90" s="1103"/>
      <c r="I90" s="1103"/>
      <c r="J90" s="1103"/>
      <c r="K90" s="1111" t="b">
        <f>IF(E90&lt;&gt;"",_xlfn.XLOOKUP($F$10&amp;$E90,'Measure Summary'!$D:$D,'Measure Summary'!$A:$A,"",0,1))</f>
        <v>0</v>
      </c>
      <c r="L90" s="1104" t="str">
        <f t="shared" si="2"/>
        <v/>
      </c>
      <c r="M90" s="1104"/>
    </row>
    <row r="91" spans="5:13" x14ac:dyDescent="0.35">
      <c r="E91" s="1105"/>
      <c r="F91" s="1105"/>
      <c r="G91" s="1105"/>
      <c r="H91" s="1103"/>
      <c r="I91" s="1103"/>
      <c r="J91" s="1103"/>
      <c r="K91" s="1111" t="b">
        <f>IF(E91&lt;&gt;"",_xlfn.XLOOKUP($F$10&amp;$E91,'Measure Summary'!$D:$D,'Measure Summary'!$A:$A,"",0,1))</f>
        <v>0</v>
      </c>
      <c r="L91" s="1104" t="str">
        <f t="shared" si="2"/>
        <v/>
      </c>
      <c r="M91" s="1104"/>
    </row>
    <row r="92" spans="5:13" x14ac:dyDescent="0.35">
      <c r="E92" s="1105"/>
      <c r="F92" s="1105"/>
      <c r="G92" s="1105"/>
      <c r="H92" s="1103"/>
      <c r="I92" s="1103"/>
      <c r="J92" s="1103"/>
      <c r="K92" s="1111" t="b">
        <f>IF(E92&lt;&gt;"",_xlfn.XLOOKUP($F$10&amp;$E92,'Measure Summary'!$D:$D,'Measure Summary'!$A:$A,"",0,1))</f>
        <v>0</v>
      </c>
      <c r="L92" s="1104" t="str">
        <f t="shared" si="2"/>
        <v/>
      </c>
      <c r="M92" s="1104"/>
    </row>
    <row r="93" spans="5:13" x14ac:dyDescent="0.35">
      <c r="E93" s="1105"/>
      <c r="F93" s="1105"/>
      <c r="G93" s="1105"/>
      <c r="H93" s="1103"/>
      <c r="I93" s="1103"/>
      <c r="J93" s="1103"/>
      <c r="K93" s="1111" t="b">
        <f>IF(E93&lt;&gt;"",_xlfn.XLOOKUP($F$10&amp;$E93,'Measure Summary'!$D:$D,'Measure Summary'!$A:$A,"",0,1))</f>
        <v>0</v>
      </c>
      <c r="L93" s="1104" t="str">
        <f t="shared" si="2"/>
        <v/>
      </c>
      <c r="M93" s="1104"/>
    </row>
    <row r="94" spans="5:13" x14ac:dyDescent="0.35">
      <c r="E94" s="1105"/>
      <c r="F94" s="1105"/>
      <c r="G94" s="1105"/>
      <c r="H94" s="1103"/>
      <c r="I94" s="1103"/>
      <c r="J94" s="1103"/>
      <c r="K94" s="1111" t="b">
        <f>IF(E94&lt;&gt;"",_xlfn.XLOOKUP($F$10&amp;$E94,'Measure Summary'!$D:$D,'Measure Summary'!$A:$A,"",0,1))</f>
        <v>0</v>
      </c>
      <c r="L94" s="1104" t="str">
        <f t="shared" si="2"/>
        <v/>
      </c>
      <c r="M94" s="1104"/>
    </row>
    <row r="95" spans="5:13" x14ac:dyDescent="0.35">
      <c r="E95" s="1105"/>
      <c r="F95" s="1105"/>
      <c r="G95" s="1105"/>
      <c r="H95" s="1103"/>
      <c r="I95" s="1103"/>
      <c r="J95" s="1103"/>
      <c r="K95" s="1111" t="b">
        <f>IF(E95&lt;&gt;"",_xlfn.XLOOKUP($F$10&amp;$E95,'Measure Summary'!$D:$D,'Measure Summary'!$A:$A,"",0,1))</f>
        <v>0</v>
      </c>
      <c r="L95" s="1104" t="str">
        <f t="shared" si="2"/>
        <v/>
      </c>
      <c r="M95" s="1104"/>
    </row>
    <row r="96" spans="5:13" x14ac:dyDescent="0.35">
      <c r="E96" s="1105"/>
      <c r="F96" s="1105"/>
      <c r="G96" s="1105"/>
      <c r="H96" s="1103"/>
      <c r="I96" s="1103"/>
      <c r="J96" s="1103"/>
      <c r="K96" s="1111" t="b">
        <f>IF(E96&lt;&gt;"",_xlfn.XLOOKUP($F$10&amp;$E96,'Measure Summary'!$D:$D,'Measure Summary'!$A:$A,"",0,1))</f>
        <v>0</v>
      </c>
      <c r="L96" s="1104" t="str">
        <f t="shared" si="2"/>
        <v/>
      </c>
      <c r="M96" s="1104"/>
    </row>
    <row r="97" spans="5:13" x14ac:dyDescent="0.35">
      <c r="E97" s="1105"/>
      <c r="F97" s="1105"/>
      <c r="G97" s="1105"/>
      <c r="H97" s="1103"/>
      <c r="I97" s="1103"/>
      <c r="J97" s="1103"/>
      <c r="K97" s="1111" t="b">
        <f>IF(E97&lt;&gt;"",_xlfn.XLOOKUP($F$10&amp;$E97,'Measure Summary'!$D:$D,'Measure Summary'!$A:$A,"",0,1))</f>
        <v>0</v>
      </c>
      <c r="L97" s="1104" t="str">
        <f t="shared" si="2"/>
        <v/>
      </c>
      <c r="M97" s="1104"/>
    </row>
    <row r="98" spans="5:13" x14ac:dyDescent="0.35">
      <c r="E98" s="1105"/>
      <c r="F98" s="1105"/>
      <c r="G98" s="1105"/>
      <c r="H98" s="1103"/>
      <c r="I98" s="1103"/>
      <c r="J98" s="1103"/>
      <c r="K98" s="1111" t="b">
        <f>IF(E98&lt;&gt;"",_xlfn.XLOOKUP($F$10&amp;$E98,'Measure Summary'!$D:$D,'Measure Summary'!$A:$A,"",0,1))</f>
        <v>0</v>
      </c>
      <c r="L98" s="1104" t="str">
        <f t="shared" si="2"/>
        <v/>
      </c>
      <c r="M98" s="1104"/>
    </row>
    <row r="99" spans="5:13" x14ac:dyDescent="0.35">
      <c r="E99" s="1105"/>
      <c r="F99" s="1105"/>
      <c r="G99" s="1105"/>
      <c r="H99" s="1103"/>
      <c r="I99" s="1103"/>
      <c r="J99" s="1103"/>
      <c r="K99" s="1111" t="b">
        <f>IF(E99&lt;&gt;"",_xlfn.XLOOKUP($F$10&amp;$E99,'Measure Summary'!$D:$D,'Measure Summary'!$A:$A,"",0,1))</f>
        <v>0</v>
      </c>
      <c r="L99" s="1104" t="str">
        <f t="shared" si="2"/>
        <v/>
      </c>
      <c r="M99" s="1104"/>
    </row>
    <row r="100" spans="5:13" x14ac:dyDescent="0.35">
      <c r="E100" s="1105"/>
      <c r="F100" s="1105"/>
      <c r="G100" s="1105"/>
      <c r="H100" s="1103"/>
      <c r="I100" s="1103"/>
      <c r="J100" s="1103"/>
      <c r="K100" s="1111" t="b">
        <f>IF(E100&lt;&gt;"",_xlfn.XLOOKUP($F$10&amp;$E100,'Measure Summary'!$D:$D,'Measure Summary'!$A:$A,"",0,1))</f>
        <v>0</v>
      </c>
      <c r="L100" s="1104" t="str">
        <f t="shared" si="2"/>
        <v/>
      </c>
      <c r="M100" s="1104"/>
    </row>
    <row r="101" spans="5:13" x14ac:dyDescent="0.35">
      <c r="E101" s="1105"/>
      <c r="F101" s="1105"/>
      <c r="G101" s="1105"/>
      <c r="H101" s="1103"/>
      <c r="I101" s="1103"/>
      <c r="J101" s="1103"/>
      <c r="K101" s="1111"/>
      <c r="L101" s="1104" t="str">
        <f t="shared" si="2"/>
        <v/>
      </c>
      <c r="M101" s="1104"/>
    </row>
    <row r="102" spans="5:13" x14ac:dyDescent="0.35">
      <c r="E102" s="1105"/>
      <c r="F102" s="1105"/>
      <c r="G102" s="1105"/>
      <c r="H102" s="1103"/>
      <c r="I102" s="1103"/>
      <c r="J102" s="1103"/>
      <c r="K102" s="1111"/>
      <c r="L102" s="1103"/>
      <c r="M102" s="1103"/>
    </row>
  </sheetData>
  <sheetProtection algorithmName="SHA-512" hashValue="cqDjM6as612WV1KF3pAWKeG2uLZCJ4LHYLIKMBidolrBSkL0r35YOA07kDCJEMXfG2BkBdc1tN+RDADcQoF6Mg==" saltValue="6ev/3tsGQLFwwnNRIIpyCw==" spinCount="100000" sheet="1" pivotTables="0"/>
  <mergeCells count="3">
    <mergeCell ref="B1:B4"/>
    <mergeCell ref="E6:E8"/>
    <mergeCell ref="D2:M3"/>
  </mergeCells>
  <conditionalFormatting sqref="E101:M102 E13:E74 E12:M12 E75:J100 L13:M100">
    <cfRule type="cellIs" dxfId="4684" priority="1" operator="equal">
      <formula>""</formula>
    </cfRule>
  </conditionalFormatting>
  <dataValidations count="3">
    <dataValidation type="whole" allowBlank="1" showInputMessage="1" showErrorMessage="1" sqref="G6" xr:uid="{A0A78628-2E4C-4653-9E1C-EDE4AB6AE11D}">
      <formula1>2017</formula1>
      <formula2>2022</formula2>
    </dataValidation>
    <dataValidation type="list" allowBlank="1" showInputMessage="1" showErrorMessage="1" sqref="G7" xr:uid="{C7AAD2EC-F92A-43B7-A417-9B2D99F1DF67}">
      <formula1>"Bill Savings,Avoided Cost"</formula1>
    </dataValidation>
    <dataValidation type="list" allowBlank="1" showInputMessage="1" showErrorMessage="1" sqref="G8" xr:uid="{07BE03B9-B087-4764-AA72-1DBAC1F19238}">
      <formula1>INDIRECT("RegionList[Index]")</formula1>
    </dataValidation>
  </dataValidation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7D50B-4BCF-43B8-A2A1-F449B0CC05AB}">
  <sheetPr codeName="Sheet409"/>
  <dimension ref="A2:R164"/>
  <sheetViews>
    <sheetView workbookViewId="0"/>
  </sheetViews>
  <sheetFormatPr defaultColWidth="9.08984375" defaultRowHeight="18.75" customHeight="1" x14ac:dyDescent="0.3"/>
  <cols>
    <col min="1" max="1" width="2.36328125" style="488" customWidth="1"/>
    <col min="2" max="2" width="37.7265625" style="488" customWidth="1"/>
    <col min="3" max="3" width="25.26953125" style="488" customWidth="1"/>
    <col min="4" max="4" width="21.7265625" style="488" customWidth="1"/>
    <col min="5" max="5" width="14.36328125" style="488" customWidth="1"/>
    <col min="6" max="6" width="15.7265625" style="488" customWidth="1"/>
    <col min="7" max="7" width="19.7265625" style="488" customWidth="1"/>
    <col min="8" max="8" width="16" style="488" customWidth="1"/>
    <col min="9" max="9" width="12.7265625" style="488" customWidth="1"/>
    <col min="10" max="10" width="14.7265625" style="488" customWidth="1"/>
    <col min="11" max="12" width="9.08984375" style="488"/>
    <col min="13" max="13" width="11" style="488" customWidth="1"/>
    <col min="14" max="14" width="12.36328125" style="488" customWidth="1"/>
    <col min="15" max="15" width="10.7265625" style="488" customWidth="1"/>
    <col min="16" max="17" width="9.08984375" style="488"/>
    <col min="18" max="18" width="9.7265625" style="489" customWidth="1"/>
    <col min="19" max="19" width="9.08984375" style="488"/>
    <col min="20" max="20" width="8.72656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R-W-001</v>
      </c>
      <c r="D3" s="1367"/>
      <c r="E3" s="1367"/>
      <c r="F3" s="1367"/>
    </row>
    <row r="4" spans="1:18" ht="18.75" customHeight="1" x14ac:dyDescent="0.3">
      <c r="B4" s="490" t="s">
        <v>11</v>
      </c>
      <c r="C4" s="1367" t="str" cm="1">
        <f t="array" ref="C4">_xlfn.SWITCH(LEFT(C8,1),"R","Residential","C","Commercial","ERROR")</f>
        <v>Residential</v>
      </c>
      <c r="D4" s="1367"/>
      <c r="E4" s="1367"/>
      <c r="F4" s="1367"/>
    </row>
    <row r="5" spans="1:18" ht="44.25" customHeight="1" x14ac:dyDescent="0.3">
      <c r="B5" s="490" t="s">
        <v>408</v>
      </c>
      <c r="C5" s="1530" t="s">
        <v>316</v>
      </c>
      <c r="D5" s="1531"/>
      <c r="E5" s="1531"/>
      <c r="F5" s="1532"/>
      <c r="R5" s="488"/>
    </row>
    <row r="6" spans="1:18" ht="18.75" customHeight="1" x14ac:dyDescent="0.3">
      <c r="A6" s="573"/>
    </row>
    <row r="7" spans="1:18" ht="18.75" customHeight="1" x14ac:dyDescent="0.3">
      <c r="B7" s="1193" t="s">
        <v>507</v>
      </c>
      <c r="C7" s="493" t="s">
        <v>406</v>
      </c>
      <c r="D7" s="1366" t="s">
        <v>410</v>
      </c>
      <c r="E7" s="1366"/>
      <c r="F7" s="1366"/>
      <c r="R7" s="488"/>
    </row>
    <row r="8" spans="1:18" ht="18.75" customHeight="1" x14ac:dyDescent="0.3">
      <c r="B8" s="490" t="s">
        <v>411</v>
      </c>
      <c r="C8" s="1194" t="s">
        <v>170</v>
      </c>
      <c r="D8" s="1521" t="s">
        <v>759</v>
      </c>
      <c r="E8" s="1522"/>
      <c r="F8" s="1523"/>
      <c r="R8" s="488"/>
    </row>
    <row r="9" spans="1:18" ht="18.75" customHeight="1" x14ac:dyDescent="0.3">
      <c r="B9" s="490" t="s">
        <v>49</v>
      </c>
      <c r="C9" s="1194" t="s">
        <v>760</v>
      </c>
      <c r="D9" s="1524"/>
      <c r="E9" s="1525"/>
      <c r="F9" s="1526"/>
      <c r="R9" s="488"/>
    </row>
    <row r="10" spans="1:18" ht="18.75" customHeight="1" x14ac:dyDescent="0.3">
      <c r="B10" s="490" t="s">
        <v>412</v>
      </c>
      <c r="C10" s="1194"/>
      <c r="D10" s="1524"/>
      <c r="E10" s="1525"/>
      <c r="F10" s="1526"/>
      <c r="R10" s="488"/>
    </row>
    <row r="11" spans="1:18" ht="18.75" customHeight="1" x14ac:dyDescent="0.3">
      <c r="B11" s="490" t="s">
        <v>413</v>
      </c>
      <c r="C11" s="1194"/>
      <c r="D11" s="1524"/>
      <c r="E11" s="1525"/>
      <c r="F11" s="1526"/>
      <c r="R11" s="488"/>
    </row>
    <row r="12" spans="1:18" ht="18.75" customHeight="1" x14ac:dyDescent="0.3">
      <c r="B12" s="490" t="s">
        <v>414</v>
      </c>
      <c r="C12" s="1194"/>
      <c r="D12" s="1524"/>
      <c r="E12" s="1525"/>
      <c r="F12" s="1526"/>
      <c r="R12" s="488"/>
    </row>
    <row r="13" spans="1:18" ht="18.75" customHeight="1" x14ac:dyDescent="0.3">
      <c r="B13" s="494" t="s">
        <v>415</v>
      </c>
      <c r="C13" s="495">
        <f>N43</f>
        <v>0</v>
      </c>
      <c r="D13" s="1524"/>
      <c r="E13" s="1525"/>
      <c r="F13" s="1526"/>
      <c r="R13" s="488"/>
    </row>
    <row r="14" spans="1:18" ht="18.75" customHeight="1" x14ac:dyDescent="0.3">
      <c r="B14" s="494" t="s">
        <v>416</v>
      </c>
      <c r="C14" s="495">
        <f>N42</f>
        <v>0</v>
      </c>
      <c r="D14" s="1524"/>
      <c r="E14" s="1525"/>
      <c r="F14" s="1526"/>
      <c r="R14" s="488"/>
    </row>
    <row r="15" spans="1:18" ht="18.75" customHeight="1" x14ac:dyDescent="0.3">
      <c r="B15" s="494" t="s">
        <v>417</v>
      </c>
      <c r="C15" s="495">
        <f>N44</f>
        <v>4.1311895006851058</v>
      </c>
      <c r="D15" s="1524"/>
      <c r="E15" s="1525"/>
      <c r="F15" s="1526"/>
      <c r="R15" s="488"/>
    </row>
    <row r="16" spans="1:18" ht="18.75" customHeight="1" x14ac:dyDescent="0.3">
      <c r="B16" s="494" t="s">
        <v>418</v>
      </c>
      <c r="C16" s="496">
        <f>C37</f>
        <v>0</v>
      </c>
      <c r="D16" s="1527"/>
      <c r="E16" s="1528"/>
      <c r="F16" s="1529"/>
      <c r="R16" s="488"/>
    </row>
    <row r="17" spans="2:18" ht="18.75" customHeight="1" x14ac:dyDescent="0.3">
      <c r="B17" s="490" t="s">
        <v>48</v>
      </c>
      <c r="C17" s="1194" t="s">
        <v>761</v>
      </c>
      <c r="D17" s="1366" t="s">
        <v>419</v>
      </c>
      <c r="E17" s="1366"/>
      <c r="F17" s="1366"/>
      <c r="R17" s="488"/>
    </row>
    <row r="18" spans="2:18" ht="18.75" customHeight="1" x14ac:dyDescent="0.3">
      <c r="B18" s="490" t="s">
        <v>420</v>
      </c>
      <c r="C18" s="541">
        <v>20</v>
      </c>
      <c r="D18" s="1635" t="s">
        <v>674</v>
      </c>
      <c r="E18" s="1635"/>
      <c r="F18" s="1635"/>
      <c r="R18" s="488"/>
    </row>
    <row r="19" spans="2:18" ht="18.75" customHeight="1" x14ac:dyDescent="0.3">
      <c r="B19" s="497"/>
      <c r="C19" s="576"/>
      <c r="F19" s="489"/>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18.75" customHeight="1" x14ac:dyDescent="0.3">
      <c r="B21" s="499" t="s">
        <v>422</v>
      </c>
      <c r="C21" s="1546" t="s">
        <v>377</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46" t="s">
        <v>378</v>
      </c>
      <c r="D22" s="1546"/>
      <c r="E22" s="1546"/>
      <c r="F22" s="1546"/>
      <c r="G22" s="1546"/>
      <c r="H22" s="1546"/>
      <c r="I22" s="1546"/>
      <c r="J22" s="1546"/>
      <c r="K22" s="1546"/>
      <c r="L22" s="1546"/>
      <c r="M22" s="1546"/>
      <c r="N22" s="1546"/>
      <c r="O22" s="1546"/>
      <c r="P22" s="1546"/>
      <c r="Q22" s="1546"/>
      <c r="R22" s="488"/>
    </row>
    <row r="23" spans="2:18" ht="18.75" customHeight="1" x14ac:dyDescent="0.3">
      <c r="B23" s="500" t="s">
        <v>424</v>
      </c>
      <c r="C23" s="1546"/>
      <c r="D23" s="1546"/>
      <c r="E23" s="1546"/>
      <c r="F23" s="1546"/>
      <c r="G23" s="1546"/>
      <c r="H23" s="1546"/>
      <c r="I23" s="1546"/>
      <c r="J23" s="1546"/>
      <c r="K23" s="1546"/>
      <c r="L23" s="1546"/>
      <c r="M23" s="1546"/>
      <c r="N23" s="1546"/>
      <c r="O23" s="1546"/>
      <c r="P23" s="1546"/>
      <c r="Q23" s="154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Default.BuildingType.R</f>
        <v>Home - detached</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677"/>
      <c r="F33" s="1677"/>
      <c r="G33" s="1677"/>
      <c r="H33" s="1677"/>
      <c r="I33" s="1677"/>
      <c r="J33" s="1677"/>
      <c r="K33" s="1677"/>
      <c r="L33" s="1677"/>
      <c r="M33" s="1677"/>
      <c r="N33" s="1677"/>
      <c r="O33" s="1677"/>
      <c r="P33" s="1677"/>
      <c r="Q33" s="1677"/>
      <c r="R33" s="488"/>
    </row>
    <row r="34" spans="2:18" ht="18.75" customHeight="1" x14ac:dyDescent="0.3">
      <c r="B34" s="494" t="s">
        <v>431</v>
      </c>
      <c r="C34" s="542"/>
      <c r="D34" s="586" t="s">
        <v>430</v>
      </c>
      <c r="E34" s="1677"/>
      <c r="F34" s="1677"/>
      <c r="G34" s="1677"/>
      <c r="H34" s="1677"/>
      <c r="I34" s="1677"/>
      <c r="J34" s="1677"/>
      <c r="K34" s="1677"/>
      <c r="L34" s="1677"/>
      <c r="M34" s="1677"/>
      <c r="N34" s="1677"/>
      <c r="O34" s="1677"/>
      <c r="P34" s="1677"/>
      <c r="Q34" s="1677"/>
    </row>
    <row r="35" spans="2:18" ht="18.75" customHeight="1" x14ac:dyDescent="0.3">
      <c r="B35" s="490" t="s">
        <v>432</v>
      </c>
      <c r="C35" s="542"/>
      <c r="D35" s="586" t="s">
        <v>430</v>
      </c>
      <c r="E35" s="1677"/>
      <c r="F35" s="1677"/>
      <c r="G35" s="1677"/>
      <c r="H35" s="1677"/>
      <c r="I35" s="1677"/>
      <c r="J35" s="1677"/>
      <c r="K35" s="1677"/>
      <c r="L35" s="1677"/>
      <c r="M35" s="1677"/>
      <c r="N35" s="1677"/>
      <c r="O35" s="1677"/>
      <c r="P35" s="1677"/>
      <c r="Q35" s="1677"/>
    </row>
    <row r="36" spans="2:18" ht="18.75" customHeight="1" x14ac:dyDescent="0.3">
      <c r="B36" s="494" t="s">
        <v>433</v>
      </c>
      <c r="C36" s="504">
        <f>SUM(C33:C34)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504">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0</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4.1311895006851058</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41.571878400000003</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33" customHeight="1" x14ac:dyDescent="0.3">
      <c r="B49" s="708" t="s">
        <v>454</v>
      </c>
      <c r="C49" s="1678" t="s">
        <v>762</v>
      </c>
      <c r="D49" s="1679"/>
      <c r="E49" s="1679"/>
      <c r="F49" s="1679"/>
      <c r="G49" s="1679"/>
      <c r="H49" s="1679"/>
      <c r="I49" s="1679"/>
      <c r="J49" s="1679"/>
      <c r="K49" s="1679"/>
      <c r="L49" s="1679"/>
      <c r="M49" s="1680"/>
      <c r="N49" s="545">
        <f>N51*Water.Density.SI*Water.HeatCapacity.SI*(H64-H65)/H68*H69*kWh_per_GJ*(1-H70)</f>
        <v>0</v>
      </c>
      <c r="O49" s="695" t="s">
        <v>443</v>
      </c>
      <c r="P49" s="1510"/>
      <c r="Q49" s="1510"/>
      <c r="R49" s="488"/>
    </row>
    <row r="50" spans="2:18" ht="33.65" customHeight="1" x14ac:dyDescent="0.3">
      <c r="B50" s="582" t="s">
        <v>456</v>
      </c>
      <c r="C50" s="1600" t="s">
        <v>763</v>
      </c>
      <c r="D50" s="1505"/>
      <c r="E50" s="1505"/>
      <c r="F50" s="1505"/>
      <c r="G50" s="1505"/>
      <c r="H50" s="1505"/>
      <c r="I50" s="1505"/>
      <c r="J50" s="1505"/>
      <c r="K50" s="1505"/>
      <c r="L50" s="1505"/>
      <c r="M50" s="1506"/>
      <c r="N50" s="592">
        <f>N51*Water.Density.SI*Water.HeatCapacity.SI*(H64-H65)/H68*H69*H70</f>
        <v>4.1311895006851058</v>
      </c>
      <c r="O50" s="1243" t="s">
        <v>446</v>
      </c>
      <c r="P50" s="1537"/>
      <c r="Q50" s="1538"/>
      <c r="R50" s="696"/>
    </row>
    <row r="51" spans="2:18" ht="18.75" customHeight="1" x14ac:dyDescent="0.3">
      <c r="B51" s="582" t="s">
        <v>458</v>
      </c>
      <c r="C51" s="1504" t="s">
        <v>764</v>
      </c>
      <c r="D51" s="1505"/>
      <c r="E51" s="1505"/>
      <c r="F51" s="1505"/>
      <c r="G51" s="1505"/>
      <c r="H51" s="1505"/>
      <c r="I51" s="1505"/>
      <c r="J51" s="1505"/>
      <c r="K51" s="1505"/>
      <c r="L51" s="1505"/>
      <c r="M51" s="1506"/>
      <c r="N51" s="592">
        <f>H62*H63*H67*H66*Days_per_Year/Litre_per_m3</f>
        <v>41.571878400000003</v>
      </c>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c r="R53" s="488"/>
    </row>
    <row r="54" spans="2:18" ht="18.75" customHeight="1" x14ac:dyDescent="0.3">
      <c r="B54" s="582" t="s">
        <v>462</v>
      </c>
      <c r="C54" s="1504" t="s">
        <v>463</v>
      </c>
      <c r="D54" s="1505"/>
      <c r="E54" s="1505"/>
      <c r="F54" s="1505"/>
      <c r="G54" s="1505"/>
      <c r="H54" s="1505"/>
      <c r="I54" s="1505"/>
      <c r="J54" s="1505"/>
      <c r="K54" s="1505"/>
      <c r="L54" s="1505"/>
      <c r="M54" s="1506"/>
      <c r="N54" s="591"/>
      <c r="O54" s="1243" t="s">
        <v>440</v>
      </c>
      <c r="P54" s="1511"/>
      <c r="Q54" s="1511"/>
      <c r="R54" s="488"/>
    </row>
    <row r="55" spans="2:18" ht="18.75" customHeight="1" x14ac:dyDescent="0.3">
      <c r="B55" s="582" t="s">
        <v>464</v>
      </c>
      <c r="C55" s="1504" t="s">
        <v>465</v>
      </c>
      <c r="D55" s="1505"/>
      <c r="E55" s="1505"/>
      <c r="F55" s="1505"/>
      <c r="G55" s="1505"/>
      <c r="H55" s="1505"/>
      <c r="I55" s="1505"/>
      <c r="J55" s="1505"/>
      <c r="K55" s="1505"/>
      <c r="L55" s="1505"/>
      <c r="M55" s="1506"/>
      <c r="N55" s="620"/>
      <c r="O55" s="1243" t="s">
        <v>443</v>
      </c>
      <c r="P55" s="1511"/>
      <c r="Q55" s="1511"/>
      <c r="R55" s="488"/>
    </row>
    <row r="56" spans="2:18" ht="18.75" customHeight="1" x14ac:dyDescent="0.3">
      <c r="B56" s="582" t="s">
        <v>466</v>
      </c>
      <c r="C56" s="1504" t="s">
        <v>467</v>
      </c>
      <c r="D56" s="1505"/>
      <c r="E56" s="1505"/>
      <c r="F56" s="1505"/>
      <c r="G56" s="1505"/>
      <c r="H56" s="1505"/>
      <c r="I56" s="1505"/>
      <c r="J56" s="1505"/>
      <c r="K56" s="1505"/>
      <c r="L56" s="1505"/>
      <c r="M56" s="1506"/>
      <c r="N56" s="594"/>
      <c r="O56" s="1243" t="s">
        <v>446</v>
      </c>
      <c r="P56" s="1511"/>
      <c r="Q56" s="1511"/>
      <c r="R56" s="488"/>
    </row>
    <row r="57" spans="2:18" ht="18.75" customHeight="1" x14ac:dyDescent="0.3">
      <c r="B57" s="582" t="s">
        <v>468</v>
      </c>
      <c r="C57" s="1504" t="s">
        <v>469</v>
      </c>
      <c r="D57" s="1505"/>
      <c r="E57" s="1505"/>
      <c r="F57" s="1505"/>
      <c r="G57" s="1505"/>
      <c r="H57" s="1505"/>
      <c r="I57" s="1505"/>
      <c r="J57" s="1505"/>
      <c r="K57" s="1505"/>
      <c r="L57" s="1505"/>
      <c r="M57" s="1506"/>
      <c r="N57" s="709"/>
      <c r="O57" s="1243" t="s">
        <v>449</v>
      </c>
      <c r="P57" s="1511"/>
      <c r="Q57" s="1511"/>
      <c r="R57" s="488"/>
    </row>
    <row r="58" spans="2:18" ht="18.75" customHeight="1" x14ac:dyDescent="0.3">
      <c r="B58" s="599"/>
      <c r="C58" s="577"/>
      <c r="D58" s="578"/>
      <c r="E58" s="578"/>
      <c r="F58" s="578"/>
      <c r="G58" s="578"/>
      <c r="H58" s="578"/>
      <c r="I58" s="578"/>
      <c r="J58" s="578"/>
      <c r="K58" s="578"/>
      <c r="L58" s="578"/>
      <c r="M58" s="578"/>
      <c r="N58" s="578"/>
      <c r="O58" s="578"/>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765</v>
      </c>
      <c r="H61" s="506" t="s">
        <v>406</v>
      </c>
      <c r="I61" s="506" t="s">
        <v>428</v>
      </c>
      <c r="J61" s="1396" t="s">
        <v>476</v>
      </c>
      <c r="K61" s="1397"/>
      <c r="L61" s="1397"/>
      <c r="M61" s="1397"/>
      <c r="N61" s="1397"/>
      <c r="O61" s="1397"/>
      <c r="P61" s="1397"/>
      <c r="Q61" s="1398"/>
    </row>
    <row r="62" spans="2:18" ht="13.15" customHeight="1" x14ac:dyDescent="0.3">
      <c r="B62" s="533">
        <v>1</v>
      </c>
      <c r="C62" s="546" t="s">
        <v>766</v>
      </c>
      <c r="D62" s="1468" t="s">
        <v>767</v>
      </c>
      <c r="E62" s="1469"/>
      <c r="F62" s="1217"/>
      <c r="G62" s="1217"/>
      <c r="H62" s="710">
        <f>WaterHeating.R.Shower.SI</f>
        <v>9.5</v>
      </c>
      <c r="I62" s="1217" t="s">
        <v>768</v>
      </c>
      <c r="J62" s="1468" t="s">
        <v>769</v>
      </c>
      <c r="K62" s="1478"/>
      <c r="L62" s="1478"/>
      <c r="M62" s="1478"/>
      <c r="N62" s="1478"/>
      <c r="O62" s="1478"/>
      <c r="P62" s="1478"/>
      <c r="Q62" s="1469"/>
      <c r="R62" s="488"/>
    </row>
    <row r="63" spans="2:18" ht="13.15" customHeight="1" x14ac:dyDescent="0.3">
      <c r="B63" s="533">
        <v>2</v>
      </c>
      <c r="C63" s="546" t="s">
        <v>770</v>
      </c>
      <c r="D63" s="1468" t="s">
        <v>771</v>
      </c>
      <c r="E63" s="1469"/>
      <c r="F63" s="1217"/>
      <c r="G63" s="1217"/>
      <c r="H63" s="710">
        <v>7.8</v>
      </c>
      <c r="I63" s="1217" t="s">
        <v>772</v>
      </c>
      <c r="J63" s="1468" t="s">
        <v>773</v>
      </c>
      <c r="K63" s="1478"/>
      <c r="L63" s="1478"/>
      <c r="M63" s="1478"/>
      <c r="N63" s="1478"/>
      <c r="O63" s="1478"/>
      <c r="P63" s="1478"/>
      <c r="Q63" s="1469"/>
      <c r="R63" s="488"/>
    </row>
    <row r="64" spans="2:18" ht="14.5" customHeight="1" x14ac:dyDescent="0.3">
      <c r="B64" s="533">
        <v>3</v>
      </c>
      <c r="C64" s="546" t="s">
        <v>774</v>
      </c>
      <c r="D64" s="1468" t="s">
        <v>775</v>
      </c>
      <c r="E64" s="1469"/>
      <c r="F64" s="1217"/>
      <c r="G64" s="1217"/>
      <c r="H64" s="710">
        <v>38</v>
      </c>
      <c r="I64" s="1217" t="s">
        <v>776</v>
      </c>
      <c r="J64" s="1468" t="s">
        <v>777</v>
      </c>
      <c r="K64" s="1478"/>
      <c r="L64" s="1478"/>
      <c r="M64" s="1478"/>
      <c r="N64" s="1478"/>
      <c r="O64" s="1478"/>
      <c r="P64" s="1478"/>
      <c r="Q64" s="1469"/>
      <c r="R64" s="488"/>
    </row>
    <row r="65" spans="2:18" ht="14.5" customHeight="1" x14ac:dyDescent="0.3">
      <c r="B65" s="533">
        <v>4</v>
      </c>
      <c r="C65" s="546" t="s">
        <v>778</v>
      </c>
      <c r="D65" s="1468" t="s">
        <v>779</v>
      </c>
      <c r="E65" s="1469"/>
      <c r="F65" s="556" t="str">
        <f>$C$26</f>
        <v>Average</v>
      </c>
      <c r="G65" s="1217" t="s">
        <v>780</v>
      </c>
      <c r="H65" s="710">
        <f>INDEX(ClimateData[#All],MATCH(F65,ClimateData[[#All],[Region]],0),MATCH(G65,ClimateData[#Headers],0))</f>
        <v>5.3782145782145783</v>
      </c>
      <c r="I65" s="1217" t="s">
        <v>781</v>
      </c>
      <c r="J65" s="1437" t="s">
        <v>782</v>
      </c>
      <c r="K65" s="1560"/>
      <c r="L65" s="1560"/>
      <c r="M65" s="1560"/>
      <c r="N65" s="1560"/>
      <c r="O65" s="1560"/>
      <c r="P65" s="1560"/>
      <c r="Q65" s="1561"/>
      <c r="R65" s="488"/>
    </row>
    <row r="66" spans="2:18" ht="13.15" customHeight="1" x14ac:dyDescent="0.3">
      <c r="B66" s="533">
        <v>5</v>
      </c>
      <c r="C66" s="546" t="s">
        <v>783</v>
      </c>
      <c r="D66" s="1468" t="s">
        <v>784</v>
      </c>
      <c r="E66" s="1469"/>
      <c r="F66" s="1217"/>
      <c r="G66" s="1217"/>
      <c r="H66" s="710">
        <v>0.6</v>
      </c>
      <c r="I66" s="1217" t="s">
        <v>785</v>
      </c>
      <c r="J66" s="1472" t="s">
        <v>786</v>
      </c>
      <c r="K66" s="1473"/>
      <c r="L66" s="1473"/>
      <c r="M66" s="1473"/>
      <c r="N66" s="1473"/>
      <c r="O66" s="1473"/>
      <c r="P66" s="1473"/>
      <c r="Q66" s="1474"/>
      <c r="R66" s="488"/>
    </row>
    <row r="67" spans="2:18" ht="13.15" customHeight="1" x14ac:dyDescent="0.3">
      <c r="B67" s="533">
        <v>6</v>
      </c>
      <c r="C67" s="555" t="s">
        <v>787</v>
      </c>
      <c r="D67" s="1437" t="s">
        <v>788</v>
      </c>
      <c r="E67" s="1438"/>
      <c r="F67" s="557" t="s">
        <v>789</v>
      </c>
      <c r="G67" s="557" t="s">
        <v>790</v>
      </c>
      <c r="H67" s="711">
        <f>INDEX(BuildingType[],MATCH($C$28,BuildingType[Building],0),MATCH($G$67,BuildingType[#Headers],0))</f>
        <v>2.56</v>
      </c>
      <c r="I67" s="557" t="s">
        <v>791</v>
      </c>
      <c r="J67" s="1462" t="s">
        <v>792</v>
      </c>
      <c r="K67" s="1464"/>
      <c r="L67" s="1464"/>
      <c r="M67" s="1464"/>
      <c r="N67" s="1464"/>
      <c r="O67" s="1464"/>
      <c r="P67" s="1464"/>
      <c r="Q67" s="1463"/>
      <c r="R67" s="488"/>
    </row>
    <row r="68" spans="2:18" ht="13.15" customHeight="1" x14ac:dyDescent="0.3">
      <c r="B68" s="533">
        <v>7</v>
      </c>
      <c r="C68" s="555" t="s">
        <v>793</v>
      </c>
      <c r="D68" s="1437" t="s">
        <v>794</v>
      </c>
      <c r="E68" s="1438"/>
      <c r="F68" s="1217" t="str">
        <f>$C$30</f>
        <v>Natural gas</v>
      </c>
      <c r="G68" s="557" t="s">
        <v>795</v>
      </c>
      <c r="H68" s="559">
        <f>INDEX($B$96:$N$116,MATCH($F68,$C$96:$C$116,0),MATCH($G68,$B$96:$N$96,0))</f>
        <v>0.72500000000000009</v>
      </c>
      <c r="I68" s="557" t="s">
        <v>519</v>
      </c>
      <c r="J68" s="1472" t="s">
        <v>786</v>
      </c>
      <c r="K68" s="1473"/>
      <c r="L68" s="1473"/>
      <c r="M68" s="1473"/>
      <c r="N68" s="1473"/>
      <c r="O68" s="1473"/>
      <c r="P68" s="1473"/>
      <c r="Q68" s="1474"/>
      <c r="R68" s="488"/>
    </row>
    <row r="69" spans="2:18" ht="30.65" customHeight="1" x14ac:dyDescent="0.3">
      <c r="B69" s="533">
        <v>8</v>
      </c>
      <c r="C69" s="555" t="s">
        <v>796</v>
      </c>
      <c r="D69" s="1437" t="s">
        <v>797</v>
      </c>
      <c r="E69" s="1438"/>
      <c r="F69" s="1217"/>
      <c r="G69" s="557"/>
      <c r="H69" s="712">
        <v>0.53</v>
      </c>
      <c r="I69" s="557" t="s">
        <v>519</v>
      </c>
      <c r="J69" s="1472" t="s">
        <v>798</v>
      </c>
      <c r="K69" s="1473"/>
      <c r="L69" s="1473"/>
      <c r="M69" s="1473"/>
      <c r="N69" s="1473"/>
      <c r="O69" s="1473"/>
      <c r="P69" s="1473"/>
      <c r="Q69" s="1474"/>
      <c r="R69" s="488"/>
    </row>
    <row r="70" spans="2:18" ht="13.15" customHeight="1" x14ac:dyDescent="0.3">
      <c r="B70" s="533">
        <v>9</v>
      </c>
      <c r="C70" s="555" t="s">
        <v>799</v>
      </c>
      <c r="D70" s="1437" t="s">
        <v>800</v>
      </c>
      <c r="E70" s="1438"/>
      <c r="F70" s="556"/>
      <c r="G70" s="557"/>
      <c r="H70" s="554">
        <f>IF($C$30="Natural gas", 1,0)</f>
        <v>1</v>
      </c>
      <c r="I70" s="557" t="s">
        <v>519</v>
      </c>
      <c r="J70" s="1472" t="s">
        <v>801</v>
      </c>
      <c r="K70" s="1473"/>
      <c r="L70" s="1473"/>
      <c r="M70" s="1473"/>
      <c r="N70" s="1473"/>
      <c r="O70" s="1473"/>
      <c r="P70" s="1473"/>
      <c r="Q70" s="1474"/>
      <c r="R70" s="488"/>
    </row>
    <row r="71" spans="2:18" ht="26.5" customHeight="1" x14ac:dyDescent="0.3">
      <c r="B71" s="533">
        <v>10</v>
      </c>
      <c r="C71" s="555"/>
      <c r="D71" s="1437"/>
      <c r="E71" s="1438"/>
      <c r="F71" s="556"/>
      <c r="G71" s="557"/>
      <c r="H71" s="558"/>
      <c r="I71" s="557"/>
      <c r="J71" s="1472"/>
      <c r="K71" s="1473"/>
      <c r="L71" s="1473"/>
      <c r="M71" s="1473"/>
      <c r="N71" s="1473"/>
      <c r="O71" s="1473"/>
      <c r="P71" s="1473"/>
      <c r="Q71" s="1474"/>
      <c r="R71" s="488"/>
    </row>
    <row r="72" spans="2:18" s="491" customFormat="1" ht="13" x14ac:dyDescent="0.3">
      <c r="B72" s="536">
        <v>11</v>
      </c>
      <c r="C72" s="555"/>
      <c r="D72" s="1437"/>
      <c r="E72" s="1438"/>
      <c r="F72" s="556"/>
      <c r="G72" s="557"/>
      <c r="H72" s="558"/>
      <c r="I72" s="557"/>
      <c r="J72" s="1472"/>
      <c r="K72" s="1473"/>
      <c r="L72" s="1473"/>
      <c r="M72" s="1473"/>
      <c r="N72" s="1473"/>
      <c r="O72" s="1473"/>
      <c r="P72" s="1473"/>
      <c r="Q72" s="1474"/>
    </row>
    <row r="73" spans="2:18" s="491" customFormat="1" ht="13" x14ac:dyDescent="0.3">
      <c r="B73" s="536">
        <v>12</v>
      </c>
      <c r="C73" s="555"/>
      <c r="D73" s="1437"/>
      <c r="E73" s="1438"/>
      <c r="F73" s="556"/>
      <c r="G73" s="557"/>
      <c r="H73" s="558"/>
      <c r="I73" s="557"/>
      <c r="J73" s="1472"/>
      <c r="K73" s="1473"/>
      <c r="L73" s="1473"/>
      <c r="M73" s="1473"/>
      <c r="N73" s="1473"/>
      <c r="O73" s="1473"/>
      <c r="P73" s="1473"/>
      <c r="Q73" s="1474"/>
    </row>
    <row r="74" spans="2:18" s="491" customFormat="1" ht="13" x14ac:dyDescent="0.3">
      <c r="B74" s="536">
        <v>13</v>
      </c>
      <c r="C74" s="555"/>
      <c r="D74" s="1437"/>
      <c r="E74" s="1438"/>
      <c r="F74" s="556"/>
      <c r="G74" s="557"/>
      <c r="H74" s="556"/>
      <c r="I74" s="557"/>
      <c r="J74" s="1472"/>
      <c r="K74" s="1473"/>
      <c r="L74" s="1473"/>
      <c r="M74" s="1473"/>
      <c r="N74" s="1473"/>
      <c r="O74" s="1473"/>
      <c r="P74" s="1473"/>
      <c r="Q74" s="1474"/>
    </row>
    <row r="75" spans="2:18" s="489" customFormat="1" ht="13.15" customHeight="1" x14ac:dyDescent="0.3">
      <c r="B75" s="536">
        <v>14</v>
      </c>
      <c r="C75" s="555"/>
      <c r="D75" s="1437"/>
      <c r="E75" s="1438"/>
      <c r="F75" s="556"/>
      <c r="G75" s="557"/>
      <c r="H75" s="556"/>
      <c r="I75" s="557"/>
      <c r="J75" s="1472"/>
      <c r="K75" s="1473"/>
      <c r="L75" s="1473"/>
      <c r="M75" s="1473"/>
      <c r="N75" s="1473"/>
      <c r="O75" s="1473"/>
      <c r="P75" s="1473"/>
      <c r="Q75" s="1474"/>
    </row>
    <row r="76" spans="2:18" s="489" customFormat="1" ht="13" x14ac:dyDescent="0.3">
      <c r="B76" s="536">
        <v>15</v>
      </c>
      <c r="C76" s="555"/>
      <c r="D76" s="1437"/>
      <c r="E76" s="1438"/>
      <c r="F76" s="556"/>
      <c r="G76" s="557"/>
      <c r="H76" s="559"/>
      <c r="I76" s="557"/>
      <c r="J76" s="1472"/>
      <c r="K76" s="1473"/>
      <c r="L76" s="1473"/>
      <c r="M76" s="1473"/>
      <c r="N76" s="1473"/>
      <c r="O76" s="1473"/>
      <c r="P76" s="1473"/>
      <c r="Q76" s="1474"/>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182"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182"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c r="R85" s="488"/>
    </row>
    <row r="86" spans="2:18" ht="13" x14ac:dyDescent="0.3">
      <c r="B86" s="533">
        <v>6</v>
      </c>
      <c r="C86" s="560" t="s">
        <v>802</v>
      </c>
      <c r="D86" s="713">
        <f>4.2/1000000</f>
        <v>4.2000000000000004E-6</v>
      </c>
      <c r="E86" s="1182" t="s">
        <v>803</v>
      </c>
      <c r="F86" s="1489"/>
      <c r="G86" s="1490"/>
      <c r="H86" s="1490"/>
      <c r="I86" s="1490"/>
      <c r="J86" s="1490"/>
      <c r="K86" s="1490"/>
      <c r="L86" s="1490"/>
      <c r="M86" s="1490"/>
      <c r="N86" s="1490"/>
      <c r="O86" s="1490"/>
      <c r="P86" s="1490"/>
      <c r="Q86" s="1491"/>
      <c r="R86" s="488"/>
    </row>
    <row r="87" spans="2:18" ht="13" x14ac:dyDescent="0.3">
      <c r="B87" s="533">
        <v>7</v>
      </c>
      <c r="C87" s="563"/>
      <c r="D87" s="1233"/>
      <c r="E87" s="1182"/>
      <c r="F87" s="1489"/>
      <c r="G87" s="1490"/>
      <c r="H87" s="1490"/>
      <c r="I87" s="1490"/>
      <c r="J87" s="1490"/>
      <c r="K87" s="1490"/>
      <c r="L87" s="1490"/>
      <c r="M87" s="1490"/>
      <c r="N87" s="1490"/>
      <c r="O87" s="1490"/>
      <c r="P87" s="1490"/>
      <c r="Q87" s="1491"/>
      <c r="R87" s="488"/>
    </row>
    <row r="88" spans="2:18" ht="13" x14ac:dyDescent="0.3">
      <c r="B88" s="533">
        <v>8</v>
      </c>
      <c r="C88" s="563"/>
      <c r="D88" s="564"/>
      <c r="E88" s="1182"/>
      <c r="F88" s="1489"/>
      <c r="G88" s="1490"/>
      <c r="H88" s="1490"/>
      <c r="I88" s="1490"/>
      <c r="J88" s="1490"/>
      <c r="K88" s="1490"/>
      <c r="L88" s="1490"/>
      <c r="M88" s="1490"/>
      <c r="N88" s="1490"/>
      <c r="O88" s="1490"/>
      <c r="P88" s="1490"/>
      <c r="Q88" s="1491"/>
      <c r="R88" s="488"/>
    </row>
    <row r="89" spans="2:18" ht="13" x14ac:dyDescent="0.3">
      <c r="B89" s="533">
        <v>9</v>
      </c>
      <c r="C89" s="563"/>
      <c r="D89" s="1233"/>
      <c r="E89" s="1182"/>
      <c r="F89" s="1489"/>
      <c r="G89" s="1490"/>
      <c r="H89" s="1490"/>
      <c r="I89" s="1490"/>
      <c r="J89" s="1490"/>
      <c r="K89" s="1490"/>
      <c r="L89" s="1490"/>
      <c r="M89" s="1490"/>
      <c r="N89" s="1490"/>
      <c r="O89" s="1490"/>
      <c r="P89" s="1490"/>
      <c r="Q89" s="1491"/>
      <c r="R89" s="488"/>
    </row>
    <row r="90" spans="2:18" ht="13" x14ac:dyDescent="0.3">
      <c r="B90" s="533">
        <v>10</v>
      </c>
      <c r="C90" s="563"/>
      <c r="D90" s="564"/>
      <c r="E90" s="1182"/>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t="s">
        <v>804</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c r="R95" s="488"/>
    </row>
    <row r="96" spans="2:18" ht="25.5" customHeight="1" x14ac:dyDescent="0.3">
      <c r="B96" s="1188" t="s">
        <v>478</v>
      </c>
      <c r="C96" s="1402" t="s">
        <v>538</v>
      </c>
      <c r="D96" s="1431"/>
      <c r="E96" s="714" t="s">
        <v>795</v>
      </c>
      <c r="F96" s="565"/>
      <c r="G96" s="565"/>
      <c r="H96" s="565"/>
      <c r="I96" s="565"/>
      <c r="J96" s="565"/>
      <c r="K96" s="565"/>
      <c r="L96" s="565"/>
      <c r="M96" s="565"/>
      <c r="N96" s="566"/>
      <c r="O96" s="1410"/>
      <c r="P96" s="1411"/>
      <c r="Q96" s="1412"/>
      <c r="R96" s="488"/>
    </row>
    <row r="97" spans="2:18" ht="13" x14ac:dyDescent="0.3">
      <c r="B97" s="533">
        <v>1</v>
      </c>
      <c r="C97" s="546" t="s">
        <v>805</v>
      </c>
      <c r="D97" s="1184"/>
      <c r="E97" s="715">
        <v>0.78</v>
      </c>
      <c r="F97" s="1190"/>
      <c r="G97" s="1190"/>
      <c r="H97" s="1190"/>
      <c r="I97" s="568"/>
      <c r="J97" s="568"/>
      <c r="K97" s="568"/>
      <c r="L97" s="568"/>
      <c r="M97" s="568"/>
      <c r="N97" s="568"/>
      <c r="O97" s="1501"/>
      <c r="P97" s="1502"/>
      <c r="Q97" s="1503"/>
      <c r="R97" s="488"/>
    </row>
    <row r="98" spans="2:18" ht="13" x14ac:dyDescent="0.3">
      <c r="B98" s="533">
        <v>2</v>
      </c>
      <c r="C98" s="546" t="s">
        <v>806</v>
      </c>
      <c r="D98" s="1184"/>
      <c r="E98" s="715">
        <v>0.67</v>
      </c>
      <c r="F98" s="1190"/>
      <c r="G98" s="1190"/>
      <c r="H98" s="1190"/>
      <c r="I98" s="568"/>
      <c r="J98" s="568"/>
      <c r="K98" s="568"/>
      <c r="L98" s="568"/>
      <c r="M98" s="568"/>
      <c r="N98" s="568"/>
      <c r="O98" s="1495"/>
      <c r="P98" s="1496"/>
      <c r="Q98" s="1497"/>
      <c r="R98" s="488"/>
    </row>
    <row r="99" spans="2:18" ht="13" x14ac:dyDescent="0.3">
      <c r="B99" s="533">
        <v>3</v>
      </c>
      <c r="C99" s="546" t="s">
        <v>807</v>
      </c>
      <c r="D99" s="1184"/>
      <c r="E99" s="715">
        <v>0.98</v>
      </c>
      <c r="F99" s="1190"/>
      <c r="G99" s="1190"/>
      <c r="H99" s="1190"/>
      <c r="I99" s="568"/>
      <c r="J99" s="568"/>
      <c r="K99" s="568"/>
      <c r="L99" s="568"/>
      <c r="M99" s="568"/>
      <c r="N99" s="568"/>
      <c r="O99" s="1495"/>
      <c r="P99" s="1496"/>
      <c r="Q99" s="1497"/>
      <c r="R99" s="488"/>
    </row>
    <row r="100" spans="2:18" ht="26" x14ac:dyDescent="0.3">
      <c r="B100" s="533">
        <v>4</v>
      </c>
      <c r="C100" s="546" t="s">
        <v>34</v>
      </c>
      <c r="D100" s="1184" t="s">
        <v>808</v>
      </c>
      <c r="E100" s="609">
        <f>AVERAGE(E97:E98)</f>
        <v>0.72500000000000009</v>
      </c>
      <c r="F100" s="1190"/>
      <c r="G100" s="1190"/>
      <c r="H100" s="1190"/>
      <c r="I100" s="568"/>
      <c r="J100" s="568"/>
      <c r="K100" s="568"/>
      <c r="L100" s="568"/>
      <c r="M100" s="568"/>
      <c r="N100" s="568"/>
      <c r="O100" s="1495"/>
      <c r="P100" s="1496"/>
      <c r="Q100" s="1497"/>
      <c r="R100" s="488"/>
    </row>
    <row r="101" spans="2:18" ht="13" x14ac:dyDescent="0.3">
      <c r="B101" s="533">
        <v>5</v>
      </c>
      <c r="C101" s="546"/>
      <c r="D101" s="1184"/>
      <c r="E101" s="609"/>
      <c r="F101" s="1190"/>
      <c r="G101" s="1190"/>
      <c r="H101" s="1190"/>
      <c r="I101" s="568"/>
      <c r="J101" s="568"/>
      <c r="K101" s="568"/>
      <c r="L101" s="568"/>
      <c r="M101" s="568"/>
      <c r="N101" s="568"/>
      <c r="O101" s="1495"/>
      <c r="P101" s="1496"/>
      <c r="Q101" s="1497"/>
      <c r="R101" s="488"/>
    </row>
    <row r="102" spans="2:18" ht="13" x14ac:dyDescent="0.3">
      <c r="B102" s="533">
        <v>6</v>
      </c>
      <c r="C102" s="546"/>
      <c r="D102" s="570"/>
      <c r="E102" s="609"/>
      <c r="F102" s="622"/>
      <c r="G102" s="1190"/>
      <c r="H102" s="1190"/>
      <c r="I102" s="569"/>
      <c r="J102" s="569"/>
      <c r="K102" s="569"/>
      <c r="L102" s="569"/>
      <c r="M102" s="569"/>
      <c r="N102" s="569"/>
      <c r="O102" s="1492"/>
      <c r="P102" s="1493"/>
      <c r="Q102" s="1494"/>
      <c r="R102" s="488"/>
    </row>
    <row r="103" spans="2:18" ht="13" x14ac:dyDescent="0.3">
      <c r="B103" s="533">
        <v>7</v>
      </c>
      <c r="C103" s="546"/>
      <c r="D103" s="570"/>
      <c r="E103" s="609"/>
      <c r="F103" s="569"/>
      <c r="G103" s="569"/>
      <c r="H103" s="1190"/>
      <c r="I103" s="569"/>
      <c r="J103" s="569"/>
      <c r="K103" s="569"/>
      <c r="L103" s="569"/>
      <c r="M103" s="569"/>
      <c r="N103" s="569"/>
      <c r="O103" s="1492"/>
      <c r="P103" s="1493"/>
      <c r="Q103" s="1494"/>
      <c r="R103" s="488"/>
    </row>
    <row r="104" spans="2:18" ht="13" x14ac:dyDescent="0.3">
      <c r="B104" s="533">
        <v>8</v>
      </c>
      <c r="C104" s="546"/>
      <c r="D104" s="570"/>
      <c r="E104" s="609"/>
      <c r="F104" s="569"/>
      <c r="G104" s="569"/>
      <c r="H104" s="569"/>
      <c r="I104" s="569"/>
      <c r="J104" s="569"/>
      <c r="K104" s="569"/>
      <c r="L104" s="569"/>
      <c r="M104" s="569"/>
      <c r="N104" s="569"/>
      <c r="O104" s="1492"/>
      <c r="P104" s="1493"/>
      <c r="Q104" s="1494"/>
      <c r="R104" s="488"/>
    </row>
    <row r="105" spans="2:18" ht="13" x14ac:dyDescent="0.3">
      <c r="B105" s="533">
        <v>9</v>
      </c>
      <c r="C105" s="546"/>
      <c r="D105" s="570"/>
      <c r="E105" s="609"/>
      <c r="F105" s="1217"/>
      <c r="G105" s="1217"/>
      <c r="H105" s="1217"/>
      <c r="I105" s="569"/>
      <c r="J105" s="569"/>
      <c r="K105" s="569"/>
      <c r="L105" s="569"/>
      <c r="M105" s="569"/>
      <c r="N105" s="569"/>
      <c r="O105" s="1492"/>
      <c r="P105" s="1493"/>
      <c r="Q105" s="1494"/>
      <c r="R105" s="488"/>
    </row>
    <row r="106" spans="2:18" ht="13" x14ac:dyDescent="0.3">
      <c r="B106" s="533">
        <v>10</v>
      </c>
      <c r="C106" s="546"/>
      <c r="D106" s="570"/>
      <c r="E106" s="609"/>
      <c r="F106" s="1217"/>
      <c r="G106" s="1217"/>
      <c r="H106" s="1217"/>
      <c r="I106" s="569"/>
      <c r="J106" s="569"/>
      <c r="K106" s="569"/>
      <c r="L106" s="569"/>
      <c r="M106" s="569"/>
      <c r="N106" s="569"/>
      <c r="O106" s="1492"/>
      <c r="P106" s="1493"/>
      <c r="Q106" s="1494"/>
      <c r="R106" s="488"/>
    </row>
    <row r="107" spans="2:18" ht="13" x14ac:dyDescent="0.3">
      <c r="B107" s="533">
        <v>11</v>
      </c>
      <c r="C107" s="546"/>
      <c r="D107" s="570"/>
      <c r="E107" s="609"/>
      <c r="F107" s="1190"/>
      <c r="G107" s="571"/>
      <c r="H107" s="571"/>
      <c r="I107" s="569"/>
      <c r="J107" s="569"/>
      <c r="K107" s="569"/>
      <c r="L107" s="569"/>
      <c r="M107" s="569"/>
      <c r="N107" s="569"/>
      <c r="O107" s="1492"/>
      <c r="P107" s="1493"/>
      <c r="Q107" s="1494"/>
      <c r="R107" s="488"/>
    </row>
    <row r="108" spans="2:18" ht="13" x14ac:dyDescent="0.3">
      <c r="B108" s="533">
        <v>12</v>
      </c>
      <c r="C108" s="546"/>
      <c r="D108" s="570"/>
      <c r="E108" s="609"/>
      <c r="F108" s="1190"/>
      <c r="G108" s="1217"/>
      <c r="H108" s="1217"/>
      <c r="I108" s="569"/>
      <c r="J108" s="569"/>
      <c r="K108" s="569"/>
      <c r="L108" s="569"/>
      <c r="M108" s="569"/>
      <c r="N108" s="569"/>
      <c r="O108" s="1492"/>
      <c r="P108" s="1493"/>
      <c r="Q108" s="1494"/>
      <c r="R108" s="488"/>
    </row>
    <row r="109" spans="2:18" ht="13" x14ac:dyDescent="0.3">
      <c r="B109" s="533">
        <v>13</v>
      </c>
      <c r="C109" s="546"/>
      <c r="D109" s="570"/>
      <c r="E109" s="609"/>
      <c r="F109" s="1217"/>
      <c r="G109" s="1217"/>
      <c r="H109" s="1217"/>
      <c r="I109" s="569"/>
      <c r="J109" s="569"/>
      <c r="K109" s="569"/>
      <c r="L109" s="569"/>
      <c r="M109" s="569"/>
      <c r="N109" s="569"/>
      <c r="O109" s="1492"/>
      <c r="P109" s="1493"/>
      <c r="Q109" s="1494"/>
      <c r="R109" s="488"/>
    </row>
    <row r="110" spans="2:18" ht="13" x14ac:dyDescent="0.3">
      <c r="B110" s="533">
        <v>14</v>
      </c>
      <c r="C110" s="546"/>
      <c r="D110" s="570"/>
      <c r="E110" s="609"/>
      <c r="F110" s="572"/>
      <c r="G110" s="572"/>
      <c r="H110" s="572"/>
      <c r="I110" s="569"/>
      <c r="J110" s="569"/>
      <c r="K110" s="569"/>
      <c r="L110" s="569"/>
      <c r="M110" s="569"/>
      <c r="N110" s="569"/>
      <c r="O110" s="1492"/>
      <c r="P110" s="1493"/>
      <c r="Q110" s="1494"/>
      <c r="R110" s="488"/>
    </row>
    <row r="111" spans="2:18" ht="13" x14ac:dyDescent="0.3">
      <c r="B111" s="533">
        <v>15</v>
      </c>
      <c r="C111" s="546"/>
      <c r="D111" s="570"/>
      <c r="E111" s="609"/>
      <c r="F111" s="572"/>
      <c r="G111" s="572"/>
      <c r="H111" s="572"/>
      <c r="I111" s="569"/>
      <c r="J111" s="569"/>
      <c r="K111" s="569"/>
      <c r="L111" s="569"/>
      <c r="M111" s="569"/>
      <c r="N111" s="569"/>
      <c r="O111" s="1492"/>
      <c r="P111" s="1493"/>
      <c r="Q111" s="1494"/>
      <c r="R111" s="488"/>
    </row>
    <row r="112" spans="2:18" ht="13" x14ac:dyDescent="0.3">
      <c r="B112" s="533">
        <v>16</v>
      </c>
      <c r="C112" s="546"/>
      <c r="D112" s="570"/>
      <c r="E112" s="609"/>
      <c r="F112" s="572"/>
      <c r="G112" s="572"/>
      <c r="H112" s="572"/>
      <c r="I112" s="569"/>
      <c r="J112" s="569"/>
      <c r="K112" s="569"/>
      <c r="L112" s="569"/>
      <c r="M112" s="569"/>
      <c r="N112" s="569"/>
      <c r="O112" s="1492"/>
      <c r="P112" s="1493"/>
      <c r="Q112" s="1494"/>
      <c r="R112" s="488"/>
    </row>
    <row r="113" spans="2:18" ht="13" x14ac:dyDescent="0.3">
      <c r="B113" s="533">
        <v>17</v>
      </c>
      <c r="C113" s="546"/>
      <c r="D113" s="570"/>
      <c r="E113" s="609"/>
      <c r="F113" s="572"/>
      <c r="G113" s="572"/>
      <c r="H113" s="572"/>
      <c r="I113" s="569"/>
      <c r="J113" s="569"/>
      <c r="K113" s="569"/>
      <c r="L113" s="569"/>
      <c r="M113" s="569"/>
      <c r="N113" s="569"/>
      <c r="O113" s="1492"/>
      <c r="P113" s="1493"/>
      <c r="Q113" s="1494"/>
      <c r="R113" s="488"/>
    </row>
    <row r="114" spans="2:18" ht="13" x14ac:dyDescent="0.3">
      <c r="B114" s="533">
        <v>18</v>
      </c>
      <c r="C114" s="546"/>
      <c r="D114" s="570"/>
      <c r="E114" s="609"/>
      <c r="F114" s="572"/>
      <c r="G114" s="572"/>
      <c r="H114" s="572"/>
      <c r="I114" s="569"/>
      <c r="J114" s="569"/>
      <c r="K114" s="569"/>
      <c r="L114" s="569"/>
      <c r="M114" s="569"/>
      <c r="N114" s="569"/>
      <c r="O114" s="1492"/>
      <c r="P114" s="1493"/>
      <c r="Q114" s="1494"/>
      <c r="R114" s="488"/>
    </row>
    <row r="115" spans="2:18" ht="13" x14ac:dyDescent="0.3">
      <c r="B115" s="533">
        <v>19</v>
      </c>
      <c r="C115" s="546"/>
      <c r="D115" s="570"/>
      <c r="E115" s="609"/>
      <c r="F115" s="572"/>
      <c r="G115" s="572"/>
      <c r="H115" s="572"/>
      <c r="I115" s="569"/>
      <c r="J115" s="569"/>
      <c r="K115" s="569"/>
      <c r="L115" s="569"/>
      <c r="M115" s="569"/>
      <c r="N115" s="569"/>
      <c r="O115" s="1492"/>
      <c r="P115" s="1493"/>
      <c r="Q115" s="1494"/>
      <c r="R115" s="488"/>
    </row>
    <row r="116" spans="2:18" ht="13" x14ac:dyDescent="0.3">
      <c r="B116" s="533">
        <v>20</v>
      </c>
      <c r="C116" s="546"/>
      <c r="D116" s="570"/>
      <c r="E116" s="609"/>
      <c r="F116" s="572"/>
      <c r="G116" s="572"/>
      <c r="H116" s="572"/>
      <c r="I116" s="569"/>
      <c r="J116" s="569"/>
      <c r="K116" s="569"/>
      <c r="L116" s="569"/>
      <c r="M116" s="569"/>
      <c r="N116" s="569"/>
      <c r="O116" s="1492"/>
      <c r="P116" s="1493"/>
      <c r="Q116" s="1494"/>
      <c r="R116" s="488"/>
    </row>
    <row r="117" spans="2:18" ht="13" x14ac:dyDescent="0.3">
      <c r="B117" s="697"/>
      <c r="C117" s="698"/>
      <c r="D117" s="699"/>
      <c r="E117" s="700"/>
      <c r="F117" s="700"/>
      <c r="G117" s="700"/>
      <c r="H117" s="700"/>
      <c r="I117" s="701"/>
      <c r="J117" s="701"/>
      <c r="K117" s="701"/>
      <c r="L117" s="701"/>
      <c r="M117" s="701"/>
      <c r="N117" s="701"/>
      <c r="O117" s="701"/>
      <c r="P117" s="701"/>
      <c r="Q117" s="701"/>
      <c r="R117" s="488"/>
    </row>
    <row r="118" spans="2:18" ht="18.75" customHeight="1" x14ac:dyDescent="0.3">
      <c r="B118" s="702" t="s">
        <v>493</v>
      </c>
      <c r="E118" s="1662" t="s">
        <v>494</v>
      </c>
      <c r="F118" s="1663"/>
      <c r="G118" s="1663"/>
      <c r="H118" s="1663"/>
      <c r="I118" s="1663"/>
      <c r="J118" s="1663"/>
      <c r="K118" s="1663"/>
      <c r="L118" s="1663"/>
      <c r="M118" s="1663"/>
      <c r="N118" s="1663"/>
      <c r="O118" s="1664" t="s">
        <v>476</v>
      </c>
      <c r="P118" s="1665"/>
      <c r="Q118" s="1666"/>
      <c r="R118" s="488"/>
    </row>
    <row r="119" spans="2:18" ht="25.5" customHeight="1" x14ac:dyDescent="0.3">
      <c r="B119" s="1673" t="s">
        <v>809</v>
      </c>
      <c r="C119" s="1674"/>
      <c r="D119" s="1675"/>
      <c r="E119" s="703" t="s">
        <v>495</v>
      </c>
      <c r="F119" s="703" t="s">
        <v>496</v>
      </c>
      <c r="G119" s="703" t="s">
        <v>497</v>
      </c>
      <c r="H119" s="703" t="s">
        <v>498</v>
      </c>
      <c r="I119" s="703" t="s">
        <v>499</v>
      </c>
      <c r="J119" s="703" t="s">
        <v>500</v>
      </c>
      <c r="K119" s="703" t="s">
        <v>501</v>
      </c>
      <c r="L119" s="703" t="s">
        <v>502</v>
      </c>
      <c r="M119" s="703" t="s">
        <v>503</v>
      </c>
      <c r="N119" s="1213" t="s">
        <v>504</v>
      </c>
      <c r="O119" s="1667"/>
      <c r="P119" s="1668"/>
      <c r="Q119" s="1669"/>
      <c r="R119" s="488"/>
    </row>
    <row r="120" spans="2:18" ht="25.5" customHeight="1" x14ac:dyDescent="0.3">
      <c r="B120" s="704" t="s">
        <v>478</v>
      </c>
      <c r="C120" s="1662" t="s">
        <v>538</v>
      </c>
      <c r="D120" s="1676"/>
      <c r="E120" s="705" t="s">
        <v>810</v>
      </c>
      <c r="F120" s="525"/>
      <c r="G120" s="525"/>
      <c r="H120" s="525"/>
      <c r="I120" s="525"/>
      <c r="J120" s="525"/>
      <c r="K120" s="525"/>
      <c r="L120" s="525"/>
      <c r="M120" s="525"/>
      <c r="N120" s="1214"/>
      <c r="O120" s="1670"/>
      <c r="P120" s="1671"/>
      <c r="Q120" s="1672"/>
      <c r="R120" s="488"/>
    </row>
    <row r="121" spans="2:18" ht="13" x14ac:dyDescent="0.3">
      <c r="B121" s="1240">
        <v>1</v>
      </c>
      <c r="C121" s="515" t="s">
        <v>811</v>
      </c>
      <c r="D121" s="600"/>
      <c r="E121" s="706">
        <v>1.3</v>
      </c>
      <c r="F121" s="1239"/>
      <c r="G121" s="1239"/>
      <c r="H121" s="1239"/>
      <c r="I121" s="527"/>
      <c r="J121" s="527"/>
      <c r="K121" s="527"/>
      <c r="L121" s="527"/>
      <c r="M121" s="527"/>
      <c r="N121" s="527"/>
      <c r="O121" s="1432"/>
      <c r="P121" s="1433"/>
      <c r="Q121" s="1434"/>
      <c r="R121" s="488"/>
    </row>
    <row r="122" spans="2:18" ht="13" x14ac:dyDescent="0.3">
      <c r="B122" s="1240">
        <v>2</v>
      </c>
      <c r="C122" s="515" t="s">
        <v>812</v>
      </c>
      <c r="D122" s="600"/>
      <c r="E122" s="706">
        <v>1.3</v>
      </c>
      <c r="F122" s="1239"/>
      <c r="G122" s="1239"/>
      <c r="H122" s="1239"/>
      <c r="I122" s="527"/>
      <c r="J122" s="527"/>
      <c r="K122" s="527"/>
      <c r="L122" s="527"/>
      <c r="M122" s="527"/>
      <c r="N122" s="527"/>
      <c r="O122" s="1422"/>
      <c r="P122" s="1423"/>
      <c r="Q122" s="1424"/>
      <c r="R122" s="488"/>
    </row>
    <row r="123" spans="2:18" ht="13" x14ac:dyDescent="0.3">
      <c r="B123" s="1240">
        <v>3</v>
      </c>
      <c r="C123" s="515" t="s">
        <v>813</v>
      </c>
      <c r="D123" s="600"/>
      <c r="E123" s="706">
        <v>1.3</v>
      </c>
      <c r="F123" s="1239"/>
      <c r="G123" s="1239"/>
      <c r="H123" s="1239"/>
      <c r="I123" s="527"/>
      <c r="J123" s="527"/>
      <c r="K123" s="527"/>
      <c r="L123" s="527"/>
      <c r="M123" s="527"/>
      <c r="N123" s="527"/>
      <c r="O123" s="1422"/>
      <c r="P123" s="1423"/>
      <c r="Q123" s="1424"/>
      <c r="R123" s="488"/>
    </row>
    <row r="124" spans="2:18" ht="13" x14ac:dyDescent="0.3">
      <c r="B124" s="1240">
        <v>4</v>
      </c>
      <c r="C124" s="515" t="s">
        <v>569</v>
      </c>
      <c r="D124" s="600"/>
      <c r="E124" s="706">
        <v>1.3</v>
      </c>
      <c r="F124" s="1239"/>
      <c r="G124" s="1239"/>
      <c r="H124" s="1239"/>
      <c r="I124" s="527"/>
      <c r="J124" s="527"/>
      <c r="K124" s="527"/>
      <c r="L124" s="527"/>
      <c r="M124" s="527"/>
      <c r="N124" s="527"/>
      <c r="O124" s="1422"/>
      <c r="P124" s="1423"/>
      <c r="Q124" s="1424"/>
      <c r="R124" s="488"/>
    </row>
    <row r="125" spans="2:18" ht="13" x14ac:dyDescent="0.3">
      <c r="B125" s="1240">
        <v>5</v>
      </c>
      <c r="C125" s="515" t="s">
        <v>30</v>
      </c>
      <c r="D125" s="600"/>
      <c r="E125" s="706">
        <v>1.79</v>
      </c>
      <c r="F125" s="1239"/>
      <c r="G125" s="1239"/>
      <c r="H125" s="1239"/>
      <c r="I125" s="527"/>
      <c r="J125" s="527"/>
      <c r="K125" s="527"/>
      <c r="L125" s="527"/>
      <c r="M125" s="527"/>
      <c r="N125" s="527"/>
      <c r="O125" s="1422"/>
      <c r="P125" s="1423"/>
      <c r="Q125" s="1424"/>
      <c r="R125" s="488"/>
    </row>
    <row r="126" spans="2:18" ht="13" x14ac:dyDescent="0.3">
      <c r="B126" s="1240">
        <v>6</v>
      </c>
      <c r="C126" s="515" t="s">
        <v>814</v>
      </c>
      <c r="D126" s="1189"/>
      <c r="E126" s="706">
        <v>1.64</v>
      </c>
      <c r="F126" s="619"/>
      <c r="G126" s="1239"/>
      <c r="H126" s="1239"/>
      <c r="I126" s="528"/>
      <c r="J126" s="528"/>
      <c r="K126" s="528"/>
      <c r="L126" s="528"/>
      <c r="M126" s="528"/>
      <c r="N126" s="528"/>
      <c r="O126" s="1425"/>
      <c r="P126" s="1426"/>
      <c r="Q126" s="1427"/>
      <c r="R126" s="488"/>
    </row>
    <row r="127" spans="2:18" ht="13" x14ac:dyDescent="0.3">
      <c r="B127" s="1240">
        <v>7</v>
      </c>
      <c r="C127" s="515"/>
      <c r="D127" s="1189"/>
      <c r="E127" s="707"/>
      <c r="F127" s="528"/>
      <c r="G127" s="528"/>
      <c r="H127" s="1239"/>
      <c r="I127" s="528"/>
      <c r="J127" s="528"/>
      <c r="K127" s="528"/>
      <c r="L127" s="528"/>
      <c r="M127" s="528"/>
      <c r="N127" s="528"/>
      <c r="O127" s="1425"/>
      <c r="P127" s="1426"/>
      <c r="Q127" s="1427"/>
      <c r="R127" s="488"/>
    </row>
    <row r="128" spans="2:18" ht="13" x14ac:dyDescent="0.3">
      <c r="B128" s="1240">
        <v>8</v>
      </c>
      <c r="C128" s="515"/>
      <c r="D128" s="1189"/>
      <c r="E128" s="707"/>
      <c r="F128" s="528"/>
      <c r="G128" s="528"/>
      <c r="H128" s="528"/>
      <c r="I128" s="528"/>
      <c r="J128" s="528"/>
      <c r="K128" s="528"/>
      <c r="L128" s="528"/>
      <c r="M128" s="528"/>
      <c r="N128" s="528"/>
      <c r="O128" s="1425"/>
      <c r="P128" s="1426"/>
      <c r="Q128" s="1427"/>
      <c r="R128" s="488"/>
    </row>
    <row r="129" spans="2:18" ht="13" x14ac:dyDescent="0.3">
      <c r="B129" s="1240">
        <v>9</v>
      </c>
      <c r="C129" s="515"/>
      <c r="D129" s="1189"/>
      <c r="E129" s="707"/>
      <c r="F129" s="1240"/>
      <c r="G129" s="1240"/>
      <c r="H129" s="1240"/>
      <c r="I129" s="528"/>
      <c r="J129" s="528"/>
      <c r="K129" s="528"/>
      <c r="L129" s="528"/>
      <c r="M129" s="528"/>
      <c r="N129" s="528"/>
      <c r="O129" s="1425"/>
      <c r="P129" s="1426"/>
      <c r="Q129" s="1427"/>
      <c r="R129" s="488"/>
    </row>
    <row r="130" spans="2:18" ht="13" x14ac:dyDescent="0.3">
      <c r="B130" s="1240">
        <v>10</v>
      </c>
      <c r="C130" s="515"/>
      <c r="D130" s="1189"/>
      <c r="E130" s="707"/>
      <c r="F130" s="1240"/>
      <c r="G130" s="1240"/>
      <c r="H130" s="1240"/>
      <c r="I130" s="528"/>
      <c r="J130" s="528"/>
      <c r="K130" s="528"/>
      <c r="L130" s="528"/>
      <c r="M130" s="528"/>
      <c r="N130" s="528"/>
      <c r="O130" s="1425"/>
      <c r="P130" s="1426"/>
      <c r="Q130" s="1427"/>
      <c r="R130" s="488"/>
    </row>
    <row r="131" spans="2:18" ht="13" x14ac:dyDescent="0.3">
      <c r="B131" s="1240">
        <v>11</v>
      </c>
      <c r="C131" s="515"/>
      <c r="D131" s="1189"/>
      <c r="E131" s="707"/>
      <c r="F131" s="1239"/>
      <c r="G131" s="529"/>
      <c r="H131" s="529"/>
      <c r="I131" s="528"/>
      <c r="J131" s="528"/>
      <c r="K131" s="528"/>
      <c r="L131" s="528"/>
      <c r="M131" s="528"/>
      <c r="N131" s="528"/>
      <c r="O131" s="1425"/>
      <c r="P131" s="1426"/>
      <c r="Q131" s="1427"/>
      <c r="R131" s="488"/>
    </row>
    <row r="132" spans="2:18" ht="13" x14ac:dyDescent="0.3">
      <c r="B132" s="1240">
        <v>12</v>
      </c>
      <c r="C132" s="515"/>
      <c r="D132" s="1189"/>
      <c r="E132" s="707"/>
      <c r="F132" s="1239"/>
      <c r="G132" s="1240"/>
      <c r="H132" s="1240"/>
      <c r="I132" s="528"/>
      <c r="J132" s="528"/>
      <c r="K132" s="528"/>
      <c r="L132" s="528"/>
      <c r="M132" s="528"/>
      <c r="N132" s="528"/>
      <c r="O132" s="1425"/>
      <c r="P132" s="1426"/>
      <c r="Q132" s="1427"/>
      <c r="R132" s="488"/>
    </row>
    <row r="133" spans="2:18" ht="13" x14ac:dyDescent="0.3">
      <c r="B133" s="1240">
        <v>13</v>
      </c>
      <c r="C133" s="515"/>
      <c r="D133" s="1189"/>
      <c r="E133" s="707"/>
      <c r="F133" s="1240"/>
      <c r="G133" s="1240"/>
      <c r="H133" s="1240"/>
      <c r="I133" s="528"/>
      <c r="J133" s="528"/>
      <c r="K133" s="528"/>
      <c r="L133" s="528"/>
      <c r="M133" s="528"/>
      <c r="N133" s="528"/>
      <c r="O133" s="1425"/>
      <c r="P133" s="1426"/>
      <c r="Q133" s="1427"/>
      <c r="R133" s="488"/>
    </row>
    <row r="134" spans="2:18" ht="13" x14ac:dyDescent="0.3">
      <c r="B134" s="1240">
        <v>14</v>
      </c>
      <c r="C134" s="515"/>
      <c r="D134" s="1189"/>
      <c r="E134" s="707"/>
      <c r="F134" s="530"/>
      <c r="G134" s="530"/>
      <c r="H134" s="530"/>
      <c r="I134" s="528"/>
      <c r="J134" s="528"/>
      <c r="K134" s="528"/>
      <c r="L134" s="528"/>
      <c r="M134" s="528"/>
      <c r="N134" s="528"/>
      <c r="O134" s="1425"/>
      <c r="P134" s="1426"/>
      <c r="Q134" s="1427"/>
      <c r="R134" s="488"/>
    </row>
    <row r="135" spans="2:18" ht="13" x14ac:dyDescent="0.3">
      <c r="B135" s="1240">
        <v>15</v>
      </c>
      <c r="C135" s="515"/>
      <c r="D135" s="1189"/>
      <c r="E135" s="707"/>
      <c r="F135" s="530"/>
      <c r="G135" s="530"/>
      <c r="H135" s="530"/>
      <c r="I135" s="528"/>
      <c r="J135" s="528"/>
      <c r="K135" s="528"/>
      <c r="L135" s="528"/>
      <c r="M135" s="528"/>
      <c r="N135" s="528"/>
      <c r="O135" s="1425"/>
      <c r="P135" s="1426"/>
      <c r="Q135" s="1427"/>
      <c r="R135" s="488"/>
    </row>
    <row r="136" spans="2:18" ht="13" x14ac:dyDescent="0.3">
      <c r="B136" s="1240">
        <v>16</v>
      </c>
      <c r="C136" s="515"/>
      <c r="D136" s="1189"/>
      <c r="E136" s="707"/>
      <c r="F136" s="530"/>
      <c r="G136" s="530"/>
      <c r="H136" s="530"/>
      <c r="I136" s="528"/>
      <c r="J136" s="528"/>
      <c r="K136" s="528"/>
      <c r="L136" s="528"/>
      <c r="M136" s="528"/>
      <c r="N136" s="528"/>
      <c r="O136" s="1425"/>
      <c r="P136" s="1426"/>
      <c r="Q136" s="1427"/>
      <c r="R136" s="488"/>
    </row>
    <row r="137" spans="2:18" ht="13" x14ac:dyDescent="0.3">
      <c r="B137" s="1240">
        <v>17</v>
      </c>
      <c r="C137" s="515"/>
      <c r="D137" s="1189"/>
      <c r="E137" s="707"/>
      <c r="F137" s="530"/>
      <c r="G137" s="530"/>
      <c r="H137" s="530"/>
      <c r="I137" s="528"/>
      <c r="J137" s="528"/>
      <c r="K137" s="528"/>
      <c r="L137" s="528"/>
      <c r="M137" s="528"/>
      <c r="N137" s="528"/>
      <c r="O137" s="1425"/>
      <c r="P137" s="1426"/>
      <c r="Q137" s="1427"/>
      <c r="R137" s="488"/>
    </row>
    <row r="138" spans="2:18" ht="13" x14ac:dyDescent="0.3">
      <c r="B138" s="1240">
        <v>18</v>
      </c>
      <c r="C138" s="515"/>
      <c r="D138" s="1189"/>
      <c r="E138" s="707"/>
      <c r="F138" s="530"/>
      <c r="G138" s="530"/>
      <c r="H138" s="530"/>
      <c r="I138" s="528"/>
      <c r="J138" s="528"/>
      <c r="K138" s="528"/>
      <c r="L138" s="528"/>
      <c r="M138" s="528"/>
      <c r="N138" s="528"/>
      <c r="O138" s="1425"/>
      <c r="P138" s="1426"/>
      <c r="Q138" s="1427"/>
      <c r="R138" s="488"/>
    </row>
    <row r="139" spans="2:18" ht="13" x14ac:dyDescent="0.3">
      <c r="B139" s="1240">
        <v>19</v>
      </c>
      <c r="C139" s="515"/>
      <c r="D139" s="1189"/>
      <c r="E139" s="707"/>
      <c r="F139" s="530"/>
      <c r="G139" s="530"/>
      <c r="H139" s="530"/>
      <c r="I139" s="528"/>
      <c r="J139" s="528"/>
      <c r="K139" s="528"/>
      <c r="L139" s="528"/>
      <c r="M139" s="528"/>
      <c r="N139" s="528"/>
      <c r="O139" s="1425"/>
      <c r="P139" s="1426"/>
      <c r="Q139" s="1427"/>
      <c r="R139" s="488"/>
    </row>
    <row r="140" spans="2:18" ht="13" x14ac:dyDescent="0.3">
      <c r="B140" s="1240">
        <v>20</v>
      </c>
      <c r="C140" s="515"/>
      <c r="D140" s="1189"/>
      <c r="E140" s="707"/>
      <c r="F140" s="530"/>
      <c r="G140" s="530"/>
      <c r="H140" s="530"/>
      <c r="I140" s="528"/>
      <c r="J140" s="528"/>
      <c r="K140" s="528"/>
      <c r="L140" s="528"/>
      <c r="M140" s="528"/>
      <c r="N140" s="528"/>
      <c r="O140" s="1425"/>
      <c r="P140" s="1426"/>
      <c r="Q140" s="1427"/>
      <c r="R140" s="488"/>
    </row>
    <row r="142" spans="2:18" ht="18.75" customHeight="1" x14ac:dyDescent="0.3">
      <c r="B142" s="702" t="s">
        <v>493</v>
      </c>
      <c r="E142" s="1662" t="s">
        <v>494</v>
      </c>
      <c r="F142" s="1663"/>
      <c r="G142" s="1663"/>
      <c r="H142" s="1663"/>
      <c r="I142" s="1663"/>
      <c r="J142" s="1663"/>
      <c r="K142" s="1663"/>
      <c r="L142" s="1663"/>
      <c r="M142" s="1663"/>
      <c r="N142" s="1663"/>
      <c r="O142" s="1664" t="s">
        <v>476</v>
      </c>
      <c r="P142" s="1665"/>
      <c r="Q142" s="1666"/>
      <c r="R142" s="488"/>
    </row>
    <row r="143" spans="2:18" ht="18.75" customHeight="1" x14ac:dyDescent="0.3">
      <c r="B143" s="1673" t="s">
        <v>750</v>
      </c>
      <c r="C143" s="1674"/>
      <c r="D143" s="1675"/>
      <c r="E143" s="703" t="s">
        <v>495</v>
      </c>
      <c r="F143" s="703" t="s">
        <v>496</v>
      </c>
      <c r="G143" s="703" t="s">
        <v>497</v>
      </c>
      <c r="H143" s="703" t="s">
        <v>498</v>
      </c>
      <c r="I143" s="703" t="s">
        <v>499</v>
      </c>
      <c r="J143" s="703" t="s">
        <v>500</v>
      </c>
      <c r="K143" s="703" t="s">
        <v>501</v>
      </c>
      <c r="L143" s="703" t="s">
        <v>502</v>
      </c>
      <c r="M143" s="703" t="s">
        <v>503</v>
      </c>
      <c r="N143" s="1213" t="s">
        <v>504</v>
      </c>
      <c r="O143" s="1667"/>
      <c r="P143" s="1668"/>
      <c r="Q143" s="1669"/>
      <c r="R143" s="488"/>
    </row>
    <row r="144" spans="2:18" ht="18.75" customHeight="1" x14ac:dyDescent="0.3">
      <c r="B144" s="704" t="s">
        <v>478</v>
      </c>
      <c r="C144" s="1662" t="s">
        <v>538</v>
      </c>
      <c r="D144" s="1676"/>
      <c r="E144" s="705" t="s">
        <v>750</v>
      </c>
      <c r="F144" s="525"/>
      <c r="G144" s="525"/>
      <c r="H144" s="525"/>
      <c r="I144" s="525"/>
      <c r="J144" s="525"/>
      <c r="K144" s="525"/>
      <c r="L144" s="525"/>
      <c r="M144" s="525"/>
      <c r="N144" s="1214"/>
      <c r="O144" s="1670"/>
      <c r="P144" s="1671"/>
      <c r="Q144" s="1672"/>
      <c r="R144" s="488"/>
    </row>
    <row r="145" spans="2:18" ht="18.75" customHeight="1" x14ac:dyDescent="0.3">
      <c r="B145" s="1240">
        <v>1</v>
      </c>
      <c r="C145" s="515" t="s">
        <v>811</v>
      </c>
      <c r="D145" s="600"/>
      <c r="E145" s="706"/>
      <c r="F145" s="1239"/>
      <c r="G145" s="1239"/>
      <c r="H145" s="1239"/>
      <c r="I145" s="527"/>
      <c r="J145" s="527"/>
      <c r="K145" s="527"/>
      <c r="L145" s="527"/>
      <c r="M145" s="527"/>
      <c r="N145" s="527"/>
      <c r="O145" s="1432"/>
      <c r="P145" s="1433"/>
      <c r="Q145" s="1434"/>
      <c r="R145" s="488"/>
    </row>
    <row r="146" spans="2:18" ht="18.75" customHeight="1" x14ac:dyDescent="0.3">
      <c r="B146" s="1240">
        <v>2</v>
      </c>
      <c r="C146" s="515" t="s">
        <v>812</v>
      </c>
      <c r="D146" s="600"/>
      <c r="E146" s="706"/>
      <c r="F146" s="1239"/>
      <c r="G146" s="1239"/>
      <c r="H146" s="1239"/>
      <c r="I146" s="527"/>
      <c r="J146" s="527"/>
      <c r="K146" s="527"/>
      <c r="L146" s="527"/>
      <c r="M146" s="527"/>
      <c r="N146" s="527"/>
      <c r="O146" s="1422"/>
      <c r="P146" s="1423"/>
      <c r="Q146" s="1424"/>
      <c r="R146" s="488"/>
    </row>
    <row r="147" spans="2:18" ht="18.75" customHeight="1" x14ac:dyDescent="0.3">
      <c r="B147" s="1240">
        <v>3</v>
      </c>
      <c r="C147" s="515"/>
      <c r="D147" s="600"/>
      <c r="E147" s="706"/>
      <c r="F147" s="1239"/>
      <c r="G147" s="1239"/>
      <c r="H147" s="1239"/>
      <c r="I147" s="527"/>
      <c r="J147" s="527"/>
      <c r="K147" s="527"/>
      <c r="L147" s="527"/>
      <c r="M147" s="527"/>
      <c r="N147" s="527"/>
      <c r="O147" s="1422"/>
      <c r="P147" s="1423"/>
      <c r="Q147" s="1424"/>
      <c r="R147" s="488"/>
    </row>
    <row r="148" spans="2:18" ht="18.75" customHeight="1" x14ac:dyDescent="0.3">
      <c r="B148" s="1240">
        <v>4</v>
      </c>
      <c r="C148" s="515"/>
      <c r="D148" s="600"/>
      <c r="E148" s="706"/>
      <c r="F148" s="1239"/>
      <c r="G148" s="1239"/>
      <c r="H148" s="1239"/>
      <c r="I148" s="527"/>
      <c r="J148" s="527"/>
      <c r="K148" s="527"/>
      <c r="L148" s="527"/>
      <c r="M148" s="527"/>
      <c r="N148" s="527"/>
      <c r="O148" s="1422"/>
      <c r="P148" s="1423"/>
      <c r="Q148" s="1424"/>
      <c r="R148" s="488"/>
    </row>
    <row r="149" spans="2:18" ht="18.75" customHeight="1" x14ac:dyDescent="0.3">
      <c r="B149" s="1240">
        <v>5</v>
      </c>
      <c r="C149" s="515"/>
      <c r="D149" s="600"/>
      <c r="E149" s="706"/>
      <c r="F149" s="1239"/>
      <c r="G149" s="1239"/>
      <c r="H149" s="1239"/>
      <c r="I149" s="527"/>
      <c r="J149" s="527"/>
      <c r="K149" s="527"/>
      <c r="L149" s="527"/>
      <c r="M149" s="527"/>
      <c r="N149" s="527"/>
      <c r="O149" s="1422"/>
      <c r="P149" s="1423"/>
      <c r="Q149" s="1424"/>
      <c r="R149" s="488"/>
    </row>
    <row r="150" spans="2:18" ht="18.75" customHeight="1" x14ac:dyDescent="0.3">
      <c r="B150" s="1240">
        <v>6</v>
      </c>
      <c r="C150" s="515"/>
      <c r="D150" s="1189"/>
      <c r="E150" s="706"/>
      <c r="F150" s="619"/>
      <c r="G150" s="1239"/>
      <c r="H150" s="1239"/>
      <c r="I150" s="528"/>
      <c r="J150" s="528"/>
      <c r="K150" s="528"/>
      <c r="L150" s="528"/>
      <c r="M150" s="528"/>
      <c r="N150" s="528"/>
      <c r="O150" s="1425"/>
      <c r="P150" s="1426"/>
      <c r="Q150" s="1427"/>
      <c r="R150" s="488"/>
    </row>
    <row r="151" spans="2:18" ht="18.75" customHeight="1" x14ac:dyDescent="0.3">
      <c r="B151" s="1240">
        <v>7</v>
      </c>
      <c r="C151" s="515"/>
      <c r="D151" s="1189"/>
      <c r="E151" s="707"/>
      <c r="F151" s="528"/>
      <c r="G151" s="528"/>
      <c r="H151" s="1239"/>
      <c r="I151" s="528"/>
      <c r="J151" s="528"/>
      <c r="K151" s="528"/>
      <c r="L151" s="528"/>
      <c r="M151" s="528"/>
      <c r="N151" s="528"/>
      <c r="O151" s="1425"/>
      <c r="P151" s="1426"/>
      <c r="Q151" s="1427"/>
      <c r="R151" s="488"/>
    </row>
    <row r="152" spans="2:18" ht="18.75" customHeight="1" x14ac:dyDescent="0.3">
      <c r="B152" s="1240">
        <v>8</v>
      </c>
      <c r="C152" s="515"/>
      <c r="D152" s="1189"/>
      <c r="E152" s="707"/>
      <c r="F152" s="528"/>
      <c r="G152" s="528"/>
      <c r="H152" s="528"/>
      <c r="I152" s="528"/>
      <c r="J152" s="528"/>
      <c r="K152" s="528"/>
      <c r="L152" s="528"/>
      <c r="M152" s="528"/>
      <c r="N152" s="528"/>
      <c r="O152" s="1425"/>
      <c r="P152" s="1426"/>
      <c r="Q152" s="1427"/>
      <c r="R152" s="488"/>
    </row>
    <row r="153" spans="2:18" ht="18.75" customHeight="1" x14ac:dyDescent="0.3">
      <c r="B153" s="1240">
        <v>9</v>
      </c>
      <c r="C153" s="515"/>
      <c r="D153" s="1189"/>
      <c r="E153" s="707"/>
      <c r="F153" s="1240"/>
      <c r="G153" s="1240"/>
      <c r="H153" s="1240"/>
      <c r="I153" s="528"/>
      <c r="J153" s="528"/>
      <c r="K153" s="528"/>
      <c r="L153" s="528"/>
      <c r="M153" s="528"/>
      <c r="N153" s="528"/>
      <c r="O153" s="1425"/>
      <c r="P153" s="1426"/>
      <c r="Q153" s="1427"/>
      <c r="R153" s="488"/>
    </row>
    <row r="154" spans="2:18" ht="18.75" customHeight="1" x14ac:dyDescent="0.3">
      <c r="B154" s="1240">
        <v>10</v>
      </c>
      <c r="C154" s="515"/>
      <c r="D154" s="1189"/>
      <c r="E154" s="707"/>
      <c r="F154" s="1240"/>
      <c r="G154" s="1240"/>
      <c r="H154" s="1240"/>
      <c r="I154" s="528"/>
      <c r="J154" s="528"/>
      <c r="K154" s="528"/>
      <c r="L154" s="528"/>
      <c r="M154" s="528"/>
      <c r="N154" s="528"/>
      <c r="O154" s="1425"/>
      <c r="P154" s="1426"/>
      <c r="Q154" s="1427"/>
      <c r="R154" s="488"/>
    </row>
    <row r="155" spans="2:18" ht="18.75" customHeight="1" x14ac:dyDescent="0.3">
      <c r="B155" s="1240">
        <v>11</v>
      </c>
      <c r="C155" s="515"/>
      <c r="D155" s="1189"/>
      <c r="E155" s="707"/>
      <c r="F155" s="1239"/>
      <c r="G155" s="529"/>
      <c r="H155" s="529"/>
      <c r="I155" s="528"/>
      <c r="J155" s="528"/>
      <c r="K155" s="528"/>
      <c r="L155" s="528"/>
      <c r="M155" s="528"/>
      <c r="N155" s="528"/>
      <c r="O155" s="1425"/>
      <c r="P155" s="1426"/>
      <c r="Q155" s="1427"/>
      <c r="R155" s="488"/>
    </row>
    <row r="156" spans="2:18" ht="18.75" customHeight="1" x14ac:dyDescent="0.3">
      <c r="B156" s="1240">
        <v>12</v>
      </c>
      <c r="C156" s="515"/>
      <c r="D156" s="1189"/>
      <c r="E156" s="707"/>
      <c r="F156" s="1239"/>
      <c r="G156" s="1240"/>
      <c r="H156" s="1240"/>
      <c r="I156" s="528"/>
      <c r="J156" s="528"/>
      <c r="K156" s="528"/>
      <c r="L156" s="528"/>
      <c r="M156" s="528"/>
      <c r="N156" s="528"/>
      <c r="O156" s="1425"/>
      <c r="P156" s="1426"/>
      <c r="Q156" s="1427"/>
      <c r="R156" s="488"/>
    </row>
    <row r="157" spans="2:18" ht="18.75" customHeight="1" x14ac:dyDescent="0.3">
      <c r="B157" s="1240">
        <v>13</v>
      </c>
      <c r="C157" s="515"/>
      <c r="D157" s="1189"/>
      <c r="E157" s="707"/>
      <c r="F157" s="1240"/>
      <c r="G157" s="1240"/>
      <c r="H157" s="1240"/>
      <c r="I157" s="528"/>
      <c r="J157" s="528"/>
      <c r="K157" s="528"/>
      <c r="L157" s="528"/>
      <c r="M157" s="528"/>
      <c r="N157" s="528"/>
      <c r="O157" s="1425"/>
      <c r="P157" s="1426"/>
      <c r="Q157" s="1427"/>
      <c r="R157" s="488"/>
    </row>
    <row r="158" spans="2:18" ht="18.75" customHeight="1" x14ac:dyDescent="0.3">
      <c r="B158" s="1240">
        <v>14</v>
      </c>
      <c r="C158" s="515"/>
      <c r="D158" s="1189"/>
      <c r="E158" s="707"/>
      <c r="F158" s="530"/>
      <c r="G158" s="530"/>
      <c r="H158" s="530"/>
      <c r="I158" s="528"/>
      <c r="J158" s="528"/>
      <c r="K158" s="528"/>
      <c r="L158" s="528"/>
      <c r="M158" s="528"/>
      <c r="N158" s="528"/>
      <c r="O158" s="1425"/>
      <c r="P158" s="1426"/>
      <c r="Q158" s="1427"/>
      <c r="R158" s="488"/>
    </row>
    <row r="159" spans="2:18" ht="18.75" customHeight="1" x14ac:dyDescent="0.3">
      <c r="B159" s="1240">
        <v>15</v>
      </c>
      <c r="C159" s="515"/>
      <c r="D159" s="1189"/>
      <c r="E159" s="707"/>
      <c r="F159" s="530"/>
      <c r="G159" s="530"/>
      <c r="H159" s="530"/>
      <c r="I159" s="528"/>
      <c r="J159" s="528"/>
      <c r="K159" s="528"/>
      <c r="L159" s="528"/>
      <c r="M159" s="528"/>
      <c r="N159" s="528"/>
      <c r="O159" s="1425"/>
      <c r="P159" s="1426"/>
      <c r="Q159" s="1427"/>
      <c r="R159" s="488"/>
    </row>
    <row r="160" spans="2:18" ht="18.75" customHeight="1" x14ac:dyDescent="0.3">
      <c r="B160" s="1240">
        <v>16</v>
      </c>
      <c r="C160" s="515"/>
      <c r="D160" s="1189"/>
      <c r="E160" s="707"/>
      <c r="F160" s="530"/>
      <c r="G160" s="530"/>
      <c r="H160" s="530"/>
      <c r="I160" s="528"/>
      <c r="J160" s="528"/>
      <c r="K160" s="528"/>
      <c r="L160" s="528"/>
      <c r="M160" s="528"/>
      <c r="N160" s="528"/>
      <c r="O160" s="1425"/>
      <c r="P160" s="1426"/>
      <c r="Q160" s="1427"/>
      <c r="R160" s="488"/>
    </row>
    <row r="161" spans="2:18" ht="18.75" customHeight="1" x14ac:dyDescent="0.3">
      <c r="B161" s="1240">
        <v>17</v>
      </c>
      <c r="C161" s="515"/>
      <c r="D161" s="1189"/>
      <c r="E161" s="707"/>
      <c r="F161" s="530"/>
      <c r="G161" s="530"/>
      <c r="H161" s="530"/>
      <c r="I161" s="528"/>
      <c r="J161" s="528"/>
      <c r="K161" s="528"/>
      <c r="L161" s="528"/>
      <c r="M161" s="528"/>
      <c r="N161" s="528"/>
      <c r="O161" s="1425"/>
      <c r="P161" s="1426"/>
      <c r="Q161" s="1427"/>
      <c r="R161" s="488"/>
    </row>
    <row r="162" spans="2:18" ht="18.75" customHeight="1" x14ac:dyDescent="0.3">
      <c r="B162" s="1240">
        <v>18</v>
      </c>
      <c r="C162" s="515"/>
      <c r="D162" s="1189"/>
      <c r="E162" s="707"/>
      <c r="F162" s="530"/>
      <c r="G162" s="530"/>
      <c r="H162" s="530"/>
      <c r="I162" s="528"/>
      <c r="J162" s="528"/>
      <c r="K162" s="528"/>
      <c r="L162" s="528"/>
      <c r="M162" s="528"/>
      <c r="N162" s="528"/>
      <c r="O162" s="1425"/>
      <c r="P162" s="1426"/>
      <c r="Q162" s="1427"/>
      <c r="R162" s="488"/>
    </row>
    <row r="163" spans="2:18" ht="18.75" customHeight="1" x14ac:dyDescent="0.3">
      <c r="B163" s="1240">
        <v>19</v>
      </c>
      <c r="C163" s="515"/>
      <c r="D163" s="1189"/>
      <c r="E163" s="707"/>
      <c r="F163" s="530"/>
      <c r="G163" s="530"/>
      <c r="H163" s="530"/>
      <c r="I163" s="528"/>
      <c r="J163" s="528"/>
      <c r="K163" s="528"/>
      <c r="L163" s="528"/>
      <c r="M163" s="528"/>
      <c r="N163" s="528"/>
      <c r="O163" s="1425"/>
      <c r="P163" s="1426"/>
      <c r="Q163" s="1427"/>
      <c r="R163" s="488"/>
    </row>
    <row r="164" spans="2:18" ht="18.75" customHeight="1" x14ac:dyDescent="0.3">
      <c r="B164" s="1240">
        <v>20</v>
      </c>
      <c r="C164" s="515"/>
      <c r="D164" s="1189"/>
      <c r="E164" s="707"/>
      <c r="F164" s="530"/>
      <c r="G164" s="530"/>
      <c r="H164" s="530"/>
      <c r="I164" s="528"/>
      <c r="J164" s="528"/>
      <c r="K164" s="528"/>
      <c r="L164" s="528"/>
      <c r="M164" s="528"/>
      <c r="N164" s="528"/>
      <c r="O164" s="1425"/>
      <c r="P164" s="1426"/>
      <c r="Q164" s="1427"/>
      <c r="R164" s="488"/>
    </row>
  </sheetData>
  <sheetProtection algorithmName="SHA-512" hashValue="u7Osjzbdpa1r/5p3yYRH3BdGO1/77cIMwW6hntDLoL6/AH6sdquofTBIe4TK+vtm6Po6pQ11WI9sybf/mrdSVQ==" saltValue="ixAGuUd9HJMHwu8/7R6QWQ==" spinCount="100000" sheet="1" objects="1" scenarios="1" selectLockedCells="1" selectUnlockedCells="1"/>
  <mergeCells count="169">
    <mergeCell ref="O140:Q140"/>
    <mergeCell ref="D72:E72"/>
    <mergeCell ref="J72:Q72"/>
    <mergeCell ref="D63:E63"/>
    <mergeCell ref="D64:E64"/>
    <mergeCell ref="J63:Q63"/>
    <mergeCell ref="J64:Q64"/>
    <mergeCell ref="D70:E70"/>
    <mergeCell ref="J70:Q70"/>
    <mergeCell ref="O134:Q134"/>
    <mergeCell ref="O135:Q135"/>
    <mergeCell ref="O136:Q136"/>
    <mergeCell ref="O137:Q137"/>
    <mergeCell ref="O138:Q138"/>
    <mergeCell ref="O139:Q139"/>
    <mergeCell ref="O128:Q128"/>
    <mergeCell ref="O129:Q129"/>
    <mergeCell ref="O130:Q130"/>
    <mergeCell ref="O131:Q131"/>
    <mergeCell ref="O132:Q132"/>
    <mergeCell ref="O133:Q133"/>
    <mergeCell ref="E118:N118"/>
    <mergeCell ref="B119:D119"/>
    <mergeCell ref="C120:D120"/>
    <mergeCell ref="O126:Q126"/>
    <mergeCell ref="O127:Q127"/>
    <mergeCell ref="O107:Q107"/>
    <mergeCell ref="O108:Q108"/>
    <mergeCell ref="O109:Q109"/>
    <mergeCell ref="O110:Q110"/>
    <mergeCell ref="O111:Q111"/>
    <mergeCell ref="O112:Q112"/>
    <mergeCell ref="O118:Q120"/>
    <mergeCell ref="O121:Q121"/>
    <mergeCell ref="O122:Q122"/>
    <mergeCell ref="O123:Q123"/>
    <mergeCell ref="O113:Q113"/>
    <mergeCell ref="O114:Q114"/>
    <mergeCell ref="O115:Q115"/>
    <mergeCell ref="O116:Q116"/>
    <mergeCell ref="O124:Q124"/>
    <mergeCell ref="O125:Q125"/>
    <mergeCell ref="O101:Q101"/>
    <mergeCell ref="O102:Q102"/>
    <mergeCell ref="O103:Q103"/>
    <mergeCell ref="O104:Q104"/>
    <mergeCell ref="O105:Q105"/>
    <mergeCell ref="O106:Q106"/>
    <mergeCell ref="B95:D95"/>
    <mergeCell ref="C96:D96"/>
    <mergeCell ref="O97:Q97"/>
    <mergeCell ref="O98:Q98"/>
    <mergeCell ref="O99:Q99"/>
    <mergeCell ref="O100:Q100"/>
    <mergeCell ref="F86:Q86"/>
    <mergeCell ref="F87:Q87"/>
    <mergeCell ref="F88:Q88"/>
    <mergeCell ref="F89:Q89"/>
    <mergeCell ref="F90:Q90"/>
    <mergeCell ref="E94:N94"/>
    <mergeCell ref="O94:Q96"/>
    <mergeCell ref="F80:Q80"/>
    <mergeCell ref="F81:Q81"/>
    <mergeCell ref="F82:Q82"/>
    <mergeCell ref="F83:Q83"/>
    <mergeCell ref="F84:Q84"/>
    <mergeCell ref="F85:Q85"/>
    <mergeCell ref="D74:E74"/>
    <mergeCell ref="J74:Q74"/>
    <mergeCell ref="D75:E75"/>
    <mergeCell ref="J75:Q75"/>
    <mergeCell ref="D76:E76"/>
    <mergeCell ref="J76:Q76"/>
    <mergeCell ref="D73:E73"/>
    <mergeCell ref="J73:Q73"/>
    <mergeCell ref="D68:E68"/>
    <mergeCell ref="J68:Q68"/>
    <mergeCell ref="D69:E69"/>
    <mergeCell ref="J69:Q69"/>
    <mergeCell ref="D71:E71"/>
    <mergeCell ref="J71:Q71"/>
    <mergeCell ref="D65:E65"/>
    <mergeCell ref="J65:Q65"/>
    <mergeCell ref="D66:E66"/>
    <mergeCell ref="J66:Q66"/>
    <mergeCell ref="D67:E67"/>
    <mergeCell ref="J67:Q67"/>
    <mergeCell ref="D62:E62"/>
    <mergeCell ref="J62:Q62"/>
    <mergeCell ref="C56:M56"/>
    <mergeCell ref="P56:Q56"/>
    <mergeCell ref="C57:M57"/>
    <mergeCell ref="P57:Q57"/>
    <mergeCell ref="D61:E61"/>
    <mergeCell ref="J61:Q61"/>
    <mergeCell ref="C53:M53"/>
    <mergeCell ref="P53:Q53"/>
    <mergeCell ref="C54:M54"/>
    <mergeCell ref="P54:Q54"/>
    <mergeCell ref="C55:M55"/>
    <mergeCell ref="P55:Q55"/>
    <mergeCell ref="C49:M49"/>
    <mergeCell ref="P49:Q49"/>
    <mergeCell ref="C50:M50"/>
    <mergeCell ref="P50:Q50"/>
    <mergeCell ref="C51:M51"/>
    <mergeCell ref="P51:Q51"/>
    <mergeCell ref="C45:M45"/>
    <mergeCell ref="P45:Q45"/>
    <mergeCell ref="C47:M47"/>
    <mergeCell ref="P47:Q47"/>
    <mergeCell ref="C48:M48"/>
    <mergeCell ref="P48:Q48"/>
    <mergeCell ref="C42:M42"/>
    <mergeCell ref="P42:Q42"/>
    <mergeCell ref="C43:M43"/>
    <mergeCell ref="P43:Q43"/>
    <mergeCell ref="C44:M44"/>
    <mergeCell ref="P44:Q44"/>
    <mergeCell ref="E34:Q34"/>
    <mergeCell ref="E35:Q35"/>
    <mergeCell ref="E36:Q36"/>
    <mergeCell ref="E37:Q37"/>
    <mergeCell ref="C41:M41"/>
    <mergeCell ref="P41:Q41"/>
    <mergeCell ref="D28:Q28"/>
    <mergeCell ref="E32:Q32"/>
    <mergeCell ref="E33:Q33"/>
    <mergeCell ref="D17:F17"/>
    <mergeCell ref="D18:F18"/>
    <mergeCell ref="B20:Q20"/>
    <mergeCell ref="C21:Q21"/>
    <mergeCell ref="C22:Q22"/>
    <mergeCell ref="C23:Q23"/>
    <mergeCell ref="D29:Q29"/>
    <mergeCell ref="D30:Q30"/>
    <mergeCell ref="C2:F2"/>
    <mergeCell ref="C3:F3"/>
    <mergeCell ref="C4:F4"/>
    <mergeCell ref="C5:F5"/>
    <mergeCell ref="D7:F7"/>
    <mergeCell ref="D8:F16"/>
    <mergeCell ref="D25:Q25"/>
    <mergeCell ref="D26:Q26"/>
    <mergeCell ref="D27:Q27"/>
    <mergeCell ref="E142:N142"/>
    <mergeCell ref="O142:Q144"/>
    <mergeCell ref="B143:D143"/>
    <mergeCell ref="C144:D144"/>
    <mergeCell ref="O145:Q145"/>
    <mergeCell ref="O146:Q146"/>
    <mergeCell ref="O147:Q147"/>
    <mergeCell ref="O148:Q148"/>
    <mergeCell ref="O149:Q149"/>
    <mergeCell ref="O159:Q159"/>
    <mergeCell ref="O160:Q160"/>
    <mergeCell ref="O161:Q161"/>
    <mergeCell ref="O162:Q162"/>
    <mergeCell ref="O163:Q163"/>
    <mergeCell ref="O164:Q164"/>
    <mergeCell ref="O150:Q150"/>
    <mergeCell ref="O151:Q151"/>
    <mergeCell ref="O152:Q152"/>
    <mergeCell ref="O153:Q153"/>
    <mergeCell ref="O154:Q154"/>
    <mergeCell ref="O155:Q155"/>
    <mergeCell ref="O156:Q156"/>
    <mergeCell ref="O157:Q157"/>
    <mergeCell ref="O158:Q158"/>
  </mergeCells>
  <conditionalFormatting sqref="E108">
    <cfRule type="expression" dxfId="3907" priority="76">
      <formula>IF(OR(#REF!="L",#REF!="C"),TRUE,FALSE)</formula>
    </cfRule>
  </conditionalFormatting>
  <conditionalFormatting sqref="H62">
    <cfRule type="expression" dxfId="3906" priority="98">
      <formula>IF(OR(#REF!="L",#REF!="C"),TRUE,FALSE)</formula>
    </cfRule>
  </conditionalFormatting>
  <conditionalFormatting sqref="H66 H72 H69">
    <cfRule type="expression" dxfId="3905" priority="85">
      <formula>IF(OR(#REF!="L",#REF!="C"),TRUE,FALSE)</formula>
    </cfRule>
  </conditionalFormatting>
  <conditionalFormatting sqref="H63">
    <cfRule type="expression" dxfId="3904" priority="92">
      <formula>IF(OR(#REF!="L",#REF!="C"),TRUE,FALSE)</formula>
    </cfRule>
  </conditionalFormatting>
  <conditionalFormatting sqref="H67">
    <cfRule type="expression" dxfId="3903" priority="82">
      <formula>IF(OR(#REF!="L",#REF!="C"),TRUE,FALSE)</formula>
    </cfRule>
  </conditionalFormatting>
  <conditionalFormatting sqref="H63">
    <cfRule type="expression" dxfId="3902" priority="90">
      <formula>IF(OR(#REF!="L",#REF!="C"),TRUE,FALSE)</formula>
    </cfRule>
  </conditionalFormatting>
  <conditionalFormatting sqref="H63">
    <cfRule type="expression" dxfId="3901" priority="91">
      <formula>IF(OR(#REF!="L",#REF!="C"),TRUE,FALSE)</formula>
    </cfRule>
  </conditionalFormatting>
  <conditionalFormatting sqref="H67">
    <cfRule type="expression" dxfId="3900" priority="83">
      <formula>IF(OR(#REF!="L",#REF!="C"),TRUE,FALSE)</formula>
    </cfRule>
  </conditionalFormatting>
  <conditionalFormatting sqref="F109:F117 G102:G117 H104:H117">
    <cfRule type="expression" dxfId="3899" priority="79">
      <formula>IF(OR(#REF!="L",#REF!="C"),TRUE,FALSE)</formula>
    </cfRule>
  </conditionalFormatting>
  <conditionalFormatting sqref="E130">
    <cfRule type="expression" dxfId="3898" priority="51">
      <formula>IF(OR(#REF!="L",#REF!="C"),TRUE,FALSE)</formula>
    </cfRule>
  </conditionalFormatting>
  <conditionalFormatting sqref="I128:I140">
    <cfRule type="expression" dxfId="3897" priority="48">
      <formula>IF(OR(#REF!="L",#REF!="C"),TRUE,FALSE)</formula>
    </cfRule>
  </conditionalFormatting>
  <conditionalFormatting sqref="L128:L140">
    <cfRule type="expression" dxfId="3896" priority="42">
      <formula>IF(OR(#REF!="L",#REF!="C"),TRUE,FALSE)</formula>
    </cfRule>
  </conditionalFormatting>
  <conditionalFormatting sqref="M128:M140">
    <cfRule type="expression" dxfId="3895" priority="40">
      <formula>IF(OR(#REF!="L",#REF!="C"),TRUE,FALSE)</formula>
    </cfRule>
  </conditionalFormatting>
  <conditionalFormatting sqref="N128:N140">
    <cfRule type="expression" dxfId="3894" priority="38">
      <formula>IF(OR(#REF!="L",#REF!="C"),TRUE,FALSE)</formula>
    </cfRule>
  </conditionalFormatting>
  <conditionalFormatting sqref="H73">
    <cfRule type="expression" dxfId="3893" priority="109">
      <formula>IF(OR(#REF!="L",#REF!="C"),TRUE,FALSE)</formula>
    </cfRule>
  </conditionalFormatting>
  <conditionalFormatting sqref="H74">
    <cfRule type="expression" dxfId="3892" priority="108">
      <formula>IF(OR(#REF!="L",#REF!="C"),TRUE,FALSE)</formula>
    </cfRule>
  </conditionalFormatting>
  <conditionalFormatting sqref="H75">
    <cfRule type="expression" dxfId="3891" priority="107">
      <formula>IF(OR(#REF!="L",#REF!="C"),TRUE,FALSE)</formula>
    </cfRule>
  </conditionalFormatting>
  <conditionalFormatting sqref="H76">
    <cfRule type="expression" dxfId="3890" priority="106">
      <formula>IF(OR(#REF!="L",#REF!="C"),TRUE,FALSE)</formula>
    </cfRule>
  </conditionalFormatting>
  <conditionalFormatting sqref="H62 H64">
    <cfRule type="expression" dxfId="3889" priority="105">
      <formula>IF(OR(#REF!="L",#REF!="C"),TRUE,FALSE)</formula>
    </cfRule>
  </conditionalFormatting>
  <conditionalFormatting sqref="H62 H64">
    <cfRule type="expression" dxfId="3888" priority="104">
      <formula>IF(OR(#REF!="L",#REF!="C"),TRUE,FALSE)</formula>
    </cfRule>
  </conditionalFormatting>
  <conditionalFormatting sqref="H62">
    <cfRule type="expression" dxfId="3887" priority="103">
      <formula>IF(OR(#REF!="L",#REF!="C"),TRUE,FALSE)</formula>
    </cfRule>
  </conditionalFormatting>
  <conditionalFormatting sqref="H63">
    <cfRule type="expression" dxfId="3886" priority="93">
      <formula>IF(OR(#REF!="L",#REF!="C"),TRUE,FALSE)</formula>
    </cfRule>
  </conditionalFormatting>
  <conditionalFormatting sqref="H66">
    <cfRule type="expression" dxfId="3885" priority="84">
      <formula>IF(OR(#REF!="L",#REF!="C"),TRUE,FALSE)</formula>
    </cfRule>
  </conditionalFormatting>
  <conditionalFormatting sqref="E110:E117">
    <cfRule type="expression" dxfId="3884" priority="78">
      <formula>IF(OR(#REF!="L",#REF!="C"),TRUE,FALSE)</formula>
    </cfRule>
  </conditionalFormatting>
  <conditionalFormatting sqref="E107">
    <cfRule type="expression" dxfId="3883" priority="77">
      <formula>IF(OR(#REF!="L",#REF!="C"),TRUE,FALSE)</formula>
    </cfRule>
  </conditionalFormatting>
  <conditionalFormatting sqref="E109">
    <cfRule type="expression" dxfId="3882" priority="75">
      <formula>IF(OR(#REF!="L",#REF!="C"),TRUE,FALSE)</formula>
    </cfRule>
  </conditionalFormatting>
  <conditionalFormatting sqref="E106">
    <cfRule type="expression" dxfId="3881" priority="74">
      <formula>IF(OR(#REF!="L",#REF!="C"),TRUE,FALSE)</formula>
    </cfRule>
  </conditionalFormatting>
  <conditionalFormatting sqref="E95 G95 I95 K95 M95">
    <cfRule type="duplicateValues" dxfId="3880" priority="73"/>
  </conditionalFormatting>
  <conditionalFormatting sqref="M104:M117">
    <cfRule type="expression" dxfId="3879" priority="63">
      <formula>IF(OR(#REF!="L",#REF!="C"),TRUE,FALSE)</formula>
    </cfRule>
  </conditionalFormatting>
  <conditionalFormatting sqref="F102:F106">
    <cfRule type="expression" dxfId="3878" priority="72">
      <formula>IF(OR(#REF!="L",#REF!="C"),TRUE,FALSE)</formula>
    </cfRule>
  </conditionalFormatting>
  <conditionalFormatting sqref="I102:I103">
    <cfRule type="expression" dxfId="3877" priority="70">
      <formula>IF(OR(#REF!="L",#REF!="C"),TRUE,FALSE)</formula>
    </cfRule>
  </conditionalFormatting>
  <conditionalFormatting sqref="N102:N103">
    <cfRule type="expression" dxfId="3876" priority="60">
      <formula>IF(OR(#REF!="L",#REF!="C"),TRUE,FALSE)</formula>
    </cfRule>
  </conditionalFormatting>
  <conditionalFormatting sqref="I104:I117">
    <cfRule type="expression" dxfId="3875" priority="71">
      <formula>IF(OR(#REF!="L",#REF!="C"),TRUE,FALSE)</formula>
    </cfRule>
  </conditionalFormatting>
  <conditionalFormatting sqref="J102:J103">
    <cfRule type="expression" dxfId="3874" priority="68">
      <formula>IF(OR(#REF!="L",#REF!="C"),TRUE,FALSE)</formula>
    </cfRule>
  </conditionalFormatting>
  <conditionalFormatting sqref="J104:J117">
    <cfRule type="expression" dxfId="3873" priority="69">
      <formula>IF(OR(#REF!="L",#REF!="C"),TRUE,FALSE)</formula>
    </cfRule>
  </conditionalFormatting>
  <conditionalFormatting sqref="K102:K103">
    <cfRule type="expression" dxfId="3872" priority="66">
      <formula>IF(OR(#REF!="L",#REF!="C"),TRUE,FALSE)</formula>
    </cfRule>
  </conditionalFormatting>
  <conditionalFormatting sqref="K104:K117">
    <cfRule type="expression" dxfId="3871" priority="67">
      <formula>IF(OR(#REF!="L",#REF!="C"),TRUE,FALSE)</formula>
    </cfRule>
  </conditionalFormatting>
  <conditionalFormatting sqref="L102:L103">
    <cfRule type="expression" dxfId="3870" priority="64">
      <formula>IF(OR(#REF!="L",#REF!="C"),TRUE,FALSE)</formula>
    </cfRule>
  </conditionalFormatting>
  <conditionalFormatting sqref="L104:L117">
    <cfRule type="expression" dxfId="3869" priority="65">
      <formula>IF(OR(#REF!="L",#REF!="C"),TRUE,FALSE)</formula>
    </cfRule>
  </conditionalFormatting>
  <conditionalFormatting sqref="M102:M103">
    <cfRule type="expression" dxfId="3868" priority="62">
      <formula>IF(OR(#REF!="L",#REF!="C"),TRUE,FALSE)</formula>
    </cfRule>
  </conditionalFormatting>
  <conditionalFormatting sqref="N104:N117">
    <cfRule type="expression" dxfId="3867" priority="61">
      <formula>IF(OR(#REF!="L",#REF!="C"),TRUE,FALSE)</formula>
    </cfRule>
  </conditionalFormatting>
  <conditionalFormatting sqref="O102:O103">
    <cfRule type="expression" dxfId="3866" priority="58">
      <formula>IF(OR(#REF!="L",#REF!="C"),TRUE,FALSE)</formula>
    </cfRule>
  </conditionalFormatting>
  <conditionalFormatting sqref="O104:O117">
    <cfRule type="expression" dxfId="3865" priority="59">
      <formula>IF(OR(#REF!="L",#REF!="C"),TRUE,FALSE)</formula>
    </cfRule>
  </conditionalFormatting>
  <conditionalFormatting sqref="E96:N96">
    <cfRule type="duplicateValues" dxfId="3864" priority="57"/>
  </conditionalFormatting>
  <conditionalFormatting sqref="E134:E140">
    <cfRule type="expression" dxfId="3863" priority="55">
      <formula>IF(OR(#REF!="L",#REF!="C"),TRUE,FALSE)</formula>
    </cfRule>
  </conditionalFormatting>
  <conditionalFormatting sqref="K128:K140">
    <cfRule type="expression" dxfId="3862" priority="44">
      <formula>IF(OR(#REF!="L",#REF!="C"),TRUE,FALSE)</formula>
    </cfRule>
  </conditionalFormatting>
  <conditionalFormatting sqref="N126:N127">
    <cfRule type="expression" dxfId="3861" priority="37">
      <formula>IF(OR(#REF!="L",#REF!="C"),TRUE,FALSE)</formula>
    </cfRule>
  </conditionalFormatting>
  <conditionalFormatting sqref="F133:F140 G126:G140 H128:H140">
    <cfRule type="expression" dxfId="3860" priority="56">
      <formula>IF(OR(#REF!="L",#REF!="C"),TRUE,FALSE)</formula>
    </cfRule>
  </conditionalFormatting>
  <conditionalFormatting sqref="E131">
    <cfRule type="expression" dxfId="3859" priority="54">
      <formula>IF(OR(#REF!="L",#REF!="C"),TRUE,FALSE)</formula>
    </cfRule>
  </conditionalFormatting>
  <conditionalFormatting sqref="E132">
    <cfRule type="expression" dxfId="3858" priority="53">
      <formula>IF(OR(#REF!="L",#REF!="C"),TRUE,FALSE)</formula>
    </cfRule>
  </conditionalFormatting>
  <conditionalFormatting sqref="E133">
    <cfRule type="expression" dxfId="3857" priority="52">
      <formula>IF(OR(#REF!="L",#REF!="C"),TRUE,FALSE)</formula>
    </cfRule>
  </conditionalFormatting>
  <conditionalFormatting sqref="E119 G119 I119 K119 M119">
    <cfRule type="duplicateValues" dxfId="3856" priority="50"/>
  </conditionalFormatting>
  <conditionalFormatting sqref="M126:M127">
    <cfRule type="expression" dxfId="3855" priority="39">
      <formula>IF(OR(#REF!="L",#REF!="C"),TRUE,FALSE)</formula>
    </cfRule>
  </conditionalFormatting>
  <conditionalFormatting sqref="F126:F130">
    <cfRule type="expression" dxfId="3854" priority="49">
      <formula>IF(OR(#REF!="L",#REF!="C"),TRUE,FALSE)</formula>
    </cfRule>
  </conditionalFormatting>
  <conditionalFormatting sqref="I126:I127">
    <cfRule type="expression" dxfId="3853" priority="47">
      <formula>IF(OR(#REF!="L",#REF!="C"),TRUE,FALSE)</formula>
    </cfRule>
  </conditionalFormatting>
  <conditionalFormatting sqref="J126:J127">
    <cfRule type="expression" dxfId="3852" priority="45">
      <formula>IF(OR(#REF!="L",#REF!="C"),TRUE,FALSE)</formula>
    </cfRule>
  </conditionalFormatting>
  <conditionalFormatting sqref="J128:J140">
    <cfRule type="expression" dxfId="3851" priority="46">
      <formula>IF(OR(#REF!="L",#REF!="C"),TRUE,FALSE)</formula>
    </cfRule>
  </conditionalFormatting>
  <conditionalFormatting sqref="K126:K127">
    <cfRule type="expression" dxfId="3850" priority="43">
      <formula>IF(OR(#REF!="L",#REF!="C"),TRUE,FALSE)</formula>
    </cfRule>
  </conditionalFormatting>
  <conditionalFormatting sqref="L126:L127">
    <cfRule type="expression" dxfId="3849" priority="41">
      <formula>IF(OR(#REF!="L",#REF!="C"),TRUE,FALSE)</formula>
    </cfRule>
  </conditionalFormatting>
  <conditionalFormatting sqref="O126:O127">
    <cfRule type="expression" dxfId="3848" priority="35">
      <formula>IF(OR(#REF!="L",#REF!="C"),TRUE,FALSE)</formula>
    </cfRule>
  </conditionalFormatting>
  <conditionalFormatting sqref="O128:O140">
    <cfRule type="expression" dxfId="3847" priority="36">
      <formula>IF(OR(#REF!="L",#REF!="C"),TRUE,FALSE)</formula>
    </cfRule>
  </conditionalFormatting>
  <conditionalFormatting sqref="E120:N120">
    <cfRule type="duplicateValues" dxfId="3846" priority="34"/>
  </conditionalFormatting>
  <conditionalFormatting sqref="E158:E164">
    <cfRule type="expression" dxfId="3845" priority="28">
      <formula>IF(OR(#REF!="L",#REF!="C"),TRUE,FALSE)</formula>
    </cfRule>
  </conditionalFormatting>
  <conditionalFormatting sqref="E155">
    <cfRule type="expression" dxfId="3844" priority="27">
      <formula>IF(OR(#REF!="L",#REF!="C"),TRUE,FALSE)</formula>
    </cfRule>
  </conditionalFormatting>
  <conditionalFormatting sqref="E154">
    <cfRule type="expression" dxfId="3843" priority="24">
      <formula>IF(OR(#REF!="L",#REF!="C"),TRUE,FALSE)</formula>
    </cfRule>
  </conditionalFormatting>
  <conditionalFormatting sqref="I152:I164">
    <cfRule type="expression" dxfId="3842" priority="21">
      <formula>IF(OR(#REF!="L",#REF!="C"),TRUE,FALSE)</formula>
    </cfRule>
  </conditionalFormatting>
  <conditionalFormatting sqref="L152:L164">
    <cfRule type="expression" dxfId="3841" priority="15">
      <formula>IF(OR(#REF!="L",#REF!="C"),TRUE,FALSE)</formula>
    </cfRule>
  </conditionalFormatting>
  <conditionalFormatting sqref="M152:M164">
    <cfRule type="expression" dxfId="3840" priority="13">
      <formula>IF(OR(#REF!="L",#REF!="C"),TRUE,FALSE)</formula>
    </cfRule>
  </conditionalFormatting>
  <conditionalFormatting sqref="N152:N164">
    <cfRule type="expression" dxfId="3839" priority="11">
      <formula>IF(OR(#REF!="L",#REF!="C"),TRUE,FALSE)</formula>
    </cfRule>
  </conditionalFormatting>
  <conditionalFormatting sqref="K152:K164">
    <cfRule type="expression" dxfId="3838" priority="17">
      <formula>IF(OR(#REF!="L",#REF!="C"),TRUE,FALSE)</formula>
    </cfRule>
  </conditionalFormatting>
  <conditionalFormatting sqref="N150:N151">
    <cfRule type="expression" dxfId="3837" priority="10">
      <formula>IF(OR(#REF!="L",#REF!="C"),TRUE,FALSE)</formula>
    </cfRule>
  </conditionalFormatting>
  <conditionalFormatting sqref="F157:F164 G150:G164 H152:H164">
    <cfRule type="expression" dxfId="3836" priority="29">
      <formula>IF(OR(#REF!="L",#REF!="C"),TRUE,FALSE)</formula>
    </cfRule>
  </conditionalFormatting>
  <conditionalFormatting sqref="E156">
    <cfRule type="expression" dxfId="3835" priority="26">
      <formula>IF(OR(#REF!="L",#REF!="C"),TRUE,FALSE)</formula>
    </cfRule>
  </conditionalFormatting>
  <conditionalFormatting sqref="E157">
    <cfRule type="expression" dxfId="3834" priority="25">
      <formula>IF(OR(#REF!="L",#REF!="C"),TRUE,FALSE)</formula>
    </cfRule>
  </conditionalFormatting>
  <conditionalFormatting sqref="E143 G143 I143 K143 M143">
    <cfRule type="duplicateValues" dxfId="3833" priority="23"/>
  </conditionalFormatting>
  <conditionalFormatting sqref="M150:M151">
    <cfRule type="expression" dxfId="3832" priority="12">
      <formula>IF(OR(#REF!="L",#REF!="C"),TRUE,FALSE)</formula>
    </cfRule>
  </conditionalFormatting>
  <conditionalFormatting sqref="F150:F154">
    <cfRule type="expression" dxfId="3831" priority="22">
      <formula>IF(OR(#REF!="L",#REF!="C"),TRUE,FALSE)</formula>
    </cfRule>
  </conditionalFormatting>
  <conditionalFormatting sqref="I150:I151">
    <cfRule type="expression" dxfId="3830" priority="20">
      <formula>IF(OR(#REF!="L",#REF!="C"),TRUE,FALSE)</formula>
    </cfRule>
  </conditionalFormatting>
  <conditionalFormatting sqref="J150:J151">
    <cfRule type="expression" dxfId="3829" priority="18">
      <formula>IF(OR(#REF!="L",#REF!="C"),TRUE,FALSE)</formula>
    </cfRule>
  </conditionalFormatting>
  <conditionalFormatting sqref="J152:J164">
    <cfRule type="expression" dxfId="3828" priority="19">
      <formula>IF(OR(#REF!="L",#REF!="C"),TRUE,FALSE)</formula>
    </cfRule>
  </conditionalFormatting>
  <conditionalFormatting sqref="K150:K151">
    <cfRule type="expression" dxfId="3827" priority="16">
      <formula>IF(OR(#REF!="L",#REF!="C"),TRUE,FALSE)</formula>
    </cfRule>
  </conditionalFormatting>
  <conditionalFormatting sqref="L150:L151">
    <cfRule type="expression" dxfId="3826" priority="14">
      <formula>IF(OR(#REF!="L",#REF!="C"),TRUE,FALSE)</formula>
    </cfRule>
  </conditionalFormatting>
  <conditionalFormatting sqref="O150:O151">
    <cfRule type="expression" dxfId="3825" priority="8">
      <formula>IF(OR(#REF!="L",#REF!="C"),TRUE,FALSE)</formula>
    </cfRule>
  </conditionalFormatting>
  <conditionalFormatting sqref="O152:O164">
    <cfRule type="expression" dxfId="3824" priority="9">
      <formula>IF(OR(#REF!="L",#REF!="C"),TRUE,FALSE)</formula>
    </cfRule>
  </conditionalFormatting>
  <conditionalFormatting sqref="E144:N144">
    <cfRule type="duplicateValues" dxfId="3823" priority="7"/>
  </conditionalFormatting>
  <conditionalFormatting sqref="H70">
    <cfRule type="expression" dxfId="3822" priority="6">
      <formula>IF(OR(#REF!="L",#REF!="C"),TRUE,FALSE)</formula>
    </cfRule>
  </conditionalFormatting>
  <conditionalFormatting sqref="H70">
    <cfRule type="expression" dxfId="3821" priority="5">
      <formula>IF(OR(#REF!="L",#REF!="C"),TRUE,FALSE)</formula>
    </cfRule>
  </conditionalFormatting>
  <conditionalFormatting sqref="H68">
    <cfRule type="expression" dxfId="3820" priority="4">
      <formula>IF(OR(#REF!="L",#REF!="C"),TRUE,FALSE)</formula>
    </cfRule>
  </conditionalFormatting>
  <conditionalFormatting sqref="H71">
    <cfRule type="expression" dxfId="3819" priority="3">
      <formula>IF(OR(#REF!="L",#REF!="C"),TRUE,FALSE)</formula>
    </cfRule>
  </conditionalFormatting>
  <conditionalFormatting sqref="H65">
    <cfRule type="expression" dxfId="3818" priority="2">
      <formula>IF(OR(#REF!="L",#REF!="C"),TRUE,FALSE)</formula>
    </cfRule>
  </conditionalFormatting>
  <conditionalFormatting sqref="H65">
    <cfRule type="expression" dxfId="3817" priority="1">
      <formula>IF(OR(#REF!="L",#REF!="C"),TRUE,FALSE)</formula>
    </cfRule>
  </conditionalFormatting>
  <dataValidations count="8">
    <dataValidation type="list" allowBlank="1" showInputMessage="1" showErrorMessage="1" sqref="C4" xr:uid="{8797CB21-C10D-4E96-B3DC-E72348504E99}">
      <formula1>"COM,RES"</formula1>
    </dataValidation>
    <dataValidation type="list" allowBlank="1" showInputMessage="1" showErrorMessage="1" sqref="F62:F64" xr:uid="{5E196CC5-B6EF-4D34-B2F2-D2C2424B1BB6}">
      <formula1>#REF!</formula1>
    </dataValidation>
    <dataValidation type="list" allowBlank="1" showInputMessage="1" showErrorMessage="1" sqref="F70:F74" xr:uid="{F93F2787-3E21-424B-9D66-30731F948FE7}">
      <formula1>$C$102:$C$107</formula1>
    </dataValidation>
    <dataValidation type="list" allowBlank="1" showInputMessage="1" showErrorMessage="1" sqref="C9" xr:uid="{91778EB6-EEDC-442F-90BF-7D4FDE0F721F}">
      <formula1>INDIRECT("MeasureTypeList[Index]")</formula1>
    </dataValidation>
    <dataValidation type="list" allowBlank="1" showInputMessage="1" showErrorMessage="1" sqref="C26" xr:uid="{592747F3-A34C-4F08-A778-A669A7AFF4CC}">
      <formula1>INDIRECT("RegionList[Index]")</formula1>
    </dataValidation>
    <dataValidation type="list" allowBlank="1" showInputMessage="1" showErrorMessage="1" sqref="C27" xr:uid="{61CB1311-6F7D-498E-B515-CD2008F3BD46}">
      <formula1>INDIRECT("ReplacementTypeList[Index]")</formula1>
    </dataValidation>
    <dataValidation type="list" allowBlank="1" showInputMessage="1" showErrorMessage="1" sqref="C28" xr:uid="{910F170D-C970-4148-A27F-E9881CCE897B}">
      <formula1>INDIRECT("BuildingType[Building]")</formula1>
    </dataValidation>
    <dataValidation type="list" allowBlank="1" showInputMessage="1" showErrorMessage="1" sqref="C29 C30" xr:uid="{FDE9E14A-F3FA-4E28-8AEE-8FA1A875F70A}">
      <formula1>INDIRECT("FuelTypeList[Index]")</formula1>
    </dataValidation>
  </dataValidations>
  <hyperlinks>
    <hyperlink ref="F82" r:id="rId1" xr:uid="{F98F3C55-EA0A-4797-BEDF-24CAE942317D}"/>
    <hyperlink ref="F83" r:id="rId2" xr:uid="{777026BB-42E1-4871-A6CC-176AE4D56AD6}"/>
    <hyperlink ref="F85" r:id="rId3" xr:uid="{570508C4-F52F-4D79-BA9F-1210014693CB}"/>
    <hyperlink ref="F84" r:id="rId4" xr:uid="{1ADCF9CE-35DB-409A-9EB1-B4591DD3D7AE}"/>
  </hyperlinks>
  <pageMargins left="0.7" right="0.7" top="0.75" bottom="0.75" header="0.3" footer="0.3"/>
  <pageSetup orientation="portrait"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E2B31-A349-4F46-9836-81E54876A72A}">
  <sheetPr codeName="Sheet407"/>
  <dimension ref="A2:R146"/>
  <sheetViews>
    <sheetView zoomScale="70" zoomScaleNormal="70" workbookViewId="0">
      <selection activeCell="H67" sqref="H67"/>
    </sheetView>
  </sheetViews>
  <sheetFormatPr defaultColWidth="9.08984375" defaultRowHeight="18.75" customHeight="1" x14ac:dyDescent="0.3"/>
  <cols>
    <col min="1" max="1" width="2.36328125" style="488" customWidth="1"/>
    <col min="2" max="2" width="44.26953125" style="488" bestFit="1" customWidth="1"/>
    <col min="3" max="3" width="21.08984375" style="488" customWidth="1"/>
    <col min="4" max="4" width="21.7265625" style="488" customWidth="1"/>
    <col min="5" max="5" width="14.36328125" style="488" customWidth="1"/>
    <col min="6" max="6" width="15.7265625" style="488" customWidth="1"/>
    <col min="7" max="7" width="19.7265625" style="488" customWidth="1"/>
    <col min="8" max="8" width="16" style="488" customWidth="1"/>
    <col min="9" max="9" width="12.6328125" style="488" customWidth="1"/>
    <col min="10" max="10" width="14.7265625" style="488" customWidth="1"/>
    <col min="11" max="12" width="9.08984375" style="488"/>
    <col min="13" max="13" width="11" style="488" customWidth="1"/>
    <col min="14" max="14" width="12.36328125" style="488" customWidth="1"/>
    <col min="15" max="15" width="10.7265625" style="488" customWidth="1"/>
    <col min="16" max="17" width="9.08984375" style="488"/>
    <col min="18" max="18" width="9.7265625" style="489" customWidth="1"/>
    <col min="19" max="19" width="9.08984375" style="488"/>
    <col min="20" max="20" width="8.72656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R-W-002</v>
      </c>
      <c r="D3" s="1367"/>
      <c r="E3" s="1367"/>
      <c r="F3" s="1367"/>
    </row>
    <row r="4" spans="1:18" ht="18.75" customHeight="1" x14ac:dyDescent="0.3">
      <c r="B4" s="490" t="s">
        <v>11</v>
      </c>
      <c r="C4" s="1367" t="str" cm="1">
        <f t="array" ref="C4">_xlfn.SWITCH(LEFT(C8,1),"R","Residential","C","Commercial","ERROR")</f>
        <v>Residential</v>
      </c>
      <c r="D4" s="1367"/>
      <c r="E4" s="1367"/>
      <c r="F4" s="1367"/>
    </row>
    <row r="5" spans="1:18" ht="44.25" customHeight="1" x14ac:dyDescent="0.3">
      <c r="B5" s="490" t="s">
        <v>408</v>
      </c>
      <c r="C5" s="1530" t="s">
        <v>307</v>
      </c>
      <c r="D5" s="1531"/>
      <c r="E5" s="1531"/>
      <c r="F5" s="1532"/>
      <c r="R5" s="488"/>
    </row>
    <row r="6" spans="1:18" ht="18.75" customHeight="1" x14ac:dyDescent="0.3">
      <c r="A6" s="573"/>
    </row>
    <row r="7" spans="1:18" ht="18.75" customHeight="1" x14ac:dyDescent="0.3">
      <c r="B7" s="1193" t="s">
        <v>507</v>
      </c>
      <c r="C7" s="493" t="s">
        <v>406</v>
      </c>
      <c r="D7" s="1366" t="s">
        <v>410</v>
      </c>
      <c r="E7" s="1366"/>
      <c r="F7" s="1366"/>
      <c r="R7" s="488"/>
    </row>
    <row r="8" spans="1:18" ht="18.75" customHeight="1" x14ac:dyDescent="0.3">
      <c r="B8" s="490" t="s">
        <v>411</v>
      </c>
      <c r="C8" s="1194" t="s">
        <v>172</v>
      </c>
      <c r="D8" s="1681"/>
      <c r="E8" s="1682"/>
      <c r="F8" s="1683"/>
      <c r="R8" s="488"/>
    </row>
    <row r="9" spans="1:18" ht="18.75" customHeight="1" x14ac:dyDescent="0.3">
      <c r="B9" s="490" t="s">
        <v>49</v>
      </c>
      <c r="C9" s="1194" t="s">
        <v>760</v>
      </c>
      <c r="D9" s="1684"/>
      <c r="E9" s="1685"/>
      <c r="F9" s="1686"/>
      <c r="R9" s="488"/>
    </row>
    <row r="10" spans="1:18" ht="18.75" customHeight="1" x14ac:dyDescent="0.3">
      <c r="B10" s="490" t="s">
        <v>412</v>
      </c>
      <c r="C10" s="1194"/>
      <c r="D10" s="1684"/>
      <c r="E10" s="1685"/>
      <c r="F10" s="1686"/>
      <c r="R10" s="488"/>
    </row>
    <row r="11" spans="1:18" ht="18.75" customHeight="1" x14ac:dyDescent="0.3">
      <c r="B11" s="490" t="s">
        <v>413</v>
      </c>
      <c r="C11" s="1194"/>
      <c r="D11" s="1684"/>
      <c r="E11" s="1685"/>
      <c r="F11" s="1686"/>
      <c r="R11" s="488"/>
    </row>
    <row r="12" spans="1:18" ht="18.75" customHeight="1" x14ac:dyDescent="0.3">
      <c r="B12" s="490" t="s">
        <v>414</v>
      </c>
      <c r="C12" s="1194"/>
      <c r="D12" s="1684"/>
      <c r="E12" s="1685"/>
      <c r="F12" s="1686"/>
      <c r="R12" s="488"/>
    </row>
    <row r="13" spans="1:18" ht="18.75" customHeight="1" x14ac:dyDescent="0.3">
      <c r="B13" s="494" t="s">
        <v>415</v>
      </c>
      <c r="C13" s="495">
        <f>N43</f>
        <v>0</v>
      </c>
      <c r="D13" s="1684"/>
      <c r="E13" s="1685"/>
      <c r="F13" s="1686"/>
      <c r="R13" s="488"/>
    </row>
    <row r="14" spans="1:18" ht="18.75" customHeight="1" x14ac:dyDescent="0.3">
      <c r="B14" s="494" t="s">
        <v>416</v>
      </c>
      <c r="C14" s="495">
        <f>N42</f>
        <v>0</v>
      </c>
      <c r="D14" s="1684"/>
      <c r="E14" s="1685"/>
      <c r="F14" s="1686"/>
      <c r="R14" s="488"/>
    </row>
    <row r="15" spans="1:18" ht="18.75" customHeight="1" x14ac:dyDescent="0.3">
      <c r="B15" s="494" t="s">
        <v>417</v>
      </c>
      <c r="C15" s="495">
        <f>N44</f>
        <v>9.2747184381611625</v>
      </c>
      <c r="D15" s="1684"/>
      <c r="E15" s="1685"/>
      <c r="F15" s="1686"/>
      <c r="R15" s="488"/>
    </row>
    <row r="16" spans="1:18" ht="18.75" customHeight="1" x14ac:dyDescent="0.3">
      <c r="B16" s="494" t="s">
        <v>418</v>
      </c>
      <c r="C16" s="496">
        <f>C37</f>
        <v>0</v>
      </c>
      <c r="D16" s="1687"/>
      <c r="E16" s="1688"/>
      <c r="F16" s="1689"/>
      <c r="R16" s="488"/>
    </row>
    <row r="17" spans="2:18" ht="18.75" customHeight="1" x14ac:dyDescent="0.3">
      <c r="B17" s="490" t="s">
        <v>48</v>
      </c>
      <c r="C17" s="1194" t="s">
        <v>815</v>
      </c>
      <c r="D17" s="1366" t="s">
        <v>419</v>
      </c>
      <c r="E17" s="1366"/>
      <c r="F17" s="1366"/>
      <c r="R17" s="488"/>
    </row>
    <row r="18" spans="2:18" ht="18.75" customHeight="1" x14ac:dyDescent="0.3">
      <c r="B18" s="490" t="s">
        <v>420</v>
      </c>
      <c r="C18" s="541">
        <v>13</v>
      </c>
      <c r="D18" s="1520" t="s">
        <v>816</v>
      </c>
      <c r="E18" s="1520"/>
      <c r="F18" s="1520"/>
      <c r="R18" s="488"/>
    </row>
    <row r="19" spans="2:18" ht="18.75" customHeight="1" x14ac:dyDescent="0.3">
      <c r="B19" s="497"/>
      <c r="C19" s="576"/>
      <c r="F19" s="489"/>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18.75" customHeight="1" x14ac:dyDescent="0.3">
      <c r="B21" s="499" t="s">
        <v>422</v>
      </c>
      <c r="C21" s="1546" t="s">
        <v>379</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46" t="s">
        <v>380</v>
      </c>
      <c r="D22" s="1546"/>
      <c r="E22" s="1546"/>
      <c r="F22" s="1546"/>
      <c r="G22" s="1546"/>
      <c r="H22" s="1546"/>
      <c r="I22" s="1546"/>
      <c r="J22" s="1546"/>
      <c r="K22" s="1546"/>
      <c r="L22" s="1546"/>
      <c r="M22" s="1546"/>
      <c r="N22" s="1546"/>
      <c r="O22" s="1546"/>
      <c r="P22" s="1546"/>
      <c r="Q22" s="1546"/>
      <c r="R22" s="488"/>
    </row>
    <row r="23" spans="2:18" ht="18.75" customHeight="1" x14ac:dyDescent="0.3">
      <c r="B23" s="500" t="s">
        <v>424</v>
      </c>
      <c r="C23" s="1546"/>
      <c r="D23" s="1546"/>
      <c r="E23" s="1546"/>
      <c r="F23" s="1546"/>
      <c r="G23" s="1546"/>
      <c r="H23" s="1546"/>
      <c r="I23" s="1546"/>
      <c r="J23" s="1546"/>
      <c r="K23" s="1546"/>
      <c r="L23" s="1546"/>
      <c r="M23" s="1546"/>
      <c r="N23" s="1546"/>
      <c r="O23" s="1546"/>
      <c r="P23" s="1546"/>
      <c r="Q23" s="154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Default.BuildingType.R</f>
        <v>Home - detached</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677"/>
      <c r="F33" s="1677"/>
      <c r="G33" s="1677"/>
      <c r="H33" s="1677"/>
      <c r="I33" s="1677"/>
      <c r="J33" s="1677"/>
      <c r="K33" s="1677"/>
      <c r="L33" s="1677"/>
      <c r="M33" s="1677"/>
      <c r="N33" s="1677"/>
      <c r="O33" s="1677"/>
      <c r="P33" s="1677"/>
      <c r="Q33" s="1677"/>
      <c r="R33" s="488"/>
    </row>
    <row r="34" spans="2:18" ht="18.75" customHeight="1" x14ac:dyDescent="0.3">
      <c r="B34" s="494" t="s">
        <v>431</v>
      </c>
      <c r="C34" s="542"/>
      <c r="D34" s="586" t="s">
        <v>430</v>
      </c>
      <c r="E34" s="1677"/>
      <c r="F34" s="1677"/>
      <c r="G34" s="1677"/>
      <c r="H34" s="1677"/>
      <c r="I34" s="1677"/>
      <c r="J34" s="1677"/>
      <c r="K34" s="1677"/>
      <c r="L34" s="1677"/>
      <c r="M34" s="1677"/>
      <c r="N34" s="1677"/>
      <c r="O34" s="1677"/>
      <c r="P34" s="1677"/>
      <c r="Q34" s="1677"/>
    </row>
    <row r="35" spans="2:18" ht="18.75" customHeight="1" x14ac:dyDescent="0.3">
      <c r="B35" s="490" t="s">
        <v>432</v>
      </c>
      <c r="C35" s="542"/>
      <c r="D35" s="586" t="s">
        <v>430</v>
      </c>
      <c r="E35" s="1677"/>
      <c r="F35" s="1677"/>
      <c r="G35" s="1677"/>
      <c r="H35" s="1677"/>
      <c r="I35" s="1677"/>
      <c r="J35" s="1677"/>
      <c r="K35" s="1677"/>
      <c r="L35" s="1677"/>
      <c r="M35" s="1677"/>
      <c r="N35" s="1677"/>
      <c r="O35" s="1677"/>
      <c r="P35" s="1677"/>
      <c r="Q35" s="1677"/>
    </row>
    <row r="36" spans="2:18" ht="18.75" customHeight="1" x14ac:dyDescent="0.3">
      <c r="B36" s="494" t="s">
        <v>433</v>
      </c>
      <c r="C36" s="504">
        <f>SUM(C33:C34)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504">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0</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9.2747184381611625</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817</v>
      </c>
      <c r="D49" s="1505"/>
      <c r="E49" s="1505"/>
      <c r="F49" s="1505"/>
      <c r="G49" s="1505"/>
      <c r="H49" s="1505"/>
      <c r="I49" s="1505"/>
      <c r="J49" s="1505"/>
      <c r="K49" s="1505"/>
      <c r="L49" s="1505"/>
      <c r="M49" s="1506"/>
      <c r="N49" s="592"/>
      <c r="O49" s="1243" t="s">
        <v>443</v>
      </c>
      <c r="P49" s="1511"/>
      <c r="Q49" s="1511"/>
      <c r="R49" s="488"/>
    </row>
    <row r="50" spans="2:18" ht="19.149999999999999" customHeight="1" x14ac:dyDescent="0.3">
      <c r="B50" s="582" t="s">
        <v>456</v>
      </c>
      <c r="C50" s="1600" t="s">
        <v>818</v>
      </c>
      <c r="D50" s="1505"/>
      <c r="E50" s="1505"/>
      <c r="F50" s="1505"/>
      <c r="G50" s="1505"/>
      <c r="H50" s="1505"/>
      <c r="I50" s="1505"/>
      <c r="J50" s="1505"/>
      <c r="K50" s="1505"/>
      <c r="L50" s="1505"/>
      <c r="M50" s="1506"/>
      <c r="N50" s="592">
        <f>(1/H65 - 1/H66)*(H62*H67*Days_per_Year*Water.Density.IMP*(H63-H64)*Water.HeatCapacity.IMP)*GJ_per_BTU</f>
        <v>9.2747184381611625</v>
      </c>
      <c r="O50" s="1243" t="s">
        <v>446</v>
      </c>
      <c r="P50" s="1537"/>
      <c r="Q50" s="1538"/>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c r="R53" s="488"/>
    </row>
    <row r="54" spans="2:18" ht="18.75" customHeight="1" x14ac:dyDescent="0.3">
      <c r="B54" s="582" t="s">
        <v>462</v>
      </c>
      <c r="C54" s="1504" t="s">
        <v>463</v>
      </c>
      <c r="D54" s="1505"/>
      <c r="E54" s="1505"/>
      <c r="F54" s="1505"/>
      <c r="G54" s="1505"/>
      <c r="H54" s="1505"/>
      <c r="I54" s="1505"/>
      <c r="J54" s="1505"/>
      <c r="K54" s="1505"/>
      <c r="L54" s="1505"/>
      <c r="M54" s="1506"/>
      <c r="N54" s="591"/>
      <c r="O54" s="1243" t="s">
        <v>440</v>
      </c>
      <c r="P54" s="1511"/>
      <c r="Q54" s="1511"/>
      <c r="R54" s="488"/>
    </row>
    <row r="55" spans="2:18" ht="18.75" customHeight="1" x14ac:dyDescent="0.3">
      <c r="B55" s="582" t="s">
        <v>464</v>
      </c>
      <c r="C55" s="1504" t="s">
        <v>465</v>
      </c>
      <c r="D55" s="1505"/>
      <c r="E55" s="1505"/>
      <c r="F55" s="1505"/>
      <c r="G55" s="1505"/>
      <c r="H55" s="1505"/>
      <c r="I55" s="1505"/>
      <c r="J55" s="1505"/>
      <c r="K55" s="1505"/>
      <c r="L55" s="1505"/>
      <c r="M55" s="1506"/>
      <c r="N55" s="620"/>
      <c r="O55" s="1243" t="s">
        <v>443</v>
      </c>
      <c r="P55" s="1511"/>
      <c r="Q55" s="1511"/>
      <c r="R55" s="488"/>
    </row>
    <row r="56" spans="2:18" ht="18.75" customHeight="1" x14ac:dyDescent="0.3">
      <c r="B56" s="582" t="s">
        <v>466</v>
      </c>
      <c r="C56" s="1504" t="s">
        <v>467</v>
      </c>
      <c r="D56" s="1505"/>
      <c r="E56" s="1505"/>
      <c r="F56" s="1505"/>
      <c r="G56" s="1505"/>
      <c r="H56" s="1505"/>
      <c r="I56" s="1505"/>
      <c r="J56" s="1505"/>
      <c r="K56" s="1505"/>
      <c r="L56" s="1505"/>
      <c r="M56" s="1506"/>
      <c r="N56" s="594"/>
      <c r="O56" s="1243" t="s">
        <v>446</v>
      </c>
      <c r="P56" s="1511"/>
      <c r="Q56" s="1511"/>
      <c r="R56" s="488"/>
    </row>
    <row r="57" spans="2:18" ht="18.75" customHeight="1" x14ac:dyDescent="0.3">
      <c r="B57" s="582" t="s">
        <v>468</v>
      </c>
      <c r="C57" s="1504" t="s">
        <v>469</v>
      </c>
      <c r="D57" s="1505"/>
      <c r="E57" s="1505"/>
      <c r="F57" s="1505"/>
      <c r="G57" s="1505"/>
      <c r="H57" s="1505"/>
      <c r="I57" s="1505"/>
      <c r="J57" s="1505"/>
      <c r="K57" s="1505"/>
      <c r="L57" s="1505"/>
      <c r="M57" s="1506"/>
      <c r="N57" s="709"/>
      <c r="O57" s="1243" t="s">
        <v>449</v>
      </c>
      <c r="P57" s="1511"/>
      <c r="Q57" s="1511"/>
      <c r="R57" s="488"/>
    </row>
    <row r="58" spans="2:18" ht="18.75" customHeight="1" x14ac:dyDescent="0.3">
      <c r="B58" s="599"/>
      <c r="C58" s="577"/>
      <c r="D58" s="578"/>
      <c r="E58" s="578"/>
      <c r="F58" s="578"/>
      <c r="G58" s="578"/>
      <c r="H58" s="578"/>
      <c r="I58" s="578"/>
      <c r="J58" s="578"/>
      <c r="K58" s="578"/>
      <c r="L58" s="578"/>
      <c r="M58" s="578"/>
      <c r="N58" s="578"/>
      <c r="O58" s="578"/>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765</v>
      </c>
      <c r="H61" s="506" t="s">
        <v>406</v>
      </c>
      <c r="I61" s="506" t="s">
        <v>428</v>
      </c>
      <c r="J61" s="1396" t="s">
        <v>476</v>
      </c>
      <c r="K61" s="1397"/>
      <c r="L61" s="1397"/>
      <c r="M61" s="1397"/>
      <c r="N61" s="1397"/>
      <c r="O61" s="1397"/>
      <c r="P61" s="1397"/>
      <c r="Q61" s="1398"/>
    </row>
    <row r="62" spans="2:18" ht="41.25" customHeight="1" x14ac:dyDescent="0.3">
      <c r="B62" s="533">
        <v>1</v>
      </c>
      <c r="C62" s="546" t="s">
        <v>819</v>
      </c>
      <c r="D62" s="1468" t="s">
        <v>820</v>
      </c>
      <c r="E62" s="1469"/>
      <c r="F62" s="1217"/>
      <c r="G62" s="1217"/>
      <c r="H62" s="710">
        <f>WaterUsePersonDay.R/Litre_per_Gallon</f>
        <v>17.600000000000001</v>
      </c>
      <c r="I62" s="1217" t="s">
        <v>821</v>
      </c>
      <c r="J62" s="1468" t="s">
        <v>822</v>
      </c>
      <c r="K62" s="1478"/>
      <c r="L62" s="1478"/>
      <c r="M62" s="1478"/>
      <c r="N62" s="1478"/>
      <c r="O62" s="1478"/>
      <c r="P62" s="1478"/>
      <c r="Q62" s="1469"/>
      <c r="R62" s="488"/>
    </row>
    <row r="63" spans="2:18" ht="41.25" customHeight="1" x14ac:dyDescent="0.3">
      <c r="B63" s="533">
        <v>2</v>
      </c>
      <c r="C63" s="546" t="s">
        <v>823</v>
      </c>
      <c r="D63" s="1468" t="s">
        <v>824</v>
      </c>
      <c r="E63" s="1469"/>
      <c r="F63" s="1217"/>
      <c r="G63" s="1217"/>
      <c r="H63" s="710">
        <f>Water.T.DHW.IMP</f>
        <v>130</v>
      </c>
      <c r="I63" s="1217" t="s">
        <v>825</v>
      </c>
      <c r="J63" s="1468" t="s">
        <v>826</v>
      </c>
      <c r="K63" s="1478"/>
      <c r="L63" s="1478"/>
      <c r="M63" s="1478"/>
      <c r="N63" s="1478"/>
      <c r="O63" s="1478"/>
      <c r="P63" s="1478"/>
      <c r="Q63" s="1469"/>
      <c r="R63" s="488"/>
    </row>
    <row r="64" spans="2:18" ht="41.25" customHeight="1" x14ac:dyDescent="0.3">
      <c r="B64" s="719">
        <v>3</v>
      </c>
      <c r="C64" s="546" t="s">
        <v>778</v>
      </c>
      <c r="D64" s="1468" t="s">
        <v>827</v>
      </c>
      <c r="E64" s="1469"/>
      <c r="F64" s="1217" t="str">
        <f>$C$26</f>
        <v>Average</v>
      </c>
      <c r="G64" s="1217" t="s">
        <v>780</v>
      </c>
      <c r="H64" s="710">
        <f>INDEX(ClimateData[#All],MATCH(F64,ClimateData[[#All],[Region]],0),MATCH(G64,ClimateData[#Headers],0))*9/5+32</f>
        <v>41.68078624078624</v>
      </c>
      <c r="I64" s="1217" t="s">
        <v>825</v>
      </c>
      <c r="J64" s="1468" t="s">
        <v>782</v>
      </c>
      <c r="K64" s="1478"/>
      <c r="L64" s="1478"/>
      <c r="M64" s="1478"/>
      <c r="N64" s="1478"/>
      <c r="O64" s="1478"/>
      <c r="P64" s="1478"/>
      <c r="Q64" s="1469"/>
      <c r="R64" s="488"/>
    </row>
    <row r="65" spans="2:18" ht="53.25" customHeight="1" x14ac:dyDescent="0.3">
      <c r="B65" s="533">
        <v>4</v>
      </c>
      <c r="C65" s="720" t="s">
        <v>828</v>
      </c>
      <c r="D65" s="1479" t="s">
        <v>829</v>
      </c>
      <c r="E65" s="1481"/>
      <c r="F65" s="1224"/>
      <c r="G65" s="1224"/>
      <c r="H65" s="721">
        <f>WaterHeatingEfficiency.R.NG</f>
        <v>0.55000000000000004</v>
      </c>
      <c r="I65" s="1224" t="s">
        <v>519</v>
      </c>
      <c r="J65" s="1479" t="s">
        <v>830</v>
      </c>
      <c r="K65" s="1480"/>
      <c r="L65" s="1480"/>
      <c r="M65" s="1480"/>
      <c r="N65" s="1480"/>
      <c r="O65" s="1480"/>
      <c r="P65" s="1480"/>
      <c r="Q65" s="1481"/>
      <c r="R65" s="488"/>
    </row>
    <row r="66" spans="2:18" ht="41.25" customHeight="1" x14ac:dyDescent="0.3">
      <c r="B66" s="533">
        <v>5</v>
      </c>
      <c r="C66" s="546" t="s">
        <v>831</v>
      </c>
      <c r="D66" s="1468" t="s">
        <v>832</v>
      </c>
      <c r="E66" s="1469"/>
      <c r="F66" s="1217"/>
      <c r="G66" s="1217"/>
      <c r="H66" s="554">
        <v>0.91566000000000003</v>
      </c>
      <c r="I66" s="1217" t="s">
        <v>519</v>
      </c>
      <c r="J66" s="1468" t="s">
        <v>833</v>
      </c>
      <c r="K66" s="1478"/>
      <c r="L66" s="1478"/>
      <c r="M66" s="1478"/>
      <c r="N66" s="1478"/>
      <c r="O66" s="1478"/>
      <c r="P66" s="1478"/>
      <c r="Q66" s="1469"/>
      <c r="R66" s="488"/>
    </row>
    <row r="67" spans="2:18" ht="41.25" customHeight="1" x14ac:dyDescent="0.3">
      <c r="B67" s="533">
        <v>6</v>
      </c>
      <c r="C67" s="546" t="s">
        <v>787</v>
      </c>
      <c r="D67" s="1468" t="s">
        <v>788</v>
      </c>
      <c r="E67" s="1469"/>
      <c r="F67" s="1217" t="str">
        <f>C28</f>
        <v>Home - detached</v>
      </c>
      <c r="G67" s="1217" t="s">
        <v>790</v>
      </c>
      <c r="H67" s="710">
        <f>INDEX(BuildingType[],MATCH($F$67,BuildingType[Building],0),MATCH($G$67,BuildingType[#Headers],0))</f>
        <v>2.56</v>
      </c>
      <c r="I67" s="1217" t="s">
        <v>834</v>
      </c>
      <c r="J67" s="1468" t="s">
        <v>792</v>
      </c>
      <c r="K67" s="1478"/>
      <c r="L67" s="1478"/>
      <c r="M67" s="1478"/>
      <c r="N67" s="1478"/>
      <c r="O67" s="1478"/>
      <c r="P67" s="1478"/>
      <c r="Q67" s="1469"/>
      <c r="R67" s="488"/>
    </row>
    <row r="68" spans="2:18" ht="13.15" customHeight="1" x14ac:dyDescent="0.3">
      <c r="B68" s="533">
        <v>7</v>
      </c>
      <c r="C68" s="546"/>
      <c r="D68" s="1468"/>
      <c r="E68" s="1469"/>
      <c r="F68" s="1217"/>
      <c r="G68" s="1217"/>
      <c r="H68" s="710"/>
      <c r="I68" s="1217"/>
      <c r="J68" s="1468"/>
      <c r="K68" s="1478"/>
      <c r="L68" s="1478"/>
      <c r="M68" s="1478"/>
      <c r="N68" s="1478"/>
      <c r="O68" s="1478"/>
      <c r="P68" s="1478"/>
      <c r="Q68" s="1469"/>
      <c r="R68" s="488"/>
    </row>
    <row r="69" spans="2:18" ht="13.15" customHeight="1" x14ac:dyDescent="0.3">
      <c r="B69" s="533">
        <v>8</v>
      </c>
      <c r="C69" s="546"/>
      <c r="D69" s="1468"/>
      <c r="E69" s="1469"/>
      <c r="F69" s="1217"/>
      <c r="G69" s="1217"/>
      <c r="H69" s="569"/>
      <c r="I69" s="1217"/>
      <c r="J69" s="1468"/>
      <c r="K69" s="1478"/>
      <c r="L69" s="1478"/>
      <c r="M69" s="1478"/>
      <c r="N69" s="1478"/>
      <c r="O69" s="1478"/>
      <c r="P69" s="1478"/>
      <c r="Q69" s="1469"/>
      <c r="R69" s="488"/>
    </row>
    <row r="70" spans="2:18" ht="13.15" customHeight="1" x14ac:dyDescent="0.3">
      <c r="B70" s="533">
        <v>9</v>
      </c>
      <c r="C70" s="546"/>
      <c r="D70" s="1468"/>
      <c r="E70" s="1469"/>
      <c r="F70" s="1217"/>
      <c r="G70" s="1217"/>
      <c r="H70" s="710"/>
      <c r="I70" s="1217"/>
      <c r="J70" s="1468"/>
      <c r="K70" s="1478"/>
      <c r="L70" s="1478"/>
      <c r="M70" s="1478"/>
      <c r="N70" s="1478"/>
      <c r="O70" s="1478"/>
      <c r="P70" s="1478"/>
      <c r="Q70" s="1469"/>
      <c r="R70" s="488"/>
    </row>
    <row r="71" spans="2:18" ht="13" x14ac:dyDescent="0.3">
      <c r="B71" s="533">
        <v>10</v>
      </c>
      <c r="C71" s="546"/>
      <c r="D71" s="1468"/>
      <c r="E71" s="1469"/>
      <c r="F71" s="1217"/>
      <c r="G71" s="1217"/>
      <c r="H71" s="710"/>
      <c r="I71" s="1217"/>
      <c r="J71" s="1468"/>
      <c r="K71" s="1478"/>
      <c r="L71" s="1478"/>
      <c r="M71" s="1478"/>
      <c r="N71" s="1478"/>
      <c r="O71" s="1478"/>
      <c r="P71" s="1478"/>
      <c r="Q71" s="1469"/>
      <c r="R71" s="488"/>
    </row>
    <row r="72" spans="2:18" s="491" customFormat="1" ht="13" x14ac:dyDescent="0.3">
      <c r="B72" s="536">
        <v>11</v>
      </c>
      <c r="C72" s="555"/>
      <c r="D72" s="1437"/>
      <c r="E72" s="1438"/>
      <c r="F72" s="556"/>
      <c r="G72" s="557"/>
      <c r="H72" s="556"/>
      <c r="I72" s="557"/>
      <c r="J72" s="1437"/>
      <c r="K72" s="1448"/>
      <c r="L72" s="1448"/>
      <c r="M72" s="1448"/>
      <c r="N72" s="1448"/>
      <c r="O72" s="1448"/>
      <c r="P72" s="1448"/>
      <c r="Q72" s="1438"/>
    </row>
    <row r="73" spans="2:18" s="491" customFormat="1" ht="13" x14ac:dyDescent="0.3">
      <c r="B73" s="536">
        <v>12</v>
      </c>
      <c r="C73" s="555"/>
      <c r="D73" s="1437"/>
      <c r="E73" s="1438"/>
      <c r="F73" s="556"/>
      <c r="G73" s="557"/>
      <c r="H73" s="558"/>
      <c r="I73" s="557"/>
      <c r="J73" s="1472"/>
      <c r="K73" s="1473"/>
      <c r="L73" s="1473"/>
      <c r="M73" s="1473"/>
      <c r="N73" s="1473"/>
      <c r="O73" s="1473"/>
      <c r="P73" s="1473"/>
      <c r="Q73" s="1474"/>
    </row>
    <row r="74" spans="2:18" s="491" customFormat="1" ht="13" x14ac:dyDescent="0.3">
      <c r="B74" s="536">
        <v>13</v>
      </c>
      <c r="C74" s="555"/>
      <c r="D74" s="1437"/>
      <c r="E74" s="1438"/>
      <c r="F74" s="556"/>
      <c r="G74" s="557"/>
      <c r="H74" s="556"/>
      <c r="I74" s="557"/>
      <c r="J74" s="1472"/>
      <c r="K74" s="1473"/>
      <c r="L74" s="1473"/>
      <c r="M74" s="1473"/>
      <c r="N74" s="1473"/>
      <c r="O74" s="1473"/>
      <c r="P74" s="1473"/>
      <c r="Q74" s="1474"/>
    </row>
    <row r="75" spans="2:18" s="489" customFormat="1" ht="13.15" customHeight="1" x14ac:dyDescent="0.3">
      <c r="B75" s="536">
        <v>14</v>
      </c>
      <c r="C75" s="555"/>
      <c r="D75" s="1437"/>
      <c r="E75" s="1438"/>
      <c r="F75" s="556"/>
      <c r="G75" s="557"/>
      <c r="H75" s="556"/>
      <c r="I75" s="557"/>
      <c r="J75" s="1472"/>
      <c r="K75" s="1473"/>
      <c r="L75" s="1473"/>
      <c r="M75" s="1473"/>
      <c r="N75" s="1473"/>
      <c r="O75" s="1473"/>
      <c r="P75" s="1473"/>
      <c r="Q75" s="1474"/>
    </row>
    <row r="76" spans="2:18" s="489" customFormat="1" ht="13" x14ac:dyDescent="0.3">
      <c r="B76" s="536">
        <v>15</v>
      </c>
      <c r="C76" s="555"/>
      <c r="D76" s="1437"/>
      <c r="E76" s="1438"/>
      <c r="F76" s="556"/>
      <c r="G76" s="557"/>
      <c r="H76" s="559"/>
      <c r="I76" s="557"/>
      <c r="J76" s="1472"/>
      <c r="K76" s="1473"/>
      <c r="L76" s="1473"/>
      <c r="M76" s="1473"/>
      <c r="N76" s="1473"/>
      <c r="O76" s="1473"/>
      <c r="P76" s="1473"/>
      <c r="Q76" s="1474"/>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182"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182"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c r="R85" s="488"/>
    </row>
    <row r="86" spans="2:18" ht="13" x14ac:dyDescent="0.3">
      <c r="B86" s="533">
        <v>6</v>
      </c>
      <c r="C86" s="560"/>
      <c r="D86" s="722"/>
      <c r="E86" s="1182"/>
      <c r="F86" s="1489"/>
      <c r="G86" s="1490"/>
      <c r="H86" s="1490"/>
      <c r="I86" s="1490"/>
      <c r="J86" s="1490"/>
      <c r="K86" s="1490"/>
      <c r="L86" s="1490"/>
      <c r="M86" s="1490"/>
      <c r="N86" s="1490"/>
      <c r="O86" s="1490"/>
      <c r="P86" s="1490"/>
      <c r="Q86" s="1491"/>
      <c r="R86" s="488"/>
    </row>
    <row r="87" spans="2:18" ht="13" x14ac:dyDescent="0.3">
      <c r="B87" s="533">
        <v>7</v>
      </c>
      <c r="C87" s="563"/>
      <c r="D87" s="1233"/>
      <c r="E87" s="1182"/>
      <c r="F87" s="1489"/>
      <c r="G87" s="1490"/>
      <c r="H87" s="1490"/>
      <c r="I87" s="1490"/>
      <c r="J87" s="1490"/>
      <c r="K87" s="1490"/>
      <c r="L87" s="1490"/>
      <c r="M87" s="1490"/>
      <c r="N87" s="1490"/>
      <c r="O87" s="1490"/>
      <c r="P87" s="1490"/>
      <c r="Q87" s="1491"/>
      <c r="R87" s="488"/>
    </row>
    <row r="88" spans="2:18" ht="13" x14ac:dyDescent="0.3">
      <c r="B88" s="533">
        <v>8</v>
      </c>
      <c r="C88" s="563"/>
      <c r="D88" s="564"/>
      <c r="E88" s="1182"/>
      <c r="F88" s="1489"/>
      <c r="G88" s="1490"/>
      <c r="H88" s="1490"/>
      <c r="I88" s="1490"/>
      <c r="J88" s="1490"/>
      <c r="K88" s="1490"/>
      <c r="L88" s="1490"/>
      <c r="M88" s="1490"/>
      <c r="N88" s="1490"/>
      <c r="O88" s="1490"/>
      <c r="P88" s="1490"/>
      <c r="Q88" s="1491"/>
      <c r="R88" s="488"/>
    </row>
    <row r="89" spans="2:18" ht="13" x14ac:dyDescent="0.3">
      <c r="B89" s="533">
        <v>9</v>
      </c>
      <c r="C89" s="563"/>
      <c r="D89" s="1233"/>
      <c r="E89" s="1182"/>
      <c r="F89" s="1489"/>
      <c r="G89" s="1490"/>
      <c r="H89" s="1490"/>
      <c r="I89" s="1490"/>
      <c r="J89" s="1490"/>
      <c r="K89" s="1490"/>
      <c r="L89" s="1490"/>
      <c r="M89" s="1490"/>
      <c r="N89" s="1490"/>
      <c r="O89" s="1490"/>
      <c r="P89" s="1490"/>
      <c r="Q89" s="1491"/>
      <c r="R89" s="488"/>
    </row>
    <row r="90" spans="2:18" ht="13" x14ac:dyDescent="0.3">
      <c r="B90" s="533">
        <v>10</v>
      </c>
      <c r="C90" s="563"/>
      <c r="D90" s="564"/>
      <c r="E90" s="1182"/>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c r="R95" s="488"/>
    </row>
    <row r="96" spans="2:18" ht="25.5" customHeight="1" x14ac:dyDescent="0.3">
      <c r="B96" s="1188" t="s">
        <v>478</v>
      </c>
      <c r="C96" s="1402" t="s">
        <v>538</v>
      </c>
      <c r="D96" s="1431"/>
      <c r="E96" s="565"/>
      <c r="F96" s="565"/>
      <c r="G96" s="565"/>
      <c r="H96" s="565"/>
      <c r="I96" s="565"/>
      <c r="J96" s="565"/>
      <c r="K96" s="565"/>
      <c r="L96" s="565"/>
      <c r="M96" s="565"/>
      <c r="N96" s="566"/>
      <c r="O96" s="1410"/>
      <c r="P96" s="1411"/>
      <c r="Q96" s="1412"/>
      <c r="R96" s="488"/>
    </row>
    <row r="97" spans="2:18" ht="13" x14ac:dyDescent="0.3">
      <c r="B97" s="533">
        <v>1</v>
      </c>
      <c r="C97" s="546"/>
      <c r="D97" s="1184"/>
      <c r="E97" s="1190"/>
      <c r="F97" s="1190"/>
      <c r="G97" s="1190"/>
      <c r="H97" s="1190"/>
      <c r="I97" s="568"/>
      <c r="J97" s="568"/>
      <c r="K97" s="568"/>
      <c r="L97" s="568"/>
      <c r="M97" s="568"/>
      <c r="N97" s="568"/>
      <c r="O97" s="1501"/>
      <c r="P97" s="1502"/>
      <c r="Q97" s="1503"/>
      <c r="R97" s="488"/>
    </row>
    <row r="98" spans="2:18" ht="13" x14ac:dyDescent="0.3">
      <c r="B98" s="533">
        <v>2</v>
      </c>
      <c r="C98" s="546"/>
      <c r="D98" s="1184"/>
      <c r="E98" s="1190"/>
      <c r="F98" s="1190"/>
      <c r="G98" s="1190"/>
      <c r="H98" s="1190"/>
      <c r="I98" s="568"/>
      <c r="J98" s="568"/>
      <c r="K98" s="568"/>
      <c r="L98" s="568"/>
      <c r="M98" s="568"/>
      <c r="N98" s="568"/>
      <c r="O98" s="1495"/>
      <c r="P98" s="1496"/>
      <c r="Q98" s="1497"/>
      <c r="R98" s="488"/>
    </row>
    <row r="99" spans="2:18" ht="13" x14ac:dyDescent="0.3">
      <c r="B99" s="533">
        <v>3</v>
      </c>
      <c r="C99" s="546"/>
      <c r="D99" s="1184"/>
      <c r="E99" s="1190"/>
      <c r="F99" s="1190"/>
      <c r="G99" s="1190"/>
      <c r="H99" s="1190"/>
      <c r="I99" s="568"/>
      <c r="J99" s="568"/>
      <c r="K99" s="568"/>
      <c r="L99" s="568"/>
      <c r="M99" s="568"/>
      <c r="N99" s="568"/>
      <c r="O99" s="1495"/>
      <c r="P99" s="1496"/>
      <c r="Q99" s="1497"/>
      <c r="R99" s="488"/>
    </row>
    <row r="100" spans="2:18" ht="13" x14ac:dyDescent="0.3">
      <c r="B100" s="533">
        <v>4</v>
      </c>
      <c r="C100" s="546"/>
      <c r="D100" s="1184"/>
      <c r="E100" s="1190"/>
      <c r="F100" s="1190"/>
      <c r="G100" s="1190"/>
      <c r="H100" s="1190"/>
      <c r="I100" s="568"/>
      <c r="J100" s="568"/>
      <c r="K100" s="568"/>
      <c r="L100" s="568"/>
      <c r="M100" s="568"/>
      <c r="N100" s="568"/>
      <c r="O100" s="1495"/>
      <c r="P100" s="1496"/>
      <c r="Q100" s="1497"/>
      <c r="R100" s="488"/>
    </row>
    <row r="101" spans="2:18" ht="13" x14ac:dyDescent="0.3">
      <c r="B101" s="533">
        <v>5</v>
      </c>
      <c r="C101" s="546"/>
      <c r="D101" s="1184"/>
      <c r="E101" s="1190"/>
      <c r="F101" s="1190"/>
      <c r="G101" s="1190"/>
      <c r="H101" s="1190"/>
      <c r="I101" s="568"/>
      <c r="J101" s="568"/>
      <c r="K101" s="568"/>
      <c r="L101" s="568"/>
      <c r="M101" s="568"/>
      <c r="N101" s="568"/>
      <c r="O101" s="1495"/>
      <c r="P101" s="1496"/>
      <c r="Q101" s="1497"/>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row r="118" spans="2:18" ht="18.75" customHeight="1" x14ac:dyDescent="0.3">
      <c r="B118" s="1692" t="s">
        <v>835</v>
      </c>
      <c r="C118" s="1692"/>
      <c r="D118" s="1692"/>
      <c r="E118" s="1692"/>
      <c r="P118" s="489"/>
      <c r="R118" s="488"/>
    </row>
    <row r="119" spans="2:18" ht="18.75" customHeight="1" x14ac:dyDescent="0.3">
      <c r="P119" s="489"/>
      <c r="R119" s="488"/>
    </row>
    <row r="120" spans="2:18" ht="18.75" customHeight="1" x14ac:dyDescent="0.3">
      <c r="P120" s="489"/>
      <c r="R120" s="488"/>
    </row>
    <row r="121" spans="2:18" ht="18.75" customHeight="1" x14ac:dyDescent="0.3">
      <c r="P121" s="489"/>
      <c r="R121" s="488"/>
    </row>
    <row r="143" spans="2:4" ht="18.75" customHeight="1" x14ac:dyDescent="0.3">
      <c r="B143" s="1693" t="s">
        <v>836</v>
      </c>
      <c r="C143" s="1694"/>
      <c r="D143" s="716" t="s">
        <v>837</v>
      </c>
    </row>
    <row r="144" spans="2:4" ht="18.75" customHeight="1" x14ac:dyDescent="0.3">
      <c r="B144" s="1690" t="s">
        <v>838</v>
      </c>
      <c r="C144" s="1691"/>
      <c r="D144" s="717">
        <v>2.56</v>
      </c>
    </row>
    <row r="145" spans="2:4" ht="18.75" customHeight="1" x14ac:dyDescent="0.3">
      <c r="B145" s="1690" t="s">
        <v>839</v>
      </c>
      <c r="C145" s="1691"/>
      <c r="D145" s="717">
        <v>2.1</v>
      </c>
    </row>
    <row r="146" spans="2:4" ht="26" x14ac:dyDescent="0.3">
      <c r="B146" s="1690" t="s">
        <v>673</v>
      </c>
      <c r="C146" s="1691"/>
      <c r="D146" s="718" t="s">
        <v>840</v>
      </c>
    </row>
  </sheetData>
  <sheetProtection algorithmName="SHA-512" hashValue="h8OFLrvP7CXHkxA+yAWJAeu+yJFro0RP0YAdfLFBRg+byChQA2sZcbei7mrSc41F+Rce/Oilo9mtuJGPODhUng==" saltValue="5y3HS3tl8xHE9CYgHx7OIg==" spinCount="100000" sheet="1" objects="1" scenarios="1" selectLockedCells="1" selectUnlockedCells="1"/>
  <mergeCells count="126">
    <mergeCell ref="P50:Q50"/>
    <mergeCell ref="C51:M51"/>
    <mergeCell ref="P51:Q51"/>
    <mergeCell ref="C47:M47"/>
    <mergeCell ref="P47:Q47"/>
    <mergeCell ref="E35:Q35"/>
    <mergeCell ref="E36:Q36"/>
    <mergeCell ref="E37:Q37"/>
    <mergeCell ref="C41:M41"/>
    <mergeCell ref="P41:Q41"/>
    <mergeCell ref="C43:M43"/>
    <mergeCell ref="P43:Q43"/>
    <mergeCell ref="C44:M44"/>
    <mergeCell ref="P44:Q44"/>
    <mergeCell ref="C45:M45"/>
    <mergeCell ref="P45:Q45"/>
    <mergeCell ref="P42:Q42"/>
    <mergeCell ref="P48:Q48"/>
    <mergeCell ref="C49:M49"/>
    <mergeCell ref="P49:Q49"/>
    <mergeCell ref="D70:E70"/>
    <mergeCell ref="J70:Q70"/>
    <mergeCell ref="D71:E71"/>
    <mergeCell ref="J71:Q71"/>
    <mergeCell ref="D68:E68"/>
    <mergeCell ref="J68:Q68"/>
    <mergeCell ref="D69:E69"/>
    <mergeCell ref="J69:Q69"/>
    <mergeCell ref="P53:Q53"/>
    <mergeCell ref="D66:E66"/>
    <mergeCell ref="D67:E67"/>
    <mergeCell ref="J66:Q66"/>
    <mergeCell ref="J67:Q67"/>
    <mergeCell ref="D64:E64"/>
    <mergeCell ref="J64:Q64"/>
    <mergeCell ref="J65:Q65"/>
    <mergeCell ref="D62:E62"/>
    <mergeCell ref="J62:Q62"/>
    <mergeCell ref="P54:Q54"/>
    <mergeCell ref="C55:M55"/>
    <mergeCell ref="P55:Q55"/>
    <mergeCell ref="C56:M56"/>
    <mergeCell ref="P56:Q56"/>
    <mergeCell ref="D63:E63"/>
    <mergeCell ref="F84:Q84"/>
    <mergeCell ref="F85:Q85"/>
    <mergeCell ref="D72:E72"/>
    <mergeCell ref="J72:Q72"/>
    <mergeCell ref="D73:E73"/>
    <mergeCell ref="J73:Q73"/>
    <mergeCell ref="D74:E74"/>
    <mergeCell ref="J74:Q74"/>
    <mergeCell ref="D75:E75"/>
    <mergeCell ref="J75:Q75"/>
    <mergeCell ref="D76:E76"/>
    <mergeCell ref="J76:Q76"/>
    <mergeCell ref="F80:Q80"/>
    <mergeCell ref="F81:Q81"/>
    <mergeCell ref="B144:C144"/>
    <mergeCell ref="B145:C145"/>
    <mergeCell ref="B146:C146"/>
    <mergeCell ref="O113:Q113"/>
    <mergeCell ref="O114:Q114"/>
    <mergeCell ref="O115:Q115"/>
    <mergeCell ref="O116:Q116"/>
    <mergeCell ref="B118:E118"/>
    <mergeCell ref="B143:C143"/>
    <mergeCell ref="O108:Q108"/>
    <mergeCell ref="O109:Q109"/>
    <mergeCell ref="O110:Q110"/>
    <mergeCell ref="O111:Q111"/>
    <mergeCell ref="O112:Q112"/>
    <mergeCell ref="O101:Q101"/>
    <mergeCell ref="O102:Q102"/>
    <mergeCell ref="O103:Q103"/>
    <mergeCell ref="O104:Q104"/>
    <mergeCell ref="O105:Q105"/>
    <mergeCell ref="O106:Q106"/>
    <mergeCell ref="C2:F2"/>
    <mergeCell ref="C3:F3"/>
    <mergeCell ref="C4:F4"/>
    <mergeCell ref="D7:F7"/>
    <mergeCell ref="D17:F17"/>
    <mergeCell ref="D18:F18"/>
    <mergeCell ref="D8:F16"/>
    <mergeCell ref="C5:F5"/>
    <mergeCell ref="O107:Q107"/>
    <mergeCell ref="B95:D95"/>
    <mergeCell ref="C96:D96"/>
    <mergeCell ref="O97:Q97"/>
    <mergeCell ref="O98:Q98"/>
    <mergeCell ref="O99:Q99"/>
    <mergeCell ref="O100:Q100"/>
    <mergeCell ref="E94:N94"/>
    <mergeCell ref="O94:Q96"/>
    <mergeCell ref="F86:Q86"/>
    <mergeCell ref="F87:Q87"/>
    <mergeCell ref="F88:Q88"/>
    <mergeCell ref="F89:Q89"/>
    <mergeCell ref="F90:Q90"/>
    <mergeCell ref="F82:Q82"/>
    <mergeCell ref="F83:Q83"/>
    <mergeCell ref="D65:E65"/>
    <mergeCell ref="C48:M48"/>
    <mergeCell ref="C42:M42"/>
    <mergeCell ref="B20:Q20"/>
    <mergeCell ref="C21:Q21"/>
    <mergeCell ref="C22:Q22"/>
    <mergeCell ref="C23:Q23"/>
    <mergeCell ref="D25:Q25"/>
    <mergeCell ref="C53:M53"/>
    <mergeCell ref="D29:Q29"/>
    <mergeCell ref="D30:Q30"/>
    <mergeCell ref="D26:Q26"/>
    <mergeCell ref="D27:Q27"/>
    <mergeCell ref="D28:Q28"/>
    <mergeCell ref="E32:Q32"/>
    <mergeCell ref="E33:Q33"/>
    <mergeCell ref="C54:M54"/>
    <mergeCell ref="J63:Q63"/>
    <mergeCell ref="C57:M57"/>
    <mergeCell ref="P57:Q57"/>
    <mergeCell ref="D61:E61"/>
    <mergeCell ref="J61:Q61"/>
    <mergeCell ref="E34:Q34"/>
    <mergeCell ref="C50:M50"/>
  </mergeCells>
  <conditionalFormatting sqref="E110:E116">
    <cfRule type="expression" dxfId="3816" priority="60">
      <formula>IF(OR(#REF!="L",#REF!="C"),TRUE,FALSE)</formula>
    </cfRule>
  </conditionalFormatting>
  <conditionalFormatting sqref="F109:F116 G102:G116 H104:H116">
    <cfRule type="expression" dxfId="3815" priority="61">
      <formula>IF(OR(#REF!="L",#REF!="C"),TRUE,FALSE)</formula>
    </cfRule>
  </conditionalFormatting>
  <conditionalFormatting sqref="E107">
    <cfRule type="expression" dxfId="3814" priority="59">
      <formula>IF(OR(#REF!="L",#REF!="C"),TRUE,FALSE)</formula>
    </cfRule>
  </conditionalFormatting>
  <conditionalFormatting sqref="E108">
    <cfRule type="expression" dxfId="3813" priority="58">
      <formula>IF(OR(#REF!="L",#REF!="C"),TRUE,FALSE)</formula>
    </cfRule>
  </conditionalFormatting>
  <conditionalFormatting sqref="E109">
    <cfRule type="expression" dxfId="3812" priority="57">
      <formula>IF(OR(#REF!="L",#REF!="C"),TRUE,FALSE)</formula>
    </cfRule>
  </conditionalFormatting>
  <conditionalFormatting sqref="E106">
    <cfRule type="expression" dxfId="3811" priority="56">
      <formula>IF(OR(#REF!="L",#REF!="C"),TRUE,FALSE)</formula>
    </cfRule>
  </conditionalFormatting>
  <conditionalFormatting sqref="E95 G95 I95 K95 M95">
    <cfRule type="duplicateValues" dxfId="3810" priority="55"/>
  </conditionalFormatting>
  <conditionalFormatting sqref="M104:M116">
    <cfRule type="expression" dxfId="3809" priority="45">
      <formula>IF(OR(#REF!="L",#REF!="C"),TRUE,FALSE)</formula>
    </cfRule>
  </conditionalFormatting>
  <conditionalFormatting sqref="F102:F106">
    <cfRule type="expression" dxfId="3808" priority="54">
      <formula>IF(OR(#REF!="L",#REF!="C"),TRUE,FALSE)</formula>
    </cfRule>
  </conditionalFormatting>
  <conditionalFormatting sqref="I102:I103">
    <cfRule type="expression" dxfId="3807" priority="52">
      <formula>IF(OR(#REF!="L",#REF!="C"),TRUE,FALSE)</formula>
    </cfRule>
  </conditionalFormatting>
  <conditionalFormatting sqref="N102:N103">
    <cfRule type="expression" dxfId="3806" priority="42">
      <formula>IF(OR(#REF!="L",#REF!="C"),TRUE,FALSE)</formula>
    </cfRule>
  </conditionalFormatting>
  <conditionalFormatting sqref="I104:I116">
    <cfRule type="expression" dxfId="3805" priority="53">
      <formula>IF(OR(#REF!="L",#REF!="C"),TRUE,FALSE)</formula>
    </cfRule>
  </conditionalFormatting>
  <conditionalFormatting sqref="J102:J103">
    <cfRule type="expression" dxfId="3804" priority="50">
      <formula>IF(OR(#REF!="L",#REF!="C"),TRUE,FALSE)</formula>
    </cfRule>
  </conditionalFormatting>
  <conditionalFormatting sqref="J104:J116">
    <cfRule type="expression" dxfId="3803" priority="51">
      <formula>IF(OR(#REF!="L",#REF!="C"),TRUE,FALSE)</formula>
    </cfRule>
  </conditionalFormatting>
  <conditionalFormatting sqref="K102:K103">
    <cfRule type="expression" dxfId="3802" priority="48">
      <formula>IF(OR(#REF!="L",#REF!="C"),TRUE,FALSE)</formula>
    </cfRule>
  </conditionalFormatting>
  <conditionalFormatting sqref="K104:K116">
    <cfRule type="expression" dxfId="3801" priority="49">
      <formula>IF(OR(#REF!="L",#REF!="C"),TRUE,FALSE)</formula>
    </cfRule>
  </conditionalFormatting>
  <conditionalFormatting sqref="L102:L103">
    <cfRule type="expression" dxfId="3800" priority="46">
      <formula>IF(OR(#REF!="L",#REF!="C"),TRUE,FALSE)</formula>
    </cfRule>
  </conditionalFormatting>
  <conditionalFormatting sqref="L104:L116">
    <cfRule type="expression" dxfId="3799" priority="47">
      <formula>IF(OR(#REF!="L",#REF!="C"),TRUE,FALSE)</formula>
    </cfRule>
  </conditionalFormatting>
  <conditionalFormatting sqref="M102:M103">
    <cfRule type="expression" dxfId="3798" priority="44">
      <formula>IF(OR(#REF!="L",#REF!="C"),TRUE,FALSE)</formula>
    </cfRule>
  </conditionalFormatting>
  <conditionalFormatting sqref="N104:N116">
    <cfRule type="expression" dxfId="3797" priority="43">
      <formula>IF(OR(#REF!="L",#REF!="C"),TRUE,FALSE)</formula>
    </cfRule>
  </conditionalFormatting>
  <conditionalFormatting sqref="O102:O103">
    <cfRule type="expression" dxfId="3796" priority="39">
      <formula>IF(OR(#REF!="L",#REF!="C"),TRUE,FALSE)</formula>
    </cfRule>
  </conditionalFormatting>
  <conditionalFormatting sqref="O104:O116">
    <cfRule type="expression" dxfId="3795" priority="40">
      <formula>IF(OR(#REF!="L",#REF!="C"),TRUE,FALSE)</formula>
    </cfRule>
  </conditionalFormatting>
  <conditionalFormatting sqref="E96:N96">
    <cfRule type="duplicateValues" dxfId="3794" priority="38"/>
  </conditionalFormatting>
  <conditionalFormatting sqref="H62:H63 H70:H71 H65:H67">
    <cfRule type="expression" dxfId="3793" priority="19">
      <formula>IF(OR(#REF!="L",#REF!="C"),TRUE,FALSE)</formula>
    </cfRule>
  </conditionalFormatting>
  <conditionalFormatting sqref="H62:H63 H70:H71">
    <cfRule type="expression" dxfId="3792" priority="18">
      <formula>IF(OR(#REF!="L",#REF!="C"),TRUE,FALSE)</formula>
    </cfRule>
  </conditionalFormatting>
  <conditionalFormatting sqref="H62">
    <cfRule type="expression" dxfId="3791" priority="17">
      <formula>IF(OR(#REF!="L",#REF!="C"),TRUE,FALSE)</formula>
    </cfRule>
  </conditionalFormatting>
  <conditionalFormatting sqref="H69">
    <cfRule type="expression" dxfId="3790" priority="16">
      <formula>IF(OR(#REF!="L",#REF!="C"),TRUE,FALSE)</formula>
    </cfRule>
  </conditionalFormatting>
  <conditionalFormatting sqref="H62">
    <cfRule type="expression" dxfId="3789" priority="15">
      <formula>IF(OR(#REF!="L",#REF!="C"),TRUE,FALSE)</formula>
    </cfRule>
  </conditionalFormatting>
  <conditionalFormatting sqref="H70:H71">
    <cfRule type="expression" dxfId="3788" priority="14">
      <formula>IF(OR(#REF!="L",#REF!="C"),TRUE,FALSE)</formula>
    </cfRule>
  </conditionalFormatting>
  <conditionalFormatting sqref="H68">
    <cfRule type="expression" dxfId="3787" priority="13">
      <formula>IF(OR(#REF!="L",#REF!="C"),TRUE,FALSE)</formula>
    </cfRule>
  </conditionalFormatting>
  <conditionalFormatting sqref="H68">
    <cfRule type="expression" dxfId="3786" priority="12">
      <formula>IF(OR(#REF!="L",#REF!="C"),TRUE,FALSE)</formula>
    </cfRule>
  </conditionalFormatting>
  <conditionalFormatting sqref="H72">
    <cfRule type="expression" dxfId="3785" priority="11">
      <formula>IF(OR(#REF!="L",#REF!="C"),TRUE,FALSE)</formula>
    </cfRule>
  </conditionalFormatting>
  <conditionalFormatting sqref="H73">
    <cfRule type="expression" dxfId="3784" priority="10">
      <formula>IF(OR(#REF!="L",#REF!="C"),TRUE,FALSE)</formula>
    </cfRule>
  </conditionalFormatting>
  <conditionalFormatting sqref="H74">
    <cfRule type="expression" dxfId="3783" priority="9">
      <formula>IF(OR(#REF!="L",#REF!="C"),TRUE,FALSE)</formula>
    </cfRule>
  </conditionalFormatting>
  <conditionalFormatting sqref="H75">
    <cfRule type="expression" dxfId="3782" priority="8">
      <formula>IF(OR(#REF!="L",#REF!="C"),TRUE,FALSE)</formula>
    </cfRule>
  </conditionalFormatting>
  <conditionalFormatting sqref="H76">
    <cfRule type="expression" dxfId="3781" priority="7">
      <formula>IF(OR(#REF!="L",#REF!="C"),TRUE,FALSE)</formula>
    </cfRule>
  </conditionalFormatting>
  <conditionalFormatting sqref="H64">
    <cfRule type="expression" dxfId="3780" priority="2">
      <formula>IF(OR(#REF!="L",#REF!="C"),TRUE,FALSE)</formula>
    </cfRule>
  </conditionalFormatting>
  <conditionalFormatting sqref="H64">
    <cfRule type="expression" dxfId="3779" priority="1">
      <formula>IF(OR(#REF!="L",#REF!="C"),TRUE,FALSE)</formula>
    </cfRule>
  </conditionalFormatting>
  <dataValidations disablePrompts="1" count="8">
    <dataValidation type="list" allowBlank="1" showInputMessage="1" showErrorMessage="1" sqref="F62:F63" xr:uid="{98143584-1880-4007-96A7-380624D41A89}">
      <formula1>#REF!</formula1>
    </dataValidation>
    <dataValidation type="list" allowBlank="1" showInputMessage="1" showErrorMessage="1" sqref="F72:F74" xr:uid="{C3350CDA-5EF8-457D-B19D-80E2A4B61207}">
      <formula1>$C$102:$C$107</formula1>
    </dataValidation>
    <dataValidation type="list" allowBlank="1" showInputMessage="1" showErrorMessage="1" sqref="C4" xr:uid="{42681452-7910-49F6-BEBF-C353AE143F5A}">
      <formula1>"COM,RES"</formula1>
    </dataValidation>
    <dataValidation type="list" allowBlank="1" showInputMessage="1" showErrorMessage="1" sqref="C9" xr:uid="{4DC10D6D-02C0-4D75-938B-5FD14821B8F4}">
      <formula1>INDIRECT("MeasureTypeList[Index]")</formula1>
    </dataValidation>
    <dataValidation type="list" allowBlank="1" showInputMessage="1" showErrorMessage="1" sqref="C26" xr:uid="{72F2C38D-EC13-4052-AEA0-66C9013319E9}">
      <formula1>INDIRECT("RegionList[Index]")</formula1>
    </dataValidation>
    <dataValidation type="list" allowBlank="1" showInputMessage="1" showErrorMessage="1" sqref="C27" xr:uid="{8E9B41CA-17CB-42AC-9763-9EF737D50743}">
      <formula1>INDIRECT("ReplacementTypeList[Index]")</formula1>
    </dataValidation>
    <dataValidation type="list" allowBlank="1" showInputMessage="1" showErrorMessage="1" sqref="C28" xr:uid="{13711DAB-49B0-4DCD-A0C8-5D431DCE5C92}">
      <formula1>INDIRECT("BuildingType[Building]")</formula1>
    </dataValidation>
    <dataValidation type="list" allowBlank="1" showInputMessage="1" showErrorMessage="1" sqref="C29 C30" xr:uid="{8B494366-0403-4C11-87B4-AED705A7241B}">
      <formula1>INDIRECT("FuelTypeList[Index]")</formula1>
    </dataValidation>
  </dataValidations>
  <hyperlinks>
    <hyperlink ref="F82" r:id="rId1" xr:uid="{C6112453-710D-45CA-899A-7DA58C1DF1F1}"/>
    <hyperlink ref="F83" r:id="rId2" xr:uid="{C0E5B7E6-51CB-4F9B-9AFC-1C0693BDFEFA}"/>
    <hyperlink ref="F85" r:id="rId3" xr:uid="{4795F008-7535-4844-A210-93E5877736BF}"/>
    <hyperlink ref="F84" r:id="rId4" xr:uid="{8A82DDEB-DD85-44C8-9835-95A627336FC1}"/>
  </hyperlinks>
  <pageMargins left="0.7" right="0.7" top="0.75" bottom="0.75" header="0.3" footer="0.3"/>
  <pageSetup orientation="portrait" r:id="rId5"/>
  <drawing r:id="rId6"/>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1BE5B-83DA-43DB-B49B-5364028AB3D4}">
  <sheetPr codeName="Sheet413"/>
  <dimension ref="A1:V125"/>
  <sheetViews>
    <sheetView workbookViewId="0">
      <selection activeCell="C19" sqref="C19"/>
    </sheetView>
  </sheetViews>
  <sheetFormatPr defaultColWidth="9.08984375" defaultRowHeight="18.75" customHeight="1" x14ac:dyDescent="0.3"/>
  <cols>
    <col min="1" max="1" width="2.36328125" style="728" customWidth="1"/>
    <col min="2" max="2" width="44.26953125" style="728" bestFit="1" customWidth="1"/>
    <col min="3" max="3" width="21.08984375" style="728" customWidth="1"/>
    <col min="4" max="4" width="21.7265625" style="728" customWidth="1"/>
    <col min="5" max="5" width="14.36328125" style="728" customWidth="1"/>
    <col min="6" max="6" width="15.7265625" style="728" customWidth="1"/>
    <col min="7" max="7" width="19.7265625" style="728" customWidth="1"/>
    <col min="8" max="8" width="16" style="728" customWidth="1"/>
    <col min="9" max="9" width="10.36328125" style="728" customWidth="1"/>
    <col min="10" max="10" width="14.7265625" style="728" customWidth="1"/>
    <col min="11" max="12" width="9.08984375" style="728"/>
    <col min="13" max="13" width="11" style="728" customWidth="1"/>
    <col min="14" max="14" width="12.36328125" style="728" customWidth="1"/>
    <col min="15" max="15" width="10.7265625" style="728" customWidth="1"/>
    <col min="16" max="17" width="9.08984375" style="728"/>
    <col min="18" max="18" width="9.7265625" style="728" customWidth="1"/>
    <col min="19" max="19" width="9.08984375" style="728"/>
    <col min="20" max="20" width="8.7265625" style="728" customWidth="1"/>
    <col min="21" max="16384" width="9.08984375" style="728"/>
  </cols>
  <sheetData>
    <row r="1" spans="1:18" s="488" customFormat="1" ht="18.75" customHeight="1" x14ac:dyDescent="0.3">
      <c r="R1" s="489"/>
    </row>
    <row r="2" spans="1:18" s="488" customFormat="1" ht="18.75" customHeight="1" x14ac:dyDescent="0.3">
      <c r="B2" s="1193" t="s">
        <v>506</v>
      </c>
      <c r="C2" s="1366" t="s">
        <v>406</v>
      </c>
      <c r="D2" s="1366"/>
      <c r="E2" s="1366"/>
      <c r="F2" s="1366"/>
      <c r="R2" s="489"/>
    </row>
    <row r="3" spans="1:18" s="488" customFormat="1" ht="18.75" customHeight="1" x14ac:dyDescent="0.3">
      <c r="B3" s="490" t="s">
        <v>407</v>
      </c>
      <c r="C3" s="1367" t="str">
        <f>IF(ISBLANK(C8)+ISBLANK(C10),C8,C8&amp;"_"&amp;C10)</f>
        <v>R-W-003</v>
      </c>
      <c r="D3" s="1367"/>
      <c r="E3" s="1367"/>
      <c r="F3" s="1367"/>
      <c r="R3" s="489"/>
    </row>
    <row r="4" spans="1:18" s="488" customFormat="1" ht="18.75" customHeight="1" x14ac:dyDescent="0.3">
      <c r="B4" s="490" t="s">
        <v>11</v>
      </c>
      <c r="C4" s="1367" t="str" cm="1">
        <f t="array" ref="C4">_xlfn.SWITCH(LEFT(C8,1),"R","Residential","C","Commercial","ERROR")</f>
        <v>Residential</v>
      </c>
      <c r="D4" s="1367"/>
      <c r="E4" s="1367"/>
      <c r="F4" s="1367"/>
      <c r="R4" s="489"/>
    </row>
    <row r="5" spans="1:18" s="488" customFormat="1" ht="44.25" customHeight="1" x14ac:dyDescent="0.3">
      <c r="B5" s="490" t="s">
        <v>408</v>
      </c>
      <c r="C5" s="1530" t="s">
        <v>381</v>
      </c>
      <c r="D5" s="1531"/>
      <c r="E5" s="1531"/>
      <c r="F5" s="1532"/>
    </row>
    <row r="6" spans="1:18" s="488" customFormat="1" ht="18.75" customHeight="1" x14ac:dyDescent="0.3">
      <c r="A6" s="573"/>
      <c r="R6" s="489"/>
    </row>
    <row r="7" spans="1:18" s="488" customFormat="1" ht="18.75" customHeight="1" x14ac:dyDescent="0.3">
      <c r="B7" s="1193" t="s">
        <v>507</v>
      </c>
      <c r="C7" s="493" t="s">
        <v>406</v>
      </c>
      <c r="D7" s="1366" t="s">
        <v>410</v>
      </c>
      <c r="E7" s="1366"/>
      <c r="F7" s="1366"/>
    </row>
    <row r="8" spans="1:18" s="488" customFormat="1" ht="18.75" customHeight="1" x14ac:dyDescent="0.3">
      <c r="B8" s="490" t="s">
        <v>411</v>
      </c>
      <c r="C8" s="1194" t="s">
        <v>174</v>
      </c>
      <c r="D8" s="1547"/>
      <c r="E8" s="1548"/>
      <c r="F8" s="1549"/>
    </row>
    <row r="9" spans="1:18" s="488" customFormat="1" ht="18.75" customHeight="1" x14ac:dyDescent="0.3">
      <c r="B9" s="490" t="s">
        <v>49</v>
      </c>
      <c r="C9" s="1194" t="s">
        <v>760</v>
      </c>
      <c r="D9" s="1550"/>
      <c r="E9" s="1551"/>
      <c r="F9" s="1552"/>
    </row>
    <row r="10" spans="1:18" s="488" customFormat="1" ht="18.75" customHeight="1" x14ac:dyDescent="0.3">
      <c r="B10" s="490" t="s">
        <v>412</v>
      </c>
      <c r="C10" s="1194"/>
      <c r="D10" s="1550"/>
      <c r="E10" s="1551"/>
      <c r="F10" s="1552"/>
    </row>
    <row r="11" spans="1:18" s="488" customFormat="1" ht="18.75" customHeight="1" x14ac:dyDescent="0.3">
      <c r="B11" s="490" t="s">
        <v>413</v>
      </c>
      <c r="C11" s="1194"/>
      <c r="D11" s="1550"/>
      <c r="E11" s="1551"/>
      <c r="F11" s="1552"/>
    </row>
    <row r="12" spans="1:18" s="488" customFormat="1" ht="18.75" customHeight="1" x14ac:dyDescent="0.3">
      <c r="B12" s="490" t="s">
        <v>414</v>
      </c>
      <c r="C12" s="1194"/>
      <c r="D12" s="1550"/>
      <c r="E12" s="1551"/>
      <c r="F12" s="1552"/>
    </row>
    <row r="13" spans="1:18" s="488" customFormat="1" ht="18.75" customHeight="1" x14ac:dyDescent="0.3">
      <c r="B13" s="494" t="s">
        <v>415</v>
      </c>
      <c r="C13" s="495">
        <f>N43</f>
        <v>2751.9600839650352</v>
      </c>
      <c r="D13" s="1550"/>
      <c r="E13" s="1551"/>
      <c r="F13" s="1552"/>
    </row>
    <row r="14" spans="1:18" s="488" customFormat="1" ht="18.75" customHeight="1" x14ac:dyDescent="0.3">
      <c r="B14" s="494" t="s">
        <v>416</v>
      </c>
      <c r="C14" s="495">
        <f>N42</f>
        <v>0</v>
      </c>
      <c r="D14" s="1550"/>
      <c r="E14" s="1551"/>
      <c r="F14" s="1552"/>
    </row>
    <row r="15" spans="1:18" s="488" customFormat="1" ht="18.75" customHeight="1" x14ac:dyDescent="0.3">
      <c r="B15" s="494" t="s">
        <v>417</v>
      </c>
      <c r="C15" s="495">
        <f>N44</f>
        <v>-4.909147789987812</v>
      </c>
      <c r="D15" s="1550"/>
      <c r="E15" s="1551"/>
      <c r="F15" s="1552"/>
    </row>
    <row r="16" spans="1:18" s="488" customFormat="1" ht="18.75" customHeight="1" x14ac:dyDescent="0.3">
      <c r="B16" s="494" t="s">
        <v>418</v>
      </c>
      <c r="C16" s="496">
        <f>C37</f>
        <v>0</v>
      </c>
      <c r="D16" s="1553"/>
      <c r="E16" s="1554"/>
      <c r="F16" s="1555"/>
    </row>
    <row r="17" spans="2:18" s="488" customFormat="1" ht="18.75" customHeight="1" x14ac:dyDescent="0.3">
      <c r="B17" s="490" t="s">
        <v>48</v>
      </c>
      <c r="C17" s="1194" t="s">
        <v>815</v>
      </c>
      <c r="D17" s="1366" t="s">
        <v>419</v>
      </c>
      <c r="E17" s="1366"/>
      <c r="F17" s="1366"/>
    </row>
    <row r="18" spans="2:18" s="488" customFormat="1" ht="18.75" customHeight="1" x14ac:dyDescent="0.3">
      <c r="B18" s="490" t="s">
        <v>420</v>
      </c>
      <c r="C18" s="541">
        <v>15</v>
      </c>
      <c r="D18" s="1520" t="s">
        <v>841</v>
      </c>
      <c r="E18" s="1520"/>
      <c r="F18" s="1520"/>
    </row>
    <row r="19" spans="2:18" s="488" customFormat="1" ht="18.75" customHeight="1" x14ac:dyDescent="0.3">
      <c r="B19" s="497"/>
      <c r="C19" s="576"/>
      <c r="F19" s="489"/>
    </row>
    <row r="20" spans="2:18" s="488" customFormat="1" ht="18.75" customHeight="1" x14ac:dyDescent="0.3">
      <c r="B20" s="1368" t="s">
        <v>421</v>
      </c>
      <c r="C20" s="1368"/>
      <c r="D20" s="1368"/>
      <c r="E20" s="1368"/>
      <c r="F20" s="1368"/>
      <c r="G20" s="1368"/>
      <c r="H20" s="1368"/>
      <c r="I20" s="1368"/>
      <c r="J20" s="1368"/>
      <c r="K20" s="1368"/>
      <c r="L20" s="1368"/>
      <c r="M20" s="1368"/>
      <c r="N20" s="1368"/>
      <c r="O20" s="1368"/>
      <c r="P20" s="1368"/>
      <c r="Q20" s="1368"/>
    </row>
    <row r="21" spans="2:18" s="488" customFormat="1" ht="18.75" customHeight="1" x14ac:dyDescent="0.3">
      <c r="B21" s="499" t="s">
        <v>422</v>
      </c>
      <c r="C21" s="1546" t="s">
        <v>382</v>
      </c>
      <c r="D21" s="1546"/>
      <c r="E21" s="1546"/>
      <c r="F21" s="1546"/>
      <c r="G21" s="1546"/>
      <c r="H21" s="1546"/>
      <c r="I21" s="1546"/>
      <c r="J21" s="1546"/>
      <c r="K21" s="1546"/>
      <c r="L21" s="1546"/>
      <c r="M21" s="1546"/>
      <c r="N21" s="1546"/>
      <c r="O21" s="1546"/>
      <c r="P21" s="1546"/>
      <c r="Q21" s="1546"/>
    </row>
    <row r="22" spans="2:18" s="488" customFormat="1" ht="18.75" customHeight="1" x14ac:dyDescent="0.3">
      <c r="B22" s="499" t="s">
        <v>423</v>
      </c>
      <c r="C22" s="1546" t="s">
        <v>383</v>
      </c>
      <c r="D22" s="1546"/>
      <c r="E22" s="1546"/>
      <c r="F22" s="1546"/>
      <c r="G22" s="1546"/>
      <c r="H22" s="1546"/>
      <c r="I22" s="1546"/>
      <c r="J22" s="1546"/>
      <c r="K22" s="1546"/>
      <c r="L22" s="1546"/>
      <c r="M22" s="1546"/>
      <c r="N22" s="1546"/>
      <c r="O22" s="1546"/>
      <c r="P22" s="1546"/>
      <c r="Q22" s="1546"/>
    </row>
    <row r="23" spans="2:18" s="488" customFormat="1" ht="18.75" customHeight="1" x14ac:dyDescent="0.3">
      <c r="B23" s="500" t="s">
        <v>424</v>
      </c>
      <c r="C23" s="1546"/>
      <c r="D23" s="1546"/>
      <c r="E23" s="1546"/>
      <c r="F23" s="1546"/>
      <c r="G23" s="1546"/>
      <c r="H23" s="1546"/>
      <c r="I23" s="1546"/>
      <c r="J23" s="1546"/>
      <c r="K23" s="1546"/>
      <c r="L23" s="1546"/>
      <c r="M23" s="1546"/>
      <c r="N23" s="1546"/>
      <c r="O23" s="1546"/>
      <c r="P23" s="1546"/>
      <c r="Q23" s="1546"/>
    </row>
    <row r="24" spans="2:18" s="488" customFormat="1" ht="18.75" customHeight="1" x14ac:dyDescent="0.3">
      <c r="R24" s="489"/>
    </row>
    <row r="25" spans="2:18" s="488" customFormat="1" ht="18.75" customHeight="1" x14ac:dyDescent="0.3">
      <c r="B25" s="1193" t="s">
        <v>425</v>
      </c>
      <c r="C25" s="493" t="s">
        <v>406</v>
      </c>
      <c r="D25" s="1363" t="s">
        <v>421</v>
      </c>
      <c r="E25" s="1363"/>
      <c r="F25" s="1363"/>
      <c r="G25" s="1363"/>
      <c r="H25" s="1363"/>
      <c r="I25" s="1363"/>
      <c r="J25" s="1363"/>
      <c r="K25" s="1363"/>
      <c r="L25" s="1363"/>
      <c r="M25" s="1363"/>
      <c r="N25" s="1363"/>
      <c r="O25" s="1363"/>
      <c r="P25" s="1363"/>
      <c r="Q25" s="1363"/>
    </row>
    <row r="26" spans="2:18" s="488" customFormat="1"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row>
    <row r="27" spans="2:18" s="488" customFormat="1"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row>
    <row r="28" spans="2:18" s="488" customFormat="1" ht="18.75" customHeight="1" x14ac:dyDescent="0.3">
      <c r="B28" s="490" t="s">
        <v>54</v>
      </c>
      <c r="C28" s="539" t="str">
        <f>Default.BuildingType.R</f>
        <v>Home - detached</v>
      </c>
      <c r="D28" s="1386"/>
      <c r="E28" s="1386"/>
      <c r="F28" s="1386"/>
      <c r="G28" s="1386"/>
      <c r="H28" s="1386"/>
      <c r="I28" s="1386"/>
      <c r="J28" s="1386"/>
      <c r="K28" s="1386"/>
      <c r="L28" s="1386"/>
      <c r="M28" s="1386"/>
      <c r="N28" s="1386"/>
      <c r="O28" s="1386"/>
      <c r="P28" s="1386"/>
      <c r="Q28" s="1386"/>
    </row>
    <row r="29" spans="2:18" s="488" customFormat="1"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row>
    <row r="30" spans="2:18" s="488" customFormat="1"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row>
    <row r="31" spans="2:18" s="488" customFormat="1" ht="18.75" customHeight="1" x14ac:dyDescent="0.3">
      <c r="B31" s="577"/>
      <c r="C31" s="578"/>
      <c r="D31" s="578"/>
      <c r="E31" s="578"/>
      <c r="F31" s="578"/>
      <c r="G31" s="578"/>
      <c r="H31" s="578"/>
      <c r="I31" s="578"/>
      <c r="J31" s="578"/>
      <c r="K31" s="578"/>
      <c r="L31" s="578"/>
      <c r="M31" s="578"/>
      <c r="N31" s="578"/>
      <c r="R31" s="489"/>
    </row>
    <row r="32" spans="2:18" s="488" customFormat="1"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c r="R32" s="489"/>
    </row>
    <row r="33" spans="2:18" s="488" customFormat="1" ht="18.75" customHeight="1" x14ac:dyDescent="0.3">
      <c r="B33" s="490" t="s">
        <v>429</v>
      </c>
      <c r="C33" s="542"/>
      <c r="D33" s="586" t="s">
        <v>430</v>
      </c>
      <c r="E33" s="1677"/>
      <c r="F33" s="1677"/>
      <c r="G33" s="1677"/>
      <c r="H33" s="1677"/>
      <c r="I33" s="1677"/>
      <c r="J33" s="1677"/>
      <c r="K33" s="1677"/>
      <c r="L33" s="1677"/>
      <c r="M33" s="1677"/>
      <c r="N33" s="1677"/>
      <c r="O33" s="1677"/>
      <c r="P33" s="1677"/>
      <c r="Q33" s="1677"/>
    </row>
    <row r="34" spans="2:18" s="488" customFormat="1" ht="18.75" customHeight="1" x14ac:dyDescent="0.3">
      <c r="B34" s="494" t="s">
        <v>431</v>
      </c>
      <c r="C34" s="542"/>
      <c r="D34" s="586" t="s">
        <v>430</v>
      </c>
      <c r="E34" s="1677"/>
      <c r="F34" s="1677"/>
      <c r="G34" s="1677"/>
      <c r="H34" s="1677"/>
      <c r="I34" s="1677"/>
      <c r="J34" s="1677"/>
      <c r="K34" s="1677"/>
      <c r="L34" s="1677"/>
      <c r="M34" s="1677"/>
      <c r="N34" s="1677"/>
      <c r="O34" s="1677"/>
      <c r="P34" s="1677"/>
      <c r="Q34" s="1677"/>
      <c r="R34" s="489"/>
    </row>
    <row r="35" spans="2:18" s="488" customFormat="1" ht="18.75" customHeight="1" x14ac:dyDescent="0.3">
      <c r="B35" s="490" t="s">
        <v>432</v>
      </c>
      <c r="C35" s="542"/>
      <c r="D35" s="586" t="s">
        <v>430</v>
      </c>
      <c r="E35" s="1677"/>
      <c r="F35" s="1677"/>
      <c r="G35" s="1677"/>
      <c r="H35" s="1677"/>
      <c r="I35" s="1677"/>
      <c r="J35" s="1677"/>
      <c r="K35" s="1677"/>
      <c r="L35" s="1677"/>
      <c r="M35" s="1677"/>
      <c r="N35" s="1677"/>
      <c r="O35" s="1677"/>
      <c r="P35" s="1677"/>
      <c r="Q35" s="1677"/>
      <c r="R35" s="489"/>
    </row>
    <row r="36" spans="2:18" s="488" customFormat="1" ht="18.75" customHeight="1" x14ac:dyDescent="0.3">
      <c r="B36" s="494" t="s">
        <v>433</v>
      </c>
      <c r="C36" s="504">
        <f>SUM(C33:C34)</f>
        <v>0</v>
      </c>
      <c r="D36" s="586" t="s">
        <v>430</v>
      </c>
      <c r="E36" s="1442"/>
      <c r="F36" s="1442"/>
      <c r="G36" s="1442"/>
      <c r="H36" s="1442"/>
      <c r="I36" s="1442"/>
      <c r="J36" s="1442"/>
      <c r="K36" s="1442"/>
      <c r="L36" s="1442"/>
      <c r="M36" s="1442"/>
      <c r="N36" s="1442"/>
      <c r="O36" s="1442"/>
      <c r="P36" s="1442"/>
      <c r="Q36" s="1442"/>
      <c r="R36" s="489"/>
    </row>
    <row r="37" spans="2:18" s="488" customFormat="1" ht="18.75" customHeight="1" x14ac:dyDescent="0.3">
      <c r="B37" s="494" t="s">
        <v>434</v>
      </c>
      <c r="C37" s="504">
        <f>IF(C27="RET",C33+(C34-C35),C34-C35)</f>
        <v>0</v>
      </c>
      <c r="D37" s="586" t="s">
        <v>430</v>
      </c>
      <c r="E37" s="1512"/>
      <c r="F37" s="1442"/>
      <c r="G37" s="1442"/>
      <c r="H37" s="1442"/>
      <c r="I37" s="1442"/>
      <c r="J37" s="1442"/>
      <c r="K37" s="1442"/>
      <c r="L37" s="1442"/>
      <c r="M37" s="1442"/>
      <c r="N37" s="1442"/>
      <c r="O37" s="1442"/>
      <c r="P37" s="1442"/>
      <c r="Q37" s="1442"/>
      <c r="R37" s="489"/>
    </row>
    <row r="38" spans="2:18" s="488" customFormat="1" ht="18.75" customHeight="1" x14ac:dyDescent="0.3">
      <c r="B38" s="577"/>
      <c r="C38" s="578"/>
      <c r="D38" s="580"/>
      <c r="E38" s="578"/>
      <c r="F38" s="578"/>
      <c r="G38" s="578"/>
      <c r="H38" s="578"/>
      <c r="I38" s="578"/>
      <c r="J38" s="578"/>
      <c r="K38" s="578"/>
      <c r="L38" s="578"/>
      <c r="M38" s="578"/>
      <c r="N38" s="578"/>
      <c r="R38" s="489"/>
    </row>
    <row r="39" spans="2:18" s="488" customFormat="1" ht="18.75" customHeight="1" x14ac:dyDescent="0.3">
      <c r="B39" s="511" t="s">
        <v>435</v>
      </c>
      <c r="C39" s="512"/>
      <c r="D39" s="512"/>
      <c r="E39" s="512"/>
      <c r="F39" s="512"/>
      <c r="G39" s="512"/>
      <c r="H39" s="513"/>
      <c r="I39" s="513"/>
      <c r="J39" s="513"/>
      <c r="K39" s="513"/>
      <c r="L39" s="513"/>
      <c r="M39" s="513"/>
      <c r="N39" s="513"/>
      <c r="O39" s="513"/>
      <c r="P39" s="513"/>
      <c r="Q39" s="514"/>
      <c r="R39" s="489"/>
    </row>
    <row r="40" spans="2:18" s="488" customFormat="1" ht="18.75" customHeight="1" x14ac:dyDescent="0.3">
      <c r="R40" s="489"/>
    </row>
    <row r="41" spans="2:18" s="488" customFormat="1"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c r="R41" s="489"/>
    </row>
    <row r="42" spans="2:18" s="488" customFormat="1"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row>
    <row r="43" spans="2:18" s="488" customFormat="1" ht="18.75" customHeight="1" x14ac:dyDescent="0.3">
      <c r="B43" s="582" t="s">
        <v>441</v>
      </c>
      <c r="C43" s="1380" t="s">
        <v>442</v>
      </c>
      <c r="D43" s="1381"/>
      <c r="E43" s="1381"/>
      <c r="F43" s="1381"/>
      <c r="G43" s="1381"/>
      <c r="H43" s="1381"/>
      <c r="I43" s="1381"/>
      <c r="J43" s="1381"/>
      <c r="K43" s="1381"/>
      <c r="L43" s="1381"/>
      <c r="M43" s="1382"/>
      <c r="N43" s="585">
        <f>N49+N55</f>
        <v>2751.9600839650352</v>
      </c>
      <c r="O43" s="1243" t="s">
        <v>443</v>
      </c>
      <c r="P43" s="1511"/>
      <c r="Q43" s="1511"/>
    </row>
    <row r="44" spans="2:18" s="488" customFormat="1" ht="18.75" customHeight="1" x14ac:dyDescent="0.3">
      <c r="B44" s="582" t="s">
        <v>444</v>
      </c>
      <c r="C44" s="1380" t="s">
        <v>445</v>
      </c>
      <c r="D44" s="1381"/>
      <c r="E44" s="1381"/>
      <c r="F44" s="1381"/>
      <c r="G44" s="1381"/>
      <c r="H44" s="1381"/>
      <c r="I44" s="1381"/>
      <c r="J44" s="1381"/>
      <c r="K44" s="1381"/>
      <c r="L44" s="1381"/>
      <c r="M44" s="1382"/>
      <c r="N44" s="584">
        <f>N50+N56</f>
        <v>-4.909147789987812</v>
      </c>
      <c r="O44" s="1243" t="s">
        <v>446</v>
      </c>
      <c r="P44" s="1511"/>
      <c r="Q44" s="1511"/>
    </row>
    <row r="45" spans="2:18" s="488" customFormat="1"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row>
    <row r="46" spans="2:18" s="488" customFormat="1" ht="18.75" customHeight="1" x14ac:dyDescent="0.3">
      <c r="B46" s="583"/>
      <c r="C46" s="578"/>
      <c r="D46" s="578"/>
      <c r="E46" s="578"/>
      <c r="F46" s="578"/>
      <c r="G46" s="578"/>
      <c r="H46" s="578"/>
      <c r="I46" s="578"/>
      <c r="J46" s="578"/>
      <c r="K46" s="578"/>
      <c r="L46" s="578"/>
      <c r="M46" s="578"/>
      <c r="Q46" s="489"/>
    </row>
    <row r="47" spans="2:18" s="488" customFormat="1"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row>
    <row r="48" spans="2:18" s="488" customFormat="1" ht="18.75" customHeight="1" x14ac:dyDescent="0.3">
      <c r="B48" s="582" t="s">
        <v>452</v>
      </c>
      <c r="C48" s="1504" t="s">
        <v>453</v>
      </c>
      <c r="D48" s="1505"/>
      <c r="E48" s="1505"/>
      <c r="F48" s="1505"/>
      <c r="G48" s="1505"/>
      <c r="H48" s="1505"/>
      <c r="I48" s="1505"/>
      <c r="J48" s="1505"/>
      <c r="K48" s="1505"/>
      <c r="L48" s="1505"/>
      <c r="M48" s="1506"/>
      <c r="N48" s="591"/>
      <c r="O48" s="1243" t="s">
        <v>440</v>
      </c>
      <c r="P48" s="1511"/>
      <c r="Q48" s="1511"/>
    </row>
    <row r="49" spans="2:18" s="488" customFormat="1" ht="42.65" customHeight="1" x14ac:dyDescent="0.3">
      <c r="B49" s="582" t="s">
        <v>454</v>
      </c>
      <c r="C49" s="1507" t="s">
        <v>842</v>
      </c>
      <c r="D49" s="1508"/>
      <c r="E49" s="1508"/>
      <c r="F49" s="1508"/>
      <c r="G49" s="1508"/>
      <c r="H49" s="1508"/>
      <c r="I49" s="1508"/>
      <c r="J49" s="1508"/>
      <c r="K49" s="1508"/>
      <c r="L49" s="1508"/>
      <c r="M49" s="1509"/>
      <c r="N49" s="620">
        <f>H66 * H67 * Days_per_Year * Water.Density.IMP * (H71-H72) * Water.HeatCapacity.IMP / BTU_per_kWh * (
(1/H62 - 1/H63) +  ( 1   - 1/H63 ) * H69 * ( H75 / H64 * H74 -  H76 / H65 * (1-WaterHeatingShare.R.NG) ))</f>
        <v>2751.9600839650352</v>
      </c>
      <c r="O49" s="1243" t="s">
        <v>443</v>
      </c>
      <c r="P49" s="1697">
        <f>H66 * H67 * Days_per_Year * Water.Density.IMP * (H71-H72) * Water.HeatCapacity.IMP / BTU_per_kWh * (
(1/H62 - 1/H63) +  ( 1   - 1/H63 ) * H69 * ( H75 / H64 * H74 -  H76 / H73 * (1-WaterHeatingShare.R.NG) ))</f>
        <v>2699.5120274218561</v>
      </c>
      <c r="Q49" s="1697"/>
    </row>
    <row r="50" spans="2:18" s="488" customFormat="1" ht="13" x14ac:dyDescent="0.3">
      <c r="B50" s="582" t="s">
        <v>456</v>
      </c>
      <c r="C50" s="1504" t="s">
        <v>516</v>
      </c>
      <c r="D50" s="1505"/>
      <c r="E50" s="1505"/>
      <c r="F50" s="1505"/>
      <c r="G50" s="1505"/>
      <c r="H50" s="1505"/>
      <c r="I50" s="1505"/>
      <c r="J50" s="1505"/>
      <c r="K50" s="1505"/>
      <c r="L50" s="1505"/>
      <c r="M50" s="1506"/>
      <c r="N50" s="592"/>
      <c r="O50" s="1243" t="s">
        <v>446</v>
      </c>
      <c r="P50" s="1511"/>
      <c r="Q50" s="1511"/>
    </row>
    <row r="51" spans="2:18" s="488" customFormat="1" ht="18.75" customHeight="1" x14ac:dyDescent="0.3">
      <c r="B51" s="582" t="s">
        <v>458</v>
      </c>
      <c r="C51" s="1504" t="s">
        <v>459</v>
      </c>
      <c r="D51" s="1505"/>
      <c r="E51" s="1505"/>
      <c r="F51" s="1505"/>
      <c r="G51" s="1505"/>
      <c r="H51" s="1505"/>
      <c r="I51" s="1505"/>
      <c r="J51" s="1505"/>
      <c r="K51" s="1505"/>
      <c r="L51" s="1505"/>
      <c r="M51" s="1506"/>
      <c r="N51" s="592"/>
      <c r="O51" s="1243" t="s">
        <v>449</v>
      </c>
      <c r="P51" s="1511"/>
      <c r="Q51" s="1511"/>
    </row>
    <row r="52" spans="2:18" s="488" customFormat="1" ht="18.75" customHeight="1" x14ac:dyDescent="0.3">
      <c r="B52" s="583"/>
      <c r="C52" s="578"/>
      <c r="D52" s="578"/>
      <c r="E52" s="578"/>
      <c r="F52" s="578"/>
      <c r="G52" s="578"/>
      <c r="H52" s="578"/>
      <c r="I52" s="578"/>
      <c r="J52" s="578"/>
      <c r="K52" s="578"/>
      <c r="L52" s="578"/>
      <c r="M52" s="578"/>
      <c r="Q52" s="489"/>
    </row>
    <row r="53" spans="2:18" s="488"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88" customFormat="1" ht="18.75" customHeight="1" x14ac:dyDescent="0.3">
      <c r="B54" s="582" t="s">
        <v>462</v>
      </c>
      <c r="C54" s="1504" t="s">
        <v>463</v>
      </c>
      <c r="D54" s="1505"/>
      <c r="E54" s="1505"/>
      <c r="F54" s="1505"/>
      <c r="G54" s="1505"/>
      <c r="H54" s="1505"/>
      <c r="I54" s="1505"/>
      <c r="J54" s="1505"/>
      <c r="K54" s="1505"/>
      <c r="L54" s="1505"/>
      <c r="M54" s="1506"/>
      <c r="N54" s="591"/>
      <c r="O54" s="1243" t="s">
        <v>440</v>
      </c>
      <c r="P54" s="1511"/>
      <c r="Q54" s="1511"/>
    </row>
    <row r="55" spans="2:18" s="488" customFormat="1" ht="18.75" customHeight="1" x14ac:dyDescent="0.3">
      <c r="B55" s="582" t="s">
        <v>464</v>
      </c>
      <c r="C55" s="1504" t="s">
        <v>465</v>
      </c>
      <c r="D55" s="1505"/>
      <c r="E55" s="1505"/>
      <c r="F55" s="1505"/>
      <c r="G55" s="1505"/>
      <c r="H55" s="1505"/>
      <c r="I55" s="1505"/>
      <c r="J55" s="1505"/>
      <c r="K55" s="1505"/>
      <c r="L55" s="1505"/>
      <c r="M55" s="1506"/>
      <c r="N55" s="620"/>
      <c r="O55" s="1243" t="s">
        <v>443</v>
      </c>
      <c r="P55" s="1511"/>
      <c r="Q55" s="1511"/>
    </row>
    <row r="56" spans="2:18" s="488" customFormat="1" ht="13" x14ac:dyDescent="0.3">
      <c r="B56" s="582" t="s">
        <v>466</v>
      </c>
      <c r="C56" s="1507" t="s">
        <v>843</v>
      </c>
      <c r="D56" s="1514"/>
      <c r="E56" s="1514"/>
      <c r="F56" s="1514"/>
      <c r="G56" s="1514"/>
      <c r="H56" s="1514"/>
      <c r="I56" s="1514"/>
      <c r="J56" s="1514"/>
      <c r="K56" s="1514"/>
      <c r="L56" s="1514"/>
      <c r="M56" s="1515"/>
      <c r="N56" s="592">
        <f>-H66*H67*Days_per_Year*Water.Density.IMP*(H71-H72)*Water.HeatCapacity.IMP* (1-1/H63)*H69*H76 /H73*GJ_per_BTU * H70</f>
        <v>-4.909147789987812</v>
      </c>
      <c r="O56" s="1243" t="s">
        <v>446</v>
      </c>
      <c r="P56" s="1603"/>
      <c r="Q56" s="1603"/>
    </row>
    <row r="57" spans="2:18" s="488" customFormat="1" ht="18.75" customHeight="1" x14ac:dyDescent="0.3">
      <c r="B57" s="582" t="s">
        <v>468</v>
      </c>
      <c r="C57" s="1504" t="s">
        <v>469</v>
      </c>
      <c r="D57" s="1505"/>
      <c r="E57" s="1505"/>
      <c r="F57" s="1505"/>
      <c r="G57" s="1505"/>
      <c r="H57" s="1505"/>
      <c r="I57" s="1505"/>
      <c r="J57" s="1505"/>
      <c r="K57" s="1505"/>
      <c r="L57" s="1505"/>
      <c r="M57" s="1506"/>
      <c r="N57" s="709"/>
      <c r="O57" s="1243" t="s">
        <v>449</v>
      </c>
      <c r="P57" s="1511"/>
      <c r="Q57" s="1511"/>
    </row>
    <row r="58" spans="2:18" s="488" customFormat="1" ht="18.75" customHeight="1" x14ac:dyDescent="0.3">
      <c r="B58" s="599"/>
      <c r="C58" s="577"/>
      <c r="D58" s="578"/>
      <c r="E58" s="578"/>
      <c r="F58" s="578"/>
      <c r="G58" s="578"/>
      <c r="H58" s="578"/>
      <c r="I58" s="578"/>
      <c r="J58" s="578"/>
      <c r="K58" s="578"/>
      <c r="L58" s="578"/>
      <c r="M58" s="578"/>
      <c r="N58" s="578"/>
      <c r="O58" s="578"/>
      <c r="R58" s="489"/>
    </row>
    <row r="59" spans="2:18" s="488" customFormat="1" ht="18.75" customHeight="1" x14ac:dyDescent="0.3">
      <c r="B59" s="511" t="s">
        <v>470</v>
      </c>
      <c r="C59" s="512"/>
      <c r="D59" s="512"/>
      <c r="E59" s="512"/>
      <c r="F59" s="512"/>
      <c r="G59" s="512"/>
      <c r="H59" s="513"/>
      <c r="I59" s="513"/>
      <c r="J59" s="513"/>
      <c r="K59" s="513"/>
      <c r="L59" s="513"/>
      <c r="M59" s="513"/>
      <c r="N59" s="513"/>
      <c r="O59" s="513"/>
      <c r="P59" s="513"/>
      <c r="Q59" s="514"/>
      <c r="R59" s="489"/>
    </row>
    <row r="60" spans="2:18" s="488" customFormat="1" ht="18.75" customHeight="1" x14ac:dyDescent="0.3">
      <c r="R60" s="489"/>
    </row>
    <row r="61" spans="2:18" s="488" customFormat="1" ht="18.75" customHeight="1" x14ac:dyDescent="0.3">
      <c r="B61" s="506" t="s">
        <v>471</v>
      </c>
      <c r="C61" s="506" t="s">
        <v>472</v>
      </c>
      <c r="D61" s="1395" t="s">
        <v>473</v>
      </c>
      <c r="E61" s="1395"/>
      <c r="F61" s="506" t="s">
        <v>474</v>
      </c>
      <c r="G61" s="506" t="s">
        <v>765</v>
      </c>
      <c r="H61" s="506" t="s">
        <v>406</v>
      </c>
      <c r="I61" s="506" t="s">
        <v>428</v>
      </c>
      <c r="J61" s="1396" t="s">
        <v>476</v>
      </c>
      <c r="K61" s="1397"/>
      <c r="L61" s="1397"/>
      <c r="M61" s="1397"/>
      <c r="N61" s="1397"/>
      <c r="O61" s="1397"/>
      <c r="P61" s="1397"/>
      <c r="Q61" s="1398"/>
      <c r="R61" s="489"/>
    </row>
    <row r="62" spans="2:18" s="488" customFormat="1" ht="42.75" customHeight="1" x14ac:dyDescent="0.3">
      <c r="B62" s="533">
        <v>1</v>
      </c>
      <c r="C62" s="555" t="s">
        <v>844</v>
      </c>
      <c r="D62" s="1468" t="s">
        <v>845</v>
      </c>
      <c r="E62" s="1469"/>
      <c r="F62" s="609"/>
      <c r="G62" s="1217"/>
      <c r="H62" s="554">
        <f>WaterHeatingEfficiency.R.E</f>
        <v>0.95</v>
      </c>
      <c r="I62" s="1217" t="s">
        <v>519</v>
      </c>
      <c r="J62" s="1468" t="s">
        <v>846</v>
      </c>
      <c r="K62" s="1478"/>
      <c r="L62" s="1478"/>
      <c r="M62" s="1478"/>
      <c r="N62" s="1478"/>
      <c r="O62" s="1478"/>
      <c r="P62" s="1478"/>
      <c r="Q62" s="1469"/>
    </row>
    <row r="63" spans="2:18" s="488" customFormat="1" ht="31.5" customHeight="1" x14ac:dyDescent="0.3">
      <c r="B63" s="533">
        <v>2</v>
      </c>
      <c r="C63" s="555" t="s">
        <v>847</v>
      </c>
      <c r="D63" s="1468" t="s">
        <v>848</v>
      </c>
      <c r="E63" s="1469"/>
      <c r="F63" s="1217"/>
      <c r="G63" s="1217"/>
      <c r="H63" s="554">
        <v>3</v>
      </c>
      <c r="I63" s="1217" t="s">
        <v>519</v>
      </c>
      <c r="J63" s="1468" t="s">
        <v>849</v>
      </c>
      <c r="K63" s="1478"/>
      <c r="L63" s="1478"/>
      <c r="M63" s="1478"/>
      <c r="N63" s="1478"/>
      <c r="O63" s="1478"/>
      <c r="P63" s="1478"/>
      <c r="Q63" s="1469"/>
    </row>
    <row r="64" spans="2:18" s="488" customFormat="1" ht="27" customHeight="1" x14ac:dyDescent="0.3">
      <c r="B64" s="719">
        <v>3</v>
      </c>
      <c r="C64" s="555" t="s">
        <v>850</v>
      </c>
      <c r="D64" s="1468" t="s">
        <v>851</v>
      </c>
      <c r="E64" s="1469"/>
      <c r="F64" s="1217"/>
      <c r="G64" s="1217"/>
      <c r="H64" s="554">
        <f>SpaceCoolingEfficiency.R.COP</f>
        <v>2.8</v>
      </c>
      <c r="I64" s="1217" t="s">
        <v>519</v>
      </c>
      <c r="J64" s="1468" t="s">
        <v>852</v>
      </c>
      <c r="K64" s="1478"/>
      <c r="L64" s="1478"/>
      <c r="M64" s="1478"/>
      <c r="N64" s="1478"/>
      <c r="O64" s="1478"/>
      <c r="P64" s="1478"/>
      <c r="Q64" s="1469"/>
    </row>
    <row r="65" spans="2:22" s="488" customFormat="1" ht="33.65" customHeight="1" x14ac:dyDescent="0.3">
      <c r="B65" s="533">
        <v>4</v>
      </c>
      <c r="C65" s="555" t="s">
        <v>853</v>
      </c>
      <c r="D65" s="1468" t="s">
        <v>854</v>
      </c>
      <c r="E65" s="1469"/>
      <c r="F65" s="1217"/>
      <c r="G65" s="1217"/>
      <c r="H65" s="554">
        <f>SpaceHeatingEfficiency.R.E</f>
        <v>1.28</v>
      </c>
      <c r="I65" s="1217" t="s">
        <v>519</v>
      </c>
      <c r="J65" s="1468" t="s">
        <v>855</v>
      </c>
      <c r="K65" s="1478"/>
      <c r="L65" s="1478"/>
      <c r="M65" s="1478"/>
      <c r="N65" s="1478"/>
      <c r="O65" s="1478"/>
      <c r="P65" s="1478"/>
      <c r="Q65" s="1469"/>
    </row>
    <row r="66" spans="2:22" s="488" customFormat="1" ht="25.5" customHeight="1" x14ac:dyDescent="0.3">
      <c r="B66" s="533">
        <v>5</v>
      </c>
      <c r="C66" s="720" t="s">
        <v>819</v>
      </c>
      <c r="D66" s="1479" t="s">
        <v>820</v>
      </c>
      <c r="E66" s="1481"/>
      <c r="F66" s="1224"/>
      <c r="G66" s="1224"/>
      <c r="H66" s="729">
        <f>WaterUsePersonDay.R/Litre_per_Gallon</f>
        <v>17.600000000000001</v>
      </c>
      <c r="I66" s="1224" t="s">
        <v>821</v>
      </c>
      <c r="J66" s="1468" t="s">
        <v>841</v>
      </c>
      <c r="K66" s="1478"/>
      <c r="L66" s="1478"/>
      <c r="M66" s="1478"/>
      <c r="N66" s="1478"/>
      <c r="O66" s="1478"/>
      <c r="P66" s="1478"/>
      <c r="Q66" s="1469"/>
    </row>
    <row r="67" spans="2:22" s="488" customFormat="1" ht="15" customHeight="1" x14ac:dyDescent="0.3">
      <c r="B67" s="533">
        <v>6</v>
      </c>
      <c r="C67" s="555" t="s">
        <v>787</v>
      </c>
      <c r="D67" s="1468" t="s">
        <v>788</v>
      </c>
      <c r="E67" s="1469"/>
      <c r="F67" s="1217" t="s">
        <v>789</v>
      </c>
      <c r="G67" s="1217" t="s">
        <v>790</v>
      </c>
      <c r="H67" s="730">
        <f>INDEX(BuildingType[],MATCH($C$28,BuildingType[Building],0),MATCH(G67,BuildingType[#Headers],0))</f>
        <v>2.56</v>
      </c>
      <c r="I67" s="1217" t="s">
        <v>856</v>
      </c>
      <c r="J67" s="1468" t="s">
        <v>841</v>
      </c>
      <c r="K67" s="1478"/>
      <c r="L67" s="1478"/>
      <c r="M67" s="1478"/>
      <c r="N67" s="1478"/>
      <c r="O67" s="1478"/>
      <c r="P67" s="1478"/>
      <c r="Q67" s="1469"/>
    </row>
    <row r="68" spans="2:22" s="488" customFormat="1" ht="15" customHeight="1" x14ac:dyDescent="0.3">
      <c r="B68" s="533">
        <v>7</v>
      </c>
      <c r="C68" s="555" t="s">
        <v>857</v>
      </c>
      <c r="D68" s="1468" t="s">
        <v>858</v>
      </c>
      <c r="E68" s="1469"/>
      <c r="F68" s="1217"/>
      <c r="G68" s="1217"/>
      <c r="H68" s="730" t="s">
        <v>859</v>
      </c>
      <c r="I68" s="1217" t="s">
        <v>597</v>
      </c>
      <c r="J68" s="1468" t="s">
        <v>841</v>
      </c>
      <c r="K68" s="1478"/>
      <c r="L68" s="1478"/>
      <c r="M68" s="1478"/>
      <c r="N68" s="1478"/>
      <c r="O68" s="1478"/>
      <c r="P68" s="1478"/>
      <c r="Q68" s="1469"/>
    </row>
    <row r="69" spans="2:22" s="488" customFormat="1" ht="15" customHeight="1" x14ac:dyDescent="0.3">
      <c r="B69" s="533">
        <v>8</v>
      </c>
      <c r="C69" s="555" t="s">
        <v>860</v>
      </c>
      <c r="D69" s="1468" t="s">
        <v>861</v>
      </c>
      <c r="E69" s="1469"/>
      <c r="F69" s="1217" t="str">
        <f>H68</f>
        <v>Conditioned</v>
      </c>
      <c r="G69" s="1217" t="s">
        <v>862</v>
      </c>
      <c r="H69" s="730">
        <f>INDEX($C$96:$N$116,MATCH(F69,$C$96:$C$116,0),MATCH(G69,$C$96:$N$96,0))</f>
        <v>1</v>
      </c>
      <c r="I69" s="1217" t="s">
        <v>482</v>
      </c>
      <c r="J69" s="1468" t="s">
        <v>841</v>
      </c>
      <c r="K69" s="1478"/>
      <c r="L69" s="1478"/>
      <c r="M69" s="1478"/>
      <c r="N69" s="1478"/>
      <c r="O69" s="1478"/>
      <c r="P69" s="1478"/>
      <c r="Q69" s="1469"/>
    </row>
    <row r="70" spans="2:22" s="488" customFormat="1" ht="36" customHeight="1" x14ac:dyDescent="0.3">
      <c r="B70" s="533">
        <v>9</v>
      </c>
      <c r="C70" s="555" t="s">
        <v>799</v>
      </c>
      <c r="D70" s="1695" t="s">
        <v>863</v>
      </c>
      <c r="E70" s="1696"/>
      <c r="F70" s="1217"/>
      <c r="G70" s="1217"/>
      <c r="H70" s="554">
        <f>IF($C$30="Natural gas",1,0)</f>
        <v>1</v>
      </c>
      <c r="I70" s="1217" t="s">
        <v>519</v>
      </c>
      <c r="J70" s="1472" t="s">
        <v>801</v>
      </c>
      <c r="K70" s="1473"/>
      <c r="L70" s="1473"/>
      <c r="M70" s="1473"/>
      <c r="N70" s="1473"/>
      <c r="O70" s="1473"/>
      <c r="P70" s="1473"/>
      <c r="Q70" s="1474"/>
    </row>
    <row r="71" spans="2:22" s="488" customFormat="1" ht="28.5" customHeight="1" x14ac:dyDescent="0.3">
      <c r="B71" s="533">
        <v>10</v>
      </c>
      <c r="C71" s="555" t="s">
        <v>864</v>
      </c>
      <c r="D71" s="1468" t="s">
        <v>865</v>
      </c>
      <c r="E71" s="1469"/>
      <c r="F71" s="1217"/>
      <c r="G71" s="1217"/>
      <c r="H71" s="730">
        <f>Water.T.DHW.IMP</f>
        <v>130</v>
      </c>
      <c r="I71" s="731" t="s">
        <v>825</v>
      </c>
      <c r="J71" s="1468" t="s">
        <v>866</v>
      </c>
      <c r="K71" s="1478"/>
      <c r="L71" s="1478"/>
      <c r="M71" s="1478"/>
      <c r="N71" s="1478"/>
      <c r="O71" s="1478"/>
      <c r="P71" s="1478"/>
      <c r="Q71" s="1469"/>
    </row>
    <row r="72" spans="2:22" s="491" customFormat="1" ht="13.9" customHeight="1" x14ac:dyDescent="0.3">
      <c r="B72" s="536">
        <v>11</v>
      </c>
      <c r="C72" s="555" t="s">
        <v>867</v>
      </c>
      <c r="D72" s="1468" t="s">
        <v>868</v>
      </c>
      <c r="E72" s="1469"/>
      <c r="F72" s="1217" t="str">
        <f>$C$26</f>
        <v>Average</v>
      </c>
      <c r="G72" s="1217" t="s">
        <v>780</v>
      </c>
      <c r="H72" s="710">
        <f>INDEX(ClimateData[#All],MATCH(F72,ClimateData[[#All],[Region]],0),MATCH(G72,ClimateData[#Headers],0))*9/5+32</f>
        <v>41.68078624078624</v>
      </c>
      <c r="I72" s="1217" t="s">
        <v>825</v>
      </c>
      <c r="J72" s="1468" t="s">
        <v>869</v>
      </c>
      <c r="K72" s="1478"/>
      <c r="L72" s="1478"/>
      <c r="M72" s="1478"/>
      <c r="N72" s="1478"/>
      <c r="O72" s="1478"/>
      <c r="P72" s="1478"/>
      <c r="Q72" s="1469"/>
    </row>
    <row r="73" spans="2:22" s="491" customFormat="1" ht="27.75" customHeight="1" x14ac:dyDescent="0.3">
      <c r="B73" s="536">
        <v>12</v>
      </c>
      <c r="C73" s="555" t="s">
        <v>517</v>
      </c>
      <c r="D73" s="1468" t="s">
        <v>870</v>
      </c>
      <c r="E73" s="1469"/>
      <c r="F73" s="1217"/>
      <c r="G73" s="1217"/>
      <c r="H73" s="554">
        <f>SpaceHeatingEfficiency.R.NG</f>
        <v>0.85</v>
      </c>
      <c r="I73" s="1217" t="s">
        <v>519</v>
      </c>
      <c r="J73" s="1468" t="s">
        <v>520</v>
      </c>
      <c r="K73" s="1478"/>
      <c r="L73" s="1478"/>
      <c r="M73" s="1478"/>
      <c r="N73" s="1478"/>
      <c r="O73" s="1478"/>
      <c r="P73" s="1478"/>
      <c r="Q73" s="1469"/>
    </row>
    <row r="74" spans="2:22" s="491" customFormat="1" ht="39" customHeight="1" x14ac:dyDescent="0.3">
      <c r="B74" s="536">
        <v>13</v>
      </c>
      <c r="C74" s="555" t="s">
        <v>871</v>
      </c>
      <c r="D74" s="1468" t="s">
        <v>872</v>
      </c>
      <c r="E74" s="1469"/>
      <c r="F74" s="1217"/>
      <c r="G74" s="1217"/>
      <c r="H74" s="732">
        <v>1.33</v>
      </c>
      <c r="I74" s="731" t="s">
        <v>482</v>
      </c>
      <c r="J74" s="1468" t="s">
        <v>841</v>
      </c>
      <c r="K74" s="1478"/>
      <c r="L74" s="1478"/>
      <c r="M74" s="1478"/>
      <c r="N74" s="1478"/>
      <c r="O74" s="1478"/>
      <c r="P74" s="1478"/>
      <c r="Q74" s="1469"/>
    </row>
    <row r="75" spans="2:22" s="489" customFormat="1" ht="13" x14ac:dyDescent="0.3">
      <c r="B75" s="536">
        <v>14</v>
      </c>
      <c r="C75" s="555" t="s">
        <v>873</v>
      </c>
      <c r="D75" s="1468" t="s">
        <v>874</v>
      </c>
      <c r="E75" s="1469"/>
      <c r="F75" s="1217"/>
      <c r="G75" s="1217"/>
      <c r="H75" s="733">
        <v>0.27</v>
      </c>
      <c r="I75" s="1217" t="s">
        <v>519</v>
      </c>
      <c r="J75" s="1468" t="s">
        <v>841</v>
      </c>
      <c r="K75" s="1478"/>
      <c r="L75" s="1478"/>
      <c r="M75" s="1478"/>
      <c r="N75" s="1478"/>
      <c r="O75" s="1478"/>
      <c r="P75" s="1478"/>
      <c r="Q75" s="1469"/>
    </row>
    <row r="76" spans="2:22" s="489" customFormat="1" ht="13" x14ac:dyDescent="0.3">
      <c r="B76" s="536">
        <v>15</v>
      </c>
      <c r="C76" s="555" t="s">
        <v>875</v>
      </c>
      <c r="D76" s="1468" t="s">
        <v>876</v>
      </c>
      <c r="E76" s="1469"/>
      <c r="F76" s="1217"/>
      <c r="G76" s="1217"/>
      <c r="H76" s="733">
        <v>0.49</v>
      </c>
      <c r="I76" s="1217" t="s">
        <v>519</v>
      </c>
      <c r="J76" s="1468" t="s">
        <v>841</v>
      </c>
      <c r="K76" s="1478"/>
      <c r="L76" s="1478"/>
      <c r="M76" s="1478"/>
      <c r="N76" s="1478"/>
      <c r="O76" s="1478"/>
      <c r="P76" s="1478"/>
      <c r="Q76" s="1469"/>
    </row>
    <row r="77" spans="2:22" s="488" customFormat="1" ht="18.75" customHeight="1" x14ac:dyDescent="0.3">
      <c r="R77" s="489"/>
      <c r="S77" s="489"/>
      <c r="T77" s="489"/>
      <c r="U77" s="489"/>
      <c r="V77" s="489"/>
    </row>
    <row r="78" spans="2:22" s="488" customFormat="1" ht="18.75" customHeight="1" x14ac:dyDescent="0.3">
      <c r="B78" s="511" t="s">
        <v>477</v>
      </c>
      <c r="C78" s="512"/>
      <c r="D78" s="512"/>
      <c r="E78" s="512"/>
      <c r="F78" s="512"/>
      <c r="G78" s="512"/>
      <c r="H78" s="513"/>
      <c r="I78" s="513"/>
      <c r="J78" s="513"/>
      <c r="K78" s="513"/>
      <c r="L78" s="513"/>
      <c r="M78" s="513"/>
      <c r="N78" s="513"/>
      <c r="O78" s="513"/>
      <c r="P78" s="513"/>
      <c r="Q78" s="514"/>
    </row>
    <row r="79" spans="2:22" s="488" customFormat="1" ht="18.75" customHeight="1" x14ac:dyDescent="0.3"/>
    <row r="80" spans="2:22" s="488" customFormat="1"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row>
    <row r="81" spans="2:17" s="488" customFormat="1" ht="13" x14ac:dyDescent="0.3">
      <c r="B81" s="533">
        <v>1</v>
      </c>
      <c r="C81" s="560" t="s">
        <v>877</v>
      </c>
      <c r="D81" s="562">
        <v>3.4119999999999998E-2</v>
      </c>
      <c r="E81" s="1182" t="s">
        <v>878</v>
      </c>
      <c r="F81" s="1486" t="s">
        <v>879</v>
      </c>
      <c r="G81" s="1487"/>
      <c r="H81" s="1487"/>
      <c r="I81" s="1487"/>
      <c r="J81" s="1487"/>
      <c r="K81" s="1487"/>
      <c r="L81" s="1487"/>
      <c r="M81" s="1487"/>
      <c r="N81" s="1487"/>
      <c r="O81" s="1487"/>
      <c r="P81" s="1487"/>
      <c r="Q81" s="1488"/>
    </row>
    <row r="82" spans="2:17" s="488" customFormat="1"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row>
    <row r="83" spans="2:17" s="488" customFormat="1"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row>
    <row r="84" spans="2:17" s="488" customFormat="1" ht="13" x14ac:dyDescent="0.3">
      <c r="B84" s="533">
        <v>4</v>
      </c>
      <c r="C84" s="560" t="s">
        <v>488</v>
      </c>
      <c r="D84" s="562">
        <v>0.1055</v>
      </c>
      <c r="E84" s="1182" t="s">
        <v>489</v>
      </c>
      <c r="F84" s="1489" t="s">
        <v>485</v>
      </c>
      <c r="G84" s="1490"/>
      <c r="H84" s="1490"/>
      <c r="I84" s="1490"/>
      <c r="J84" s="1490"/>
      <c r="K84" s="1490"/>
      <c r="L84" s="1490"/>
      <c r="M84" s="1490"/>
      <c r="N84" s="1490"/>
      <c r="O84" s="1490"/>
      <c r="P84" s="1490"/>
      <c r="Q84" s="1491"/>
    </row>
    <row r="85" spans="2:17" s="488" customFormat="1"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row>
    <row r="86" spans="2:17" s="488" customFormat="1" ht="13" x14ac:dyDescent="0.3">
      <c r="B86" s="533">
        <v>6</v>
      </c>
      <c r="C86" s="560" t="s">
        <v>880</v>
      </c>
      <c r="D86" s="734">
        <v>3412.1419999999998</v>
      </c>
      <c r="E86" s="1182" t="s">
        <v>881</v>
      </c>
      <c r="F86" s="1486" t="s">
        <v>882</v>
      </c>
      <c r="G86" s="1487"/>
      <c r="H86" s="1487"/>
      <c r="I86" s="1487"/>
      <c r="J86" s="1487"/>
      <c r="K86" s="1487"/>
      <c r="L86" s="1487"/>
      <c r="M86" s="1487"/>
      <c r="N86" s="1487"/>
      <c r="O86" s="1487"/>
      <c r="P86" s="1487"/>
      <c r="Q86" s="1488"/>
    </row>
    <row r="87" spans="2:17" s="488" customFormat="1" ht="13" x14ac:dyDescent="0.3">
      <c r="B87" s="533">
        <v>7</v>
      </c>
      <c r="C87" s="560" t="s">
        <v>883</v>
      </c>
      <c r="D87" s="734">
        <v>3.7854100000000002</v>
      </c>
      <c r="E87" s="1182" t="s">
        <v>884</v>
      </c>
      <c r="F87" s="1486" t="s">
        <v>482</v>
      </c>
      <c r="G87" s="1487"/>
      <c r="H87" s="1487"/>
      <c r="I87" s="1487"/>
      <c r="J87" s="1487"/>
      <c r="K87" s="1487"/>
      <c r="L87" s="1487"/>
      <c r="M87" s="1487"/>
      <c r="N87" s="1487"/>
      <c r="O87" s="1487"/>
      <c r="P87" s="1487"/>
      <c r="Q87" s="1488"/>
    </row>
    <row r="88" spans="2:17" s="488" customFormat="1" ht="13" x14ac:dyDescent="0.3">
      <c r="B88" s="533">
        <v>8</v>
      </c>
      <c r="C88" s="560"/>
      <c r="D88" s="734"/>
      <c r="E88" s="1182"/>
      <c r="F88" s="1486"/>
      <c r="G88" s="1487"/>
      <c r="H88" s="1487"/>
      <c r="I88" s="1487"/>
      <c r="J88" s="1487"/>
      <c r="K88" s="1487"/>
      <c r="L88" s="1487"/>
      <c r="M88" s="1487"/>
      <c r="N88" s="1487"/>
      <c r="O88" s="1487"/>
      <c r="P88" s="1487"/>
      <c r="Q88" s="1488"/>
    </row>
    <row r="89" spans="2:17" s="488" customFormat="1" ht="13" x14ac:dyDescent="0.3">
      <c r="B89" s="533">
        <v>9</v>
      </c>
      <c r="C89" s="560"/>
      <c r="D89" s="734"/>
      <c r="E89" s="1182"/>
      <c r="F89" s="1486"/>
      <c r="G89" s="1487"/>
      <c r="H89" s="1487"/>
      <c r="I89" s="1487"/>
      <c r="J89" s="1487"/>
      <c r="K89" s="1487"/>
      <c r="L89" s="1487"/>
      <c r="M89" s="1487"/>
      <c r="N89" s="1487"/>
      <c r="O89" s="1487"/>
      <c r="P89" s="1487"/>
      <c r="Q89" s="1488"/>
    </row>
    <row r="90" spans="2:17" s="488" customFormat="1" ht="13" x14ac:dyDescent="0.3">
      <c r="B90" s="533">
        <v>10</v>
      </c>
      <c r="C90" s="560"/>
      <c r="D90" s="734"/>
      <c r="E90" s="1182"/>
      <c r="F90" s="1486"/>
      <c r="G90" s="1487"/>
      <c r="H90" s="1487"/>
      <c r="I90" s="1487"/>
      <c r="J90" s="1487"/>
      <c r="K90" s="1487"/>
      <c r="L90" s="1487"/>
      <c r="M90" s="1487"/>
      <c r="N90" s="1487"/>
      <c r="O90" s="1487"/>
      <c r="P90" s="1487"/>
      <c r="Q90" s="1488"/>
    </row>
    <row r="91" spans="2:17" s="488" customFormat="1" ht="18.75" customHeight="1" x14ac:dyDescent="0.3"/>
    <row r="92" spans="2:17" s="488" customFormat="1" ht="18.75" customHeight="1" x14ac:dyDescent="0.3">
      <c r="B92" s="511" t="s">
        <v>492</v>
      </c>
      <c r="C92" s="512"/>
      <c r="D92" s="512"/>
      <c r="E92" s="512"/>
      <c r="F92" s="512"/>
      <c r="G92" s="512"/>
      <c r="H92" s="513"/>
      <c r="I92" s="513"/>
      <c r="J92" s="513"/>
      <c r="K92" s="513"/>
      <c r="L92" s="513"/>
      <c r="M92" s="513"/>
      <c r="N92" s="513"/>
      <c r="O92" s="513"/>
      <c r="P92" s="513"/>
      <c r="Q92" s="514"/>
    </row>
    <row r="93" spans="2:17" s="488" customFormat="1" ht="18.75" customHeight="1" x14ac:dyDescent="0.3"/>
    <row r="94" spans="2:17" s="488" customFormat="1" ht="18.75" customHeight="1" x14ac:dyDescent="0.3">
      <c r="B94" s="523" t="s">
        <v>493</v>
      </c>
      <c r="E94" s="1402" t="s">
        <v>494</v>
      </c>
      <c r="F94" s="1403"/>
      <c r="G94" s="1403"/>
      <c r="H94" s="1403"/>
      <c r="I94" s="1403"/>
      <c r="J94" s="1403"/>
      <c r="K94" s="1403"/>
      <c r="L94" s="1403"/>
      <c r="M94" s="1403"/>
      <c r="N94" s="1403"/>
      <c r="O94" s="1404" t="s">
        <v>476</v>
      </c>
      <c r="P94" s="1405"/>
      <c r="Q94" s="1406"/>
    </row>
    <row r="95" spans="2:17" s="488" customFormat="1" ht="25.5" customHeight="1" x14ac:dyDescent="0.3">
      <c r="B95" s="1498" t="s">
        <v>885</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row>
    <row r="96" spans="2:17" s="488" customFormat="1" ht="25.5" customHeight="1" x14ac:dyDescent="0.3">
      <c r="B96" s="1188" t="s">
        <v>478</v>
      </c>
      <c r="C96" s="1402" t="s">
        <v>538</v>
      </c>
      <c r="D96" s="1431"/>
      <c r="E96" s="714" t="s">
        <v>862</v>
      </c>
      <c r="F96" s="565"/>
      <c r="G96" s="565"/>
      <c r="H96" s="565"/>
      <c r="I96" s="565"/>
      <c r="J96" s="565"/>
      <c r="K96" s="565"/>
      <c r="L96" s="565"/>
      <c r="M96" s="565"/>
      <c r="N96" s="566"/>
      <c r="O96" s="1410"/>
      <c r="P96" s="1411"/>
      <c r="Q96" s="1412"/>
    </row>
    <row r="97" spans="2:17" s="488" customFormat="1" ht="30" customHeight="1" x14ac:dyDescent="0.3">
      <c r="B97" s="533">
        <v>1</v>
      </c>
      <c r="C97" s="546" t="s">
        <v>859</v>
      </c>
      <c r="D97" s="1184" t="s">
        <v>886</v>
      </c>
      <c r="E97" s="735">
        <v>1</v>
      </c>
      <c r="F97" s="1190"/>
      <c r="G97" s="1190"/>
      <c r="H97" s="1190"/>
      <c r="I97" s="568"/>
      <c r="J97" s="568"/>
      <c r="K97" s="568"/>
      <c r="L97" s="568"/>
      <c r="M97" s="568"/>
      <c r="N97" s="568"/>
      <c r="O97" s="1501" t="s">
        <v>882</v>
      </c>
      <c r="P97" s="1502"/>
      <c r="Q97" s="1503"/>
    </row>
    <row r="98" spans="2:17" s="488" customFormat="1" ht="30" customHeight="1" x14ac:dyDescent="0.3">
      <c r="B98" s="533">
        <v>2</v>
      </c>
      <c r="C98" s="546" t="s">
        <v>887</v>
      </c>
      <c r="D98" s="1184" t="s">
        <v>888</v>
      </c>
      <c r="E98" s="735">
        <v>0.5</v>
      </c>
      <c r="F98" s="1190"/>
      <c r="G98" s="1190"/>
      <c r="H98" s="1190"/>
      <c r="I98" s="568"/>
      <c r="J98" s="568"/>
      <c r="K98" s="568"/>
      <c r="L98" s="568"/>
      <c r="M98" s="568"/>
      <c r="N98" s="568"/>
      <c r="O98" s="1501" t="s">
        <v>882</v>
      </c>
      <c r="P98" s="1502"/>
      <c r="Q98" s="1503"/>
    </row>
    <row r="99" spans="2:17" s="488" customFormat="1" ht="30" customHeight="1" x14ac:dyDescent="0.3">
      <c r="B99" s="533">
        <v>3</v>
      </c>
      <c r="C99" s="546" t="s">
        <v>889</v>
      </c>
      <c r="D99" s="1184" t="s">
        <v>890</v>
      </c>
      <c r="E99" s="735">
        <v>0</v>
      </c>
      <c r="F99" s="1190"/>
      <c r="G99" s="1190"/>
      <c r="H99" s="1190"/>
      <c r="I99" s="568"/>
      <c r="J99" s="568"/>
      <c r="K99" s="568"/>
      <c r="L99" s="568"/>
      <c r="M99" s="568"/>
      <c r="N99" s="568"/>
      <c r="O99" s="1501" t="s">
        <v>882</v>
      </c>
      <c r="P99" s="1502"/>
      <c r="Q99" s="1503"/>
    </row>
    <row r="100" spans="2:17" s="488" customFormat="1" ht="13" x14ac:dyDescent="0.3">
      <c r="B100" s="533">
        <v>4</v>
      </c>
      <c r="C100" s="546"/>
      <c r="D100" s="1184"/>
      <c r="E100" s="609"/>
      <c r="F100" s="1190"/>
      <c r="G100" s="1190"/>
      <c r="H100" s="1190"/>
      <c r="I100" s="568"/>
      <c r="J100" s="568"/>
      <c r="K100" s="568"/>
      <c r="L100" s="568"/>
      <c r="M100" s="568"/>
      <c r="N100" s="568"/>
      <c r="O100" s="1495"/>
      <c r="P100" s="1496"/>
      <c r="Q100" s="1497"/>
    </row>
    <row r="101" spans="2:17" s="488" customFormat="1" ht="13" x14ac:dyDescent="0.3">
      <c r="B101" s="533">
        <v>5</v>
      </c>
      <c r="C101" s="546"/>
      <c r="D101" s="1184"/>
      <c r="E101" s="609"/>
      <c r="F101" s="1190"/>
      <c r="G101" s="1190"/>
      <c r="H101" s="1190"/>
      <c r="I101" s="568"/>
      <c r="J101" s="568"/>
      <c r="K101" s="568"/>
      <c r="L101" s="568"/>
      <c r="M101" s="568"/>
      <c r="N101" s="568"/>
      <c r="O101" s="1495"/>
      <c r="P101" s="1496"/>
      <c r="Q101" s="1497"/>
    </row>
    <row r="102" spans="2:17" s="488" customFormat="1" ht="13" x14ac:dyDescent="0.3">
      <c r="B102" s="533">
        <v>6</v>
      </c>
      <c r="C102" s="546"/>
      <c r="D102" s="570"/>
      <c r="E102" s="609"/>
      <c r="F102" s="622"/>
      <c r="G102" s="1190"/>
      <c r="H102" s="1190"/>
      <c r="I102" s="569"/>
      <c r="J102" s="569"/>
      <c r="K102" s="569"/>
      <c r="L102" s="569"/>
      <c r="M102" s="569"/>
      <c r="N102" s="569"/>
      <c r="O102" s="1492"/>
      <c r="P102" s="1493"/>
      <c r="Q102" s="1494"/>
    </row>
    <row r="103" spans="2:17" s="488" customFormat="1" ht="13" x14ac:dyDescent="0.3">
      <c r="B103" s="533">
        <v>7</v>
      </c>
      <c r="C103" s="546"/>
      <c r="D103" s="570"/>
      <c r="E103" s="609"/>
      <c r="F103" s="569"/>
      <c r="G103" s="569"/>
      <c r="H103" s="1190"/>
      <c r="I103" s="569"/>
      <c r="J103" s="569"/>
      <c r="K103" s="569"/>
      <c r="L103" s="569"/>
      <c r="M103" s="569"/>
      <c r="N103" s="569"/>
      <c r="O103" s="1492"/>
      <c r="P103" s="1493"/>
      <c r="Q103" s="1494"/>
    </row>
    <row r="104" spans="2:17" s="488" customFormat="1" ht="13" x14ac:dyDescent="0.3">
      <c r="B104" s="533">
        <v>8</v>
      </c>
      <c r="C104" s="546"/>
      <c r="D104" s="570"/>
      <c r="E104" s="609"/>
      <c r="F104" s="569"/>
      <c r="G104" s="569"/>
      <c r="H104" s="569"/>
      <c r="I104" s="569"/>
      <c r="J104" s="569"/>
      <c r="K104" s="569"/>
      <c r="L104" s="569"/>
      <c r="M104" s="569"/>
      <c r="N104" s="569"/>
      <c r="O104" s="1492"/>
      <c r="P104" s="1493"/>
      <c r="Q104" s="1494"/>
    </row>
    <row r="105" spans="2:17" s="488" customFormat="1" ht="13" x14ac:dyDescent="0.3">
      <c r="B105" s="533">
        <v>9</v>
      </c>
      <c r="C105" s="546"/>
      <c r="D105" s="570"/>
      <c r="E105" s="609"/>
      <c r="F105" s="1217"/>
      <c r="G105" s="1217"/>
      <c r="H105" s="1217"/>
      <c r="I105" s="569"/>
      <c r="J105" s="569"/>
      <c r="K105" s="569"/>
      <c r="L105" s="569"/>
      <c r="M105" s="569"/>
      <c r="N105" s="569"/>
      <c r="O105" s="1492"/>
      <c r="P105" s="1493"/>
      <c r="Q105" s="1494"/>
    </row>
    <row r="106" spans="2:17" s="488" customFormat="1" ht="13" x14ac:dyDescent="0.3">
      <c r="B106" s="533">
        <v>10</v>
      </c>
      <c r="C106" s="546"/>
      <c r="D106" s="570"/>
      <c r="E106" s="609"/>
      <c r="F106" s="1217"/>
      <c r="G106" s="1217"/>
      <c r="H106" s="1217"/>
      <c r="I106" s="569"/>
      <c r="J106" s="569"/>
      <c r="K106" s="569"/>
      <c r="L106" s="569"/>
      <c r="M106" s="569"/>
      <c r="N106" s="569"/>
      <c r="O106" s="1492"/>
      <c r="P106" s="1493"/>
      <c r="Q106" s="1494"/>
    </row>
    <row r="107" spans="2:17" s="488" customFormat="1" ht="13" x14ac:dyDescent="0.3">
      <c r="B107" s="533">
        <v>11</v>
      </c>
      <c r="C107" s="546"/>
      <c r="D107" s="570"/>
      <c r="E107" s="609"/>
      <c r="F107" s="1190"/>
      <c r="G107" s="571"/>
      <c r="H107" s="571"/>
      <c r="I107" s="569"/>
      <c r="J107" s="569"/>
      <c r="K107" s="569"/>
      <c r="L107" s="569"/>
      <c r="M107" s="569"/>
      <c r="N107" s="569"/>
      <c r="O107" s="1492"/>
      <c r="P107" s="1493"/>
      <c r="Q107" s="1494"/>
    </row>
    <row r="108" spans="2:17" s="488" customFormat="1" ht="13" x14ac:dyDescent="0.3">
      <c r="B108" s="533">
        <v>12</v>
      </c>
      <c r="C108" s="546"/>
      <c r="D108" s="570"/>
      <c r="E108" s="609"/>
      <c r="F108" s="1190"/>
      <c r="G108" s="1217"/>
      <c r="H108" s="1217"/>
      <c r="I108" s="569"/>
      <c r="J108" s="569"/>
      <c r="K108" s="569"/>
      <c r="L108" s="569"/>
      <c r="M108" s="569"/>
      <c r="N108" s="569"/>
      <c r="O108" s="1492"/>
      <c r="P108" s="1493"/>
      <c r="Q108" s="1494"/>
    </row>
    <row r="109" spans="2:17" s="488" customFormat="1" ht="13" x14ac:dyDescent="0.3">
      <c r="B109" s="533">
        <v>13</v>
      </c>
      <c r="C109" s="546"/>
      <c r="D109" s="570"/>
      <c r="E109" s="609"/>
      <c r="F109" s="1217"/>
      <c r="G109" s="1217"/>
      <c r="H109" s="1217"/>
      <c r="I109" s="569"/>
      <c r="J109" s="569"/>
      <c r="K109" s="569"/>
      <c r="L109" s="569"/>
      <c r="M109" s="569"/>
      <c r="N109" s="569"/>
      <c r="O109" s="1492"/>
      <c r="P109" s="1493"/>
      <c r="Q109" s="1494"/>
    </row>
    <row r="110" spans="2:17" s="488" customFormat="1" ht="13" x14ac:dyDescent="0.3">
      <c r="B110" s="533">
        <v>14</v>
      </c>
      <c r="C110" s="546"/>
      <c r="D110" s="570"/>
      <c r="E110" s="609"/>
      <c r="F110" s="572"/>
      <c r="G110" s="572"/>
      <c r="H110" s="572"/>
      <c r="I110" s="569"/>
      <c r="J110" s="569"/>
      <c r="K110" s="569"/>
      <c r="L110" s="569"/>
      <c r="M110" s="569"/>
      <c r="N110" s="569"/>
      <c r="O110" s="1492"/>
      <c r="P110" s="1493"/>
      <c r="Q110" s="1494"/>
    </row>
    <row r="111" spans="2:17" s="488" customFormat="1" ht="13" x14ac:dyDescent="0.3">
      <c r="B111" s="533">
        <v>15</v>
      </c>
      <c r="C111" s="546"/>
      <c r="D111" s="570"/>
      <c r="E111" s="609"/>
      <c r="F111" s="572"/>
      <c r="G111" s="572"/>
      <c r="H111" s="572"/>
      <c r="I111" s="569"/>
      <c r="J111" s="569"/>
      <c r="K111" s="569"/>
      <c r="L111" s="569"/>
      <c r="M111" s="569"/>
      <c r="N111" s="569"/>
      <c r="O111" s="1492"/>
      <c r="P111" s="1493"/>
      <c r="Q111" s="1494"/>
    </row>
    <row r="112" spans="2:17" s="488" customFormat="1" ht="13" x14ac:dyDescent="0.3">
      <c r="B112" s="533">
        <v>16</v>
      </c>
      <c r="C112" s="546"/>
      <c r="D112" s="570"/>
      <c r="E112" s="609"/>
      <c r="F112" s="572"/>
      <c r="G112" s="572"/>
      <c r="H112" s="572"/>
      <c r="I112" s="569"/>
      <c r="J112" s="569"/>
      <c r="K112" s="569"/>
      <c r="L112" s="569"/>
      <c r="M112" s="569"/>
      <c r="N112" s="569"/>
      <c r="O112" s="1492"/>
      <c r="P112" s="1493"/>
      <c r="Q112" s="1494"/>
    </row>
    <row r="113" spans="2:17" s="488" customFormat="1" ht="13" x14ac:dyDescent="0.3">
      <c r="B113" s="533">
        <v>17</v>
      </c>
      <c r="C113" s="546"/>
      <c r="D113" s="570"/>
      <c r="E113" s="609"/>
      <c r="F113" s="572"/>
      <c r="G113" s="572"/>
      <c r="H113" s="572"/>
      <c r="I113" s="569"/>
      <c r="J113" s="569"/>
      <c r="K113" s="569"/>
      <c r="L113" s="569"/>
      <c r="M113" s="569"/>
      <c r="N113" s="569"/>
      <c r="O113" s="1492"/>
      <c r="P113" s="1493"/>
      <c r="Q113" s="1494"/>
    </row>
    <row r="114" spans="2:17" s="488" customFormat="1" ht="13" x14ac:dyDescent="0.3">
      <c r="B114" s="533">
        <v>18</v>
      </c>
      <c r="C114" s="546"/>
      <c r="D114" s="570"/>
      <c r="E114" s="609"/>
      <c r="F114" s="572"/>
      <c r="G114" s="572"/>
      <c r="H114" s="572"/>
      <c r="I114" s="569"/>
      <c r="J114" s="569"/>
      <c r="K114" s="569"/>
      <c r="L114" s="569"/>
      <c r="M114" s="569"/>
      <c r="N114" s="569"/>
      <c r="O114" s="1492"/>
      <c r="P114" s="1493"/>
      <c r="Q114" s="1494"/>
    </row>
    <row r="115" spans="2:17" s="488" customFormat="1" ht="13" x14ac:dyDescent="0.3">
      <c r="B115" s="533">
        <v>19</v>
      </c>
      <c r="C115" s="546"/>
      <c r="D115" s="570"/>
      <c r="E115" s="609"/>
      <c r="F115" s="572"/>
      <c r="G115" s="572"/>
      <c r="H115" s="572"/>
      <c r="I115" s="569"/>
      <c r="J115" s="569"/>
      <c r="K115" s="569"/>
      <c r="L115" s="569"/>
      <c r="M115" s="569"/>
      <c r="N115" s="569"/>
      <c r="O115" s="1492"/>
      <c r="P115" s="1493"/>
      <c r="Q115" s="1494"/>
    </row>
    <row r="116" spans="2:17" s="488" customFormat="1" ht="13" x14ac:dyDescent="0.3">
      <c r="B116" s="533">
        <v>20</v>
      </c>
      <c r="C116" s="546"/>
      <c r="D116" s="570"/>
      <c r="E116" s="609"/>
      <c r="F116" s="572"/>
      <c r="G116" s="572"/>
      <c r="H116" s="572"/>
      <c r="I116" s="569"/>
      <c r="J116" s="569"/>
      <c r="K116" s="569"/>
      <c r="L116" s="569"/>
      <c r="M116" s="569"/>
      <c r="N116" s="569"/>
      <c r="O116" s="1492"/>
      <c r="P116" s="1493"/>
      <c r="Q116" s="1494"/>
    </row>
    <row r="117" spans="2:17" s="488" customFormat="1" ht="18.75" customHeight="1" x14ac:dyDescent="0.3">
      <c r="B117" s="723"/>
      <c r="C117" s="724"/>
      <c r="D117" s="725"/>
      <c r="E117" s="726"/>
      <c r="F117" s="726"/>
      <c r="G117" s="726"/>
      <c r="H117" s="726"/>
      <c r="I117" s="727"/>
      <c r="J117" s="727"/>
      <c r="K117" s="727"/>
      <c r="L117" s="727"/>
      <c r="M117" s="727"/>
      <c r="N117" s="727"/>
      <c r="O117" s="727"/>
      <c r="P117" s="727"/>
      <c r="Q117" s="727"/>
    </row>
    <row r="121" spans="2:17" ht="13" x14ac:dyDescent="0.3"/>
    <row r="122" spans="2:17" ht="13" x14ac:dyDescent="0.3"/>
    <row r="123" spans="2:17" ht="13" x14ac:dyDescent="0.3"/>
    <row r="124" spans="2:17" ht="13" x14ac:dyDescent="0.3"/>
    <row r="125" spans="2:17" ht="13" x14ac:dyDescent="0.3"/>
  </sheetData>
  <sheetProtection algorithmName="SHA-512" hashValue="330RCTz2j748MRtv8pfGGakGc6IUaA5QPCIu7gKoraJQCfuZzEK9ak0VGRDFv52NDSG/9N56RKhB2bSVUXYIKA==" saltValue="0ecOrZ4Aum3dAnrx02GLgg==" spinCount="100000" sheet="1" objects="1" scenarios="1" selectLockedCells="1" selectUnlockedCells="1"/>
  <mergeCells count="121">
    <mergeCell ref="C2:F2"/>
    <mergeCell ref="C3:F3"/>
    <mergeCell ref="C4:F4"/>
    <mergeCell ref="C5:F5"/>
    <mergeCell ref="D7:F7"/>
    <mergeCell ref="D8:F16"/>
    <mergeCell ref="E34:Q34"/>
    <mergeCell ref="E35:Q35"/>
    <mergeCell ref="E36:Q36"/>
    <mergeCell ref="D25:Q25"/>
    <mergeCell ref="D26:Q26"/>
    <mergeCell ref="D27:Q27"/>
    <mergeCell ref="C22:Q22"/>
    <mergeCell ref="C23:Q23"/>
    <mergeCell ref="D29:Q29"/>
    <mergeCell ref="D30:Q30"/>
    <mergeCell ref="D17:F17"/>
    <mergeCell ref="D18:F18"/>
    <mergeCell ref="B20:Q20"/>
    <mergeCell ref="C21:Q21"/>
    <mergeCell ref="E37:Q37"/>
    <mergeCell ref="C41:M41"/>
    <mergeCell ref="P41:Q41"/>
    <mergeCell ref="D28:Q28"/>
    <mergeCell ref="E32:Q32"/>
    <mergeCell ref="C53:M53"/>
    <mergeCell ref="P53:Q53"/>
    <mergeCell ref="C45:M45"/>
    <mergeCell ref="P45:Q45"/>
    <mergeCell ref="C47:M47"/>
    <mergeCell ref="P47:Q47"/>
    <mergeCell ref="C48:M48"/>
    <mergeCell ref="P48:Q48"/>
    <mergeCell ref="C42:M42"/>
    <mergeCell ref="P42:Q42"/>
    <mergeCell ref="C43:M43"/>
    <mergeCell ref="P43:Q43"/>
    <mergeCell ref="C44:M44"/>
    <mergeCell ref="P44:Q44"/>
    <mergeCell ref="E33:Q33"/>
    <mergeCell ref="C54:M54"/>
    <mergeCell ref="P54:Q54"/>
    <mergeCell ref="C55:M55"/>
    <mergeCell ref="P55:Q55"/>
    <mergeCell ref="C49:M49"/>
    <mergeCell ref="P49:Q49"/>
    <mergeCell ref="C50:M50"/>
    <mergeCell ref="P50:Q50"/>
    <mergeCell ref="C51:M51"/>
    <mergeCell ref="P51:Q51"/>
    <mergeCell ref="D62:E62"/>
    <mergeCell ref="J62:Q62"/>
    <mergeCell ref="D63:E63"/>
    <mergeCell ref="J63:Q63"/>
    <mergeCell ref="D66:E66"/>
    <mergeCell ref="D65:E65"/>
    <mergeCell ref="J65:Q65"/>
    <mergeCell ref="C56:M56"/>
    <mergeCell ref="P56:Q56"/>
    <mergeCell ref="C57:M57"/>
    <mergeCell ref="P57:Q57"/>
    <mergeCell ref="D61:E61"/>
    <mergeCell ref="J61:Q61"/>
    <mergeCell ref="D75:E75"/>
    <mergeCell ref="J75:Q75"/>
    <mergeCell ref="D76:E76"/>
    <mergeCell ref="J76:Q76"/>
    <mergeCell ref="D73:E73"/>
    <mergeCell ref="D74:E74"/>
    <mergeCell ref="F81:Q81"/>
    <mergeCell ref="F86:Q86"/>
    <mergeCell ref="D64:E64"/>
    <mergeCell ref="J64:Q64"/>
    <mergeCell ref="D67:E67"/>
    <mergeCell ref="J67:Q67"/>
    <mergeCell ref="J66:Q66"/>
    <mergeCell ref="J74:Q74"/>
    <mergeCell ref="J73:Q73"/>
    <mergeCell ref="D68:E68"/>
    <mergeCell ref="J68:Q68"/>
    <mergeCell ref="D69:E69"/>
    <mergeCell ref="J69:Q69"/>
    <mergeCell ref="D71:E71"/>
    <mergeCell ref="J71:Q71"/>
    <mergeCell ref="D70:E70"/>
    <mergeCell ref="J70:Q70"/>
    <mergeCell ref="D72:E72"/>
    <mergeCell ref="J72:Q72"/>
    <mergeCell ref="O97:Q97"/>
    <mergeCell ref="O98:Q98"/>
    <mergeCell ref="O99:Q99"/>
    <mergeCell ref="O100:Q100"/>
    <mergeCell ref="O101:Q101"/>
    <mergeCell ref="O115:Q115"/>
    <mergeCell ref="O116:Q116"/>
    <mergeCell ref="O102:Q102"/>
    <mergeCell ref="O103:Q103"/>
    <mergeCell ref="O104:Q104"/>
    <mergeCell ref="O105:Q105"/>
    <mergeCell ref="O106:Q106"/>
    <mergeCell ref="O107:Q107"/>
    <mergeCell ref="O108:Q108"/>
    <mergeCell ref="O109:Q109"/>
    <mergeCell ref="O110:Q110"/>
    <mergeCell ref="O111:Q111"/>
    <mergeCell ref="O112:Q112"/>
    <mergeCell ref="O113:Q113"/>
    <mergeCell ref="O114:Q114"/>
    <mergeCell ref="F87:Q87"/>
    <mergeCell ref="F89:Q89"/>
    <mergeCell ref="F90:Q90"/>
    <mergeCell ref="F80:Q80"/>
    <mergeCell ref="F82:Q82"/>
    <mergeCell ref="E94:N94"/>
    <mergeCell ref="O94:Q96"/>
    <mergeCell ref="B95:D95"/>
    <mergeCell ref="C96:D96"/>
    <mergeCell ref="F83:Q83"/>
    <mergeCell ref="F84:Q84"/>
    <mergeCell ref="F85:Q85"/>
    <mergeCell ref="F88:Q88"/>
  </mergeCells>
  <phoneticPr fontId="22" type="noConversion"/>
  <conditionalFormatting sqref="H62">
    <cfRule type="expression" dxfId="3778" priority="168">
      <formula>IF(OR(#REF!="L",#REF!="C"),TRUE,FALSE)</formula>
    </cfRule>
  </conditionalFormatting>
  <conditionalFormatting sqref="G95 I95 K95 M95">
    <cfRule type="duplicateValues" dxfId="3777" priority="161"/>
  </conditionalFormatting>
  <conditionalFormatting sqref="H62">
    <cfRule type="expression" dxfId="3776" priority="151">
      <formula>IF(OR(#REF!="L",#REF!="C"),TRUE,FALSE)</formula>
    </cfRule>
  </conditionalFormatting>
  <conditionalFormatting sqref="H62">
    <cfRule type="expression" dxfId="3775" priority="147">
      <formula>IF(OR(#REF!="L",#REF!="C"),TRUE,FALSE)</formula>
    </cfRule>
  </conditionalFormatting>
  <conditionalFormatting sqref="H66:H67 H64">
    <cfRule type="expression" dxfId="3774" priority="138">
      <formula>IF(OR(#REF!="L",#REF!="C"),TRUE,FALSE)</formula>
    </cfRule>
  </conditionalFormatting>
  <conditionalFormatting sqref="H63">
    <cfRule type="expression" dxfId="3773" priority="136">
      <formula>IF(OR(#REF!="L",#REF!="C"),TRUE,FALSE)</formula>
    </cfRule>
  </conditionalFormatting>
  <conditionalFormatting sqref="H63">
    <cfRule type="expression" dxfId="3772" priority="137">
      <formula>IF(OR(#REF!="L",#REF!="C"),TRUE,FALSE)</formula>
    </cfRule>
  </conditionalFormatting>
  <conditionalFormatting sqref="H62">
    <cfRule type="expression" dxfId="3771" priority="139">
      <formula>IF(OR(#REF!="L",#REF!="C"),TRUE,FALSE)</formula>
    </cfRule>
  </conditionalFormatting>
  <conditionalFormatting sqref="H63">
    <cfRule type="expression" dxfId="3770" priority="134">
      <formula>IF(OR(#REF!="L",#REF!="C"),TRUE,FALSE)</formula>
    </cfRule>
  </conditionalFormatting>
  <conditionalFormatting sqref="H63">
    <cfRule type="expression" dxfId="3769" priority="135">
      <formula>IF(OR(#REF!="L",#REF!="C"),TRUE,FALSE)</formula>
    </cfRule>
  </conditionalFormatting>
  <conditionalFormatting sqref="H67">
    <cfRule type="expression" dxfId="3768" priority="126">
      <formula>IF(OR(#REF!="L",#REF!="C"),TRUE,FALSE)</formula>
    </cfRule>
  </conditionalFormatting>
  <conditionalFormatting sqref="H66">
    <cfRule type="expression" dxfId="3767" priority="133">
      <formula>IF(OR(#REF!="L",#REF!="C"),TRUE,FALSE)</formula>
    </cfRule>
  </conditionalFormatting>
  <conditionalFormatting sqref="H66">
    <cfRule type="expression" dxfId="3766" priority="132">
      <formula>IF(OR(#REF!="L",#REF!="C"),TRUE,FALSE)</formula>
    </cfRule>
  </conditionalFormatting>
  <conditionalFormatting sqref="H66">
    <cfRule type="expression" dxfId="3765" priority="131">
      <formula>IF(OR(#REF!="L",#REF!="C"),TRUE,FALSE)</formula>
    </cfRule>
  </conditionalFormatting>
  <conditionalFormatting sqref="H66">
    <cfRule type="expression" dxfId="3764" priority="130">
      <formula>IF(OR(#REF!="L",#REF!="C"),TRUE,FALSE)</formula>
    </cfRule>
  </conditionalFormatting>
  <conditionalFormatting sqref="H67">
    <cfRule type="expression" dxfId="3763" priority="129">
      <formula>IF(OR(#REF!="L",#REF!="C"),TRUE,FALSE)</formula>
    </cfRule>
  </conditionalFormatting>
  <conditionalFormatting sqref="H67">
    <cfRule type="expression" dxfId="3762" priority="128">
      <formula>IF(OR(#REF!="L",#REF!="C"),TRUE,FALSE)</formula>
    </cfRule>
  </conditionalFormatting>
  <conditionalFormatting sqref="H67">
    <cfRule type="expression" dxfId="3761" priority="127">
      <formula>IF(OR(#REF!="L",#REF!="C"),TRUE,FALSE)</formula>
    </cfRule>
  </conditionalFormatting>
  <conditionalFormatting sqref="E110:E116">
    <cfRule type="expression" dxfId="3760" priority="82">
      <formula>IF(OR(#REF!="L",#REF!="C"),TRUE,FALSE)</formula>
    </cfRule>
  </conditionalFormatting>
  <conditionalFormatting sqref="F109:F116 G102:G116 H104:H116">
    <cfRule type="expression" dxfId="3759" priority="83">
      <formula>IF(OR(#REF!="L",#REF!="C"),TRUE,FALSE)</formula>
    </cfRule>
  </conditionalFormatting>
  <conditionalFormatting sqref="E107">
    <cfRule type="expression" dxfId="3758" priority="81">
      <formula>IF(OR(#REF!="L",#REF!="C"),TRUE,FALSE)</formula>
    </cfRule>
  </conditionalFormatting>
  <conditionalFormatting sqref="E108">
    <cfRule type="expression" dxfId="3757" priority="80">
      <formula>IF(OR(#REF!="L",#REF!="C"),TRUE,FALSE)</formula>
    </cfRule>
  </conditionalFormatting>
  <conditionalFormatting sqref="E109">
    <cfRule type="expression" dxfId="3756" priority="79">
      <formula>IF(OR(#REF!="L",#REF!="C"),TRUE,FALSE)</formula>
    </cfRule>
  </conditionalFormatting>
  <conditionalFormatting sqref="E106">
    <cfRule type="expression" dxfId="3755" priority="78">
      <formula>IF(OR(#REF!="L",#REF!="C"),TRUE,FALSE)</formula>
    </cfRule>
  </conditionalFormatting>
  <conditionalFormatting sqref="E95">
    <cfRule type="duplicateValues" dxfId="3754" priority="77"/>
  </conditionalFormatting>
  <conditionalFormatting sqref="M104:M116">
    <cfRule type="expression" dxfId="3753" priority="67">
      <formula>IF(OR(#REF!="L",#REF!="C"),TRUE,FALSE)</formula>
    </cfRule>
  </conditionalFormatting>
  <conditionalFormatting sqref="F102:F106">
    <cfRule type="expression" dxfId="3752" priority="76">
      <formula>IF(OR(#REF!="L",#REF!="C"),TRUE,FALSE)</formula>
    </cfRule>
  </conditionalFormatting>
  <conditionalFormatting sqref="I102:I103">
    <cfRule type="expression" dxfId="3751" priority="74">
      <formula>IF(OR(#REF!="L",#REF!="C"),TRUE,FALSE)</formula>
    </cfRule>
  </conditionalFormatting>
  <conditionalFormatting sqref="N102:N103">
    <cfRule type="expression" dxfId="3750" priority="64">
      <formula>IF(OR(#REF!="L",#REF!="C"),TRUE,FALSE)</formula>
    </cfRule>
  </conditionalFormatting>
  <conditionalFormatting sqref="I104:I116">
    <cfRule type="expression" dxfId="3749" priority="75">
      <formula>IF(OR(#REF!="L",#REF!="C"),TRUE,FALSE)</formula>
    </cfRule>
  </conditionalFormatting>
  <conditionalFormatting sqref="J102:J103">
    <cfRule type="expression" dxfId="3748" priority="72">
      <formula>IF(OR(#REF!="L",#REF!="C"),TRUE,FALSE)</formula>
    </cfRule>
  </conditionalFormatting>
  <conditionalFormatting sqref="J104:J116">
    <cfRule type="expression" dxfId="3747" priority="73">
      <formula>IF(OR(#REF!="L",#REF!="C"),TRUE,FALSE)</formula>
    </cfRule>
  </conditionalFormatting>
  <conditionalFormatting sqref="K102:K103">
    <cfRule type="expression" dxfId="3746" priority="70">
      <formula>IF(OR(#REF!="L",#REF!="C"),TRUE,FALSE)</formula>
    </cfRule>
  </conditionalFormatting>
  <conditionalFormatting sqref="K104:K116">
    <cfRule type="expression" dxfId="3745" priority="71">
      <formula>IF(OR(#REF!="L",#REF!="C"),TRUE,FALSE)</formula>
    </cfRule>
  </conditionalFormatting>
  <conditionalFormatting sqref="L102:L103">
    <cfRule type="expression" dxfId="3744" priority="68">
      <formula>IF(OR(#REF!="L",#REF!="C"),TRUE,FALSE)</formula>
    </cfRule>
  </conditionalFormatting>
  <conditionalFormatting sqref="L104:L116">
    <cfRule type="expression" dxfId="3743" priority="69">
      <formula>IF(OR(#REF!="L",#REF!="C"),TRUE,FALSE)</formula>
    </cfRule>
  </conditionalFormatting>
  <conditionalFormatting sqref="M102:M103">
    <cfRule type="expression" dxfId="3742" priority="66">
      <formula>IF(OR(#REF!="L",#REF!="C"),TRUE,FALSE)</formula>
    </cfRule>
  </conditionalFormatting>
  <conditionalFormatting sqref="N104:N116">
    <cfRule type="expression" dxfId="3741" priority="65">
      <formula>IF(OR(#REF!="L",#REF!="C"),TRUE,FALSE)</formula>
    </cfRule>
  </conditionalFormatting>
  <conditionalFormatting sqref="O102:O103">
    <cfRule type="expression" dxfId="3740" priority="62">
      <formula>IF(OR(#REF!="L",#REF!="C"),TRUE,FALSE)</formula>
    </cfRule>
  </conditionalFormatting>
  <conditionalFormatting sqref="O104:O116">
    <cfRule type="expression" dxfId="3739" priority="63">
      <formula>IF(OR(#REF!="L",#REF!="C"),TRUE,FALSE)</formula>
    </cfRule>
  </conditionalFormatting>
  <conditionalFormatting sqref="E96:N96">
    <cfRule type="duplicateValues" dxfId="3738" priority="61"/>
  </conditionalFormatting>
  <conditionalFormatting sqref="E117">
    <cfRule type="expression" dxfId="3737" priority="51">
      <formula>IF(OR(#REF!="L",#REF!="C"),TRUE,FALSE)</formula>
    </cfRule>
  </conditionalFormatting>
  <conditionalFormatting sqref="F117:H117">
    <cfRule type="expression" dxfId="3736" priority="52">
      <formula>IF(OR(#REF!="L",#REF!="C"),TRUE,FALSE)</formula>
    </cfRule>
  </conditionalFormatting>
  <conditionalFormatting sqref="M117">
    <cfRule type="expression" dxfId="3735" priority="46">
      <formula>IF(OR(#REF!="L",#REF!="C"),TRUE,FALSE)</formula>
    </cfRule>
  </conditionalFormatting>
  <conditionalFormatting sqref="I117">
    <cfRule type="expression" dxfId="3734" priority="50">
      <formula>IF(OR(#REF!="L",#REF!="C"),TRUE,FALSE)</formula>
    </cfRule>
  </conditionalFormatting>
  <conditionalFormatting sqref="J117">
    <cfRule type="expression" dxfId="3733" priority="49">
      <formula>IF(OR(#REF!="L",#REF!="C"),TRUE,FALSE)</formula>
    </cfRule>
  </conditionalFormatting>
  <conditionalFormatting sqref="K117">
    <cfRule type="expression" dxfId="3732" priority="48">
      <formula>IF(OR(#REF!="L",#REF!="C"),TRUE,FALSE)</formula>
    </cfRule>
  </conditionalFormatting>
  <conditionalFormatting sqref="L117">
    <cfRule type="expression" dxfId="3731" priority="47">
      <formula>IF(OR(#REF!="L",#REF!="C"),TRUE,FALSE)</formula>
    </cfRule>
  </conditionalFormatting>
  <conditionalFormatting sqref="N117">
    <cfRule type="expression" dxfId="3730" priority="45">
      <formula>IF(OR(#REF!="L",#REF!="C"),TRUE,FALSE)</formula>
    </cfRule>
  </conditionalFormatting>
  <conditionalFormatting sqref="O117">
    <cfRule type="expression" dxfId="3729" priority="44">
      <formula>IF(OR(#REF!="L",#REF!="C"),TRUE,FALSE)</formula>
    </cfRule>
  </conditionalFormatting>
  <conditionalFormatting sqref="H65 H68:H69 H71 H73:H74">
    <cfRule type="expression" dxfId="3728" priority="7">
      <formula>IF(OR(#REF!="L",#REF!="C"),TRUE,FALSE)</formula>
    </cfRule>
  </conditionalFormatting>
  <conditionalFormatting sqref="H70">
    <cfRule type="expression" dxfId="3727" priority="6">
      <formula>IF(OR(#REF!="L",#REF!="C"),TRUE,FALSE)</formula>
    </cfRule>
  </conditionalFormatting>
  <conditionalFormatting sqref="H72">
    <cfRule type="expression" dxfId="3726" priority="2">
      <formula>IF(OR(#REF!="L",#REF!="C"),TRUE,FALSE)</formula>
    </cfRule>
  </conditionalFormatting>
  <conditionalFormatting sqref="H72">
    <cfRule type="expression" dxfId="3725" priority="1">
      <formula>IF(OR(#REF!="L",#REF!="C"),TRUE,FALSE)</formula>
    </cfRule>
  </conditionalFormatting>
  <dataValidations count="7">
    <dataValidation type="list" allowBlank="1" showInputMessage="1" showErrorMessage="1" sqref="C4" xr:uid="{55CDDC07-232E-467D-B742-9CCA8FB47FF5}">
      <formula1>"COM,RES"</formula1>
    </dataValidation>
    <dataValidation type="list" allowBlank="1" showInputMessage="1" showErrorMessage="1" sqref="H68" xr:uid="{70C63EB2-3539-4C35-A211-29AE45135B6C}">
      <formula1>$C$97:$C$116</formula1>
    </dataValidation>
    <dataValidation type="list" allowBlank="1" showInputMessage="1" showErrorMessage="1" sqref="C9" xr:uid="{B4EF282A-6031-42C3-88B1-A80BA6652800}">
      <formula1>INDIRECT("MeasureTypeList[Index]")</formula1>
    </dataValidation>
    <dataValidation type="list" allowBlank="1" showInputMessage="1" showErrorMessage="1" sqref="C26" xr:uid="{B9F51196-CD34-49B5-ACDF-D42DCEB4A847}">
      <formula1>INDIRECT("RegionList[Index]")</formula1>
    </dataValidation>
    <dataValidation type="list" allowBlank="1" showInputMessage="1" showErrorMessage="1" sqref="C27" xr:uid="{8D084B8C-ACB7-4B70-A544-52D10B32538B}">
      <formula1>INDIRECT("ReplacementTypeList[Index]")</formula1>
    </dataValidation>
    <dataValidation type="list" allowBlank="1" showInputMessage="1" showErrorMessage="1" sqref="C28" xr:uid="{74636AB3-1F9E-4386-918F-4C70FB3D7223}">
      <formula1>INDIRECT("BuildingType[Building]")</formula1>
    </dataValidation>
    <dataValidation type="list" allowBlank="1" showInputMessage="1" showErrorMessage="1" sqref="C29 C30" xr:uid="{83C33CC0-6359-47A4-AD48-CED6D399E6D7}">
      <formula1>INDIRECT("FuelTypeList[Index]")</formula1>
    </dataValidation>
  </dataValidations>
  <hyperlinks>
    <hyperlink ref="F82" r:id="rId1" xr:uid="{8FF17B2E-DDDB-473F-B826-F91E67DF2928}"/>
    <hyperlink ref="F83" r:id="rId2" xr:uid="{00212278-C406-4002-A931-129E7D6ED6F6}"/>
    <hyperlink ref="F85" r:id="rId3" xr:uid="{2C418ACF-941C-4983-951B-B89F0292AEB6}"/>
    <hyperlink ref="F84" r:id="rId4" xr:uid="{57E2D687-D0DE-41BD-A680-D190AB156BF7}"/>
  </hyperlinks>
  <pageMargins left="0.7" right="0.7" top="0.75" bottom="0.75" header="0.3" footer="0.3"/>
  <pageSetup orientation="portrait" r:id="rId5"/>
  <legacy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5E904-9D55-4F68-83A3-954DEBB90F3C}">
  <sheetPr codeName="Sheet277"/>
  <dimension ref="A2:T140"/>
  <sheetViews>
    <sheetView topLeftCell="A49" workbookViewId="0">
      <selection activeCell="D68" sqref="D68:E68"/>
    </sheetView>
  </sheetViews>
  <sheetFormatPr defaultColWidth="9.08984375" defaultRowHeight="18.75" customHeight="1" x14ac:dyDescent="0.3"/>
  <cols>
    <col min="1" max="1" width="2.36328125" style="488" customWidth="1"/>
    <col min="2" max="2" width="29.6328125" style="488" customWidth="1"/>
    <col min="3" max="3" width="25.26953125" style="488" customWidth="1"/>
    <col min="4" max="4" width="16.26953125" style="488" customWidth="1"/>
    <col min="5" max="5" width="15" style="488" customWidth="1"/>
    <col min="6" max="6" width="17.26953125" style="488" customWidth="1"/>
    <col min="7" max="7" width="19.6328125" style="488" customWidth="1"/>
    <col min="8" max="8" width="16" style="488" customWidth="1"/>
    <col min="9" max="9" width="15" style="488" customWidth="1"/>
    <col min="10" max="10" width="14.6328125" style="488" customWidth="1"/>
    <col min="11" max="12" width="9.08984375" style="488"/>
    <col min="13" max="13" width="11" style="488" customWidth="1"/>
    <col min="14" max="14" width="22"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R-WB-001</v>
      </c>
      <c r="D3" s="1367"/>
      <c r="E3" s="1367"/>
      <c r="F3" s="1367"/>
    </row>
    <row r="4" spans="1:18" ht="18.75" customHeight="1" x14ac:dyDescent="0.3">
      <c r="B4" s="490" t="s">
        <v>11</v>
      </c>
      <c r="C4" s="1367" t="str" cm="1">
        <f t="array" ref="C4">_xlfn.SWITCH(LEFT(C8,1),"R","Residential","C","Commercial","ERROR")</f>
        <v>Residential</v>
      </c>
      <c r="D4" s="1367"/>
      <c r="E4" s="1367"/>
      <c r="F4" s="1367"/>
    </row>
    <row r="5" spans="1:18" ht="19.5" customHeight="1" x14ac:dyDescent="0.3">
      <c r="B5" s="490" t="s">
        <v>408</v>
      </c>
      <c r="C5" s="1530" t="s">
        <v>384</v>
      </c>
      <c r="D5" s="1530"/>
      <c r="E5" s="1530"/>
      <c r="F5" s="1698"/>
      <c r="R5" s="488"/>
    </row>
    <row r="6" spans="1:18" ht="18.75" customHeight="1" x14ac:dyDescent="0.3">
      <c r="A6" s="573"/>
    </row>
    <row r="7" spans="1:18" ht="18.75" customHeight="1" x14ac:dyDescent="0.3">
      <c r="B7" s="1193" t="s">
        <v>409</v>
      </c>
      <c r="C7" s="1192" t="s">
        <v>406</v>
      </c>
      <c r="D7" s="1363" t="s">
        <v>410</v>
      </c>
      <c r="E7" s="1363"/>
      <c r="F7" s="1363"/>
      <c r="R7" s="488"/>
    </row>
    <row r="8" spans="1:18" ht="18.75" customHeight="1" x14ac:dyDescent="0.3">
      <c r="B8" s="490" t="s">
        <v>411</v>
      </c>
      <c r="C8" s="1218" t="s">
        <v>176</v>
      </c>
      <c r="D8" s="1457"/>
      <c r="E8" s="1457"/>
      <c r="F8" s="1457"/>
      <c r="R8" s="488"/>
    </row>
    <row r="9" spans="1:18" ht="18.75" customHeight="1" x14ac:dyDescent="0.3">
      <c r="B9" s="490" t="s">
        <v>49</v>
      </c>
      <c r="C9" s="1218" t="s">
        <v>891</v>
      </c>
      <c r="D9" s="1457"/>
      <c r="E9" s="1457"/>
      <c r="F9" s="1457"/>
      <c r="R9" s="488"/>
    </row>
    <row r="10" spans="1:18" ht="18.75" customHeight="1" x14ac:dyDescent="0.3">
      <c r="B10" s="490" t="s">
        <v>412</v>
      </c>
      <c r="C10" s="1218"/>
      <c r="D10" s="1457"/>
      <c r="E10" s="1457"/>
      <c r="F10" s="1457"/>
      <c r="R10" s="488"/>
    </row>
    <row r="11" spans="1:18" ht="18.75" customHeight="1" x14ac:dyDescent="0.3">
      <c r="B11" s="490" t="s">
        <v>413</v>
      </c>
      <c r="C11" s="1218"/>
      <c r="D11" s="1457"/>
      <c r="E11" s="1457"/>
      <c r="F11" s="1457"/>
      <c r="R11" s="488"/>
    </row>
    <row r="12" spans="1:18" ht="18.75" customHeight="1" x14ac:dyDescent="0.3">
      <c r="B12" s="490" t="s">
        <v>414</v>
      </c>
      <c r="C12" s="665"/>
      <c r="D12" s="1457"/>
      <c r="E12" s="1457"/>
      <c r="F12" s="1457"/>
      <c r="R12" s="488"/>
    </row>
    <row r="13" spans="1:18" ht="18.75" customHeight="1" x14ac:dyDescent="0.3">
      <c r="B13" s="494" t="s">
        <v>415</v>
      </c>
      <c r="C13" s="658">
        <f>N43</f>
        <v>0.24843477044367704</v>
      </c>
      <c r="D13" s="1457"/>
      <c r="E13" s="1457"/>
      <c r="F13" s="1457"/>
      <c r="R13" s="488"/>
    </row>
    <row r="14" spans="1:18" ht="18.75" customHeight="1" x14ac:dyDescent="0.3">
      <c r="B14" s="494" t="s">
        <v>416</v>
      </c>
      <c r="C14" s="658">
        <f>N42</f>
        <v>0</v>
      </c>
      <c r="D14" s="1457"/>
      <c r="E14" s="1457"/>
      <c r="F14" s="1457"/>
      <c r="R14" s="488"/>
    </row>
    <row r="15" spans="1:18" ht="18.75" customHeight="1" x14ac:dyDescent="0.3">
      <c r="B15" s="494" t="s">
        <v>417</v>
      </c>
      <c r="C15" s="658">
        <f>N44</f>
        <v>2.6372745019872024E-2</v>
      </c>
      <c r="D15" s="1457"/>
      <c r="E15" s="1457"/>
      <c r="F15" s="1457"/>
      <c r="R15" s="488"/>
    </row>
    <row r="16" spans="1:18" ht="18.75" customHeight="1" x14ac:dyDescent="0.3">
      <c r="B16" s="494" t="s">
        <v>418</v>
      </c>
      <c r="C16" s="659">
        <f>C37</f>
        <v>0</v>
      </c>
      <c r="D16" s="1457"/>
      <c r="E16" s="1457"/>
      <c r="F16" s="1457"/>
      <c r="R16" s="488"/>
    </row>
    <row r="17" spans="2:18" ht="18.75" customHeight="1" x14ac:dyDescent="0.3">
      <c r="B17" s="490" t="s">
        <v>48</v>
      </c>
      <c r="C17" s="1218" t="s">
        <v>892</v>
      </c>
      <c r="D17" s="1363" t="s">
        <v>419</v>
      </c>
      <c r="E17" s="1363"/>
      <c r="F17" s="1363"/>
      <c r="R17" s="488"/>
    </row>
    <row r="18" spans="2:18" ht="18.75" customHeight="1" x14ac:dyDescent="0.3">
      <c r="B18" s="490" t="s">
        <v>420</v>
      </c>
      <c r="C18" s="666">
        <v>20</v>
      </c>
      <c r="D18" s="1513" t="s">
        <v>893</v>
      </c>
      <c r="E18" s="1513"/>
      <c r="F18" s="1513"/>
      <c r="R18" s="488"/>
    </row>
    <row r="19" spans="2:18" ht="18.75" customHeight="1" x14ac:dyDescent="0.3">
      <c r="B19" s="613"/>
      <c r="C19" s="614"/>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18.75" customHeight="1" x14ac:dyDescent="0.3">
      <c r="B21" s="499" t="s">
        <v>422</v>
      </c>
      <c r="C21" s="1546" t="s">
        <v>385</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36" t="s">
        <v>386</v>
      </c>
      <c r="D22" s="1536"/>
      <c r="E22" s="1536"/>
      <c r="F22" s="1536"/>
      <c r="G22" s="1536"/>
      <c r="H22" s="1536"/>
      <c r="I22" s="1536"/>
      <c r="J22" s="1536"/>
      <c r="K22" s="1536"/>
      <c r="L22" s="1536"/>
      <c r="M22" s="1536"/>
      <c r="N22" s="1536"/>
      <c r="O22" s="1536"/>
      <c r="P22" s="1536"/>
      <c r="Q22" s="1536"/>
      <c r="R22" s="488"/>
    </row>
    <row r="23" spans="2:18" ht="18.75" customHeight="1"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Default.BuildingType.R</f>
        <v>Home - detached</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677"/>
      <c r="F33" s="1677"/>
      <c r="G33" s="1677"/>
      <c r="H33" s="1677"/>
      <c r="I33" s="1677"/>
      <c r="J33" s="1677"/>
      <c r="K33" s="1677"/>
      <c r="L33" s="1677"/>
      <c r="M33" s="1677"/>
      <c r="N33" s="1677"/>
      <c r="O33" s="1677"/>
      <c r="P33" s="1677"/>
      <c r="Q33" s="1677"/>
      <c r="R33" s="488"/>
    </row>
    <row r="34" spans="2:18" ht="18.75" customHeight="1" x14ac:dyDescent="0.3">
      <c r="B34" s="494" t="s">
        <v>431</v>
      </c>
      <c r="C34" s="542"/>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504">
        <f>SUM(C33:C34)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504">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6"/>
      <c r="E41" s="1376"/>
      <c r="F41" s="1376"/>
      <c r="G41" s="1376"/>
      <c r="H41" s="1376"/>
      <c r="I41" s="1376"/>
      <c r="J41" s="1376"/>
      <c r="K41" s="1376"/>
      <c r="L41" s="1376"/>
      <c r="M41" s="1376"/>
      <c r="N41" s="1188" t="s">
        <v>406</v>
      </c>
      <c r="O41" s="1188" t="s">
        <v>428</v>
      </c>
      <c r="P41" s="1379" t="s">
        <v>419</v>
      </c>
      <c r="Q41" s="1379"/>
    </row>
    <row r="42" spans="2:18" ht="18.75" customHeight="1" x14ac:dyDescent="0.3">
      <c r="B42" s="582" t="s">
        <v>438</v>
      </c>
      <c r="C42" s="1380" t="s">
        <v>439</v>
      </c>
      <c r="D42" s="1380"/>
      <c r="E42" s="1380"/>
      <c r="F42" s="1380"/>
      <c r="G42" s="1380"/>
      <c r="H42" s="1380"/>
      <c r="I42" s="1380"/>
      <c r="J42" s="1380"/>
      <c r="K42" s="1380"/>
      <c r="L42" s="1380"/>
      <c r="M42" s="1380"/>
      <c r="N42" s="584">
        <f>N48+N54</f>
        <v>0</v>
      </c>
      <c r="O42" s="1243" t="s">
        <v>440</v>
      </c>
      <c r="P42" s="1511"/>
      <c r="Q42" s="1511"/>
      <c r="R42" s="488"/>
    </row>
    <row r="43" spans="2:18" ht="18.75" customHeight="1" x14ac:dyDescent="0.3">
      <c r="B43" s="582" t="s">
        <v>441</v>
      </c>
      <c r="C43" s="1380" t="s">
        <v>442</v>
      </c>
      <c r="D43" s="1380"/>
      <c r="E43" s="1380"/>
      <c r="F43" s="1380"/>
      <c r="G43" s="1380"/>
      <c r="H43" s="1380"/>
      <c r="I43" s="1380"/>
      <c r="J43" s="1380"/>
      <c r="K43" s="1380"/>
      <c r="L43" s="1380"/>
      <c r="M43" s="1380"/>
      <c r="N43" s="585">
        <f>N49+N55</f>
        <v>0.24843477044367704</v>
      </c>
      <c r="O43" s="1243" t="s">
        <v>443</v>
      </c>
      <c r="P43" s="1511"/>
      <c r="Q43" s="1511"/>
      <c r="R43" s="488"/>
    </row>
    <row r="44" spans="2:18" ht="18.75" customHeight="1" x14ac:dyDescent="0.3">
      <c r="B44" s="582" t="s">
        <v>444</v>
      </c>
      <c r="C44" s="1380" t="s">
        <v>445</v>
      </c>
      <c r="D44" s="1380"/>
      <c r="E44" s="1380"/>
      <c r="F44" s="1380"/>
      <c r="G44" s="1380"/>
      <c r="H44" s="1380"/>
      <c r="I44" s="1380"/>
      <c r="J44" s="1380"/>
      <c r="K44" s="1380"/>
      <c r="L44" s="1380"/>
      <c r="M44" s="1380"/>
      <c r="N44" s="584">
        <f>N50+N56</f>
        <v>2.6372745019872024E-2</v>
      </c>
      <c r="O44" s="1243" t="s">
        <v>446</v>
      </c>
      <c r="P44" s="1511"/>
      <c r="Q44" s="1511"/>
      <c r="R44" s="488"/>
    </row>
    <row r="45" spans="2:18" ht="18.75" customHeight="1" x14ac:dyDescent="0.3">
      <c r="B45" s="582" t="s">
        <v>447</v>
      </c>
      <c r="C45" s="1380" t="s">
        <v>448</v>
      </c>
      <c r="D45" s="1380"/>
      <c r="E45" s="1380"/>
      <c r="F45" s="1380"/>
      <c r="G45" s="1380"/>
      <c r="H45" s="1380"/>
      <c r="I45" s="1380"/>
      <c r="J45" s="1380"/>
      <c r="K45" s="1380"/>
      <c r="L45" s="1380"/>
      <c r="M45" s="1380"/>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6"/>
      <c r="E47" s="1376"/>
      <c r="F47" s="1376"/>
      <c r="G47" s="1376"/>
      <c r="H47" s="1376"/>
      <c r="I47" s="1376"/>
      <c r="J47" s="1376"/>
      <c r="K47" s="1376"/>
      <c r="L47" s="1376"/>
      <c r="M47" s="1376"/>
      <c r="N47" s="1188" t="s">
        <v>406</v>
      </c>
      <c r="O47" s="1188" t="s">
        <v>428</v>
      </c>
      <c r="P47" s="1379" t="s">
        <v>419</v>
      </c>
      <c r="Q47" s="1379"/>
      <c r="R47" s="488"/>
    </row>
    <row r="48" spans="2:18" ht="18.75" customHeight="1" x14ac:dyDescent="0.3">
      <c r="B48" s="740" t="s">
        <v>452</v>
      </c>
      <c r="C48" s="1699" t="s">
        <v>453</v>
      </c>
      <c r="D48" s="1699"/>
      <c r="E48" s="1699"/>
      <c r="F48" s="1699"/>
      <c r="G48" s="1699"/>
      <c r="H48" s="1699"/>
      <c r="I48" s="1699"/>
      <c r="J48" s="1699"/>
      <c r="K48" s="1699"/>
      <c r="L48" s="1699"/>
      <c r="M48" s="1699"/>
      <c r="N48" s="741"/>
      <c r="O48" s="736" t="s">
        <v>440</v>
      </c>
      <c r="P48" s="1700"/>
      <c r="Q48" s="1700"/>
      <c r="R48" s="488"/>
    </row>
    <row r="49" spans="2:20" ht="49.15" customHeight="1" x14ac:dyDescent="0.3">
      <c r="B49" s="740" t="s">
        <v>454</v>
      </c>
      <c r="C49" s="1701" t="s">
        <v>894</v>
      </c>
      <c r="D49" s="1701"/>
      <c r="E49" s="1701"/>
      <c r="F49" s="1701"/>
      <c r="G49" s="1701"/>
      <c r="H49" s="1701"/>
      <c r="I49" s="1701"/>
      <c r="J49" s="1701"/>
      <c r="K49" s="1701"/>
      <c r="L49" s="1701"/>
      <c r="M49" s="1701"/>
      <c r="N49" s="742">
        <f>((1/H64-1/H65)*H66*(1-H67)*Hours_per_Day) * ( H71 * H62 * H68 / 1000 / H75  + (1-H72) * H63 * H69   /  H73 / kWh_per_BTU ) + ( N50 * H74  * H70 * kWh_per_GJ )</f>
        <v>0.24843477044367704</v>
      </c>
      <c r="O49" s="737" t="s">
        <v>443</v>
      </c>
      <c r="P49" s="1700"/>
      <c r="Q49" s="1700"/>
      <c r="R49" s="488"/>
    </row>
    <row r="50" spans="2:20" ht="27" customHeight="1" x14ac:dyDescent="0.3">
      <c r="B50" s="740" t="s">
        <v>456</v>
      </c>
      <c r="C50" s="1507" t="s">
        <v>895</v>
      </c>
      <c r="D50" s="1699"/>
      <c r="E50" s="1699"/>
      <c r="F50" s="1699"/>
      <c r="G50" s="1699"/>
      <c r="H50" s="1699"/>
      <c r="I50" s="1699"/>
      <c r="J50" s="1699"/>
      <c r="K50" s="1699"/>
      <c r="L50" s="1699"/>
      <c r="M50" s="1699"/>
      <c r="N50" s="743">
        <f>H72*(1/H64-1/H65)*H66*(1-H67)*Hours_per_Day*H63/H76*GJ_per_BTU</f>
        <v>2.6372745019872024E-2</v>
      </c>
      <c r="O50" s="736" t="s">
        <v>446</v>
      </c>
      <c r="P50" s="1700"/>
      <c r="Q50" s="1700"/>
      <c r="R50" s="488"/>
    </row>
    <row r="51" spans="2:20" ht="18.75" customHeight="1" x14ac:dyDescent="0.3">
      <c r="B51" s="740" t="s">
        <v>458</v>
      </c>
      <c r="C51" s="1699" t="s">
        <v>459</v>
      </c>
      <c r="D51" s="1699"/>
      <c r="E51" s="1699"/>
      <c r="F51" s="1699"/>
      <c r="G51" s="1699"/>
      <c r="H51" s="1699"/>
      <c r="I51" s="1699"/>
      <c r="J51" s="1699"/>
      <c r="K51" s="1699"/>
      <c r="L51" s="1699"/>
      <c r="M51" s="1699"/>
      <c r="N51" s="744"/>
      <c r="O51" s="736" t="s">
        <v>449</v>
      </c>
      <c r="P51" s="1700"/>
      <c r="Q51" s="1700"/>
      <c r="R51" s="488"/>
    </row>
    <row r="52" spans="2:20" ht="18.75" customHeight="1" x14ac:dyDescent="0.3">
      <c r="B52" s="583"/>
      <c r="C52" s="578"/>
      <c r="D52" s="578"/>
      <c r="E52" s="578"/>
      <c r="F52" s="578"/>
      <c r="G52" s="578"/>
      <c r="H52" s="578"/>
      <c r="I52" s="578"/>
      <c r="J52" s="578"/>
      <c r="K52" s="578"/>
      <c r="L52" s="578"/>
      <c r="M52" s="578"/>
      <c r="Q52" s="489"/>
      <c r="R52" s="488"/>
    </row>
    <row r="53" spans="2:20" s="491" customFormat="1" ht="18.75" customHeight="1" x14ac:dyDescent="0.3">
      <c r="B53" s="506" t="s">
        <v>460</v>
      </c>
      <c r="C53" s="1376" t="s">
        <v>461</v>
      </c>
      <c r="D53" s="1376"/>
      <c r="E53" s="1376"/>
      <c r="F53" s="1376"/>
      <c r="G53" s="1376"/>
      <c r="H53" s="1376"/>
      <c r="I53" s="1376"/>
      <c r="J53" s="1376"/>
      <c r="K53" s="1376"/>
      <c r="L53" s="1376"/>
      <c r="M53" s="1376"/>
      <c r="N53" s="1188" t="s">
        <v>406</v>
      </c>
      <c r="O53" s="1188" t="s">
        <v>428</v>
      </c>
      <c r="P53" s="1379" t="s">
        <v>419</v>
      </c>
      <c r="Q53" s="1379"/>
    </row>
    <row r="54" spans="2:20" s="491" customFormat="1" ht="18.75" customHeight="1" x14ac:dyDescent="0.3">
      <c r="B54" s="531" t="s">
        <v>462</v>
      </c>
      <c r="C54" s="1449" t="s">
        <v>463</v>
      </c>
      <c r="D54" s="1449"/>
      <c r="E54" s="1449"/>
      <c r="F54" s="1449"/>
      <c r="G54" s="1449"/>
      <c r="H54" s="1449"/>
      <c r="I54" s="1449"/>
      <c r="J54" s="1449"/>
      <c r="K54" s="1449"/>
      <c r="L54" s="1449"/>
      <c r="M54" s="1449"/>
      <c r="N54" s="543"/>
      <c r="O54" s="509" t="s">
        <v>440</v>
      </c>
      <c r="P54" s="1447"/>
      <c r="Q54" s="1447"/>
    </row>
    <row r="55" spans="2:20" s="491" customFormat="1" ht="18.75" customHeight="1" x14ac:dyDescent="0.3">
      <c r="B55" s="531" t="s">
        <v>464</v>
      </c>
      <c r="C55" s="1449" t="s">
        <v>465</v>
      </c>
      <c r="D55" s="1449"/>
      <c r="E55" s="1449"/>
      <c r="F55" s="1449"/>
      <c r="G55" s="1449"/>
      <c r="H55" s="1449"/>
      <c r="I55" s="1449"/>
      <c r="J55" s="1449"/>
      <c r="K55" s="1449"/>
      <c r="L55" s="1449"/>
      <c r="M55" s="1449"/>
      <c r="N55" s="593"/>
      <c r="O55" s="509" t="s">
        <v>443</v>
      </c>
      <c r="P55" s="1447"/>
      <c r="Q55" s="1447"/>
    </row>
    <row r="56" spans="2:20" s="491" customFormat="1" ht="18.75" customHeight="1" x14ac:dyDescent="0.3">
      <c r="B56" s="531" t="s">
        <v>466</v>
      </c>
      <c r="C56" s="1504" t="s">
        <v>467</v>
      </c>
      <c r="D56" s="1504"/>
      <c r="E56" s="1504"/>
      <c r="F56" s="1504"/>
      <c r="G56" s="1504"/>
      <c r="H56" s="1504"/>
      <c r="I56" s="1504"/>
      <c r="J56" s="1504"/>
      <c r="K56" s="1504"/>
      <c r="L56" s="1504"/>
      <c r="M56" s="1504"/>
      <c r="N56" s="594"/>
      <c r="O56" s="509" t="s">
        <v>446</v>
      </c>
      <c r="P56" s="1447"/>
      <c r="Q56" s="1447"/>
    </row>
    <row r="57" spans="2:20" s="491" customFormat="1" ht="18.75" customHeight="1" x14ac:dyDescent="0.3">
      <c r="B57" s="531" t="s">
        <v>468</v>
      </c>
      <c r="C57" s="1449" t="s">
        <v>469</v>
      </c>
      <c r="D57" s="1449"/>
      <c r="E57" s="1449"/>
      <c r="F57" s="1449"/>
      <c r="G57" s="1449"/>
      <c r="H57" s="1449"/>
      <c r="I57" s="1449"/>
      <c r="J57" s="1449"/>
      <c r="K57" s="1449"/>
      <c r="L57" s="1449"/>
      <c r="M57" s="1449"/>
      <c r="N57" s="595"/>
      <c r="O57" s="509" t="s">
        <v>449</v>
      </c>
      <c r="P57" s="1447"/>
      <c r="Q57" s="1447"/>
    </row>
    <row r="58" spans="2:20" s="491" customFormat="1" ht="18.75" customHeight="1" x14ac:dyDescent="0.3">
      <c r="B58" s="510"/>
      <c r="C58" s="502"/>
      <c r="D58" s="503"/>
      <c r="E58" s="503"/>
      <c r="F58" s="503"/>
      <c r="G58" s="503"/>
      <c r="H58" s="503"/>
      <c r="I58" s="503"/>
      <c r="J58" s="503"/>
      <c r="K58" s="503"/>
      <c r="L58" s="503"/>
      <c r="M58" s="503"/>
      <c r="N58" s="503"/>
      <c r="O58" s="503"/>
      <c r="R58" s="489"/>
    </row>
    <row r="59" spans="2:20" ht="18.75" customHeight="1" x14ac:dyDescent="0.3">
      <c r="B59" s="511" t="s">
        <v>470</v>
      </c>
      <c r="C59" s="512"/>
      <c r="D59" s="512"/>
      <c r="E59" s="512"/>
      <c r="F59" s="512"/>
      <c r="G59" s="512"/>
      <c r="H59" s="513"/>
      <c r="I59" s="513"/>
      <c r="J59" s="513"/>
      <c r="K59" s="513"/>
      <c r="L59" s="513"/>
      <c r="M59" s="513"/>
      <c r="N59" s="513"/>
      <c r="O59" s="513"/>
      <c r="P59" s="513"/>
      <c r="Q59" s="514"/>
    </row>
    <row r="61" spans="2:20" ht="18.75" customHeight="1" x14ac:dyDescent="0.3">
      <c r="B61" s="506" t="s">
        <v>471</v>
      </c>
      <c r="C61" s="506" t="s">
        <v>472</v>
      </c>
      <c r="D61" s="1395" t="s">
        <v>473</v>
      </c>
      <c r="E61" s="1395"/>
      <c r="F61" s="506" t="s">
        <v>474</v>
      </c>
      <c r="G61" s="506" t="s">
        <v>475</v>
      </c>
      <c r="H61" s="1188" t="s">
        <v>406</v>
      </c>
      <c r="I61" s="1188" t="s">
        <v>428</v>
      </c>
      <c r="J61" s="1396" t="s">
        <v>476</v>
      </c>
      <c r="K61" s="1396"/>
      <c r="L61" s="1396"/>
      <c r="M61" s="1396"/>
      <c r="N61" s="1396"/>
      <c r="O61" s="1396"/>
      <c r="P61" s="1396"/>
      <c r="Q61" s="1395"/>
    </row>
    <row r="62" spans="2:20" ht="37.15" customHeight="1" x14ac:dyDescent="0.3">
      <c r="B62" s="533">
        <v>1</v>
      </c>
      <c r="C62" s="546" t="s">
        <v>896</v>
      </c>
      <c r="D62" s="1468" t="s">
        <v>897</v>
      </c>
      <c r="E62" s="1468"/>
      <c r="F62" s="609" t="str">
        <f>$C$26</f>
        <v>Average</v>
      </c>
      <c r="G62" s="1217" t="str">
        <f>C62</f>
        <v>CDD</v>
      </c>
      <c r="H62" s="693">
        <f>INDEX(ClimateData[#All],MATCH(F62,ClimateData[[#All],[Region]],0),MATCH(G62,ClimateData[#Headers],0))</f>
        <v>61.861244019138759</v>
      </c>
      <c r="I62" s="557" t="s">
        <v>896</v>
      </c>
      <c r="J62" s="1462" t="s">
        <v>898</v>
      </c>
      <c r="K62" s="1470"/>
      <c r="L62" s="1470"/>
      <c r="M62" s="1470"/>
      <c r="N62" s="1470"/>
      <c r="O62" s="1470"/>
      <c r="P62" s="1470"/>
      <c r="Q62" s="1471"/>
      <c r="R62" s="488"/>
      <c r="T62" s="738"/>
    </row>
    <row r="63" spans="2:20" ht="30" customHeight="1" x14ac:dyDescent="0.3">
      <c r="B63" s="533">
        <v>6</v>
      </c>
      <c r="C63" s="546" t="s">
        <v>899</v>
      </c>
      <c r="D63" s="1468" t="s">
        <v>900</v>
      </c>
      <c r="E63" s="1468"/>
      <c r="F63" s="609" t="str">
        <f>$C$26</f>
        <v>Average</v>
      </c>
      <c r="G63" s="1217" t="str">
        <f>C63</f>
        <v>HDD</v>
      </c>
      <c r="H63" s="693">
        <f>INDEX(ClimateData[#All],MATCH(F63,ClimateData[[#All],[Region]],0),MATCH(G63,ClimateData[#Headers],0))</f>
        <v>5480.7825814536336</v>
      </c>
      <c r="I63" s="557" t="s">
        <v>899</v>
      </c>
      <c r="J63" s="1462" t="s">
        <v>901</v>
      </c>
      <c r="K63" s="1470"/>
      <c r="L63" s="1470"/>
      <c r="M63" s="1470"/>
      <c r="N63" s="1470"/>
      <c r="O63" s="1470"/>
      <c r="P63" s="1470"/>
      <c r="Q63" s="1471"/>
      <c r="R63" s="488"/>
    </row>
    <row r="64" spans="2:20" ht="28.9" customHeight="1" x14ac:dyDescent="0.3">
      <c r="B64" s="535">
        <v>2</v>
      </c>
      <c r="C64" s="551" t="s">
        <v>902</v>
      </c>
      <c r="D64" s="1482" t="s">
        <v>903</v>
      </c>
      <c r="E64" s="1483"/>
      <c r="F64" s="552"/>
      <c r="G64" s="552"/>
      <c r="H64" s="552">
        <v>5</v>
      </c>
      <c r="I64" s="552" t="s">
        <v>904</v>
      </c>
      <c r="J64" s="1659" t="s">
        <v>727</v>
      </c>
      <c r="K64" s="1660"/>
      <c r="L64" s="1660"/>
      <c r="M64" s="1660"/>
      <c r="N64" s="1660"/>
      <c r="O64" s="1660"/>
      <c r="P64" s="1660"/>
      <c r="Q64" s="1661"/>
      <c r="R64" s="488"/>
    </row>
    <row r="65" spans="2:18" ht="13" x14ac:dyDescent="0.3">
      <c r="B65" s="535">
        <v>3</v>
      </c>
      <c r="C65" s="551" t="s">
        <v>905</v>
      </c>
      <c r="D65" s="1543" t="s">
        <v>906</v>
      </c>
      <c r="E65" s="1543"/>
      <c r="F65" s="552"/>
      <c r="G65" s="552"/>
      <c r="H65" s="745">
        <v>38</v>
      </c>
      <c r="I65" s="552" t="s">
        <v>904</v>
      </c>
      <c r="J65" s="1659" t="s">
        <v>727</v>
      </c>
      <c r="K65" s="1660"/>
      <c r="L65" s="1660"/>
      <c r="M65" s="1660"/>
      <c r="N65" s="1660"/>
      <c r="O65" s="1660"/>
      <c r="P65" s="1660"/>
      <c r="Q65" s="1661"/>
      <c r="R65" s="488"/>
    </row>
    <row r="66" spans="2:18" ht="15" customHeight="1" x14ac:dyDescent="0.3">
      <c r="B66" s="535">
        <v>4</v>
      </c>
      <c r="C66" s="551" t="s">
        <v>907</v>
      </c>
      <c r="D66" s="1482" t="s">
        <v>908</v>
      </c>
      <c r="E66" s="1483"/>
      <c r="F66" s="552"/>
      <c r="G66" s="552"/>
      <c r="H66" s="597">
        <v>1</v>
      </c>
      <c r="I66" s="552" t="s">
        <v>909</v>
      </c>
      <c r="J66" s="1659" t="s">
        <v>727</v>
      </c>
      <c r="K66" s="1660"/>
      <c r="L66" s="1660"/>
      <c r="M66" s="1660"/>
      <c r="N66" s="1660"/>
      <c r="O66" s="1660"/>
      <c r="P66" s="1660"/>
      <c r="Q66" s="1661"/>
      <c r="R66" s="488"/>
    </row>
    <row r="67" spans="2:18" ht="14.5" customHeight="1" x14ac:dyDescent="0.3">
      <c r="B67" s="719">
        <v>7</v>
      </c>
      <c r="C67" s="720" t="s">
        <v>910</v>
      </c>
      <c r="D67" s="1479" t="s">
        <v>911</v>
      </c>
      <c r="E67" s="1479"/>
      <c r="F67" s="1224"/>
      <c r="G67" s="1224"/>
      <c r="H67" s="548">
        <v>7.0000000000000007E-2</v>
      </c>
      <c r="I67" s="1238" t="s">
        <v>519</v>
      </c>
      <c r="J67" s="1462" t="s">
        <v>893</v>
      </c>
      <c r="K67" s="1462"/>
      <c r="L67" s="1462"/>
      <c r="M67" s="1462"/>
      <c r="N67" s="1462"/>
      <c r="O67" s="1462"/>
      <c r="P67" s="1462"/>
      <c r="Q67" s="1556"/>
      <c r="R67" s="488"/>
    </row>
    <row r="68" spans="2:18" ht="44.5" customHeight="1" x14ac:dyDescent="0.3">
      <c r="B68" s="719">
        <v>8</v>
      </c>
      <c r="C68" s="720" t="s">
        <v>912</v>
      </c>
      <c r="D68" s="1479" t="s">
        <v>913</v>
      </c>
      <c r="E68" s="1481"/>
      <c r="F68" s="1224"/>
      <c r="G68" s="1224"/>
      <c r="H68" s="548">
        <f>1.21*0.75</f>
        <v>0.90749999999999997</v>
      </c>
      <c r="I68" s="1238" t="s">
        <v>519</v>
      </c>
      <c r="J68" s="1462" t="s">
        <v>914</v>
      </c>
      <c r="K68" s="1462"/>
      <c r="L68" s="1462"/>
      <c r="M68" s="1462"/>
      <c r="N68" s="1462"/>
      <c r="O68" s="1462"/>
      <c r="P68" s="1462"/>
      <c r="Q68" s="1556"/>
      <c r="R68" s="488"/>
    </row>
    <row r="69" spans="2:18" ht="26.5" customHeight="1" x14ac:dyDescent="0.3">
      <c r="B69" s="719">
        <v>9</v>
      </c>
      <c r="C69" s="720" t="s">
        <v>915</v>
      </c>
      <c r="D69" s="1479" t="s">
        <v>916</v>
      </c>
      <c r="E69" s="1481"/>
      <c r="F69" s="1224"/>
      <c r="G69" s="1224"/>
      <c r="H69" s="548">
        <v>0.6</v>
      </c>
      <c r="I69" s="1238" t="s">
        <v>519</v>
      </c>
      <c r="J69" s="1462" t="s">
        <v>893</v>
      </c>
      <c r="K69" s="1462"/>
      <c r="L69" s="1462"/>
      <c r="M69" s="1462"/>
      <c r="N69" s="1462"/>
      <c r="O69" s="1462"/>
      <c r="P69" s="1462"/>
      <c r="Q69" s="1556"/>
      <c r="R69" s="488"/>
    </row>
    <row r="70" spans="2:18" ht="14.5" customHeight="1" x14ac:dyDescent="0.3">
      <c r="B70" s="719">
        <v>10</v>
      </c>
      <c r="C70" s="549" t="s">
        <v>917</v>
      </c>
      <c r="D70" s="1479" t="s">
        <v>916</v>
      </c>
      <c r="E70" s="1481"/>
      <c r="F70" s="1224"/>
      <c r="G70" s="1238"/>
      <c r="H70" s="548">
        <v>1.07</v>
      </c>
      <c r="I70" s="1238" t="s">
        <v>519</v>
      </c>
      <c r="J70" s="1462" t="s">
        <v>893</v>
      </c>
      <c r="K70" s="1462"/>
      <c r="L70" s="1462"/>
      <c r="M70" s="1462"/>
      <c r="N70" s="1462"/>
      <c r="O70" s="1462"/>
      <c r="P70" s="1462"/>
      <c r="Q70" s="1556"/>
      <c r="R70" s="488"/>
    </row>
    <row r="71" spans="2:18" s="491" customFormat="1" ht="13.15" customHeight="1" x14ac:dyDescent="0.3">
      <c r="B71" s="536">
        <v>11</v>
      </c>
      <c r="C71" s="546" t="s">
        <v>918</v>
      </c>
      <c r="D71" s="1539" t="s">
        <v>919</v>
      </c>
      <c r="E71" s="1539"/>
      <c r="F71" s="1217"/>
      <c r="G71" s="1217"/>
      <c r="H71" s="548">
        <f>SpaceCoolingShare.R.E</f>
        <v>0.13760414926305545</v>
      </c>
      <c r="I71" s="1238" t="s">
        <v>519</v>
      </c>
      <c r="J71" s="1468" t="s">
        <v>745</v>
      </c>
      <c r="K71" s="1478"/>
      <c r="L71" s="1478"/>
      <c r="M71" s="1478"/>
      <c r="N71" s="1478"/>
      <c r="O71" s="1478"/>
      <c r="P71" s="1478"/>
      <c r="Q71" s="1469"/>
    </row>
    <row r="72" spans="2:18" s="491" customFormat="1" ht="15" customHeight="1" x14ac:dyDescent="0.3">
      <c r="B72" s="536">
        <v>12</v>
      </c>
      <c r="C72" s="555" t="s">
        <v>799</v>
      </c>
      <c r="D72" s="1437" t="s">
        <v>920</v>
      </c>
      <c r="E72" s="1438"/>
      <c r="F72" s="1217"/>
      <c r="G72" s="557"/>
      <c r="H72" s="559" cm="1">
        <f t="array" ref="H72">_xlfn.SWITCH($C$29,"Natural gas",1,"Electricity",0,SpaceHeatingShare.R.E)</f>
        <v>1</v>
      </c>
      <c r="I72" s="1238" t="s">
        <v>519</v>
      </c>
      <c r="J72" s="1472" t="s">
        <v>921</v>
      </c>
      <c r="K72" s="1473"/>
      <c r="L72" s="1473"/>
      <c r="M72" s="1473"/>
      <c r="N72" s="1473"/>
      <c r="O72" s="1473"/>
      <c r="P72" s="1473"/>
      <c r="Q72" s="1474"/>
    </row>
    <row r="73" spans="2:18" s="491" customFormat="1" ht="15" customHeight="1" x14ac:dyDescent="0.3">
      <c r="B73" s="536">
        <v>13</v>
      </c>
      <c r="C73" s="546" t="s">
        <v>524</v>
      </c>
      <c r="D73" s="1468" t="s">
        <v>922</v>
      </c>
      <c r="E73" s="1468"/>
      <c r="F73" s="1217"/>
      <c r="G73" s="557" t="s">
        <v>923</v>
      </c>
      <c r="H73" s="559">
        <f>INDEX($B$97:$N$117,MATCH($G73,$C$97:$C$117,0),MATCH("Efficiency",$B$96:$N$96,0))</f>
        <v>1.28</v>
      </c>
      <c r="I73" s="1238" t="s">
        <v>519</v>
      </c>
      <c r="J73" s="1472" t="s">
        <v>924</v>
      </c>
      <c r="K73" s="1473"/>
      <c r="L73" s="1473"/>
      <c r="M73" s="1473"/>
      <c r="N73" s="1473"/>
      <c r="O73" s="1473"/>
      <c r="P73" s="1473"/>
      <c r="Q73" s="1474"/>
    </row>
    <row r="74" spans="2:18" s="489" customFormat="1" ht="13.15" customHeight="1" x14ac:dyDescent="0.3">
      <c r="B74" s="536">
        <v>14</v>
      </c>
      <c r="C74" s="555" t="s">
        <v>925</v>
      </c>
      <c r="D74" s="1437" t="s">
        <v>926</v>
      </c>
      <c r="E74" s="1438"/>
      <c r="F74" s="1217"/>
      <c r="G74" s="557"/>
      <c r="H74" s="559">
        <v>3.1399999999999997E-2</v>
      </c>
      <c r="I74" s="1238" t="s">
        <v>519</v>
      </c>
      <c r="J74" s="1472" t="s">
        <v>924</v>
      </c>
      <c r="K74" s="1473"/>
      <c r="L74" s="1473"/>
      <c r="M74" s="1473"/>
      <c r="N74" s="1473"/>
      <c r="O74" s="1473"/>
      <c r="P74" s="1473"/>
      <c r="Q74" s="1474"/>
    </row>
    <row r="75" spans="2:18" s="489" customFormat="1" ht="14.5" customHeight="1" x14ac:dyDescent="0.3">
      <c r="B75" s="536">
        <v>15</v>
      </c>
      <c r="C75" s="555" t="s">
        <v>927</v>
      </c>
      <c r="D75" s="1437" t="s">
        <v>928</v>
      </c>
      <c r="E75" s="1438"/>
      <c r="F75" s="1217"/>
      <c r="G75" s="557"/>
      <c r="H75" s="693">
        <f>SpaceCoolingEfficiency.R.SEER</f>
        <v>13</v>
      </c>
      <c r="I75" s="557" t="s">
        <v>929</v>
      </c>
      <c r="J75" s="1468" t="s">
        <v>930</v>
      </c>
      <c r="K75" s="1478"/>
      <c r="L75" s="1478"/>
      <c r="M75" s="1478"/>
      <c r="N75" s="1478"/>
      <c r="O75" s="1478"/>
      <c r="P75" s="1478"/>
      <c r="Q75" s="1469"/>
    </row>
    <row r="76" spans="2:18" ht="30" customHeight="1" x14ac:dyDescent="0.3">
      <c r="B76" s="533">
        <v>5</v>
      </c>
      <c r="C76" s="546" t="s">
        <v>517</v>
      </c>
      <c r="D76" s="1468" t="s">
        <v>931</v>
      </c>
      <c r="E76" s="1468"/>
      <c r="F76" s="1217"/>
      <c r="G76" s="1217"/>
      <c r="H76" s="548">
        <f>SpaceHeatingEfficiency.R.NG</f>
        <v>0.85</v>
      </c>
      <c r="I76" s="1238" t="s">
        <v>519</v>
      </c>
      <c r="J76" s="1468" t="s">
        <v>932</v>
      </c>
      <c r="K76" s="1478"/>
      <c r="L76" s="1478"/>
      <c r="M76" s="1478"/>
      <c r="N76" s="1478"/>
      <c r="O76" s="1478"/>
      <c r="P76" s="1478"/>
      <c r="Q76" s="1469"/>
      <c r="R76" s="488"/>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182"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182"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c r="R85" s="488"/>
    </row>
    <row r="86" spans="2:18" ht="13" x14ac:dyDescent="0.3">
      <c r="B86" s="533">
        <v>6</v>
      </c>
      <c r="C86" s="563" t="s">
        <v>933</v>
      </c>
      <c r="D86" s="722">
        <f>1/12</f>
        <v>8.3333333333333329E-2</v>
      </c>
      <c r="E86" s="1182" t="s">
        <v>934</v>
      </c>
      <c r="F86" s="1489"/>
      <c r="G86" s="1490"/>
      <c r="H86" s="1490"/>
      <c r="I86" s="1490"/>
      <c r="J86" s="1490"/>
      <c r="K86" s="1490"/>
      <c r="L86" s="1490"/>
      <c r="M86" s="1490"/>
      <c r="N86" s="1490"/>
      <c r="O86" s="1490"/>
      <c r="P86" s="1490"/>
      <c r="Q86" s="1491"/>
      <c r="R86" s="488"/>
    </row>
    <row r="87" spans="2:18" ht="13" x14ac:dyDescent="0.3">
      <c r="B87" s="533">
        <v>7</v>
      </c>
      <c r="C87" s="563"/>
      <c r="D87" s="1233"/>
      <c r="E87" s="1182"/>
      <c r="F87" s="1489"/>
      <c r="G87" s="1490"/>
      <c r="H87" s="1490"/>
      <c r="I87" s="1490"/>
      <c r="J87" s="1490"/>
      <c r="K87" s="1490"/>
      <c r="L87" s="1490"/>
      <c r="M87" s="1490"/>
      <c r="N87" s="1490"/>
      <c r="O87" s="1490"/>
      <c r="P87" s="1490"/>
      <c r="Q87" s="1491"/>
      <c r="R87" s="488"/>
    </row>
    <row r="88" spans="2:18" ht="13" x14ac:dyDescent="0.3">
      <c r="B88" s="533">
        <v>8</v>
      </c>
      <c r="C88" s="563"/>
      <c r="D88" s="564"/>
      <c r="E88" s="1182"/>
      <c r="F88" s="1489"/>
      <c r="G88" s="1490"/>
      <c r="H88" s="1490"/>
      <c r="I88" s="1490"/>
      <c r="J88" s="1490"/>
      <c r="K88" s="1490"/>
      <c r="L88" s="1490"/>
      <c r="M88" s="1490"/>
      <c r="N88" s="1490"/>
      <c r="O88" s="1490"/>
      <c r="P88" s="1490"/>
      <c r="Q88" s="1491"/>
      <c r="R88" s="488"/>
    </row>
    <row r="89" spans="2:18" ht="13" x14ac:dyDescent="0.3">
      <c r="B89" s="533">
        <v>9</v>
      </c>
      <c r="C89" s="563"/>
      <c r="D89" s="1233"/>
      <c r="E89" s="1182"/>
      <c r="F89" s="1489"/>
      <c r="G89" s="1490"/>
      <c r="H89" s="1490"/>
      <c r="I89" s="1490"/>
      <c r="J89" s="1490"/>
      <c r="K89" s="1490"/>
      <c r="L89" s="1490"/>
      <c r="M89" s="1490"/>
      <c r="N89" s="1490"/>
      <c r="O89" s="1490"/>
      <c r="P89" s="1490"/>
      <c r="Q89" s="1491"/>
      <c r="R89" s="488"/>
    </row>
    <row r="90" spans="2:18" ht="13" x14ac:dyDescent="0.3">
      <c r="B90" s="533">
        <v>10</v>
      </c>
      <c r="C90" s="563"/>
      <c r="D90" s="564"/>
      <c r="E90" s="1182"/>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t="s">
        <v>935</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08"/>
      <c r="Q95" s="1409"/>
      <c r="R95" s="488"/>
    </row>
    <row r="96" spans="2:18" ht="30" customHeight="1" x14ac:dyDescent="0.3">
      <c r="B96" s="1188" t="s">
        <v>478</v>
      </c>
      <c r="C96" s="1402" t="s">
        <v>505</v>
      </c>
      <c r="D96" s="1431"/>
      <c r="E96" s="565" t="s">
        <v>936</v>
      </c>
      <c r="F96" s="565"/>
      <c r="G96" s="565"/>
      <c r="H96" s="565"/>
      <c r="I96" s="565"/>
      <c r="J96" s="565"/>
      <c r="K96" s="565"/>
      <c r="L96" s="565"/>
      <c r="M96" s="565"/>
      <c r="N96" s="566"/>
      <c r="O96" s="1410"/>
      <c r="P96" s="1411"/>
      <c r="Q96" s="1412"/>
      <c r="R96" s="488"/>
    </row>
    <row r="97" spans="2:18" ht="13" x14ac:dyDescent="0.3">
      <c r="B97" s="533">
        <v>1</v>
      </c>
      <c r="C97" s="546" t="s">
        <v>937</v>
      </c>
      <c r="D97" s="1184"/>
      <c r="E97" s="746">
        <v>1.92</v>
      </c>
      <c r="F97" s="1190"/>
      <c r="G97" s="1190"/>
      <c r="H97" s="1190"/>
      <c r="I97" s="568"/>
      <c r="J97" s="568"/>
      <c r="K97" s="568"/>
      <c r="L97" s="568"/>
      <c r="M97" s="568"/>
      <c r="N97" s="568"/>
      <c r="O97" s="1513" t="s">
        <v>893</v>
      </c>
      <c r="P97" s="1513"/>
      <c r="Q97" s="1513"/>
      <c r="R97" s="488"/>
    </row>
    <row r="98" spans="2:18" ht="13" x14ac:dyDescent="0.3">
      <c r="B98" s="533">
        <v>2</v>
      </c>
      <c r="C98" s="546" t="s">
        <v>938</v>
      </c>
      <c r="D98" s="1184"/>
      <c r="E98" s="746">
        <v>1</v>
      </c>
      <c r="F98" s="1190"/>
      <c r="G98" s="1190"/>
      <c r="H98" s="1190"/>
      <c r="I98" s="568"/>
      <c r="J98" s="568"/>
      <c r="K98" s="568"/>
      <c r="L98" s="568"/>
      <c r="M98" s="568"/>
      <c r="N98" s="568"/>
      <c r="O98" s="1513" t="s">
        <v>893</v>
      </c>
      <c r="P98" s="1513"/>
      <c r="Q98" s="1513"/>
      <c r="R98" s="488"/>
    </row>
    <row r="99" spans="2:18" ht="13" x14ac:dyDescent="0.3">
      <c r="B99" s="533">
        <v>3</v>
      </c>
      <c r="C99" s="546" t="s">
        <v>923</v>
      </c>
      <c r="D99" s="1184"/>
      <c r="E99" s="746">
        <v>1.28</v>
      </c>
      <c r="F99" s="1190"/>
      <c r="G99" s="1190"/>
      <c r="H99" s="1190"/>
      <c r="I99" s="568"/>
      <c r="J99" s="568"/>
      <c r="K99" s="568"/>
      <c r="L99" s="568"/>
      <c r="M99" s="568"/>
      <c r="N99" s="568"/>
      <c r="O99" s="1513" t="s">
        <v>893</v>
      </c>
      <c r="P99" s="1513"/>
      <c r="Q99" s="1513"/>
      <c r="R99" s="488"/>
    </row>
    <row r="100" spans="2:18" ht="13" x14ac:dyDescent="0.3">
      <c r="B100" s="533">
        <v>4</v>
      </c>
      <c r="C100" s="546"/>
      <c r="D100" s="1184"/>
      <c r="E100" s="568"/>
      <c r="F100" s="1190"/>
      <c r="G100" s="1190"/>
      <c r="H100" s="1190"/>
      <c r="I100" s="568"/>
      <c r="J100" s="568"/>
      <c r="K100" s="568"/>
      <c r="L100" s="568"/>
      <c r="M100" s="568"/>
      <c r="N100" s="568"/>
      <c r="O100" s="1495"/>
      <c r="P100" s="1496"/>
      <c r="Q100" s="1497"/>
      <c r="R100" s="488"/>
    </row>
    <row r="101" spans="2:18" ht="13" x14ac:dyDescent="0.3">
      <c r="B101" s="533">
        <v>5</v>
      </c>
      <c r="C101" s="546"/>
      <c r="D101" s="1184"/>
      <c r="E101" s="568"/>
      <c r="F101" s="1190"/>
      <c r="G101" s="1190"/>
      <c r="H101" s="1190"/>
      <c r="I101" s="568"/>
      <c r="J101" s="568"/>
      <c r="K101" s="568"/>
      <c r="L101" s="568"/>
      <c r="M101" s="568"/>
      <c r="N101" s="568"/>
      <c r="O101" s="1495"/>
      <c r="P101" s="1496"/>
      <c r="Q101" s="1497"/>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row r="118" spans="2:18" ht="18.75" customHeight="1" x14ac:dyDescent="0.3">
      <c r="B118" s="702" t="s">
        <v>493</v>
      </c>
      <c r="E118" s="1662" t="s">
        <v>494</v>
      </c>
      <c r="F118" s="1663"/>
      <c r="G118" s="1663"/>
      <c r="H118" s="1663"/>
      <c r="I118" s="1663"/>
      <c r="J118" s="1663"/>
      <c r="K118" s="1663"/>
      <c r="L118" s="1663"/>
      <c r="M118" s="1663"/>
      <c r="N118" s="1663"/>
      <c r="O118" s="1664" t="s">
        <v>476</v>
      </c>
      <c r="P118" s="1665"/>
      <c r="Q118" s="1666"/>
    </row>
    <row r="119" spans="2:18" ht="18.75" customHeight="1" x14ac:dyDescent="0.3">
      <c r="B119" s="1214"/>
      <c r="C119" s="1215"/>
      <c r="D119" s="1216"/>
      <c r="E119" s="703" t="s">
        <v>495</v>
      </c>
      <c r="F119" s="703" t="s">
        <v>496</v>
      </c>
      <c r="G119" s="703" t="s">
        <v>497</v>
      </c>
      <c r="H119" s="703" t="s">
        <v>498</v>
      </c>
      <c r="I119" s="703" t="s">
        <v>499</v>
      </c>
      <c r="J119" s="703" t="s">
        <v>500</v>
      </c>
      <c r="K119" s="703" t="s">
        <v>501</v>
      </c>
      <c r="L119" s="703" t="s">
        <v>502</v>
      </c>
      <c r="M119" s="703" t="s">
        <v>503</v>
      </c>
      <c r="N119" s="1213" t="s">
        <v>504</v>
      </c>
      <c r="O119" s="1667"/>
      <c r="P119" s="1702"/>
      <c r="Q119" s="1669"/>
    </row>
    <row r="120" spans="2:18" ht="18.649999999999999" customHeight="1" x14ac:dyDescent="0.3">
      <c r="B120" s="704" t="s">
        <v>478</v>
      </c>
      <c r="C120" s="1662" t="s">
        <v>505</v>
      </c>
      <c r="D120" s="1676"/>
      <c r="E120" s="525"/>
      <c r="F120" s="525"/>
      <c r="G120" s="525"/>
      <c r="H120" s="525"/>
      <c r="I120" s="525"/>
      <c r="J120" s="525"/>
      <c r="K120" s="525"/>
      <c r="L120" s="525"/>
      <c r="M120" s="525"/>
      <c r="N120" s="1214"/>
      <c r="O120" s="1670"/>
      <c r="P120" s="1671"/>
      <c r="Q120" s="1672"/>
    </row>
    <row r="121" spans="2:18" ht="33.65" customHeight="1" x14ac:dyDescent="0.3">
      <c r="B121" s="1240">
        <v>1</v>
      </c>
      <c r="C121" s="515"/>
      <c r="D121" s="600"/>
      <c r="E121" s="527"/>
      <c r="F121" s="1239"/>
      <c r="G121" s="1239"/>
      <c r="H121" s="1239"/>
      <c r="I121" s="527"/>
      <c r="J121" s="527"/>
      <c r="K121" s="527"/>
      <c r="L121" s="527"/>
      <c r="M121" s="527"/>
      <c r="N121" s="527"/>
      <c r="O121" s="1432"/>
      <c r="P121" s="1433"/>
      <c r="Q121" s="1434"/>
    </row>
    <row r="122" spans="2:18" ht="36.65" customHeight="1" x14ac:dyDescent="0.3">
      <c r="B122" s="1240">
        <v>2</v>
      </c>
      <c r="C122" s="515"/>
      <c r="D122" s="600"/>
      <c r="E122" s="527"/>
      <c r="F122" s="1239"/>
      <c r="G122" s="1239"/>
      <c r="H122" s="1239"/>
      <c r="I122" s="527"/>
      <c r="J122" s="527"/>
      <c r="K122" s="527"/>
      <c r="L122" s="527"/>
      <c r="M122" s="527"/>
      <c r="N122" s="527"/>
      <c r="O122" s="1422"/>
      <c r="P122" s="1423"/>
      <c r="Q122" s="1424"/>
    </row>
    <row r="123" spans="2:18" ht="18.75" customHeight="1" x14ac:dyDescent="0.3">
      <c r="B123" s="1240">
        <v>3</v>
      </c>
      <c r="C123" s="515"/>
      <c r="D123" s="600"/>
      <c r="E123" s="527"/>
      <c r="F123" s="1239"/>
      <c r="G123" s="1239"/>
      <c r="H123" s="1239"/>
      <c r="I123" s="527"/>
      <c r="J123" s="527"/>
      <c r="K123" s="527"/>
      <c r="L123" s="527"/>
      <c r="M123" s="527"/>
      <c r="N123" s="527"/>
      <c r="O123" s="1422"/>
      <c r="P123" s="1423"/>
      <c r="Q123" s="1424"/>
    </row>
    <row r="124" spans="2:18" ht="18.75" customHeight="1" x14ac:dyDescent="0.3">
      <c r="B124" s="1240">
        <v>4</v>
      </c>
      <c r="C124" s="515"/>
      <c r="D124" s="600"/>
      <c r="E124" s="527"/>
      <c r="F124" s="1239"/>
      <c r="G124" s="1239"/>
      <c r="H124" s="1239"/>
      <c r="I124" s="527"/>
      <c r="J124" s="527"/>
      <c r="K124" s="527"/>
      <c r="L124" s="527"/>
      <c r="M124" s="527"/>
      <c r="N124" s="527"/>
      <c r="O124" s="1422"/>
      <c r="P124" s="1423"/>
      <c r="Q124" s="1424"/>
    </row>
    <row r="125" spans="2:18" ht="18.75" customHeight="1" x14ac:dyDescent="0.3">
      <c r="B125" s="1240">
        <v>5</v>
      </c>
      <c r="C125" s="515"/>
      <c r="D125" s="600"/>
      <c r="E125" s="527"/>
      <c r="F125" s="1239"/>
      <c r="G125" s="1239"/>
      <c r="H125" s="1239"/>
      <c r="I125" s="527"/>
      <c r="J125" s="527"/>
      <c r="K125" s="527"/>
      <c r="L125" s="527"/>
      <c r="M125" s="527"/>
      <c r="N125" s="527"/>
      <c r="O125" s="1422"/>
      <c r="P125" s="1423"/>
      <c r="Q125" s="1424"/>
    </row>
    <row r="126" spans="2:18" ht="18.75" customHeight="1" x14ac:dyDescent="0.3">
      <c r="B126" s="1240">
        <v>6</v>
      </c>
      <c r="C126" s="515"/>
      <c r="D126" s="1189"/>
      <c r="E126" s="1239"/>
      <c r="F126" s="619"/>
      <c r="G126" s="1239"/>
      <c r="H126" s="1239"/>
      <c r="I126" s="528"/>
      <c r="J126" s="528"/>
      <c r="K126" s="528"/>
      <c r="L126" s="528"/>
      <c r="M126" s="528"/>
      <c r="N126" s="528"/>
      <c r="O126" s="1425"/>
      <c r="P126" s="1426"/>
      <c r="Q126" s="1427"/>
    </row>
    <row r="127" spans="2:18" ht="18.75" customHeight="1" x14ac:dyDescent="0.3">
      <c r="B127" s="1240">
        <v>7</v>
      </c>
      <c r="C127" s="515"/>
      <c r="D127" s="1189"/>
      <c r="E127" s="1239"/>
      <c r="F127" s="528"/>
      <c r="G127" s="528"/>
      <c r="H127" s="1239"/>
      <c r="I127" s="528"/>
      <c r="J127" s="528"/>
      <c r="K127" s="528"/>
      <c r="L127" s="528"/>
      <c r="M127" s="528"/>
      <c r="N127" s="528"/>
      <c r="O127" s="1425"/>
      <c r="P127" s="1426"/>
      <c r="Q127" s="1427"/>
    </row>
    <row r="128" spans="2:18" ht="18.75" customHeight="1" x14ac:dyDescent="0.3">
      <c r="B128" s="1240">
        <v>8</v>
      </c>
      <c r="C128" s="515"/>
      <c r="D128" s="1189"/>
      <c r="E128" s="1239"/>
      <c r="F128" s="528"/>
      <c r="G128" s="528"/>
      <c r="H128" s="528"/>
      <c r="I128" s="528"/>
      <c r="J128" s="528"/>
      <c r="K128" s="528"/>
      <c r="L128" s="528"/>
      <c r="M128" s="528"/>
      <c r="N128" s="528"/>
      <c r="O128" s="1425"/>
      <c r="P128" s="1426"/>
      <c r="Q128" s="1427"/>
    </row>
    <row r="129" spans="2:17" ht="18.75" customHeight="1" x14ac:dyDescent="0.3">
      <c r="B129" s="1240">
        <v>9</v>
      </c>
      <c r="C129" s="515"/>
      <c r="D129" s="1189"/>
      <c r="E129" s="1239"/>
      <c r="F129" s="1240"/>
      <c r="G129" s="1240"/>
      <c r="H129" s="1240"/>
      <c r="I129" s="528"/>
      <c r="J129" s="528"/>
      <c r="K129" s="528"/>
      <c r="L129" s="528"/>
      <c r="M129" s="528"/>
      <c r="N129" s="528"/>
      <c r="O129" s="1425"/>
      <c r="P129" s="1426"/>
      <c r="Q129" s="1427"/>
    </row>
    <row r="130" spans="2:17" ht="18.75" customHeight="1" x14ac:dyDescent="0.3">
      <c r="B130" s="1240">
        <v>10</v>
      </c>
      <c r="C130" s="515"/>
      <c r="D130" s="1189"/>
      <c r="E130" s="1240"/>
      <c r="F130" s="1240"/>
      <c r="G130" s="1240"/>
      <c r="H130" s="1240"/>
      <c r="I130" s="528"/>
      <c r="J130" s="528"/>
      <c r="K130" s="528"/>
      <c r="L130" s="528"/>
      <c r="M130" s="528"/>
      <c r="N130" s="528"/>
      <c r="O130" s="1425"/>
      <c r="P130" s="1426"/>
      <c r="Q130" s="1427"/>
    </row>
    <row r="131" spans="2:17" ht="18.75" customHeight="1" x14ac:dyDescent="0.3">
      <c r="B131" s="1240">
        <v>11</v>
      </c>
      <c r="C131" s="515"/>
      <c r="D131" s="1189"/>
      <c r="E131" s="529"/>
      <c r="F131" s="1239"/>
      <c r="G131" s="529"/>
      <c r="H131" s="529"/>
      <c r="I131" s="528"/>
      <c r="J131" s="528"/>
      <c r="K131" s="528"/>
      <c r="L131" s="528"/>
      <c r="M131" s="528"/>
      <c r="N131" s="528"/>
      <c r="O131" s="1425"/>
      <c r="P131" s="1426"/>
      <c r="Q131" s="1427"/>
    </row>
    <row r="132" spans="2:17" ht="18.75" customHeight="1" x14ac:dyDescent="0.3">
      <c r="B132" s="1240">
        <v>12</v>
      </c>
      <c r="C132" s="515"/>
      <c r="D132" s="1189"/>
      <c r="E132" s="1240"/>
      <c r="F132" s="1239"/>
      <c r="G132" s="1240"/>
      <c r="H132" s="1240"/>
      <c r="I132" s="528"/>
      <c r="J132" s="528"/>
      <c r="K132" s="528"/>
      <c r="L132" s="528"/>
      <c r="M132" s="528"/>
      <c r="N132" s="528"/>
      <c r="O132" s="1425"/>
      <c r="P132" s="1426"/>
      <c r="Q132" s="1427"/>
    </row>
    <row r="133" spans="2:17" ht="18.75" customHeight="1" x14ac:dyDescent="0.3">
      <c r="B133" s="1240">
        <v>13</v>
      </c>
      <c r="C133" s="515"/>
      <c r="D133" s="1189"/>
      <c r="E133" s="1240"/>
      <c r="F133" s="1240"/>
      <c r="G133" s="1240"/>
      <c r="H133" s="1240"/>
      <c r="I133" s="528"/>
      <c r="J133" s="528"/>
      <c r="K133" s="528"/>
      <c r="L133" s="528"/>
      <c r="M133" s="528"/>
      <c r="N133" s="528"/>
      <c r="O133" s="1425"/>
      <c r="P133" s="1426"/>
      <c r="Q133" s="1427"/>
    </row>
    <row r="134" spans="2:17" ht="18.75" customHeight="1" x14ac:dyDescent="0.3">
      <c r="B134" s="1240">
        <v>14</v>
      </c>
      <c r="C134" s="515"/>
      <c r="D134" s="1189"/>
      <c r="E134" s="530"/>
      <c r="F134" s="530"/>
      <c r="G134" s="530"/>
      <c r="H134" s="530"/>
      <c r="I134" s="528"/>
      <c r="J134" s="528"/>
      <c r="K134" s="528"/>
      <c r="L134" s="528"/>
      <c r="M134" s="528"/>
      <c r="N134" s="528"/>
      <c r="O134" s="1425"/>
      <c r="P134" s="1426"/>
      <c r="Q134" s="1427"/>
    </row>
    <row r="135" spans="2:17" ht="18.75" customHeight="1" x14ac:dyDescent="0.3">
      <c r="B135" s="1240">
        <v>15</v>
      </c>
      <c r="C135" s="515"/>
      <c r="D135" s="1189"/>
      <c r="E135" s="530"/>
      <c r="F135" s="530"/>
      <c r="G135" s="530"/>
      <c r="H135" s="530"/>
      <c r="I135" s="528"/>
      <c r="J135" s="528"/>
      <c r="K135" s="528"/>
      <c r="L135" s="528"/>
      <c r="M135" s="528"/>
      <c r="N135" s="528"/>
      <c r="O135" s="1425"/>
      <c r="P135" s="1426"/>
      <c r="Q135" s="1427"/>
    </row>
    <row r="136" spans="2:17" ht="18.75" customHeight="1" x14ac:dyDescent="0.3">
      <c r="B136" s="1240">
        <v>16</v>
      </c>
      <c r="C136" s="515"/>
      <c r="D136" s="1189"/>
      <c r="E136" s="530"/>
      <c r="F136" s="530"/>
      <c r="G136" s="530"/>
      <c r="H136" s="530"/>
      <c r="I136" s="528"/>
      <c r="J136" s="528"/>
      <c r="K136" s="528"/>
      <c r="L136" s="528"/>
      <c r="M136" s="528"/>
      <c r="N136" s="528"/>
      <c r="O136" s="1425"/>
      <c r="P136" s="1426"/>
      <c r="Q136" s="1427"/>
    </row>
    <row r="137" spans="2:17" ht="18.75" customHeight="1" x14ac:dyDescent="0.3">
      <c r="B137" s="1240">
        <v>17</v>
      </c>
      <c r="C137" s="515"/>
      <c r="D137" s="1189"/>
      <c r="E137" s="530"/>
      <c r="F137" s="530"/>
      <c r="G137" s="530"/>
      <c r="H137" s="530"/>
      <c r="I137" s="528"/>
      <c r="J137" s="528"/>
      <c r="K137" s="528"/>
      <c r="L137" s="528"/>
      <c r="M137" s="528"/>
      <c r="N137" s="528"/>
      <c r="O137" s="1425"/>
      <c r="P137" s="1426"/>
      <c r="Q137" s="1427"/>
    </row>
    <row r="138" spans="2:17" ht="18.75" customHeight="1" x14ac:dyDescent="0.3">
      <c r="B138" s="1240">
        <v>18</v>
      </c>
      <c r="C138" s="515"/>
      <c r="D138" s="1189"/>
      <c r="E138" s="530"/>
      <c r="F138" s="530"/>
      <c r="G138" s="530"/>
      <c r="H138" s="530"/>
      <c r="I138" s="528"/>
      <c r="J138" s="528"/>
      <c r="K138" s="528"/>
      <c r="L138" s="528"/>
      <c r="M138" s="528"/>
      <c r="N138" s="528"/>
      <c r="O138" s="1425"/>
      <c r="P138" s="1426"/>
      <c r="Q138" s="1427"/>
    </row>
    <row r="139" spans="2:17" ht="18.75" customHeight="1" x14ac:dyDescent="0.3">
      <c r="B139" s="1240">
        <v>19</v>
      </c>
      <c r="C139" s="515"/>
      <c r="D139" s="1189"/>
      <c r="E139" s="530"/>
      <c r="F139" s="530"/>
      <c r="G139" s="530"/>
      <c r="H139" s="530"/>
      <c r="I139" s="528"/>
      <c r="J139" s="528"/>
      <c r="K139" s="528"/>
      <c r="L139" s="528"/>
      <c r="M139" s="528"/>
      <c r="N139" s="528"/>
      <c r="O139" s="1425"/>
      <c r="P139" s="1426"/>
      <c r="Q139" s="1427"/>
    </row>
    <row r="140" spans="2:17" ht="18.75" customHeight="1" x14ac:dyDescent="0.3">
      <c r="B140" s="1240">
        <v>20</v>
      </c>
      <c r="C140" s="515"/>
      <c r="D140" s="1189"/>
      <c r="E140" s="530"/>
      <c r="F140" s="530"/>
      <c r="G140" s="530"/>
      <c r="H140" s="530"/>
      <c r="I140" s="528"/>
      <c r="J140" s="528"/>
      <c r="K140" s="528"/>
      <c r="L140" s="528"/>
      <c r="M140" s="528"/>
      <c r="N140" s="528"/>
      <c r="O140" s="1425"/>
      <c r="P140" s="1426"/>
      <c r="Q140" s="1427"/>
    </row>
  </sheetData>
  <sheetProtection algorithmName="SHA-512" hashValue="vkPhS2SGuiCqkb34kO9vcwBavNyAW3hHbJEtGr3XZMRASnx8wtHX+2OBeeB0zGZ8M7yoXWNPaLiJeBjTDI03yg==" saltValue="vj1m5r48fcAWFn33ZbK7jQ==" spinCount="100000" sheet="1" objects="1" scenarios="1" selectLockedCells="1" selectUnlockedCells="1"/>
  <dataConsolidate/>
  <mergeCells count="144">
    <mergeCell ref="O137:Q137"/>
    <mergeCell ref="O138:Q138"/>
    <mergeCell ref="O139:Q139"/>
    <mergeCell ref="O140:Q140"/>
    <mergeCell ref="O131:Q131"/>
    <mergeCell ref="O132:Q132"/>
    <mergeCell ref="O133:Q133"/>
    <mergeCell ref="O134:Q134"/>
    <mergeCell ref="O135:Q135"/>
    <mergeCell ref="O136:Q136"/>
    <mergeCell ref="O125:Q125"/>
    <mergeCell ref="O126:Q126"/>
    <mergeCell ref="O127:Q127"/>
    <mergeCell ref="O128:Q128"/>
    <mergeCell ref="O129:Q129"/>
    <mergeCell ref="O130:Q130"/>
    <mergeCell ref="C120:D120"/>
    <mergeCell ref="O121:Q121"/>
    <mergeCell ref="O122:Q122"/>
    <mergeCell ref="O123:Q123"/>
    <mergeCell ref="O124:Q124"/>
    <mergeCell ref="O113:Q113"/>
    <mergeCell ref="O114:Q114"/>
    <mergeCell ref="O115:Q115"/>
    <mergeCell ref="O116:Q116"/>
    <mergeCell ref="E118:N118"/>
    <mergeCell ref="O118:Q120"/>
    <mergeCell ref="O107:Q107"/>
    <mergeCell ref="O108:Q108"/>
    <mergeCell ref="O109:Q109"/>
    <mergeCell ref="O110:Q110"/>
    <mergeCell ref="O111:Q111"/>
    <mergeCell ref="O112:Q112"/>
    <mergeCell ref="O101:Q101"/>
    <mergeCell ref="O102:Q102"/>
    <mergeCell ref="O103:Q103"/>
    <mergeCell ref="O104:Q104"/>
    <mergeCell ref="O105:Q105"/>
    <mergeCell ref="O106:Q106"/>
    <mergeCell ref="C96:D96"/>
    <mergeCell ref="O97:Q97"/>
    <mergeCell ref="O98:Q98"/>
    <mergeCell ref="O99:Q99"/>
    <mergeCell ref="O100:Q100"/>
    <mergeCell ref="F86:Q86"/>
    <mergeCell ref="F87:Q87"/>
    <mergeCell ref="F88:Q88"/>
    <mergeCell ref="F89:Q89"/>
    <mergeCell ref="F90:Q90"/>
    <mergeCell ref="E94:N94"/>
    <mergeCell ref="O94:Q96"/>
    <mergeCell ref="F80:Q80"/>
    <mergeCell ref="F81:Q81"/>
    <mergeCell ref="F82:Q82"/>
    <mergeCell ref="F83:Q83"/>
    <mergeCell ref="F84:Q84"/>
    <mergeCell ref="F85:Q85"/>
    <mergeCell ref="D69:E69"/>
    <mergeCell ref="J69:Q69"/>
    <mergeCell ref="D67:E67"/>
    <mergeCell ref="J67:Q67"/>
    <mergeCell ref="D65:E65"/>
    <mergeCell ref="J65:Q65"/>
    <mergeCell ref="J63:Q63"/>
    <mergeCell ref="D76:E76"/>
    <mergeCell ref="J76:Q76"/>
    <mergeCell ref="D68:E68"/>
    <mergeCell ref="J68:Q68"/>
    <mergeCell ref="D73:E73"/>
    <mergeCell ref="J73:Q73"/>
    <mergeCell ref="D74:E74"/>
    <mergeCell ref="J74:Q74"/>
    <mergeCell ref="D75:E75"/>
    <mergeCell ref="J75:Q75"/>
    <mergeCell ref="D70:E70"/>
    <mergeCell ref="J70:Q70"/>
    <mergeCell ref="D71:E71"/>
    <mergeCell ref="J71:Q71"/>
    <mergeCell ref="D72:E72"/>
    <mergeCell ref="J72:Q72"/>
    <mergeCell ref="J62:Q62"/>
    <mergeCell ref="D64:E64"/>
    <mergeCell ref="J64:Q64"/>
    <mergeCell ref="D66:E66"/>
    <mergeCell ref="J66:Q66"/>
    <mergeCell ref="C56:M56"/>
    <mergeCell ref="P56:Q56"/>
    <mergeCell ref="C57:M57"/>
    <mergeCell ref="P57:Q57"/>
    <mergeCell ref="D61:E61"/>
    <mergeCell ref="J61:Q61"/>
    <mergeCell ref="D62:E62"/>
    <mergeCell ref="D63:E63"/>
    <mergeCell ref="C53:M53"/>
    <mergeCell ref="P53:Q53"/>
    <mergeCell ref="C54:M54"/>
    <mergeCell ref="P54:Q54"/>
    <mergeCell ref="C55:M55"/>
    <mergeCell ref="P55:Q55"/>
    <mergeCell ref="C49:M49"/>
    <mergeCell ref="P49:Q49"/>
    <mergeCell ref="C50:M50"/>
    <mergeCell ref="P50:Q50"/>
    <mergeCell ref="C51:M51"/>
    <mergeCell ref="P51:Q51"/>
    <mergeCell ref="E33:Q33"/>
    <mergeCell ref="D29:Q29"/>
    <mergeCell ref="D30:Q30"/>
    <mergeCell ref="C45:M45"/>
    <mergeCell ref="P45:Q45"/>
    <mergeCell ref="C47:M47"/>
    <mergeCell ref="P47:Q47"/>
    <mergeCell ref="C48:M48"/>
    <mergeCell ref="P48:Q48"/>
    <mergeCell ref="C42:M42"/>
    <mergeCell ref="P42:Q42"/>
    <mergeCell ref="C43:M43"/>
    <mergeCell ref="P43:Q43"/>
    <mergeCell ref="C44:M44"/>
    <mergeCell ref="P44:Q44"/>
    <mergeCell ref="B95:D95"/>
    <mergeCell ref="D17:F17"/>
    <mergeCell ref="D18:F18"/>
    <mergeCell ref="B20:Q20"/>
    <mergeCell ref="C21:Q21"/>
    <mergeCell ref="C22:Q22"/>
    <mergeCell ref="C23:Q23"/>
    <mergeCell ref="C2:F2"/>
    <mergeCell ref="C3:F3"/>
    <mergeCell ref="C4:F4"/>
    <mergeCell ref="C5:F5"/>
    <mergeCell ref="D7:F7"/>
    <mergeCell ref="D8:F16"/>
    <mergeCell ref="E34:Q34"/>
    <mergeCell ref="E35:Q35"/>
    <mergeCell ref="E36:Q36"/>
    <mergeCell ref="E37:Q37"/>
    <mergeCell ref="C41:M41"/>
    <mergeCell ref="P41:Q41"/>
    <mergeCell ref="D25:Q25"/>
    <mergeCell ref="D26:Q26"/>
    <mergeCell ref="D27:Q27"/>
    <mergeCell ref="D28:Q28"/>
    <mergeCell ref="E32:Q32"/>
  </mergeCells>
  <conditionalFormatting sqref="H66">
    <cfRule type="expression" dxfId="3724" priority="75">
      <formula>IF(OR(#REF!="L",#REF!="C"),TRUE,FALSE)</formula>
    </cfRule>
  </conditionalFormatting>
  <conditionalFormatting sqref="F109:F116 G102:G116 H104:H116">
    <cfRule type="expression" dxfId="3723" priority="73">
      <formula>IF(OR(#REF!="L",#REF!="C"),TRUE,FALSE)</formula>
    </cfRule>
  </conditionalFormatting>
  <conditionalFormatting sqref="E110:E116">
    <cfRule type="expression" dxfId="3722" priority="72">
      <formula>IF(OR(#REF!="L",#REF!="C"),TRUE,FALSE)</formula>
    </cfRule>
  </conditionalFormatting>
  <conditionalFormatting sqref="E107">
    <cfRule type="expression" dxfId="3721" priority="71">
      <formula>IF(OR(#REF!="L",#REF!="C"),TRUE,FALSE)</formula>
    </cfRule>
  </conditionalFormatting>
  <conditionalFormatting sqref="E108">
    <cfRule type="expression" dxfId="3720" priority="70">
      <formula>IF(OR(#REF!="L",#REF!="C"),TRUE,FALSE)</formula>
    </cfRule>
  </conditionalFormatting>
  <conditionalFormatting sqref="E109">
    <cfRule type="expression" dxfId="3719" priority="69">
      <formula>IF(OR(#REF!="L",#REF!="C"),TRUE,FALSE)</formula>
    </cfRule>
  </conditionalFormatting>
  <conditionalFormatting sqref="E106">
    <cfRule type="expression" dxfId="3718" priority="68">
      <formula>IF(OR(#REF!="L",#REF!="C"),TRUE,FALSE)</formula>
    </cfRule>
  </conditionalFormatting>
  <conditionalFormatting sqref="E95 G95 I95 K95 M95">
    <cfRule type="duplicateValues" dxfId="3717" priority="67"/>
  </conditionalFormatting>
  <conditionalFormatting sqref="M104:M116">
    <cfRule type="expression" dxfId="3716" priority="57">
      <formula>IF(OR(#REF!="L",#REF!="C"),TRUE,FALSE)</formula>
    </cfRule>
  </conditionalFormatting>
  <conditionalFormatting sqref="F102:F106">
    <cfRule type="expression" dxfId="3715" priority="66">
      <formula>IF(OR(#REF!="L",#REF!="C"),TRUE,FALSE)</formula>
    </cfRule>
  </conditionalFormatting>
  <conditionalFormatting sqref="I102:I103">
    <cfRule type="expression" dxfId="3714" priority="64">
      <formula>IF(OR(#REF!="L",#REF!="C"),TRUE,FALSE)</formula>
    </cfRule>
  </conditionalFormatting>
  <conditionalFormatting sqref="N102:N103">
    <cfRule type="expression" dxfId="3713" priority="54">
      <formula>IF(OR(#REF!="L",#REF!="C"),TRUE,FALSE)</formula>
    </cfRule>
  </conditionalFormatting>
  <conditionalFormatting sqref="I104:I116">
    <cfRule type="expression" dxfId="3712" priority="65">
      <formula>IF(OR(#REF!="L",#REF!="C"),TRUE,FALSE)</formula>
    </cfRule>
  </conditionalFormatting>
  <conditionalFormatting sqref="J102:J103">
    <cfRule type="expression" dxfId="3711" priority="62">
      <formula>IF(OR(#REF!="L",#REF!="C"),TRUE,FALSE)</formula>
    </cfRule>
  </conditionalFormatting>
  <conditionalFormatting sqref="J104:J116">
    <cfRule type="expression" dxfId="3710" priority="63">
      <formula>IF(OR(#REF!="L",#REF!="C"),TRUE,FALSE)</formula>
    </cfRule>
  </conditionalFormatting>
  <conditionalFormatting sqref="K102:K103">
    <cfRule type="expression" dxfId="3709" priority="60">
      <formula>IF(OR(#REF!="L",#REF!="C"),TRUE,FALSE)</formula>
    </cfRule>
  </conditionalFormatting>
  <conditionalFormatting sqref="K104:K116">
    <cfRule type="expression" dxfId="3708" priority="61">
      <formula>IF(OR(#REF!="L",#REF!="C"),TRUE,FALSE)</formula>
    </cfRule>
  </conditionalFormatting>
  <conditionalFormatting sqref="L102:L103">
    <cfRule type="expression" dxfId="3707" priority="58">
      <formula>IF(OR(#REF!="L",#REF!="C"),TRUE,FALSE)</formula>
    </cfRule>
  </conditionalFormatting>
  <conditionalFormatting sqref="L104:L116">
    <cfRule type="expression" dxfId="3706" priority="59">
      <formula>IF(OR(#REF!="L",#REF!="C"),TRUE,FALSE)</formula>
    </cfRule>
  </conditionalFormatting>
  <conditionalFormatting sqref="M102:M103">
    <cfRule type="expression" dxfId="3705" priority="56">
      <formula>IF(OR(#REF!="L",#REF!="C"),TRUE,FALSE)</formula>
    </cfRule>
  </conditionalFormatting>
  <conditionalFormatting sqref="N104:N116">
    <cfRule type="expression" dxfId="3704" priority="55">
      <formula>IF(OR(#REF!="L",#REF!="C"),TRUE,FALSE)</formula>
    </cfRule>
  </conditionalFormatting>
  <conditionalFormatting sqref="O102:O103">
    <cfRule type="expression" dxfId="3703" priority="51">
      <formula>IF(OR(#REF!="L",#REF!="C"),TRUE,FALSE)</formula>
    </cfRule>
  </conditionalFormatting>
  <conditionalFormatting sqref="O104:O116">
    <cfRule type="expression" dxfId="3702" priority="52">
      <formula>IF(OR(#REF!="L",#REF!="C"),TRUE,FALSE)</formula>
    </cfRule>
  </conditionalFormatting>
  <conditionalFormatting sqref="E96:N96">
    <cfRule type="duplicateValues" dxfId="3701" priority="50"/>
  </conditionalFormatting>
  <conditionalFormatting sqref="H67">
    <cfRule type="expression" dxfId="3700" priority="44">
      <formula>IF(OR(#REF!="L",#REF!="C"),TRUE,FALSE)</formula>
    </cfRule>
  </conditionalFormatting>
  <conditionalFormatting sqref="H76">
    <cfRule type="expression" dxfId="3699" priority="42">
      <formula>IF(OR(#REF!="L",#REF!="C"),TRUE,FALSE)</formula>
    </cfRule>
  </conditionalFormatting>
  <conditionalFormatting sqref="E131">
    <cfRule type="expression" dxfId="3698" priority="37">
      <formula>IF(OR(#REF!="L",#REF!="C"),TRUE,FALSE)</formula>
    </cfRule>
  </conditionalFormatting>
  <conditionalFormatting sqref="F133:F140 G126:G140 H128:H140">
    <cfRule type="expression" dxfId="3697" priority="39">
      <formula>IF(OR(#REF!="L",#REF!="C"),TRUE,FALSE)</formula>
    </cfRule>
  </conditionalFormatting>
  <conditionalFormatting sqref="E134:E140">
    <cfRule type="expression" dxfId="3696" priority="38">
      <formula>IF(OR(#REF!="L",#REF!="C"),TRUE,FALSE)</formula>
    </cfRule>
  </conditionalFormatting>
  <conditionalFormatting sqref="E132">
    <cfRule type="expression" dxfId="3695" priority="36">
      <formula>IF(OR(#REF!="L",#REF!="C"),TRUE,FALSE)</formula>
    </cfRule>
  </conditionalFormatting>
  <conditionalFormatting sqref="E133">
    <cfRule type="expression" dxfId="3694" priority="35">
      <formula>IF(OR(#REF!="L",#REF!="C"),TRUE,FALSE)</formula>
    </cfRule>
  </conditionalFormatting>
  <conditionalFormatting sqref="E130">
    <cfRule type="expression" dxfId="3693" priority="34">
      <formula>IF(OR(#REF!="L",#REF!="C"),TRUE,FALSE)</formula>
    </cfRule>
  </conditionalFormatting>
  <conditionalFormatting sqref="E119 G119 I119 K119 M119">
    <cfRule type="duplicateValues" dxfId="3692" priority="33"/>
  </conditionalFormatting>
  <conditionalFormatting sqref="M128:M140">
    <cfRule type="expression" dxfId="3691" priority="23">
      <formula>IF(OR(#REF!="L",#REF!="C"),TRUE,FALSE)</formula>
    </cfRule>
  </conditionalFormatting>
  <conditionalFormatting sqref="F126:F130">
    <cfRule type="expression" dxfId="3690" priority="32">
      <formula>IF(OR(#REF!="L",#REF!="C"),TRUE,FALSE)</formula>
    </cfRule>
  </conditionalFormatting>
  <conditionalFormatting sqref="I126:I127">
    <cfRule type="expression" dxfId="3689" priority="30">
      <formula>IF(OR(#REF!="L",#REF!="C"),TRUE,FALSE)</formula>
    </cfRule>
  </conditionalFormatting>
  <conditionalFormatting sqref="N126:N127">
    <cfRule type="expression" dxfId="3688" priority="20">
      <formula>IF(OR(#REF!="L",#REF!="C"),TRUE,FALSE)</formula>
    </cfRule>
  </conditionalFormatting>
  <conditionalFormatting sqref="I128:I140">
    <cfRule type="expression" dxfId="3687" priority="31">
      <formula>IF(OR(#REF!="L",#REF!="C"),TRUE,FALSE)</formula>
    </cfRule>
  </conditionalFormatting>
  <conditionalFormatting sqref="J126:J127">
    <cfRule type="expression" dxfId="3686" priority="28">
      <formula>IF(OR(#REF!="L",#REF!="C"),TRUE,FALSE)</formula>
    </cfRule>
  </conditionalFormatting>
  <conditionalFormatting sqref="J128:J140">
    <cfRule type="expression" dxfId="3685" priority="29">
      <formula>IF(OR(#REF!="L",#REF!="C"),TRUE,FALSE)</formula>
    </cfRule>
  </conditionalFormatting>
  <conditionalFormatting sqref="K126:K127">
    <cfRule type="expression" dxfId="3684" priority="26">
      <formula>IF(OR(#REF!="L",#REF!="C"),TRUE,FALSE)</formula>
    </cfRule>
  </conditionalFormatting>
  <conditionalFormatting sqref="K128:K140">
    <cfRule type="expression" dxfId="3683" priority="27">
      <formula>IF(OR(#REF!="L",#REF!="C"),TRUE,FALSE)</formula>
    </cfRule>
  </conditionalFormatting>
  <conditionalFormatting sqref="L126:L127">
    <cfRule type="expression" dxfId="3682" priority="24">
      <formula>IF(OR(#REF!="L",#REF!="C"),TRUE,FALSE)</formula>
    </cfRule>
  </conditionalFormatting>
  <conditionalFormatting sqref="L128:L140">
    <cfRule type="expression" dxfId="3681" priority="25">
      <formula>IF(OR(#REF!="L",#REF!="C"),TRUE,FALSE)</formula>
    </cfRule>
  </conditionalFormatting>
  <conditionalFormatting sqref="M126:M127">
    <cfRule type="expression" dxfId="3680" priority="22">
      <formula>IF(OR(#REF!="L",#REF!="C"),TRUE,FALSE)</formula>
    </cfRule>
  </conditionalFormatting>
  <conditionalFormatting sqref="N128:N140">
    <cfRule type="expression" dxfId="3679" priority="21">
      <formula>IF(OR(#REF!="L",#REF!="C"),TRUE,FALSE)</formula>
    </cfRule>
  </conditionalFormatting>
  <conditionalFormatting sqref="O126:O127">
    <cfRule type="expression" dxfId="3678" priority="18">
      <formula>IF(OR(#REF!="L",#REF!="C"),TRUE,FALSE)</formula>
    </cfRule>
  </conditionalFormatting>
  <conditionalFormatting sqref="O128:O140">
    <cfRule type="expression" dxfId="3677" priority="19">
      <formula>IF(OR(#REF!="L",#REF!="C"),TRUE,FALSE)</formula>
    </cfRule>
  </conditionalFormatting>
  <conditionalFormatting sqref="E120:N120">
    <cfRule type="duplicateValues" dxfId="3676" priority="17"/>
  </conditionalFormatting>
  <conditionalFormatting sqref="H72">
    <cfRule type="expression" dxfId="3675" priority="15">
      <formula>IF(OR(#REF!="L",#REF!="C"),TRUE,FALSE)</formula>
    </cfRule>
  </conditionalFormatting>
  <conditionalFormatting sqref="H63">
    <cfRule type="expression" dxfId="3674" priority="14">
      <formula>IF(OR(#REF!="L",#REF!="C"),TRUE,FALSE)</formula>
    </cfRule>
  </conditionalFormatting>
  <conditionalFormatting sqref="H64">
    <cfRule type="expression" dxfId="3673" priority="10">
      <formula>IF(OR(#REF!="L",#REF!="C"),TRUE,FALSE)</formula>
    </cfRule>
  </conditionalFormatting>
  <conditionalFormatting sqref="H65">
    <cfRule type="expression" dxfId="3672" priority="9">
      <formula>IF(OR(#REF!="L",#REF!="C"),TRUE,FALSE)</formula>
    </cfRule>
  </conditionalFormatting>
  <conditionalFormatting sqref="H68:H70">
    <cfRule type="expression" dxfId="3671" priority="7">
      <formula>IF(OR(#REF!="L",#REF!="C"),TRUE,FALSE)</formula>
    </cfRule>
  </conditionalFormatting>
  <conditionalFormatting sqref="H71">
    <cfRule type="expression" dxfId="3670" priority="6">
      <formula>IF(OR(#REF!="L",#REF!="C"),TRUE,FALSE)</formula>
    </cfRule>
  </conditionalFormatting>
  <conditionalFormatting sqref="H74">
    <cfRule type="expression" dxfId="3669" priority="4">
      <formula>IF(OR(#REF!="L",#REF!="C"),TRUE,FALSE)</formula>
    </cfRule>
  </conditionalFormatting>
  <conditionalFormatting sqref="H73">
    <cfRule type="expression" dxfId="3668" priority="3">
      <formula>IF(OR(#REF!="L",#REF!="C"),TRUE,FALSE)</formula>
    </cfRule>
  </conditionalFormatting>
  <conditionalFormatting sqref="H75:H76">
    <cfRule type="expression" dxfId="3667" priority="2">
      <formula>IF(OR(#REF!="L",#REF!="C"),TRUE,FALSE)</formula>
    </cfRule>
  </conditionalFormatting>
  <conditionalFormatting sqref="H62:H63">
    <cfRule type="expression" dxfId="3666" priority="1">
      <formula>IF(OR(#REF!="L",#REF!="C"),TRUE,FALSE)</formula>
    </cfRule>
  </conditionalFormatting>
  <dataValidations count="6">
    <dataValidation type="list" allowBlank="1" showInputMessage="1" showErrorMessage="1" sqref="C4" xr:uid="{2C4C3972-925B-4589-9426-1DD8AF3D2B45}">
      <formula1>"COM,RES"</formula1>
    </dataValidation>
    <dataValidation type="list" allowBlank="1" showInputMessage="1" showErrorMessage="1" sqref="C9" xr:uid="{D423265C-10B6-429C-82F9-6F7E153CF1DA}">
      <formula1>INDIRECT("MeasureTypeList[Index]")</formula1>
    </dataValidation>
    <dataValidation type="list" allowBlank="1" showInputMessage="1" showErrorMessage="1" sqref="C26" xr:uid="{F062B088-C1EA-4065-84F1-2C5E22DC13D5}">
      <formula1>INDIRECT("RegionList[Index]")</formula1>
    </dataValidation>
    <dataValidation type="list" allowBlank="1" showInputMessage="1" showErrorMessage="1" sqref="C27" xr:uid="{3BAD7FDE-485C-4643-A383-228AB702B548}">
      <formula1>INDIRECT("ReplacementTypeList[Index]")</formula1>
    </dataValidation>
    <dataValidation type="list" allowBlank="1" showInputMessage="1" showErrorMessage="1" sqref="C28" xr:uid="{D39CD4C8-4154-4B8A-A04E-475B796FE918}">
      <formula1>INDIRECT("BuildingType[Building]")</formula1>
    </dataValidation>
    <dataValidation type="list" allowBlank="1" showInputMessage="1" showErrorMessage="1" sqref="C29 C30" xr:uid="{CD3EF271-57FB-442A-A0C4-B5A2E2B6922B}">
      <formula1>INDIRECT("FuelTypeList[Index]")</formula1>
    </dataValidation>
  </dataValidations>
  <hyperlinks>
    <hyperlink ref="F83" r:id="rId1" xr:uid="{12D5368B-EFD0-4BC0-A19C-F2F9484F153C}"/>
    <hyperlink ref="F85" r:id="rId2" xr:uid="{5FB248B5-0294-4A9D-AF4D-866CEE8C63D7}"/>
    <hyperlink ref="F84" r:id="rId3" xr:uid="{819B4476-FE16-4EE9-A87F-8D5AAA861E5F}"/>
    <hyperlink ref="F82" r:id="rId4" xr:uid="{54E4A48D-5843-4C8A-ACFE-C7B2331DB3DB}"/>
  </hyperlinks>
  <pageMargins left="0.7" right="0.7" top="0.75" bottom="0.75" header="0.3" footer="0.3"/>
  <pageSetup orientation="portrait" r:id="rId5"/>
  <extLst>
    <ext xmlns:x14="http://schemas.microsoft.com/office/spreadsheetml/2009/9/main" uri="{CCE6A557-97BC-4b89-ADB6-D9C93CAAB3DF}">
      <x14:dataValidations xmlns:xm="http://schemas.microsoft.com/office/excel/2006/main" count="1">
        <x14:dataValidation type="list" allowBlank="1" showInputMessage="1" showErrorMessage="1" xr:uid="{80C78BF5-53D9-44CB-9BAE-95BF9C46EBD6}">
          <x14:formula1>
            <xm:f>Validation!$B$6:$B$16</xm:f>
          </x14:formula1>
          <xm:sqref>H62:H63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9BD2F-BD42-4F30-814E-31B55914DE5B}">
  <sheetPr codeName="Sheet32"/>
  <dimension ref="A2:T146"/>
  <sheetViews>
    <sheetView workbookViewId="0"/>
  </sheetViews>
  <sheetFormatPr defaultColWidth="9.08984375" defaultRowHeight="18.75" customHeight="1" x14ac:dyDescent="0.3"/>
  <cols>
    <col min="1" max="1" width="6" style="488" customWidth="1"/>
    <col min="2" max="2" width="44.36328125" style="488" bestFit="1" customWidth="1"/>
    <col min="3" max="3" width="23.7265625" style="488" customWidth="1"/>
    <col min="4" max="4" width="21.6328125" style="488" customWidth="1"/>
    <col min="5" max="5" width="15" style="488" customWidth="1"/>
    <col min="6" max="6" width="17.26953125" style="488" customWidth="1"/>
    <col min="7" max="7" width="19.6328125" style="488" customWidth="1"/>
    <col min="8" max="8" width="16" style="488" customWidth="1"/>
    <col min="9" max="9" width="1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R-WB-002</v>
      </c>
      <c r="D3" s="1367"/>
      <c r="E3" s="1367"/>
      <c r="F3" s="1367"/>
    </row>
    <row r="4" spans="1:18" ht="18.75" customHeight="1" x14ac:dyDescent="0.3">
      <c r="B4" s="490" t="s">
        <v>11</v>
      </c>
      <c r="C4" s="1367" t="str" cm="1">
        <f t="array" ref="C4">_xlfn.SWITCH(LEFT(C8,1),"R","Residential","C","Commercial","ERROR")</f>
        <v>Residential</v>
      </c>
      <c r="D4" s="1367"/>
      <c r="E4" s="1367"/>
      <c r="F4" s="1367"/>
    </row>
    <row r="5" spans="1:18" ht="19.5" customHeight="1" x14ac:dyDescent="0.3">
      <c r="B5" s="490" t="s">
        <v>408</v>
      </c>
      <c r="C5" s="1530" t="s">
        <v>387</v>
      </c>
      <c r="D5" s="1531"/>
      <c r="E5" s="1531"/>
      <c r="F5" s="1532"/>
      <c r="R5" s="488"/>
    </row>
    <row r="6" spans="1:18" ht="18.75" customHeight="1" x14ac:dyDescent="0.3">
      <c r="A6" s="573"/>
    </row>
    <row r="7" spans="1:18" ht="18.75" customHeight="1" x14ac:dyDescent="0.3">
      <c r="B7" s="1193" t="s">
        <v>409</v>
      </c>
      <c r="C7" s="1192" t="s">
        <v>406</v>
      </c>
      <c r="D7" s="1363" t="s">
        <v>410</v>
      </c>
      <c r="E7" s="1363"/>
      <c r="F7" s="1363"/>
      <c r="R7" s="488"/>
    </row>
    <row r="8" spans="1:18" ht="18.75" customHeight="1" x14ac:dyDescent="0.3">
      <c r="B8" s="490" t="s">
        <v>411</v>
      </c>
      <c r="C8" s="1218" t="s">
        <v>178</v>
      </c>
      <c r="D8" s="1457" t="s">
        <v>939</v>
      </c>
      <c r="E8" s="1457"/>
      <c r="F8" s="1457"/>
      <c r="R8" s="488"/>
    </row>
    <row r="9" spans="1:18" ht="18.75" customHeight="1" x14ac:dyDescent="0.3">
      <c r="B9" s="490" t="s">
        <v>49</v>
      </c>
      <c r="C9" s="1218" t="s">
        <v>891</v>
      </c>
      <c r="D9" s="1457"/>
      <c r="E9" s="1457"/>
      <c r="F9" s="1457"/>
      <c r="R9" s="488"/>
    </row>
    <row r="10" spans="1:18" ht="18.75" customHeight="1" x14ac:dyDescent="0.3">
      <c r="B10" s="490" t="s">
        <v>412</v>
      </c>
      <c r="C10" s="1218"/>
      <c r="D10" s="1457"/>
      <c r="E10" s="1457"/>
      <c r="F10" s="1457"/>
      <c r="R10" s="488"/>
    </row>
    <row r="11" spans="1:18" ht="18.75" customHeight="1" x14ac:dyDescent="0.3">
      <c r="B11" s="490" t="s">
        <v>413</v>
      </c>
      <c r="C11" s="1218"/>
      <c r="D11" s="1457"/>
      <c r="E11" s="1457"/>
      <c r="F11" s="1457"/>
      <c r="R11" s="488"/>
    </row>
    <row r="12" spans="1:18" ht="18.75" customHeight="1" x14ac:dyDescent="0.3">
      <c r="B12" s="490" t="s">
        <v>414</v>
      </c>
      <c r="C12" s="665"/>
      <c r="D12" s="1457"/>
      <c r="E12" s="1457"/>
      <c r="F12" s="1457"/>
      <c r="R12" s="488"/>
    </row>
    <row r="13" spans="1:18" ht="18.75" customHeight="1" x14ac:dyDescent="0.3">
      <c r="B13" s="494" t="s">
        <v>415</v>
      </c>
      <c r="C13" s="658">
        <f>N43</f>
        <v>8.7037661198168025E-4</v>
      </c>
      <c r="D13" s="1457"/>
      <c r="E13" s="1457"/>
      <c r="F13" s="1457"/>
      <c r="R13" s="488"/>
    </row>
    <row r="14" spans="1:18" ht="18.75" customHeight="1" x14ac:dyDescent="0.3">
      <c r="B14" s="494" t="s">
        <v>416</v>
      </c>
      <c r="C14" s="658">
        <f>N42</f>
        <v>0</v>
      </c>
      <c r="D14" s="1457"/>
      <c r="E14" s="1457"/>
      <c r="F14" s="1457"/>
      <c r="R14" s="488"/>
    </row>
    <row r="15" spans="1:18" ht="18.75" customHeight="1" x14ac:dyDescent="0.3">
      <c r="B15" s="494" t="s">
        <v>417</v>
      </c>
      <c r="C15" s="658">
        <f>N44</f>
        <v>1.5071273189790766E-2</v>
      </c>
      <c r="D15" s="1457"/>
      <c r="E15" s="1457"/>
      <c r="F15" s="1457"/>
      <c r="R15" s="488"/>
    </row>
    <row r="16" spans="1:18" ht="18.75" customHeight="1" x14ac:dyDescent="0.3">
      <c r="B16" s="494" t="s">
        <v>418</v>
      </c>
      <c r="C16" s="659">
        <f>C37</f>
        <v>0</v>
      </c>
      <c r="D16" s="1457"/>
      <c r="E16" s="1457"/>
      <c r="F16" s="1457"/>
      <c r="R16" s="488"/>
    </row>
    <row r="17" spans="2:18" ht="41.25" customHeight="1" x14ac:dyDescent="0.3">
      <c r="B17" s="490" t="s">
        <v>48</v>
      </c>
      <c r="C17" s="1218" t="s">
        <v>892</v>
      </c>
      <c r="D17" s="1363" t="s">
        <v>419</v>
      </c>
      <c r="E17" s="1363"/>
      <c r="F17" s="1363"/>
      <c r="R17" s="488"/>
    </row>
    <row r="18" spans="2:18" ht="18.75" customHeight="1" x14ac:dyDescent="0.3">
      <c r="B18" s="490" t="s">
        <v>420</v>
      </c>
      <c r="C18" s="666">
        <v>20</v>
      </c>
      <c r="D18" s="1513" t="s">
        <v>940</v>
      </c>
      <c r="E18" s="1513"/>
      <c r="F18" s="1513"/>
      <c r="R18" s="488"/>
    </row>
    <row r="19" spans="2:18" ht="18.75" customHeight="1" x14ac:dyDescent="0.3">
      <c r="B19" s="613"/>
      <c r="C19" s="614"/>
      <c r="E19" s="488" t="s">
        <v>941</v>
      </c>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18.75" customHeight="1" x14ac:dyDescent="0.3">
      <c r="B21" s="499" t="s">
        <v>422</v>
      </c>
      <c r="C21" s="1546" t="s">
        <v>388</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36" t="s">
        <v>389</v>
      </c>
      <c r="D22" s="1536"/>
      <c r="E22" s="1536"/>
      <c r="F22" s="1536"/>
      <c r="G22" s="1536"/>
      <c r="H22" s="1536"/>
      <c r="I22" s="1536"/>
      <c r="J22" s="1536"/>
      <c r="K22" s="1536"/>
      <c r="L22" s="1536"/>
      <c r="M22" s="1536"/>
      <c r="N22" s="1536"/>
      <c r="O22" s="1536"/>
      <c r="P22" s="1536"/>
      <c r="Q22" s="1536"/>
      <c r="R22" s="488"/>
    </row>
    <row r="23" spans="2:18" ht="18.75" customHeight="1"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Default.BuildingType.R</f>
        <v>Home - detached</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677"/>
      <c r="F33" s="1677"/>
      <c r="G33" s="1677"/>
      <c r="H33" s="1677"/>
      <c r="I33" s="1677"/>
      <c r="J33" s="1677"/>
      <c r="K33" s="1677"/>
      <c r="L33" s="1677"/>
      <c r="M33" s="1677"/>
      <c r="N33" s="1677"/>
      <c r="O33" s="1677"/>
      <c r="P33" s="1677"/>
      <c r="Q33" s="1677"/>
      <c r="R33" s="488"/>
    </row>
    <row r="34" spans="2:18" ht="18.75" customHeight="1" x14ac:dyDescent="0.3">
      <c r="B34" s="494" t="s">
        <v>431</v>
      </c>
      <c r="C34" s="542"/>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504">
        <f>SUM(C33:C34)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504">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8.7037661198168025E-4</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1.5071273189790766E-2</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20" ht="34.5" customHeight="1" x14ac:dyDescent="0.3">
      <c r="B49" s="582" t="s">
        <v>454</v>
      </c>
      <c r="C49" s="1701" t="s">
        <v>894</v>
      </c>
      <c r="D49" s="1701"/>
      <c r="E49" s="1701"/>
      <c r="F49" s="1701"/>
      <c r="G49" s="1701"/>
      <c r="H49" s="1701"/>
      <c r="I49" s="1701"/>
      <c r="J49" s="1701"/>
      <c r="K49" s="1701"/>
      <c r="L49" s="1701"/>
      <c r="M49" s="1701"/>
      <c r="N49" s="742">
        <f>((1/H64-1/H65)*H66*(1-H67)*Hours_per_Day) * ( H71 * H62 * H68 / 1000 / H75  + (1-H72) * H63 * H69   /  H73 / kWh_per_BTU ) + ( N50 * H74  * H70 * kWh_per_GJ )</f>
        <v>8.7037661198168025E-4</v>
      </c>
      <c r="O49" s="1243" t="s">
        <v>443</v>
      </c>
      <c r="P49" s="1511"/>
      <c r="Q49" s="1511"/>
      <c r="R49" s="488"/>
    </row>
    <row r="50" spans="2:20" ht="18.75" customHeight="1" x14ac:dyDescent="0.3">
      <c r="B50" s="582" t="s">
        <v>456</v>
      </c>
      <c r="C50" s="1507" t="s">
        <v>895</v>
      </c>
      <c r="D50" s="1699"/>
      <c r="E50" s="1699"/>
      <c r="F50" s="1699"/>
      <c r="G50" s="1699"/>
      <c r="H50" s="1699"/>
      <c r="I50" s="1699"/>
      <c r="J50" s="1699"/>
      <c r="K50" s="1699"/>
      <c r="L50" s="1699"/>
      <c r="M50" s="1699"/>
      <c r="N50" s="743">
        <f>H72*(1/H64-1/H65)*H66*(1-H67)*Hours_per_Day*H63/H76*GJ_per_BTU</f>
        <v>1.5071273189790766E-2</v>
      </c>
      <c r="O50" s="1243" t="s">
        <v>446</v>
      </c>
      <c r="P50" s="1511"/>
      <c r="Q50" s="1511"/>
      <c r="R50" s="488"/>
    </row>
    <row r="51" spans="2:20"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20" ht="18.75" customHeight="1" x14ac:dyDescent="0.3">
      <c r="B52" s="583"/>
      <c r="C52" s="578"/>
      <c r="D52" s="578"/>
      <c r="E52" s="578"/>
      <c r="F52" s="578"/>
      <c r="G52" s="578"/>
      <c r="H52" s="578"/>
      <c r="I52" s="578"/>
      <c r="J52" s="578"/>
      <c r="K52" s="578"/>
      <c r="L52" s="578"/>
      <c r="M52" s="578"/>
      <c r="Q52" s="489"/>
      <c r="R52" s="488"/>
    </row>
    <row r="53" spans="2:20"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20"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20"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20" s="491" customFormat="1" ht="18.75" customHeight="1" x14ac:dyDescent="0.3">
      <c r="B56" s="531" t="s">
        <v>466</v>
      </c>
      <c r="C56" s="1504" t="s">
        <v>467</v>
      </c>
      <c r="D56" s="1505"/>
      <c r="E56" s="1505"/>
      <c r="F56" s="1505"/>
      <c r="G56" s="1505"/>
      <c r="H56" s="1505"/>
      <c r="I56" s="1505"/>
      <c r="J56" s="1505"/>
      <c r="K56" s="1505"/>
      <c r="L56" s="1505"/>
      <c r="M56" s="1506"/>
      <c r="N56" s="594"/>
      <c r="O56" s="509" t="s">
        <v>446</v>
      </c>
      <c r="P56" s="1447"/>
      <c r="Q56" s="1447"/>
    </row>
    <row r="57" spans="2:20"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20" s="491" customFormat="1" ht="18.75" customHeight="1" x14ac:dyDescent="0.3">
      <c r="B58" s="510"/>
      <c r="C58" s="502"/>
      <c r="D58" s="503"/>
      <c r="E58" s="503"/>
      <c r="F58" s="503"/>
      <c r="G58" s="503"/>
      <c r="H58" s="503"/>
      <c r="I58" s="503"/>
      <c r="J58" s="503"/>
      <c r="K58" s="503"/>
      <c r="L58" s="503"/>
      <c r="M58" s="503"/>
      <c r="N58" s="503"/>
      <c r="O58" s="503"/>
      <c r="R58" s="489"/>
    </row>
    <row r="59" spans="2:20" ht="18.75" customHeight="1" x14ac:dyDescent="0.3">
      <c r="B59" s="511" t="s">
        <v>470</v>
      </c>
      <c r="C59" s="512"/>
      <c r="D59" s="512"/>
      <c r="E59" s="512"/>
      <c r="F59" s="512"/>
      <c r="G59" s="512"/>
      <c r="H59" s="513"/>
      <c r="I59" s="513"/>
      <c r="J59" s="513"/>
      <c r="K59" s="513"/>
      <c r="L59" s="513"/>
      <c r="M59" s="513"/>
      <c r="N59" s="513"/>
      <c r="O59" s="513"/>
      <c r="P59" s="513"/>
      <c r="Q59" s="514"/>
    </row>
    <row r="61" spans="2:20" ht="18.75" customHeight="1" x14ac:dyDescent="0.3">
      <c r="B61" s="506" t="s">
        <v>471</v>
      </c>
      <c r="C61" s="506" t="s">
        <v>472</v>
      </c>
      <c r="D61" s="1395" t="s">
        <v>473</v>
      </c>
      <c r="E61" s="1395"/>
      <c r="F61" s="506" t="s">
        <v>474</v>
      </c>
      <c r="G61" s="506" t="s">
        <v>475</v>
      </c>
      <c r="H61" s="1188" t="s">
        <v>406</v>
      </c>
      <c r="I61" s="1188" t="s">
        <v>428</v>
      </c>
      <c r="J61" s="1396" t="s">
        <v>476</v>
      </c>
      <c r="K61" s="1397"/>
      <c r="L61" s="1397"/>
      <c r="M61" s="1397"/>
      <c r="N61" s="1397"/>
      <c r="O61" s="1397"/>
      <c r="P61" s="1397"/>
      <c r="Q61" s="1398"/>
    </row>
    <row r="62" spans="2:20" ht="37.15" customHeight="1" x14ac:dyDescent="0.3">
      <c r="B62" s="533">
        <v>1</v>
      </c>
      <c r="C62" s="546" t="s">
        <v>896</v>
      </c>
      <c r="D62" s="1468" t="s">
        <v>897</v>
      </c>
      <c r="E62" s="1468"/>
      <c r="F62" s="609" t="str">
        <f>$C$26</f>
        <v>Average</v>
      </c>
      <c r="G62" s="1217" t="str">
        <f>C62</f>
        <v>CDD</v>
      </c>
      <c r="H62" s="693">
        <f>INDEX(ClimateData[#All],MATCH(F62,ClimateData[[#All],[Region]],0),MATCH(G62,ClimateData[#Headers],0))</f>
        <v>61.861244019138759</v>
      </c>
      <c r="I62" s="557" t="s">
        <v>896</v>
      </c>
      <c r="J62" s="1462" t="s">
        <v>898</v>
      </c>
      <c r="K62" s="1470"/>
      <c r="L62" s="1470"/>
      <c r="M62" s="1470"/>
      <c r="N62" s="1470"/>
      <c r="O62" s="1470"/>
      <c r="P62" s="1470"/>
      <c r="Q62" s="1471"/>
      <c r="R62" s="488"/>
      <c r="T62" s="738"/>
    </row>
    <row r="63" spans="2:20" ht="15" customHeight="1" x14ac:dyDescent="0.3">
      <c r="B63" s="533">
        <v>6</v>
      </c>
      <c r="C63" s="546" t="s">
        <v>899</v>
      </c>
      <c r="D63" s="1468" t="s">
        <v>900</v>
      </c>
      <c r="E63" s="1468"/>
      <c r="F63" s="609" t="str">
        <f>$C$26</f>
        <v>Average</v>
      </c>
      <c r="G63" s="1217" t="str">
        <f>C63</f>
        <v>HDD</v>
      </c>
      <c r="H63" s="693">
        <f>INDEX(ClimateData[#All],MATCH(F63,ClimateData[[#All],[Region]],0),MATCH(G63,ClimateData[#Headers],0))</f>
        <v>5480.7825814536336</v>
      </c>
      <c r="I63" s="557" t="s">
        <v>899</v>
      </c>
      <c r="J63" s="1462" t="s">
        <v>901</v>
      </c>
      <c r="K63" s="1470"/>
      <c r="L63" s="1470"/>
      <c r="M63" s="1470"/>
      <c r="N63" s="1470"/>
      <c r="O63" s="1470"/>
      <c r="P63" s="1470"/>
      <c r="Q63" s="1471"/>
      <c r="R63" s="488"/>
    </row>
    <row r="64" spans="2:20" ht="28.9" customHeight="1" x14ac:dyDescent="0.3">
      <c r="B64" s="535">
        <v>2</v>
      </c>
      <c r="C64" s="551" t="s">
        <v>902</v>
      </c>
      <c r="D64" s="1482" t="s">
        <v>903</v>
      </c>
      <c r="E64" s="1483"/>
      <c r="F64" s="552"/>
      <c r="G64" s="552"/>
      <c r="H64" s="552">
        <v>5</v>
      </c>
      <c r="I64" s="552" t="s">
        <v>904</v>
      </c>
      <c r="J64" s="1659" t="s">
        <v>727</v>
      </c>
      <c r="K64" s="1660"/>
      <c r="L64" s="1660"/>
      <c r="M64" s="1660"/>
      <c r="N64" s="1660"/>
      <c r="O64" s="1660"/>
      <c r="P64" s="1660"/>
      <c r="Q64" s="1661"/>
      <c r="R64" s="488"/>
    </row>
    <row r="65" spans="2:18" ht="15" customHeight="1" x14ac:dyDescent="0.3">
      <c r="B65" s="535">
        <v>3</v>
      </c>
      <c r="C65" s="551" t="s">
        <v>905</v>
      </c>
      <c r="D65" s="1543" t="s">
        <v>906</v>
      </c>
      <c r="E65" s="1543"/>
      <c r="F65" s="552"/>
      <c r="G65" s="552"/>
      <c r="H65" s="745">
        <v>13</v>
      </c>
      <c r="I65" s="552" t="s">
        <v>904</v>
      </c>
      <c r="J65" s="1659" t="s">
        <v>727</v>
      </c>
      <c r="K65" s="1660"/>
      <c r="L65" s="1660"/>
      <c r="M65" s="1660"/>
      <c r="N65" s="1660"/>
      <c r="O65" s="1660"/>
      <c r="P65" s="1660"/>
      <c r="Q65" s="1661"/>
      <c r="R65" s="488"/>
    </row>
    <row r="66" spans="2:18" ht="15" customHeight="1" x14ac:dyDescent="0.3">
      <c r="B66" s="535">
        <v>4</v>
      </c>
      <c r="C66" s="551" t="s">
        <v>907</v>
      </c>
      <c r="D66" s="1482" t="s">
        <v>908</v>
      </c>
      <c r="E66" s="1483"/>
      <c r="F66" s="552"/>
      <c r="G66" s="552"/>
      <c r="H66" s="597">
        <v>1</v>
      </c>
      <c r="I66" s="552" t="s">
        <v>909</v>
      </c>
      <c r="J66" s="1659" t="s">
        <v>727</v>
      </c>
      <c r="K66" s="1660"/>
      <c r="L66" s="1660"/>
      <c r="M66" s="1660"/>
      <c r="N66" s="1660"/>
      <c r="O66" s="1660"/>
      <c r="P66" s="1660"/>
      <c r="Q66" s="1661"/>
      <c r="R66" s="488"/>
    </row>
    <row r="67" spans="2:18" ht="14.5" customHeight="1" x14ac:dyDescent="0.3">
      <c r="B67" s="533">
        <v>7</v>
      </c>
      <c r="C67" s="720" t="s">
        <v>910</v>
      </c>
      <c r="D67" s="1479" t="s">
        <v>911</v>
      </c>
      <c r="E67" s="1479"/>
      <c r="F67" s="1217"/>
      <c r="G67" s="1217"/>
      <c r="H67" s="548">
        <v>0.25</v>
      </c>
      <c r="I67" s="1238" t="s">
        <v>519</v>
      </c>
      <c r="J67" s="1462" t="s">
        <v>940</v>
      </c>
      <c r="K67" s="1462"/>
      <c r="L67" s="1462"/>
      <c r="M67" s="1462"/>
      <c r="N67" s="1462"/>
      <c r="O67" s="1462"/>
      <c r="P67" s="1462"/>
      <c r="Q67" s="1556"/>
      <c r="R67" s="488"/>
    </row>
    <row r="68" spans="2:18" ht="14.5" customHeight="1" x14ac:dyDescent="0.3">
      <c r="B68" s="533">
        <v>8</v>
      </c>
      <c r="C68" s="720" t="s">
        <v>912</v>
      </c>
      <c r="D68" s="1479" t="s">
        <v>913</v>
      </c>
      <c r="E68" s="1481"/>
      <c r="F68" s="1217"/>
      <c r="G68" s="1217"/>
      <c r="H68" s="548">
        <f>0.8*0.75</f>
        <v>0.60000000000000009</v>
      </c>
      <c r="I68" s="1238" t="s">
        <v>519</v>
      </c>
      <c r="J68" s="1462" t="s">
        <v>942</v>
      </c>
      <c r="K68" s="1462"/>
      <c r="L68" s="1462"/>
      <c r="M68" s="1462"/>
      <c r="N68" s="1462"/>
      <c r="O68" s="1462"/>
      <c r="P68" s="1462"/>
      <c r="Q68" s="1556"/>
      <c r="R68" s="488"/>
    </row>
    <row r="69" spans="2:18" ht="14.5" customHeight="1" x14ac:dyDescent="0.3">
      <c r="B69" s="533">
        <v>9</v>
      </c>
      <c r="C69" s="720" t="s">
        <v>915</v>
      </c>
      <c r="D69" s="1479" t="s">
        <v>916</v>
      </c>
      <c r="E69" s="1481"/>
      <c r="F69" s="1217"/>
      <c r="G69" s="1217"/>
      <c r="H69" s="548">
        <v>0.6</v>
      </c>
      <c r="I69" s="1238" t="s">
        <v>519</v>
      </c>
      <c r="J69" s="1462" t="s">
        <v>943</v>
      </c>
      <c r="K69" s="1462"/>
      <c r="L69" s="1462"/>
      <c r="M69" s="1462"/>
      <c r="N69" s="1462"/>
      <c r="O69" s="1462"/>
      <c r="P69" s="1462"/>
      <c r="Q69" s="1556"/>
      <c r="R69" s="488"/>
    </row>
    <row r="70" spans="2:18" ht="14.5" customHeight="1" x14ac:dyDescent="0.3">
      <c r="B70" s="533">
        <v>10</v>
      </c>
      <c r="C70" s="549" t="s">
        <v>917</v>
      </c>
      <c r="D70" s="1479" t="s">
        <v>916</v>
      </c>
      <c r="E70" s="1481"/>
      <c r="F70" s="1217"/>
      <c r="G70" s="557"/>
      <c r="H70" s="548">
        <v>0</v>
      </c>
      <c r="I70" s="1238" t="s">
        <v>519</v>
      </c>
      <c r="J70" s="1462" t="s">
        <v>944</v>
      </c>
      <c r="K70" s="1462"/>
      <c r="L70" s="1462"/>
      <c r="M70" s="1462"/>
      <c r="N70" s="1462"/>
      <c r="O70" s="1462"/>
      <c r="P70" s="1462"/>
      <c r="Q70" s="1556"/>
      <c r="R70" s="488"/>
    </row>
    <row r="71" spans="2:18" s="491" customFormat="1" ht="13.15" customHeight="1" x14ac:dyDescent="0.3">
      <c r="B71" s="536">
        <v>11</v>
      </c>
      <c r="C71" s="546" t="s">
        <v>918</v>
      </c>
      <c r="D71" s="1539" t="s">
        <v>919</v>
      </c>
      <c r="E71" s="1539"/>
      <c r="F71" s="1217"/>
      <c r="G71" s="1217"/>
      <c r="H71" s="548">
        <f>SpaceCoolingShare.R.E</f>
        <v>0.13760414926305545</v>
      </c>
      <c r="I71" s="1238" t="s">
        <v>519</v>
      </c>
      <c r="J71" s="1468" t="s">
        <v>745</v>
      </c>
      <c r="K71" s="1478"/>
      <c r="L71" s="1478"/>
      <c r="M71" s="1478"/>
      <c r="N71" s="1478"/>
      <c r="O71" s="1478"/>
      <c r="P71" s="1478"/>
      <c r="Q71" s="1469"/>
    </row>
    <row r="72" spans="2:18" s="491" customFormat="1" ht="14.5" customHeight="1" x14ac:dyDescent="0.3">
      <c r="B72" s="536">
        <v>12</v>
      </c>
      <c r="C72" s="555" t="s">
        <v>799</v>
      </c>
      <c r="D72" s="1437" t="s">
        <v>920</v>
      </c>
      <c r="E72" s="1438"/>
      <c r="F72" s="1217"/>
      <c r="G72" s="557"/>
      <c r="H72" s="559" cm="1">
        <f t="array" ref="H72">_xlfn.SWITCH($C$29,"Natural gas",1,"Electricity",0,SpaceHeatingShare.R.E)</f>
        <v>1</v>
      </c>
      <c r="I72" s="1238" t="s">
        <v>519</v>
      </c>
      <c r="J72" s="1472" t="s">
        <v>921</v>
      </c>
      <c r="K72" s="1473"/>
      <c r="L72" s="1473"/>
      <c r="M72" s="1473"/>
      <c r="N72" s="1473"/>
      <c r="O72" s="1473"/>
      <c r="P72" s="1473"/>
      <c r="Q72" s="1474"/>
    </row>
    <row r="73" spans="2:18" s="491" customFormat="1" ht="14.5" customHeight="1" x14ac:dyDescent="0.3">
      <c r="B73" s="536">
        <v>13</v>
      </c>
      <c r="C73" s="546" t="s">
        <v>524</v>
      </c>
      <c r="D73" s="1468" t="s">
        <v>922</v>
      </c>
      <c r="E73" s="1468"/>
      <c r="F73" s="1217"/>
      <c r="G73" s="557" t="s">
        <v>923</v>
      </c>
      <c r="H73" s="559">
        <f>INDEX($B$97:$N$117,MATCH($G73,$C$97:$C$117,0),MATCH("Efficiency",$B$96:$N$96,0))</f>
        <v>1.28</v>
      </c>
      <c r="I73" s="1238" t="s">
        <v>519</v>
      </c>
      <c r="J73" s="1472" t="s">
        <v>924</v>
      </c>
      <c r="K73" s="1473"/>
      <c r="L73" s="1473"/>
      <c r="M73" s="1473"/>
      <c r="N73" s="1473"/>
      <c r="O73" s="1473"/>
      <c r="P73" s="1473"/>
      <c r="Q73" s="1474"/>
    </row>
    <row r="74" spans="2:18" s="489" customFormat="1" ht="13.15" customHeight="1" x14ac:dyDescent="0.3">
      <c r="B74" s="536">
        <v>14</v>
      </c>
      <c r="C74" s="555" t="s">
        <v>925</v>
      </c>
      <c r="D74" s="1437" t="s">
        <v>926</v>
      </c>
      <c r="E74" s="1438"/>
      <c r="F74" s="1217"/>
      <c r="G74" s="557"/>
      <c r="H74" s="559">
        <v>3.1399999999999997E-2</v>
      </c>
      <c r="I74" s="1238" t="s">
        <v>519</v>
      </c>
      <c r="J74" s="1472" t="s">
        <v>924</v>
      </c>
      <c r="K74" s="1473"/>
      <c r="L74" s="1473"/>
      <c r="M74" s="1473"/>
      <c r="N74" s="1473"/>
      <c r="O74" s="1473"/>
      <c r="P74" s="1473"/>
      <c r="Q74" s="1474"/>
    </row>
    <row r="75" spans="2:18" s="489" customFormat="1" ht="14.5" customHeight="1" x14ac:dyDescent="0.3">
      <c r="B75" s="536">
        <v>15</v>
      </c>
      <c r="C75" s="555" t="s">
        <v>927</v>
      </c>
      <c r="D75" s="1437" t="s">
        <v>928</v>
      </c>
      <c r="E75" s="1438"/>
      <c r="F75" s="1217"/>
      <c r="G75" s="557"/>
      <c r="H75" s="693">
        <f>SpaceCoolingEfficiency.R.SEER</f>
        <v>13</v>
      </c>
      <c r="I75" s="557" t="s">
        <v>572</v>
      </c>
      <c r="J75" s="1468" t="s">
        <v>930</v>
      </c>
      <c r="K75" s="1478"/>
      <c r="L75" s="1478"/>
      <c r="M75" s="1478"/>
      <c r="N75" s="1478"/>
      <c r="O75" s="1478"/>
      <c r="P75" s="1478"/>
      <c r="Q75" s="1469"/>
    </row>
    <row r="76" spans="2:18" ht="15" customHeight="1" x14ac:dyDescent="0.3">
      <c r="B76" s="533">
        <v>5</v>
      </c>
      <c r="C76" s="546" t="s">
        <v>517</v>
      </c>
      <c r="D76" s="1468" t="s">
        <v>931</v>
      </c>
      <c r="E76" s="1468"/>
      <c r="F76" s="1217"/>
      <c r="G76" s="1217"/>
      <c r="H76" s="548">
        <f>SpaceHeatingEfficiency.R.NG</f>
        <v>0.85</v>
      </c>
      <c r="I76" s="1238" t="s">
        <v>519</v>
      </c>
      <c r="J76" s="1468" t="s">
        <v>520</v>
      </c>
      <c r="K76" s="1478"/>
      <c r="L76" s="1478"/>
      <c r="M76" s="1478"/>
      <c r="N76" s="1478"/>
      <c r="O76" s="1478"/>
      <c r="P76" s="1478"/>
      <c r="Q76" s="1469"/>
      <c r="R76" s="488"/>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182"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182"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c r="R85" s="488"/>
    </row>
    <row r="86" spans="2:18" ht="13" x14ac:dyDescent="0.3">
      <c r="B86" s="533">
        <v>6</v>
      </c>
      <c r="C86" s="563" t="s">
        <v>933</v>
      </c>
      <c r="D86" s="722">
        <f>1/12</f>
        <v>8.3333333333333329E-2</v>
      </c>
      <c r="E86" s="1182" t="s">
        <v>934</v>
      </c>
      <c r="F86" s="1489"/>
      <c r="G86" s="1490"/>
      <c r="H86" s="1490"/>
      <c r="I86" s="1490"/>
      <c r="J86" s="1490"/>
      <c r="K86" s="1490"/>
      <c r="L86" s="1490"/>
      <c r="M86" s="1490"/>
      <c r="N86" s="1490"/>
      <c r="O86" s="1490"/>
      <c r="P86" s="1490"/>
      <c r="Q86" s="1491"/>
      <c r="R86" s="488"/>
    </row>
    <row r="87" spans="2:18" ht="13" x14ac:dyDescent="0.3">
      <c r="B87" s="533">
        <v>7</v>
      </c>
      <c r="C87" s="563"/>
      <c r="D87" s="1233"/>
      <c r="E87" s="1182"/>
      <c r="F87" s="1489"/>
      <c r="G87" s="1490"/>
      <c r="H87" s="1490"/>
      <c r="I87" s="1490"/>
      <c r="J87" s="1490"/>
      <c r="K87" s="1490"/>
      <c r="L87" s="1490"/>
      <c r="M87" s="1490"/>
      <c r="N87" s="1490"/>
      <c r="O87" s="1490"/>
      <c r="P87" s="1490"/>
      <c r="Q87" s="1491"/>
      <c r="R87" s="488"/>
    </row>
    <row r="88" spans="2:18" ht="13" x14ac:dyDescent="0.3">
      <c r="B88" s="533">
        <v>8</v>
      </c>
      <c r="C88" s="563"/>
      <c r="D88" s="564"/>
      <c r="E88" s="1182"/>
      <c r="F88" s="1489"/>
      <c r="G88" s="1490"/>
      <c r="H88" s="1490"/>
      <c r="I88" s="1490"/>
      <c r="J88" s="1490"/>
      <c r="K88" s="1490"/>
      <c r="L88" s="1490"/>
      <c r="M88" s="1490"/>
      <c r="N88" s="1490"/>
      <c r="O88" s="1490"/>
      <c r="P88" s="1490"/>
      <c r="Q88" s="1491"/>
      <c r="R88" s="488"/>
    </row>
    <row r="89" spans="2:18" ht="13" x14ac:dyDescent="0.3">
      <c r="B89" s="533">
        <v>9</v>
      </c>
      <c r="C89" s="563"/>
      <c r="D89" s="1233"/>
      <c r="E89" s="1182"/>
      <c r="F89" s="1489"/>
      <c r="G89" s="1490"/>
      <c r="H89" s="1490"/>
      <c r="I89" s="1490"/>
      <c r="J89" s="1490"/>
      <c r="K89" s="1490"/>
      <c r="L89" s="1490"/>
      <c r="M89" s="1490"/>
      <c r="N89" s="1490"/>
      <c r="O89" s="1490"/>
      <c r="P89" s="1490"/>
      <c r="Q89" s="1491"/>
      <c r="R89" s="488"/>
    </row>
    <row r="90" spans="2:18" ht="13" x14ac:dyDescent="0.3">
      <c r="B90" s="533">
        <v>10</v>
      </c>
      <c r="C90" s="563"/>
      <c r="D90" s="564"/>
      <c r="E90" s="1182"/>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t="s">
        <v>935</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08"/>
      <c r="Q95" s="1409"/>
      <c r="R95" s="488"/>
    </row>
    <row r="96" spans="2:18" ht="30" customHeight="1" x14ac:dyDescent="0.3">
      <c r="B96" s="1188" t="s">
        <v>478</v>
      </c>
      <c r="C96" s="1402" t="s">
        <v>505</v>
      </c>
      <c r="D96" s="1431"/>
      <c r="E96" s="565" t="s">
        <v>936</v>
      </c>
      <c r="F96" s="565"/>
      <c r="G96" s="565"/>
      <c r="H96" s="565"/>
      <c r="I96" s="565"/>
      <c r="J96" s="565"/>
      <c r="K96" s="565"/>
      <c r="L96" s="565"/>
      <c r="M96" s="565"/>
      <c r="N96" s="566"/>
      <c r="O96" s="1410"/>
      <c r="P96" s="1411"/>
      <c r="Q96" s="1412"/>
      <c r="R96" s="488"/>
    </row>
    <row r="97" spans="2:18" ht="13" x14ac:dyDescent="0.3">
      <c r="B97" s="533">
        <v>1</v>
      </c>
      <c r="C97" s="546" t="s">
        <v>937</v>
      </c>
      <c r="D97" s="1184"/>
      <c r="E97" s="746">
        <v>1.92</v>
      </c>
      <c r="F97" s="1190"/>
      <c r="G97" s="1190"/>
      <c r="H97" s="1190"/>
      <c r="I97" s="568"/>
      <c r="J97" s="568"/>
      <c r="K97" s="568"/>
      <c r="L97" s="568"/>
      <c r="M97" s="568"/>
      <c r="N97" s="568"/>
      <c r="O97" s="1501"/>
      <c r="P97" s="1502"/>
      <c r="Q97" s="1503"/>
      <c r="R97" s="488"/>
    </row>
    <row r="98" spans="2:18" ht="13" x14ac:dyDescent="0.3">
      <c r="B98" s="533">
        <v>2</v>
      </c>
      <c r="C98" s="546" t="s">
        <v>938</v>
      </c>
      <c r="D98" s="1184"/>
      <c r="E98" s="746">
        <v>1</v>
      </c>
      <c r="F98" s="1190"/>
      <c r="G98" s="1190"/>
      <c r="H98" s="1190"/>
      <c r="I98" s="568"/>
      <c r="J98" s="568"/>
      <c r="K98" s="568"/>
      <c r="L98" s="568"/>
      <c r="M98" s="568"/>
      <c r="N98" s="568"/>
      <c r="O98" s="1495"/>
      <c r="P98" s="1496"/>
      <c r="Q98" s="1497"/>
      <c r="R98" s="488"/>
    </row>
    <row r="99" spans="2:18" ht="13" x14ac:dyDescent="0.3">
      <c r="B99" s="533">
        <v>3</v>
      </c>
      <c r="C99" s="546" t="s">
        <v>923</v>
      </c>
      <c r="D99" s="1184"/>
      <c r="E99" s="746">
        <v>1.28</v>
      </c>
      <c r="F99" s="1190"/>
      <c r="G99" s="1190"/>
      <c r="H99" s="1190"/>
      <c r="I99" s="568"/>
      <c r="J99" s="568"/>
      <c r="K99" s="568"/>
      <c r="L99" s="568"/>
      <c r="M99" s="568"/>
      <c r="N99" s="568"/>
      <c r="O99" s="1495"/>
      <c r="P99" s="1496"/>
      <c r="Q99" s="1497"/>
      <c r="R99" s="488"/>
    </row>
    <row r="100" spans="2:18" ht="13" x14ac:dyDescent="0.3">
      <c r="B100" s="533">
        <v>4</v>
      </c>
      <c r="C100" s="546"/>
      <c r="D100" s="1184"/>
      <c r="E100" s="568"/>
      <c r="F100" s="1190"/>
      <c r="G100" s="1190"/>
      <c r="H100" s="1190"/>
      <c r="I100" s="568"/>
      <c r="J100" s="568"/>
      <c r="K100" s="568"/>
      <c r="L100" s="568"/>
      <c r="M100" s="568"/>
      <c r="N100" s="568"/>
      <c r="O100" s="1495"/>
      <c r="P100" s="1496"/>
      <c r="Q100" s="1497"/>
      <c r="R100" s="488"/>
    </row>
    <row r="101" spans="2:18" ht="13" x14ac:dyDescent="0.3">
      <c r="B101" s="533">
        <v>5</v>
      </c>
      <c r="C101" s="546"/>
      <c r="D101" s="1184"/>
      <c r="E101" s="568"/>
      <c r="F101" s="1190"/>
      <c r="G101" s="1190"/>
      <c r="H101" s="1190"/>
      <c r="I101" s="568"/>
      <c r="J101" s="568"/>
      <c r="K101" s="568"/>
      <c r="L101" s="568"/>
      <c r="M101" s="568"/>
      <c r="N101" s="568"/>
      <c r="O101" s="1495"/>
      <c r="P101" s="1496"/>
      <c r="Q101" s="1497"/>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row r="117" spans="2:18" ht="18.75" customHeight="1" x14ac:dyDescent="0.3">
      <c r="R117" s="488"/>
    </row>
    <row r="118" spans="2:18" ht="18.75" customHeight="1" x14ac:dyDescent="0.3">
      <c r="B118" s="702" t="s">
        <v>493</v>
      </c>
      <c r="E118" s="1662" t="s">
        <v>494</v>
      </c>
      <c r="F118" s="1663"/>
      <c r="G118" s="1663"/>
      <c r="H118" s="1663"/>
      <c r="I118" s="1663"/>
      <c r="J118" s="1663"/>
      <c r="K118" s="1663"/>
      <c r="L118" s="1663"/>
      <c r="M118" s="1663"/>
      <c r="N118" s="1663"/>
      <c r="O118" s="1664" t="s">
        <v>476</v>
      </c>
      <c r="P118" s="1665"/>
      <c r="Q118" s="1666"/>
      <c r="R118" s="488"/>
    </row>
    <row r="119" spans="2:18" ht="25.5" customHeight="1" x14ac:dyDescent="0.3">
      <c r="B119" s="1673" t="s">
        <v>945</v>
      </c>
      <c r="C119" s="1674"/>
      <c r="D119" s="1675"/>
      <c r="E119" s="703" t="s">
        <v>495</v>
      </c>
      <c r="F119" s="703" t="s">
        <v>496</v>
      </c>
      <c r="G119" s="703" t="s">
        <v>497</v>
      </c>
      <c r="H119" s="703" t="s">
        <v>498</v>
      </c>
      <c r="I119" s="703" t="s">
        <v>499</v>
      </c>
      <c r="J119" s="703" t="s">
        <v>500</v>
      </c>
      <c r="K119" s="703" t="s">
        <v>501</v>
      </c>
      <c r="L119" s="703" t="s">
        <v>502</v>
      </c>
      <c r="M119" s="703" t="s">
        <v>503</v>
      </c>
      <c r="N119" s="1213" t="s">
        <v>504</v>
      </c>
      <c r="O119" s="1667"/>
      <c r="P119" s="1702"/>
      <c r="Q119" s="1669"/>
      <c r="R119" s="488"/>
    </row>
    <row r="120" spans="2:18" ht="30" customHeight="1" x14ac:dyDescent="0.3">
      <c r="B120" s="704" t="s">
        <v>478</v>
      </c>
      <c r="C120" s="1662" t="s">
        <v>505</v>
      </c>
      <c r="D120" s="1676"/>
      <c r="E120" s="525" t="s">
        <v>904</v>
      </c>
      <c r="F120" s="525"/>
      <c r="G120" s="525"/>
      <c r="H120" s="525"/>
      <c r="I120" s="525"/>
      <c r="J120" s="525"/>
      <c r="K120" s="525"/>
      <c r="L120" s="525"/>
      <c r="M120" s="525"/>
      <c r="N120" s="1214"/>
      <c r="O120" s="1670"/>
      <c r="P120" s="1671"/>
      <c r="Q120" s="1672"/>
      <c r="R120" s="488"/>
    </row>
    <row r="121" spans="2:18" ht="13" x14ac:dyDescent="0.3">
      <c r="B121" s="1240">
        <v>1</v>
      </c>
      <c r="C121" s="515">
        <v>0</v>
      </c>
      <c r="D121" s="515"/>
      <c r="E121" s="600">
        <v>3.44</v>
      </c>
      <c r="F121" s="1239"/>
      <c r="G121" s="1239"/>
      <c r="H121" s="1239"/>
      <c r="I121" s="527"/>
      <c r="J121" s="527"/>
      <c r="K121" s="527"/>
      <c r="L121" s="527"/>
      <c r="M121" s="527"/>
      <c r="N121" s="527"/>
      <c r="O121" s="1432"/>
      <c r="P121" s="1433"/>
      <c r="Q121" s="1434"/>
      <c r="R121" s="488"/>
    </row>
    <row r="122" spans="2:18" ht="13" x14ac:dyDescent="0.3">
      <c r="B122" s="1240">
        <v>2</v>
      </c>
      <c r="C122" s="515">
        <v>1</v>
      </c>
      <c r="D122" s="515"/>
      <c r="E122" s="600">
        <v>4.47</v>
      </c>
      <c r="F122" s="1239"/>
      <c r="G122" s="1239"/>
      <c r="H122" s="1239"/>
      <c r="I122" s="527"/>
      <c r="J122" s="527"/>
      <c r="K122" s="527"/>
      <c r="L122" s="527"/>
      <c r="M122" s="527"/>
      <c r="N122" s="527"/>
      <c r="O122" s="1422"/>
      <c r="P122" s="1423"/>
      <c r="Q122" s="1424"/>
      <c r="R122" s="488"/>
    </row>
    <row r="123" spans="2:18" ht="13" x14ac:dyDescent="0.3">
      <c r="B123" s="1240">
        <v>3</v>
      </c>
      <c r="C123" s="515">
        <v>2</v>
      </c>
      <c r="D123" s="515"/>
      <c r="E123" s="600">
        <v>5.41</v>
      </c>
      <c r="F123" s="1239"/>
      <c r="G123" s="1239"/>
      <c r="H123" s="1239"/>
      <c r="I123" s="527"/>
      <c r="J123" s="527"/>
      <c r="K123" s="527"/>
      <c r="L123" s="527"/>
      <c r="M123" s="527"/>
      <c r="N123" s="527"/>
      <c r="O123" s="1422"/>
      <c r="P123" s="1423"/>
      <c r="Q123" s="1424"/>
      <c r="R123" s="488"/>
    </row>
    <row r="124" spans="2:18" ht="13" x14ac:dyDescent="0.3">
      <c r="B124" s="1240">
        <v>4</v>
      </c>
      <c r="C124" s="515">
        <v>3</v>
      </c>
      <c r="D124" s="515"/>
      <c r="E124" s="600">
        <v>6.41</v>
      </c>
      <c r="F124" s="1239"/>
      <c r="G124" s="1239"/>
      <c r="H124" s="1239"/>
      <c r="I124" s="527"/>
      <c r="J124" s="527"/>
      <c r="K124" s="527"/>
      <c r="L124" s="527"/>
      <c r="M124" s="527"/>
      <c r="N124" s="527"/>
      <c r="O124" s="1422"/>
      <c r="P124" s="1423"/>
      <c r="Q124" s="1424"/>
      <c r="R124" s="488"/>
    </row>
    <row r="125" spans="2:18" ht="13" x14ac:dyDescent="0.3">
      <c r="B125" s="1240">
        <v>5</v>
      </c>
      <c r="C125" s="515">
        <v>4</v>
      </c>
      <c r="D125" s="515"/>
      <c r="E125" s="600">
        <v>7.42</v>
      </c>
      <c r="F125" s="1239"/>
      <c r="G125" s="1239"/>
      <c r="H125" s="1239"/>
      <c r="I125" s="527"/>
      <c r="J125" s="527"/>
      <c r="K125" s="527"/>
      <c r="L125" s="527"/>
      <c r="M125" s="527"/>
      <c r="N125" s="527"/>
      <c r="O125" s="1422"/>
      <c r="P125" s="1423"/>
      <c r="Q125" s="1424"/>
      <c r="R125" s="488"/>
    </row>
    <row r="126" spans="2:18" ht="13" x14ac:dyDescent="0.3">
      <c r="B126" s="1240">
        <v>6</v>
      </c>
      <c r="C126" s="515">
        <v>5</v>
      </c>
      <c r="D126" s="515"/>
      <c r="E126" s="1189">
        <v>8.4600000000000009</v>
      </c>
      <c r="F126" s="619"/>
      <c r="G126" s="1239"/>
      <c r="H126" s="1239"/>
      <c r="I126" s="528"/>
      <c r="J126" s="528"/>
      <c r="K126" s="528"/>
      <c r="L126" s="528"/>
      <c r="M126" s="528"/>
      <c r="N126" s="528"/>
      <c r="O126" s="1425"/>
      <c r="P126" s="1426"/>
      <c r="Q126" s="1427"/>
      <c r="R126" s="488"/>
    </row>
    <row r="127" spans="2:18" ht="13" x14ac:dyDescent="0.3">
      <c r="B127" s="1240">
        <v>7</v>
      </c>
      <c r="C127" s="515">
        <v>6</v>
      </c>
      <c r="D127" s="515"/>
      <c r="E127" s="1189">
        <v>9.4600000000000009</v>
      </c>
      <c r="F127" s="528"/>
      <c r="G127" s="528"/>
      <c r="H127" s="1239"/>
      <c r="I127" s="528"/>
      <c r="J127" s="528"/>
      <c r="K127" s="528"/>
      <c r="L127" s="528"/>
      <c r="M127" s="528"/>
      <c r="N127" s="528"/>
      <c r="O127" s="1425"/>
      <c r="P127" s="1426"/>
      <c r="Q127" s="1427"/>
      <c r="R127" s="488"/>
    </row>
    <row r="128" spans="2:18" ht="13" x14ac:dyDescent="0.3">
      <c r="B128" s="1240">
        <v>8</v>
      </c>
      <c r="C128" s="515">
        <v>7</v>
      </c>
      <c r="D128" s="515"/>
      <c r="E128" s="1189">
        <v>10.53</v>
      </c>
      <c r="F128" s="528"/>
      <c r="G128" s="528"/>
      <c r="H128" s="528"/>
      <c r="I128" s="528"/>
      <c r="J128" s="528"/>
      <c r="K128" s="528"/>
      <c r="L128" s="528"/>
      <c r="M128" s="528"/>
      <c r="N128" s="528"/>
      <c r="O128" s="1425"/>
      <c r="P128" s="1426"/>
      <c r="Q128" s="1427"/>
      <c r="R128" s="488"/>
    </row>
    <row r="129" spans="2:18" ht="13" x14ac:dyDescent="0.3">
      <c r="B129" s="1240">
        <v>9</v>
      </c>
      <c r="C129" s="515">
        <v>8</v>
      </c>
      <c r="D129" s="515"/>
      <c r="E129" s="1189">
        <v>11.69</v>
      </c>
      <c r="F129" s="1240"/>
      <c r="G129" s="1240"/>
      <c r="H129" s="1240"/>
      <c r="I129" s="528"/>
      <c r="J129" s="528"/>
      <c r="K129" s="528"/>
      <c r="L129" s="528"/>
      <c r="M129" s="528"/>
      <c r="N129" s="528"/>
      <c r="O129" s="1425"/>
      <c r="P129" s="1426"/>
      <c r="Q129" s="1427"/>
      <c r="R129" s="488"/>
    </row>
    <row r="130" spans="2:18" ht="13" x14ac:dyDescent="0.3">
      <c r="B130" s="1240">
        <v>10</v>
      </c>
      <c r="C130" s="515"/>
      <c r="D130" s="1189"/>
      <c r="E130" s="1240"/>
      <c r="F130" s="1240"/>
      <c r="G130" s="1240"/>
      <c r="H130" s="1240"/>
      <c r="I130" s="528"/>
      <c r="J130" s="528"/>
      <c r="K130" s="528"/>
      <c r="L130" s="528"/>
      <c r="M130" s="528"/>
      <c r="N130" s="528"/>
      <c r="O130" s="1425"/>
      <c r="P130" s="1426"/>
      <c r="Q130" s="1427"/>
      <c r="R130" s="488"/>
    </row>
    <row r="131" spans="2:18" ht="13" x14ac:dyDescent="0.3">
      <c r="B131" s="1240">
        <v>11</v>
      </c>
      <c r="C131" s="515"/>
      <c r="D131" s="1189"/>
      <c r="E131" s="529"/>
      <c r="F131" s="1239"/>
      <c r="G131" s="529"/>
      <c r="H131" s="529"/>
      <c r="I131" s="528"/>
      <c r="J131" s="528"/>
      <c r="K131" s="528"/>
      <c r="L131" s="528"/>
      <c r="M131" s="528"/>
      <c r="N131" s="528"/>
      <c r="O131" s="1425"/>
      <c r="P131" s="1426"/>
      <c r="Q131" s="1427"/>
      <c r="R131" s="488"/>
    </row>
    <row r="132" spans="2:18" ht="13" x14ac:dyDescent="0.3">
      <c r="B132" s="1240">
        <v>12</v>
      </c>
      <c r="C132" s="515"/>
      <c r="D132" s="1189"/>
      <c r="E132" s="1240"/>
      <c r="F132" s="1239"/>
      <c r="G132" s="1240"/>
      <c r="H132" s="1240"/>
      <c r="I132" s="528"/>
      <c r="J132" s="528"/>
      <c r="K132" s="528"/>
      <c r="L132" s="528"/>
      <c r="M132" s="528"/>
      <c r="N132" s="528"/>
      <c r="O132" s="1425"/>
      <c r="P132" s="1426"/>
      <c r="Q132" s="1427"/>
      <c r="R132" s="488"/>
    </row>
    <row r="133" spans="2:18" ht="13" x14ac:dyDescent="0.3">
      <c r="B133" s="1240">
        <v>13</v>
      </c>
      <c r="C133" s="515"/>
      <c r="D133" s="1189"/>
      <c r="E133" s="1240"/>
      <c r="F133" s="1240"/>
      <c r="G133" s="1240"/>
      <c r="H133" s="1240"/>
      <c r="I133" s="528"/>
      <c r="J133" s="528"/>
      <c r="K133" s="528"/>
      <c r="L133" s="528"/>
      <c r="M133" s="528"/>
      <c r="N133" s="528"/>
      <c r="O133" s="1425"/>
      <c r="P133" s="1426"/>
      <c r="Q133" s="1427"/>
      <c r="R133" s="488"/>
    </row>
    <row r="134" spans="2:18" ht="13" x14ac:dyDescent="0.3">
      <c r="B134" s="1240">
        <v>14</v>
      </c>
      <c r="C134" s="515"/>
      <c r="D134" s="1189"/>
      <c r="E134" s="530"/>
      <c r="F134" s="530"/>
      <c r="G134" s="530"/>
      <c r="H134" s="530"/>
      <c r="I134" s="528"/>
      <c r="J134" s="528"/>
      <c r="K134" s="528"/>
      <c r="L134" s="528"/>
      <c r="M134" s="528"/>
      <c r="N134" s="528"/>
      <c r="O134" s="1425"/>
      <c r="P134" s="1426"/>
      <c r="Q134" s="1427"/>
      <c r="R134" s="488"/>
    </row>
    <row r="135" spans="2:18" ht="13" x14ac:dyDescent="0.3">
      <c r="B135" s="1240">
        <v>15</v>
      </c>
      <c r="C135" s="515"/>
      <c r="D135" s="1189"/>
      <c r="E135" s="530"/>
      <c r="F135" s="530"/>
      <c r="G135" s="530"/>
      <c r="H135" s="530"/>
      <c r="I135" s="528"/>
      <c r="J135" s="528"/>
      <c r="K135" s="528"/>
      <c r="L135" s="528"/>
      <c r="M135" s="528"/>
      <c r="N135" s="528"/>
      <c r="O135" s="1425"/>
      <c r="P135" s="1426"/>
      <c r="Q135" s="1427"/>
      <c r="R135" s="488"/>
    </row>
    <row r="136" spans="2:18" ht="13" x14ac:dyDescent="0.3">
      <c r="B136" s="1240">
        <v>16</v>
      </c>
      <c r="C136" s="515"/>
      <c r="D136" s="1189"/>
      <c r="E136" s="530"/>
      <c r="F136" s="530"/>
      <c r="G136" s="530"/>
      <c r="H136" s="530"/>
      <c r="I136" s="528"/>
      <c r="J136" s="528"/>
      <c r="K136" s="528"/>
      <c r="L136" s="528"/>
      <c r="M136" s="528"/>
      <c r="N136" s="528"/>
      <c r="O136" s="1425"/>
      <c r="P136" s="1426"/>
      <c r="Q136" s="1427"/>
      <c r="R136" s="488"/>
    </row>
    <row r="137" spans="2:18" ht="13" x14ac:dyDescent="0.3">
      <c r="B137" s="1240">
        <v>17</v>
      </c>
      <c r="C137" s="515"/>
      <c r="D137" s="1189"/>
      <c r="E137" s="530"/>
      <c r="F137" s="530"/>
      <c r="G137" s="530"/>
      <c r="H137" s="530"/>
      <c r="I137" s="528"/>
      <c r="J137" s="528"/>
      <c r="K137" s="528"/>
      <c r="L137" s="528"/>
      <c r="M137" s="528"/>
      <c r="N137" s="528"/>
      <c r="O137" s="1425"/>
      <c r="P137" s="1426"/>
      <c r="Q137" s="1427"/>
      <c r="R137" s="488"/>
    </row>
    <row r="138" spans="2:18" ht="13" x14ac:dyDescent="0.3">
      <c r="B138" s="1240">
        <v>18</v>
      </c>
      <c r="C138" s="515"/>
      <c r="D138" s="1189"/>
      <c r="E138" s="530"/>
      <c r="F138" s="530"/>
      <c r="G138" s="530"/>
      <c r="H138" s="530"/>
      <c r="I138" s="528"/>
      <c r="J138" s="528"/>
      <c r="K138" s="528"/>
      <c r="L138" s="528"/>
      <c r="M138" s="528"/>
      <c r="N138" s="528"/>
      <c r="O138" s="1425"/>
      <c r="P138" s="1426"/>
      <c r="Q138" s="1427"/>
      <c r="R138" s="488"/>
    </row>
    <row r="139" spans="2:18" ht="13" x14ac:dyDescent="0.3">
      <c r="B139" s="1240">
        <v>19</v>
      </c>
      <c r="C139" s="515"/>
      <c r="D139" s="1189"/>
      <c r="E139" s="530"/>
      <c r="F139" s="530"/>
      <c r="G139" s="530"/>
      <c r="H139" s="530"/>
      <c r="I139" s="528"/>
      <c r="J139" s="528"/>
      <c r="K139" s="528"/>
      <c r="L139" s="528"/>
      <c r="M139" s="528"/>
      <c r="N139" s="528"/>
      <c r="O139" s="1425"/>
      <c r="P139" s="1426"/>
      <c r="Q139" s="1427"/>
      <c r="R139" s="488"/>
    </row>
    <row r="140" spans="2:18" ht="13" x14ac:dyDescent="0.3">
      <c r="B140" s="1240">
        <v>20</v>
      </c>
      <c r="C140" s="515"/>
      <c r="D140" s="1189"/>
      <c r="E140" s="530"/>
      <c r="F140" s="530"/>
      <c r="G140" s="530"/>
      <c r="H140" s="530"/>
      <c r="I140" s="528"/>
      <c r="J140" s="528"/>
      <c r="K140" s="528"/>
      <c r="L140" s="528"/>
      <c r="M140" s="528"/>
      <c r="N140" s="528"/>
      <c r="O140" s="1425"/>
      <c r="P140" s="1426"/>
      <c r="Q140" s="1427"/>
      <c r="R140" s="488"/>
    </row>
    <row r="142" spans="2:18" ht="18.75" customHeight="1" x14ac:dyDescent="0.3">
      <c r="B142" s="747" t="s">
        <v>946</v>
      </c>
      <c r="C142" s="1703"/>
      <c r="D142" s="1704"/>
      <c r="E142" s="1704"/>
      <c r="F142" s="1704"/>
      <c r="G142" s="1704"/>
      <c r="H142" s="1704"/>
      <c r="I142" s="1704"/>
      <c r="J142" s="1704"/>
      <c r="K142" s="1704"/>
    </row>
    <row r="143" spans="2:18" ht="18.75" customHeight="1" x14ac:dyDescent="0.3">
      <c r="B143" s="747" t="s">
        <v>947</v>
      </c>
      <c r="C143" s="748">
        <v>0</v>
      </c>
      <c r="D143" s="748">
        <v>1</v>
      </c>
      <c r="E143" s="748">
        <v>2</v>
      </c>
      <c r="F143" s="748">
        <v>3</v>
      </c>
      <c r="G143" s="748">
        <v>4</v>
      </c>
      <c r="H143" s="748">
        <v>5</v>
      </c>
      <c r="I143" s="748">
        <v>6</v>
      </c>
      <c r="J143" s="748">
        <v>7</v>
      </c>
      <c r="K143" s="748">
        <v>8</v>
      </c>
    </row>
    <row r="144" spans="2:18" ht="18.75" customHeight="1" x14ac:dyDescent="0.3">
      <c r="B144" s="749" t="s">
        <v>948</v>
      </c>
      <c r="C144" s="750">
        <v>2.44</v>
      </c>
      <c r="D144" s="750">
        <v>4.5</v>
      </c>
      <c r="E144" s="750">
        <v>6.3</v>
      </c>
      <c r="F144" s="750">
        <v>8.4</v>
      </c>
      <c r="G144" s="750">
        <v>10.44</v>
      </c>
      <c r="H144" s="750">
        <v>12.66</v>
      </c>
      <c r="I144" s="750">
        <v>14.49</v>
      </c>
      <c r="J144" s="751">
        <v>17</v>
      </c>
      <c r="K144" s="750">
        <v>20</v>
      </c>
    </row>
    <row r="145" spans="2:11" ht="18.75" customHeight="1" x14ac:dyDescent="0.3">
      <c r="B145" s="749" t="s">
        <v>949</v>
      </c>
      <c r="C145" s="750">
        <v>2.44</v>
      </c>
      <c r="D145" s="750">
        <v>3.47</v>
      </c>
      <c r="E145" s="750">
        <v>4.41</v>
      </c>
      <c r="F145" s="750">
        <v>5.41</v>
      </c>
      <c r="G145" s="750">
        <v>6.42</v>
      </c>
      <c r="H145" s="750">
        <v>7.46</v>
      </c>
      <c r="I145" s="750">
        <v>8.4600000000000009</v>
      </c>
      <c r="J145" s="751">
        <v>9.5299999999999994</v>
      </c>
      <c r="K145" s="750">
        <v>10.69</v>
      </c>
    </row>
    <row r="146" spans="2:11" ht="18.75" customHeight="1" x14ac:dyDescent="0.3">
      <c r="B146" s="749" t="s">
        <v>950</v>
      </c>
      <c r="C146" s="750">
        <v>3.44</v>
      </c>
      <c r="D146" s="750">
        <v>4.47</v>
      </c>
      <c r="E146" s="750">
        <v>5.41</v>
      </c>
      <c r="F146" s="750">
        <v>6.41</v>
      </c>
      <c r="G146" s="750">
        <v>7.42</v>
      </c>
      <c r="H146" s="750">
        <v>8.4600000000000009</v>
      </c>
      <c r="I146" s="750">
        <v>9.4600000000000009</v>
      </c>
      <c r="J146" s="751">
        <v>10.53</v>
      </c>
      <c r="K146" s="750">
        <v>11.69</v>
      </c>
    </row>
  </sheetData>
  <sheetProtection algorithmName="SHA-512" hashValue="4IF5V36V4bo8jpvNjGJ4wwcTBXYIocrfis8pX+B0QwpVbOw6qwipXVkoKAEqphXspY1woqXI0KuJO34PIACE3Q==" saltValue="TyODzK2eNbliz9nD6HeFsg==" spinCount="100000" sheet="1" objects="1" scenarios="1" selectLockedCells="1" selectUnlockedCells="1"/>
  <mergeCells count="146">
    <mergeCell ref="O134:Q134"/>
    <mergeCell ref="O135:Q135"/>
    <mergeCell ref="O136:Q136"/>
    <mergeCell ref="O137:Q137"/>
    <mergeCell ref="O138:Q138"/>
    <mergeCell ref="O139:Q139"/>
    <mergeCell ref="O140:Q140"/>
    <mergeCell ref="C142:K142"/>
    <mergeCell ref="O125:Q125"/>
    <mergeCell ref="O126:Q126"/>
    <mergeCell ref="O127:Q127"/>
    <mergeCell ref="O128:Q128"/>
    <mergeCell ref="O129:Q129"/>
    <mergeCell ref="O130:Q130"/>
    <mergeCell ref="O131:Q131"/>
    <mergeCell ref="O132:Q132"/>
    <mergeCell ref="O133:Q133"/>
    <mergeCell ref="O107:Q107"/>
    <mergeCell ref="O108:Q108"/>
    <mergeCell ref="O109:Q109"/>
    <mergeCell ref="O110:Q110"/>
    <mergeCell ref="O111:Q111"/>
    <mergeCell ref="O112:Q112"/>
    <mergeCell ref="O101:Q101"/>
    <mergeCell ref="O102:Q102"/>
    <mergeCell ref="O103:Q103"/>
    <mergeCell ref="O104:Q104"/>
    <mergeCell ref="O105:Q105"/>
    <mergeCell ref="O106:Q106"/>
    <mergeCell ref="E118:N118"/>
    <mergeCell ref="O118:Q120"/>
    <mergeCell ref="B119:D119"/>
    <mergeCell ref="C120:D120"/>
    <mergeCell ref="O121:Q121"/>
    <mergeCell ref="O122:Q122"/>
    <mergeCell ref="O123:Q123"/>
    <mergeCell ref="O124:Q124"/>
    <mergeCell ref="O113:Q113"/>
    <mergeCell ref="O114:Q114"/>
    <mergeCell ref="O115:Q115"/>
    <mergeCell ref="O116:Q116"/>
    <mergeCell ref="C96:D96"/>
    <mergeCell ref="O97:Q97"/>
    <mergeCell ref="O98:Q98"/>
    <mergeCell ref="O99:Q99"/>
    <mergeCell ref="O100:Q100"/>
    <mergeCell ref="F86:Q86"/>
    <mergeCell ref="F87:Q87"/>
    <mergeCell ref="F88:Q88"/>
    <mergeCell ref="F89:Q89"/>
    <mergeCell ref="F90:Q90"/>
    <mergeCell ref="E94:N94"/>
    <mergeCell ref="O94:Q96"/>
    <mergeCell ref="B95:D95"/>
    <mergeCell ref="F80:Q80"/>
    <mergeCell ref="F81:Q81"/>
    <mergeCell ref="F82:Q82"/>
    <mergeCell ref="F83:Q83"/>
    <mergeCell ref="F84:Q84"/>
    <mergeCell ref="F85:Q85"/>
    <mergeCell ref="D73:E73"/>
    <mergeCell ref="J73:Q73"/>
    <mergeCell ref="D74:E74"/>
    <mergeCell ref="J74:Q74"/>
    <mergeCell ref="D75:E75"/>
    <mergeCell ref="J75:Q75"/>
    <mergeCell ref="D70:E70"/>
    <mergeCell ref="J70:Q70"/>
    <mergeCell ref="D71:E71"/>
    <mergeCell ref="J71:Q71"/>
    <mergeCell ref="D72:E72"/>
    <mergeCell ref="J72:Q72"/>
    <mergeCell ref="D76:E76"/>
    <mergeCell ref="J76:Q76"/>
    <mergeCell ref="D68:E68"/>
    <mergeCell ref="J68:Q68"/>
    <mergeCell ref="D69:E69"/>
    <mergeCell ref="J69:Q69"/>
    <mergeCell ref="D67:E67"/>
    <mergeCell ref="J67:Q67"/>
    <mergeCell ref="D62:E62"/>
    <mergeCell ref="J62:Q62"/>
    <mergeCell ref="D63:E63"/>
    <mergeCell ref="J63:Q63"/>
    <mergeCell ref="D64:E64"/>
    <mergeCell ref="J64:Q64"/>
    <mergeCell ref="D65:E65"/>
    <mergeCell ref="J65:Q65"/>
    <mergeCell ref="D66:E66"/>
    <mergeCell ref="J66:Q66"/>
    <mergeCell ref="C56:M56"/>
    <mergeCell ref="P56:Q56"/>
    <mergeCell ref="C57:M57"/>
    <mergeCell ref="P57:Q57"/>
    <mergeCell ref="D61:E61"/>
    <mergeCell ref="J61:Q61"/>
    <mergeCell ref="C53:M53"/>
    <mergeCell ref="P53:Q53"/>
    <mergeCell ref="C54:M54"/>
    <mergeCell ref="P54:Q54"/>
    <mergeCell ref="C55:M55"/>
    <mergeCell ref="P55:Q55"/>
    <mergeCell ref="C49:M49"/>
    <mergeCell ref="P49:Q49"/>
    <mergeCell ref="C50:M50"/>
    <mergeCell ref="P50:Q50"/>
    <mergeCell ref="C51:M51"/>
    <mergeCell ref="P51:Q51"/>
    <mergeCell ref="C45:M45"/>
    <mergeCell ref="P45:Q45"/>
    <mergeCell ref="C47:M47"/>
    <mergeCell ref="P47:Q47"/>
    <mergeCell ref="C48:M48"/>
    <mergeCell ref="P48:Q48"/>
    <mergeCell ref="C42:M42"/>
    <mergeCell ref="P42:Q42"/>
    <mergeCell ref="C43:M43"/>
    <mergeCell ref="P43:Q43"/>
    <mergeCell ref="C44:M44"/>
    <mergeCell ref="P44:Q44"/>
    <mergeCell ref="E34:Q34"/>
    <mergeCell ref="E35:Q35"/>
    <mergeCell ref="E36:Q36"/>
    <mergeCell ref="E37:Q37"/>
    <mergeCell ref="C41:M41"/>
    <mergeCell ref="P41:Q41"/>
    <mergeCell ref="D28:Q28"/>
    <mergeCell ref="E32:Q32"/>
    <mergeCell ref="E33:Q33"/>
    <mergeCell ref="D17:F17"/>
    <mergeCell ref="D18:F18"/>
    <mergeCell ref="B20:Q20"/>
    <mergeCell ref="C21:Q21"/>
    <mergeCell ref="C22:Q22"/>
    <mergeCell ref="C23:Q23"/>
    <mergeCell ref="D29:Q29"/>
    <mergeCell ref="D30:Q30"/>
    <mergeCell ref="C2:F2"/>
    <mergeCell ref="C3:F3"/>
    <mergeCell ref="C4:F4"/>
    <mergeCell ref="C5:F5"/>
    <mergeCell ref="D7:F7"/>
    <mergeCell ref="D8:F16"/>
    <mergeCell ref="D25:Q25"/>
    <mergeCell ref="D26:Q26"/>
    <mergeCell ref="D27:Q27"/>
  </mergeCells>
  <conditionalFormatting sqref="F109:F116 G102:G116 H104:H116">
    <cfRule type="expression" dxfId="3665" priority="106">
      <formula>IF(OR(#REF!="L",#REF!="C"),TRUE,FALSE)</formula>
    </cfRule>
  </conditionalFormatting>
  <conditionalFormatting sqref="E110:E116">
    <cfRule type="expression" dxfId="3664" priority="105">
      <formula>IF(OR(#REF!="L",#REF!="C"),TRUE,FALSE)</formula>
    </cfRule>
  </conditionalFormatting>
  <conditionalFormatting sqref="E107">
    <cfRule type="expression" dxfId="3663" priority="104">
      <formula>IF(OR(#REF!="L",#REF!="C"),TRUE,FALSE)</formula>
    </cfRule>
  </conditionalFormatting>
  <conditionalFormatting sqref="E108">
    <cfRule type="expression" dxfId="3662" priority="103">
      <formula>IF(OR(#REF!="L",#REF!="C"),TRUE,FALSE)</formula>
    </cfRule>
  </conditionalFormatting>
  <conditionalFormatting sqref="E109">
    <cfRule type="expression" dxfId="3661" priority="102">
      <formula>IF(OR(#REF!="L",#REF!="C"),TRUE,FALSE)</formula>
    </cfRule>
  </conditionalFormatting>
  <conditionalFormatting sqref="E106">
    <cfRule type="expression" dxfId="3660" priority="101">
      <formula>IF(OR(#REF!="L",#REF!="C"),TRUE,FALSE)</formula>
    </cfRule>
  </conditionalFormatting>
  <conditionalFormatting sqref="G95 I95 K95 M95">
    <cfRule type="duplicateValues" dxfId="3659" priority="100"/>
  </conditionalFormatting>
  <conditionalFormatting sqref="M104:M116">
    <cfRule type="expression" dxfId="3658" priority="90">
      <formula>IF(OR(#REF!="L",#REF!="C"),TRUE,FALSE)</formula>
    </cfRule>
  </conditionalFormatting>
  <conditionalFormatting sqref="F102:F106">
    <cfRule type="expression" dxfId="3657" priority="99">
      <formula>IF(OR(#REF!="L",#REF!="C"),TRUE,FALSE)</formula>
    </cfRule>
  </conditionalFormatting>
  <conditionalFormatting sqref="I102:I103">
    <cfRule type="expression" dxfId="3656" priority="97">
      <formula>IF(OR(#REF!="L",#REF!="C"),TRUE,FALSE)</formula>
    </cfRule>
  </conditionalFormatting>
  <conditionalFormatting sqref="N102:N103">
    <cfRule type="expression" dxfId="3655" priority="87">
      <formula>IF(OR(#REF!="L",#REF!="C"),TRUE,FALSE)</formula>
    </cfRule>
  </conditionalFormatting>
  <conditionalFormatting sqref="I104:I116">
    <cfRule type="expression" dxfId="3654" priority="98">
      <formula>IF(OR(#REF!="L",#REF!="C"),TRUE,FALSE)</formula>
    </cfRule>
  </conditionalFormatting>
  <conditionalFormatting sqref="J102:J103">
    <cfRule type="expression" dxfId="3653" priority="95">
      <formula>IF(OR(#REF!="L",#REF!="C"),TRUE,FALSE)</formula>
    </cfRule>
  </conditionalFormatting>
  <conditionalFormatting sqref="J104:J116">
    <cfRule type="expression" dxfId="3652" priority="96">
      <formula>IF(OR(#REF!="L",#REF!="C"),TRUE,FALSE)</formula>
    </cfRule>
  </conditionalFormatting>
  <conditionalFormatting sqref="K102:K103">
    <cfRule type="expression" dxfId="3651" priority="93">
      <formula>IF(OR(#REF!="L",#REF!="C"),TRUE,FALSE)</formula>
    </cfRule>
  </conditionalFormatting>
  <conditionalFormatting sqref="K104:K116">
    <cfRule type="expression" dxfId="3650" priority="94">
      <formula>IF(OR(#REF!="L",#REF!="C"),TRUE,FALSE)</formula>
    </cfRule>
  </conditionalFormatting>
  <conditionalFormatting sqref="L102:L103">
    <cfRule type="expression" dxfId="3649" priority="91">
      <formula>IF(OR(#REF!="L",#REF!="C"),TRUE,FALSE)</formula>
    </cfRule>
  </conditionalFormatting>
  <conditionalFormatting sqref="L104:L116">
    <cfRule type="expression" dxfId="3648" priority="92">
      <formula>IF(OR(#REF!="L",#REF!="C"),TRUE,FALSE)</formula>
    </cfRule>
  </conditionalFormatting>
  <conditionalFormatting sqref="M102:M103">
    <cfRule type="expression" dxfId="3647" priority="89">
      <formula>IF(OR(#REF!="L",#REF!="C"),TRUE,FALSE)</formula>
    </cfRule>
  </conditionalFormatting>
  <conditionalFormatting sqref="N104:N116">
    <cfRule type="expression" dxfId="3646" priority="88">
      <formula>IF(OR(#REF!="L",#REF!="C"),TRUE,FALSE)</formula>
    </cfRule>
  </conditionalFormatting>
  <conditionalFormatting sqref="O102:O103">
    <cfRule type="expression" dxfId="3645" priority="84">
      <formula>IF(OR(#REF!="L",#REF!="C"),TRUE,FALSE)</formula>
    </cfRule>
  </conditionalFormatting>
  <conditionalFormatting sqref="O104:O116">
    <cfRule type="expression" dxfId="3644" priority="85">
      <formula>IF(OR(#REF!="L",#REF!="C"),TRUE,FALSE)</formula>
    </cfRule>
  </conditionalFormatting>
  <conditionalFormatting sqref="F96:N96">
    <cfRule type="duplicateValues" dxfId="3643" priority="83"/>
  </conditionalFormatting>
  <conditionalFormatting sqref="H66">
    <cfRule type="expression" dxfId="3642" priority="43">
      <formula>IF(OR(#REF!="L",#REF!="C"),TRUE,FALSE)</formula>
    </cfRule>
  </conditionalFormatting>
  <conditionalFormatting sqref="H67">
    <cfRule type="expression" dxfId="3641" priority="42">
      <formula>IF(OR(#REF!="L",#REF!="C"),TRUE,FALSE)</formula>
    </cfRule>
  </conditionalFormatting>
  <conditionalFormatting sqref="H76">
    <cfRule type="expression" dxfId="3640" priority="41">
      <formula>IF(OR(#REF!="L",#REF!="C"),TRUE,FALSE)</formula>
    </cfRule>
  </conditionalFormatting>
  <conditionalFormatting sqref="H63">
    <cfRule type="expression" dxfId="3639" priority="39">
      <formula>IF(OR(#REF!="L",#REF!="C"),TRUE,FALSE)</formula>
    </cfRule>
  </conditionalFormatting>
  <conditionalFormatting sqref="H64">
    <cfRule type="expression" dxfId="3638" priority="38">
      <formula>IF(OR(#REF!="L",#REF!="C"),TRUE,FALSE)</formula>
    </cfRule>
  </conditionalFormatting>
  <conditionalFormatting sqref="H65">
    <cfRule type="expression" dxfId="3637" priority="37">
      <formula>IF(OR(#REF!="L",#REF!="C"),TRUE,FALSE)</formula>
    </cfRule>
  </conditionalFormatting>
  <conditionalFormatting sqref="H68:H70">
    <cfRule type="expression" dxfId="3636" priority="36">
      <formula>IF(OR(#REF!="L",#REF!="C"),TRUE,FALSE)</formula>
    </cfRule>
  </conditionalFormatting>
  <conditionalFormatting sqref="H71">
    <cfRule type="expression" dxfId="3635" priority="35">
      <formula>IF(OR(#REF!="L",#REF!="C"),TRUE,FALSE)</formula>
    </cfRule>
  </conditionalFormatting>
  <conditionalFormatting sqref="H74">
    <cfRule type="expression" dxfId="3634" priority="34">
      <formula>IF(OR(#REF!="L",#REF!="C"),TRUE,FALSE)</formula>
    </cfRule>
  </conditionalFormatting>
  <conditionalFormatting sqref="H73">
    <cfRule type="expression" dxfId="3633" priority="33">
      <formula>IF(OR(#REF!="L",#REF!="C"),TRUE,FALSE)</formula>
    </cfRule>
  </conditionalFormatting>
  <conditionalFormatting sqref="H75:H76">
    <cfRule type="expression" dxfId="3632" priority="32">
      <formula>IF(OR(#REF!="L",#REF!="C"),TRUE,FALSE)</formula>
    </cfRule>
  </conditionalFormatting>
  <conditionalFormatting sqref="H62:H63">
    <cfRule type="expression" dxfId="3631" priority="31">
      <formula>IF(OR(#REF!="L",#REF!="C"),TRUE,FALSE)</formula>
    </cfRule>
  </conditionalFormatting>
  <conditionalFormatting sqref="E95">
    <cfRule type="duplicateValues" dxfId="3630" priority="30"/>
  </conditionalFormatting>
  <conditionalFormatting sqref="E96">
    <cfRule type="duplicateValues" dxfId="3629" priority="29"/>
  </conditionalFormatting>
  <conditionalFormatting sqref="F133:F140 G126:G140 H128:H140">
    <cfRule type="expression" dxfId="3628" priority="28">
      <formula>IF(OR(#REF!="L",#REF!="C"),TRUE,FALSE)</formula>
    </cfRule>
  </conditionalFormatting>
  <conditionalFormatting sqref="E134:E140">
    <cfRule type="expression" dxfId="3627" priority="27">
      <formula>IF(OR(#REF!="L",#REF!="C"),TRUE,FALSE)</formula>
    </cfRule>
  </conditionalFormatting>
  <conditionalFormatting sqref="E131">
    <cfRule type="expression" dxfId="3626" priority="26">
      <formula>IF(OR(#REF!="L",#REF!="C"),TRUE,FALSE)</formula>
    </cfRule>
  </conditionalFormatting>
  <conditionalFormatting sqref="E132">
    <cfRule type="expression" dxfId="3625" priority="25">
      <formula>IF(OR(#REF!="L",#REF!="C"),TRUE,FALSE)</formula>
    </cfRule>
  </conditionalFormatting>
  <conditionalFormatting sqref="E133">
    <cfRule type="expression" dxfId="3624" priority="24">
      <formula>IF(OR(#REF!="L",#REF!="C"),TRUE,FALSE)</formula>
    </cfRule>
  </conditionalFormatting>
  <conditionalFormatting sqref="E130">
    <cfRule type="expression" dxfId="3623" priority="23">
      <formula>IF(OR(#REF!="L",#REF!="C"),TRUE,FALSE)</formula>
    </cfRule>
  </conditionalFormatting>
  <conditionalFormatting sqref="G119 I119 K119 M119">
    <cfRule type="duplicateValues" dxfId="3622" priority="22"/>
  </conditionalFormatting>
  <conditionalFormatting sqref="M128:M140">
    <cfRule type="expression" dxfId="3621" priority="12">
      <formula>IF(OR(#REF!="L",#REF!="C"),TRUE,FALSE)</formula>
    </cfRule>
  </conditionalFormatting>
  <conditionalFormatting sqref="F126:F130">
    <cfRule type="expression" dxfId="3620" priority="21">
      <formula>IF(OR(#REF!="L",#REF!="C"),TRUE,FALSE)</formula>
    </cfRule>
  </conditionalFormatting>
  <conditionalFormatting sqref="I126:I127">
    <cfRule type="expression" dxfId="3619" priority="19">
      <formula>IF(OR(#REF!="L",#REF!="C"),TRUE,FALSE)</formula>
    </cfRule>
  </conditionalFormatting>
  <conditionalFormatting sqref="N126:N127">
    <cfRule type="expression" dxfId="3618" priority="9">
      <formula>IF(OR(#REF!="L",#REF!="C"),TRUE,FALSE)</formula>
    </cfRule>
  </conditionalFormatting>
  <conditionalFormatting sqref="I128:I140">
    <cfRule type="expression" dxfId="3617" priority="20">
      <formula>IF(OR(#REF!="L",#REF!="C"),TRUE,FALSE)</formula>
    </cfRule>
  </conditionalFormatting>
  <conditionalFormatting sqref="J126:J127">
    <cfRule type="expression" dxfId="3616" priority="17">
      <formula>IF(OR(#REF!="L",#REF!="C"),TRUE,FALSE)</formula>
    </cfRule>
  </conditionalFormatting>
  <conditionalFormatting sqref="J128:J140">
    <cfRule type="expression" dxfId="3615" priority="18">
      <formula>IF(OR(#REF!="L",#REF!="C"),TRUE,FALSE)</formula>
    </cfRule>
  </conditionalFormatting>
  <conditionalFormatting sqref="K126:K127">
    <cfRule type="expression" dxfId="3614" priority="15">
      <formula>IF(OR(#REF!="L",#REF!="C"),TRUE,FALSE)</formula>
    </cfRule>
  </conditionalFormatting>
  <conditionalFormatting sqref="K128:K140">
    <cfRule type="expression" dxfId="3613" priority="16">
      <formula>IF(OR(#REF!="L",#REF!="C"),TRUE,FALSE)</formula>
    </cfRule>
  </conditionalFormatting>
  <conditionalFormatting sqref="L126:L127">
    <cfRule type="expression" dxfId="3612" priority="13">
      <formula>IF(OR(#REF!="L",#REF!="C"),TRUE,FALSE)</formula>
    </cfRule>
  </conditionalFormatting>
  <conditionalFormatting sqref="L128:L140">
    <cfRule type="expression" dxfId="3611" priority="14">
      <formula>IF(OR(#REF!="L",#REF!="C"),TRUE,FALSE)</formula>
    </cfRule>
  </conditionalFormatting>
  <conditionalFormatting sqref="M126:M127">
    <cfRule type="expression" dxfId="3610" priority="11">
      <formula>IF(OR(#REF!="L",#REF!="C"),TRUE,FALSE)</formula>
    </cfRule>
  </conditionalFormatting>
  <conditionalFormatting sqref="N128:N140">
    <cfRule type="expression" dxfId="3609" priority="10">
      <formula>IF(OR(#REF!="L",#REF!="C"),TRUE,FALSE)</formula>
    </cfRule>
  </conditionalFormatting>
  <conditionalFormatting sqref="O126:O127">
    <cfRule type="expression" dxfId="3608" priority="7">
      <formula>IF(OR(#REF!="L",#REF!="C"),TRUE,FALSE)</formula>
    </cfRule>
  </conditionalFormatting>
  <conditionalFormatting sqref="O128:O140">
    <cfRule type="expression" dxfId="3607" priority="8">
      <formula>IF(OR(#REF!="L",#REF!="C"),TRUE,FALSE)</formula>
    </cfRule>
  </conditionalFormatting>
  <conditionalFormatting sqref="F120:N120">
    <cfRule type="duplicateValues" dxfId="3606" priority="6"/>
  </conditionalFormatting>
  <conditionalFormatting sqref="E119">
    <cfRule type="duplicateValues" dxfId="3605" priority="5"/>
  </conditionalFormatting>
  <conditionalFormatting sqref="E120">
    <cfRule type="duplicateValues" dxfId="3604" priority="4"/>
  </conditionalFormatting>
  <conditionalFormatting sqref="H72">
    <cfRule type="expression" dxfId="3603" priority="1">
      <formula>IF(OR(#REF!="L",#REF!="C"),TRUE,FALSE)</formula>
    </cfRule>
  </conditionalFormatting>
  <dataValidations count="6">
    <dataValidation type="list" allowBlank="1" showInputMessage="1" showErrorMessage="1" sqref="C4" xr:uid="{19D4BF3F-AA01-408F-B519-E2210D1BB78A}">
      <formula1>"COM,RES"</formula1>
    </dataValidation>
    <dataValidation type="list" allowBlank="1" showInputMessage="1" showErrorMessage="1" sqref="C9" xr:uid="{D0037E56-FA05-42E2-8FE1-C95A5AFADE8B}">
      <formula1>INDIRECT("MeasureTypeList[Index]")</formula1>
    </dataValidation>
    <dataValidation type="list" allowBlank="1" showInputMessage="1" showErrorMessage="1" sqref="C26" xr:uid="{6CFEF098-EBAC-4F0A-A4E6-BFDCD004805D}">
      <formula1>INDIRECT("RegionList[Index]")</formula1>
    </dataValidation>
    <dataValidation type="list" allowBlank="1" showInputMessage="1" showErrorMessage="1" sqref="C27" xr:uid="{2E9460E6-B7BD-4951-B8B2-A4C6A3377C12}">
      <formula1>INDIRECT("ReplacementTypeList[Index]")</formula1>
    </dataValidation>
    <dataValidation type="list" allowBlank="1" showInputMessage="1" showErrorMessage="1" sqref="C28" xr:uid="{4903A39C-2E5C-49B3-AAA5-32DF2A92300A}">
      <formula1>INDIRECT("BuildingType[Building]")</formula1>
    </dataValidation>
    <dataValidation type="list" allowBlank="1" showInputMessage="1" showErrorMessage="1" sqref="C29 C30" xr:uid="{625C2DFE-84D6-4079-B649-F6107B29788C}">
      <formula1>INDIRECT("FuelTypeList[Index]")</formula1>
    </dataValidation>
  </dataValidations>
  <hyperlinks>
    <hyperlink ref="F83" r:id="rId1" xr:uid="{DC9FB502-A74B-427A-90CA-6939D8B9464F}"/>
    <hyperlink ref="F85" r:id="rId2" xr:uid="{993ADC47-332B-4F5A-99A2-10D6FB8E715E}"/>
    <hyperlink ref="F84" r:id="rId3" xr:uid="{F5F78671-73B0-4C4E-BE0D-6277AFAE2332}"/>
    <hyperlink ref="F82" r:id="rId4" xr:uid="{2510E264-4D8C-4904-A151-2658D541A482}"/>
  </hyperlinks>
  <pageMargins left="0.7" right="0.7" top="0.75" bottom="0.75" header="0.3" footer="0.3"/>
  <pageSetup orientation="portrait" r:id="rId5"/>
  <extLst>
    <ext xmlns:x14="http://schemas.microsoft.com/office/spreadsheetml/2009/9/main" uri="{CCE6A557-97BC-4b89-ADB6-D9C93CAAB3DF}">
      <x14:dataValidations xmlns:xm="http://schemas.microsoft.com/office/excel/2006/main" count="1">
        <x14:dataValidation type="list" allowBlank="1" showInputMessage="1" showErrorMessage="1" xr:uid="{8BC3F940-9EA3-4B96-AD28-D2EA5E6910A0}">
          <x14:formula1>
            <xm:f>Validation!$B$6:$B$16</xm:f>
          </x14:formula1>
          <xm:sqref>H62:H63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5BD6C-7677-4225-87AB-D5855E582526}">
  <sheetPr codeName="Sheet31"/>
  <dimension ref="A2:T140"/>
  <sheetViews>
    <sheetView workbookViewId="0"/>
  </sheetViews>
  <sheetFormatPr defaultColWidth="9.08984375" defaultRowHeight="18.75" customHeight="1" x14ac:dyDescent="0.3"/>
  <cols>
    <col min="1" max="1" width="2.36328125" style="488" customWidth="1"/>
    <col min="2" max="2" width="38.36328125" style="488" customWidth="1"/>
    <col min="3" max="3" width="22.7265625" style="488" customWidth="1"/>
    <col min="4" max="4" width="21.6328125" style="488" customWidth="1"/>
    <col min="5" max="5" width="15" style="488" customWidth="1"/>
    <col min="6" max="6" width="17.26953125" style="488" customWidth="1"/>
    <col min="7" max="7" width="19.6328125" style="488" customWidth="1"/>
    <col min="8" max="8" width="16" style="488" customWidth="1"/>
    <col min="9" max="9" width="1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623" customWidth="1"/>
    <col min="19" max="19" width="9.08984375" style="488"/>
    <col min="20" max="20" width="8.6328125" style="488" customWidth="1"/>
    <col min="21" max="16384" width="9.08984375" style="488"/>
  </cols>
  <sheetData>
    <row r="2" spans="1:18" ht="18.75" customHeight="1" x14ac:dyDescent="0.3">
      <c r="B2" s="1203" t="s">
        <v>506</v>
      </c>
      <c r="C2" s="1608" t="s">
        <v>406</v>
      </c>
      <c r="D2" s="1608"/>
      <c r="E2" s="1608"/>
      <c r="F2" s="1608"/>
    </row>
    <row r="3" spans="1:18" ht="18.75" customHeight="1" x14ac:dyDescent="0.3">
      <c r="B3" s="624" t="s">
        <v>407</v>
      </c>
      <c r="C3" s="1367" t="str">
        <f>IF(ISBLANK(C8)+ISBLANK(C10),C8,C8&amp;"_"&amp;C10)</f>
        <v>R-WB-003</v>
      </c>
      <c r="D3" s="1367"/>
      <c r="E3" s="1367"/>
      <c r="F3" s="1367"/>
    </row>
    <row r="4" spans="1:18" ht="18.75" customHeight="1" x14ac:dyDescent="0.3">
      <c r="B4" s="624" t="s">
        <v>11</v>
      </c>
      <c r="C4" s="1367" t="str" cm="1">
        <f t="array" ref="C4">_xlfn.SWITCH(LEFT(C8,1),"R","Residential","C","Commercial","ERROR")</f>
        <v>Residential</v>
      </c>
      <c r="D4" s="1367"/>
      <c r="E4" s="1367"/>
      <c r="F4" s="1367"/>
    </row>
    <row r="5" spans="1:18" ht="19.5" customHeight="1" x14ac:dyDescent="0.3">
      <c r="B5" s="624" t="s">
        <v>408</v>
      </c>
      <c r="C5" s="1530" t="s">
        <v>390</v>
      </c>
      <c r="D5" s="1531"/>
      <c r="E5" s="1531"/>
      <c r="F5" s="1532"/>
      <c r="R5" s="488"/>
    </row>
    <row r="6" spans="1:18" ht="18.75" customHeight="1" x14ac:dyDescent="0.3">
      <c r="A6" s="573"/>
    </row>
    <row r="7" spans="1:18" ht="18.75" customHeight="1" x14ac:dyDescent="0.3">
      <c r="B7" s="1203" t="s">
        <v>409</v>
      </c>
      <c r="C7" s="1202" t="s">
        <v>406</v>
      </c>
      <c r="D7" s="1607" t="s">
        <v>410</v>
      </c>
      <c r="E7" s="1607"/>
      <c r="F7" s="1607"/>
      <c r="R7" s="488"/>
    </row>
    <row r="8" spans="1:18" ht="18.75" customHeight="1" x14ac:dyDescent="0.3">
      <c r="B8" s="624" t="s">
        <v>411</v>
      </c>
      <c r="C8" s="1218" t="s">
        <v>179</v>
      </c>
      <c r="D8" s="1457"/>
      <c r="E8" s="1457"/>
      <c r="F8" s="1457"/>
      <c r="R8" s="488"/>
    </row>
    <row r="9" spans="1:18" ht="18.75" customHeight="1" x14ac:dyDescent="0.3">
      <c r="B9" s="624" t="s">
        <v>49</v>
      </c>
      <c r="C9" s="1218" t="s">
        <v>891</v>
      </c>
      <c r="D9" s="1457"/>
      <c r="E9" s="1457"/>
      <c r="F9" s="1457"/>
      <c r="R9" s="488"/>
    </row>
    <row r="10" spans="1:18" ht="18.75" customHeight="1" x14ac:dyDescent="0.3">
      <c r="B10" s="624" t="s">
        <v>412</v>
      </c>
      <c r="C10" s="1218"/>
      <c r="D10" s="1457"/>
      <c r="E10" s="1457"/>
      <c r="F10" s="1457"/>
      <c r="R10" s="488"/>
    </row>
    <row r="11" spans="1:18" ht="18.75" customHeight="1" x14ac:dyDescent="0.3">
      <c r="B11" s="624" t="s">
        <v>413</v>
      </c>
      <c r="C11" s="1218"/>
      <c r="D11" s="1457"/>
      <c r="E11" s="1457"/>
      <c r="F11" s="1457"/>
      <c r="R11" s="488"/>
    </row>
    <row r="12" spans="1:18" ht="18.75" customHeight="1" x14ac:dyDescent="0.3">
      <c r="B12" s="624" t="s">
        <v>414</v>
      </c>
      <c r="C12" s="665"/>
      <c r="D12" s="1457"/>
      <c r="E12" s="1457"/>
      <c r="F12" s="1457"/>
      <c r="R12" s="488"/>
    </row>
    <row r="13" spans="1:18" ht="18.75" customHeight="1" x14ac:dyDescent="0.3">
      <c r="B13" s="626" t="s">
        <v>415</v>
      </c>
      <c r="C13" s="658">
        <f>N43</f>
        <v>1.3410247058680701E-3</v>
      </c>
      <c r="D13" s="1457"/>
      <c r="E13" s="1457"/>
      <c r="F13" s="1457"/>
      <c r="R13" s="488"/>
    </row>
    <row r="14" spans="1:18" ht="18.75" customHeight="1" x14ac:dyDescent="0.3">
      <c r="B14" s="626" t="s">
        <v>416</v>
      </c>
      <c r="C14" s="658">
        <f>N42</f>
        <v>0</v>
      </c>
      <c r="D14" s="1457"/>
      <c r="E14" s="1457"/>
      <c r="F14" s="1457"/>
      <c r="R14" s="488"/>
    </row>
    <row r="15" spans="1:18" ht="18.75" customHeight="1" x14ac:dyDescent="0.3">
      <c r="B15" s="626" t="s">
        <v>417</v>
      </c>
      <c r="C15" s="658">
        <f>N44</f>
        <v>2.3220924618344293E-2</v>
      </c>
      <c r="D15" s="1457"/>
      <c r="E15" s="1457"/>
      <c r="F15" s="1457"/>
      <c r="R15" s="488"/>
    </row>
    <row r="16" spans="1:18" ht="18.75" customHeight="1" x14ac:dyDescent="0.3">
      <c r="B16" s="626" t="s">
        <v>418</v>
      </c>
      <c r="C16" s="659">
        <f>C37</f>
        <v>0</v>
      </c>
      <c r="D16" s="1457"/>
      <c r="E16" s="1457"/>
      <c r="F16" s="1457"/>
      <c r="R16" s="488"/>
    </row>
    <row r="17" spans="2:18" ht="13" x14ac:dyDescent="0.3">
      <c r="B17" s="624" t="s">
        <v>48</v>
      </c>
      <c r="C17" s="1218" t="s">
        <v>892</v>
      </c>
      <c r="D17" s="1607" t="s">
        <v>419</v>
      </c>
      <c r="E17" s="1607"/>
      <c r="F17" s="1607"/>
      <c r="R17" s="488"/>
    </row>
    <row r="18" spans="2:18" ht="13" x14ac:dyDescent="0.3">
      <c r="B18" s="624" t="s">
        <v>420</v>
      </c>
      <c r="C18" s="666">
        <v>20</v>
      </c>
      <c r="D18" s="1513" t="s">
        <v>951</v>
      </c>
      <c r="E18" s="1513"/>
      <c r="F18" s="1513"/>
      <c r="R18" s="488"/>
    </row>
    <row r="19" spans="2:18" ht="18.75" customHeight="1" x14ac:dyDescent="0.3">
      <c r="B19" s="752"/>
      <c r="C19" s="614"/>
      <c r="E19" s="488" t="s">
        <v>941</v>
      </c>
      <c r="R19" s="488"/>
    </row>
    <row r="20" spans="2:18" ht="18.75" customHeight="1" x14ac:dyDescent="0.3">
      <c r="B20" s="1609" t="s">
        <v>421</v>
      </c>
      <c r="C20" s="1609"/>
      <c r="D20" s="1609"/>
      <c r="E20" s="1609"/>
      <c r="F20" s="1609"/>
      <c r="G20" s="1609"/>
      <c r="H20" s="1609"/>
      <c r="I20" s="1609"/>
      <c r="J20" s="1609"/>
      <c r="K20" s="1609"/>
      <c r="L20" s="1609"/>
      <c r="M20" s="1609"/>
      <c r="N20" s="1609"/>
      <c r="O20" s="1609"/>
      <c r="P20" s="1609"/>
      <c r="Q20" s="1609"/>
      <c r="R20" s="488"/>
    </row>
    <row r="21" spans="2:18" ht="18.75" customHeight="1" x14ac:dyDescent="0.3">
      <c r="B21" s="656" t="s">
        <v>422</v>
      </c>
      <c r="C21" s="1637" t="s">
        <v>391</v>
      </c>
      <c r="D21" s="1637"/>
      <c r="E21" s="1637"/>
      <c r="F21" s="1637"/>
      <c r="G21" s="1637"/>
      <c r="H21" s="1637"/>
      <c r="I21" s="1637"/>
      <c r="J21" s="1637"/>
      <c r="K21" s="1637"/>
      <c r="L21" s="1637"/>
      <c r="M21" s="1637"/>
      <c r="N21" s="1637"/>
      <c r="O21" s="1637"/>
      <c r="P21" s="1637"/>
      <c r="Q21" s="1637"/>
      <c r="R21" s="488"/>
    </row>
    <row r="22" spans="2:18" ht="18.75" customHeight="1" x14ac:dyDescent="0.3">
      <c r="B22" s="628" t="s">
        <v>423</v>
      </c>
      <c r="C22" s="1536" t="s">
        <v>392</v>
      </c>
      <c r="D22" s="1536"/>
      <c r="E22" s="1536"/>
      <c r="F22" s="1536"/>
      <c r="G22" s="1536"/>
      <c r="H22" s="1536"/>
      <c r="I22" s="1536"/>
      <c r="J22" s="1536"/>
      <c r="K22" s="1536"/>
      <c r="L22" s="1536"/>
      <c r="M22" s="1536"/>
      <c r="N22" s="1536"/>
      <c r="O22" s="1536"/>
      <c r="P22" s="1536"/>
      <c r="Q22" s="1536"/>
      <c r="R22" s="488"/>
    </row>
    <row r="23" spans="2:18" ht="18.75" customHeight="1" x14ac:dyDescent="0.3">
      <c r="B23" s="628"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203" t="s">
        <v>425</v>
      </c>
      <c r="C25" s="625" t="s">
        <v>406</v>
      </c>
      <c r="D25" s="1607" t="s">
        <v>421</v>
      </c>
      <c r="E25" s="1607"/>
      <c r="F25" s="1607"/>
      <c r="G25" s="1607"/>
      <c r="H25" s="1607"/>
      <c r="I25" s="1607"/>
      <c r="J25" s="1607"/>
      <c r="K25" s="1607"/>
      <c r="L25" s="1607"/>
      <c r="M25" s="1607"/>
      <c r="N25" s="1607"/>
      <c r="O25" s="1607"/>
      <c r="P25" s="1607"/>
      <c r="Q25" s="1607"/>
      <c r="R25" s="488"/>
    </row>
    <row r="26" spans="2:18" ht="18.75" customHeight="1" x14ac:dyDescent="0.3">
      <c r="B26" s="624"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624"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624" t="s">
        <v>54</v>
      </c>
      <c r="C28" s="539" t="str">
        <f>Default.BuildingType.R</f>
        <v>Home - detached</v>
      </c>
      <c r="D28" s="1386"/>
      <c r="E28" s="1386"/>
      <c r="F28" s="1386"/>
      <c r="G28" s="1386"/>
      <c r="H28" s="1386"/>
      <c r="I28" s="1386"/>
      <c r="J28" s="1386"/>
      <c r="K28" s="1386"/>
      <c r="L28" s="1386"/>
      <c r="M28" s="1386"/>
      <c r="N28" s="1386"/>
      <c r="O28" s="1386"/>
      <c r="P28" s="1386"/>
      <c r="Q28" s="1386"/>
      <c r="R28" s="488"/>
    </row>
    <row r="29" spans="2:18" ht="18.75" customHeight="1" x14ac:dyDescent="0.3">
      <c r="B29" s="624"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624"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203" t="s">
        <v>427</v>
      </c>
      <c r="C32" s="1202" t="s">
        <v>406</v>
      </c>
      <c r="D32" s="625" t="s">
        <v>428</v>
      </c>
      <c r="E32" s="1607" t="s">
        <v>419</v>
      </c>
      <c r="F32" s="1607"/>
      <c r="G32" s="1607"/>
      <c r="H32" s="1607"/>
      <c r="I32" s="1607"/>
      <c r="J32" s="1607"/>
      <c r="K32" s="1607"/>
      <c r="L32" s="1607"/>
      <c r="M32" s="1607"/>
      <c r="N32" s="1607"/>
      <c r="O32" s="1607"/>
      <c r="P32" s="1607"/>
      <c r="Q32" s="1607"/>
    </row>
    <row r="33" spans="2:18" ht="18.75" customHeight="1" x14ac:dyDescent="0.3">
      <c r="B33" s="624" t="s">
        <v>429</v>
      </c>
      <c r="C33" s="640"/>
      <c r="D33" s="586" t="s">
        <v>430</v>
      </c>
      <c r="E33" s="1677"/>
      <c r="F33" s="1677"/>
      <c r="G33" s="1677"/>
      <c r="H33" s="1677"/>
      <c r="I33" s="1677"/>
      <c r="J33" s="1677"/>
      <c r="K33" s="1677"/>
      <c r="L33" s="1677"/>
      <c r="M33" s="1677"/>
      <c r="N33" s="1677"/>
      <c r="O33" s="1677"/>
      <c r="P33" s="1677"/>
      <c r="Q33" s="1677"/>
      <c r="R33" s="488"/>
    </row>
    <row r="34" spans="2:18" ht="18.75" customHeight="1" x14ac:dyDescent="0.3">
      <c r="B34" s="626" t="s">
        <v>431</v>
      </c>
      <c r="C34" s="640"/>
      <c r="D34" s="586" t="s">
        <v>430</v>
      </c>
      <c r="E34" s="1442"/>
      <c r="F34" s="1442"/>
      <c r="G34" s="1442"/>
      <c r="H34" s="1442"/>
      <c r="I34" s="1442"/>
      <c r="J34" s="1442"/>
      <c r="K34" s="1442"/>
      <c r="L34" s="1442"/>
      <c r="M34" s="1442"/>
      <c r="N34" s="1442"/>
      <c r="O34" s="1442"/>
      <c r="P34" s="1442"/>
      <c r="Q34" s="1442"/>
    </row>
    <row r="35" spans="2:18" ht="18.75" customHeight="1" x14ac:dyDescent="0.3">
      <c r="B35" s="624" t="s">
        <v>432</v>
      </c>
      <c r="C35" s="640"/>
      <c r="D35" s="586" t="s">
        <v>430</v>
      </c>
      <c r="E35" s="1512"/>
      <c r="F35" s="1512"/>
      <c r="G35" s="1512"/>
      <c r="H35" s="1512"/>
      <c r="I35" s="1512"/>
      <c r="J35" s="1512"/>
      <c r="K35" s="1512"/>
      <c r="L35" s="1512"/>
      <c r="M35" s="1512"/>
      <c r="N35" s="1512"/>
      <c r="O35" s="1512"/>
      <c r="P35" s="1512"/>
      <c r="Q35" s="1512"/>
    </row>
    <row r="36" spans="2:18" ht="18.75" customHeight="1" x14ac:dyDescent="0.3">
      <c r="B36" s="626" t="s">
        <v>433</v>
      </c>
      <c r="C36" s="629">
        <f>SUM(C33:C34)</f>
        <v>0</v>
      </c>
      <c r="D36" s="586" t="s">
        <v>430</v>
      </c>
      <c r="E36" s="1442"/>
      <c r="F36" s="1442"/>
      <c r="G36" s="1442"/>
      <c r="H36" s="1442"/>
      <c r="I36" s="1442"/>
      <c r="J36" s="1442"/>
      <c r="K36" s="1442"/>
      <c r="L36" s="1442"/>
      <c r="M36" s="1442"/>
      <c r="N36" s="1442"/>
      <c r="O36" s="1442"/>
      <c r="P36" s="1442"/>
      <c r="Q36" s="1442"/>
    </row>
    <row r="37" spans="2:18" ht="18.75" customHeight="1" x14ac:dyDescent="0.3">
      <c r="B37" s="626" t="s">
        <v>434</v>
      </c>
      <c r="C37" s="629">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630" t="s">
        <v>435</v>
      </c>
      <c r="C39" s="631"/>
      <c r="D39" s="631"/>
      <c r="E39" s="631"/>
      <c r="F39" s="631"/>
      <c r="G39" s="631"/>
      <c r="H39" s="513"/>
      <c r="I39" s="513"/>
      <c r="J39" s="513"/>
      <c r="K39" s="513"/>
      <c r="L39" s="513"/>
      <c r="M39" s="513"/>
      <c r="N39" s="513"/>
      <c r="O39" s="513"/>
      <c r="P39" s="513"/>
      <c r="Q39" s="514"/>
    </row>
    <row r="41" spans="2:18" ht="18.75" customHeight="1" x14ac:dyDescent="0.3">
      <c r="B41" s="632" t="s">
        <v>436</v>
      </c>
      <c r="C41" s="1596" t="s">
        <v>437</v>
      </c>
      <c r="D41" s="1597"/>
      <c r="E41" s="1597"/>
      <c r="F41" s="1597"/>
      <c r="G41" s="1597"/>
      <c r="H41" s="1597"/>
      <c r="I41" s="1597"/>
      <c r="J41" s="1597"/>
      <c r="K41" s="1597"/>
      <c r="L41" s="1597"/>
      <c r="M41" s="1598"/>
      <c r="N41" s="1205" t="s">
        <v>406</v>
      </c>
      <c r="O41" s="1205" t="s">
        <v>428</v>
      </c>
      <c r="P41" s="1599" t="s">
        <v>419</v>
      </c>
      <c r="Q41" s="159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1.3410247058680701E-3</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2.3220924618344293E-2</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623"/>
      <c r="R46" s="488"/>
    </row>
    <row r="47" spans="2:18" ht="18.75" customHeight="1" x14ac:dyDescent="0.3">
      <c r="B47" s="632" t="s">
        <v>450</v>
      </c>
      <c r="C47" s="1596" t="s">
        <v>451</v>
      </c>
      <c r="D47" s="1597"/>
      <c r="E47" s="1597"/>
      <c r="F47" s="1597"/>
      <c r="G47" s="1597"/>
      <c r="H47" s="1597"/>
      <c r="I47" s="1597"/>
      <c r="J47" s="1597"/>
      <c r="K47" s="1597"/>
      <c r="L47" s="1597"/>
      <c r="M47" s="1598"/>
      <c r="N47" s="1205" t="s">
        <v>406</v>
      </c>
      <c r="O47" s="1205" t="s">
        <v>428</v>
      </c>
      <c r="P47" s="1599" t="s">
        <v>419</v>
      </c>
      <c r="Q47" s="159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20" ht="36.75" customHeight="1" x14ac:dyDescent="0.3">
      <c r="B49" s="582" t="s">
        <v>454</v>
      </c>
      <c r="C49" s="1701" t="s">
        <v>894</v>
      </c>
      <c r="D49" s="1701"/>
      <c r="E49" s="1701"/>
      <c r="F49" s="1701"/>
      <c r="G49" s="1701"/>
      <c r="H49" s="1701"/>
      <c r="I49" s="1701"/>
      <c r="J49" s="1701"/>
      <c r="K49" s="1701"/>
      <c r="L49" s="1701"/>
      <c r="M49" s="1701"/>
      <c r="N49" s="742">
        <f>((1/H64-1/H65)*H66*(1-H67)*Hours_per_Day) * ( H71 * H62 * H68 / 1000 / H75  + (1-H72) * H63 * H69   /  H73 / kWh_per_BTU ) + ( N50 * H74  * H70 * kWh_per_GJ )</f>
        <v>1.3410247058680701E-3</v>
      </c>
      <c r="O49" s="1243" t="s">
        <v>443</v>
      </c>
      <c r="P49" s="1511"/>
      <c r="Q49" s="1511"/>
      <c r="R49" s="488"/>
    </row>
    <row r="50" spans="2:20" ht="18.75" customHeight="1" x14ac:dyDescent="0.3">
      <c r="B50" s="582" t="s">
        <v>456</v>
      </c>
      <c r="C50" s="1507" t="s">
        <v>895</v>
      </c>
      <c r="D50" s="1699"/>
      <c r="E50" s="1699"/>
      <c r="F50" s="1699"/>
      <c r="G50" s="1699"/>
      <c r="H50" s="1699"/>
      <c r="I50" s="1699"/>
      <c r="J50" s="1699"/>
      <c r="K50" s="1699"/>
      <c r="L50" s="1699"/>
      <c r="M50" s="1699"/>
      <c r="N50" s="743">
        <f>H72*(1/H64-1/H65)*H66*(1-H67)*Hours_per_Day*H63/H76*GJ_per_BTU</f>
        <v>2.3220924618344293E-2</v>
      </c>
      <c r="O50" s="1243" t="s">
        <v>446</v>
      </c>
      <c r="P50" s="1511"/>
      <c r="Q50" s="1511"/>
      <c r="R50" s="488"/>
    </row>
    <row r="51" spans="2:20"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20" ht="18.75" customHeight="1" x14ac:dyDescent="0.3">
      <c r="B52" s="583"/>
      <c r="C52" s="578"/>
      <c r="D52" s="578"/>
      <c r="E52" s="578"/>
      <c r="F52" s="578"/>
      <c r="G52" s="578"/>
      <c r="H52" s="578"/>
      <c r="I52" s="578"/>
      <c r="J52" s="578"/>
      <c r="K52" s="578"/>
      <c r="L52" s="578"/>
      <c r="M52" s="578"/>
      <c r="Q52" s="623"/>
      <c r="R52" s="488"/>
    </row>
    <row r="53" spans="2:20" s="634" customFormat="1" ht="18.75" customHeight="1" x14ac:dyDescent="0.3">
      <c r="B53" s="632" t="s">
        <v>460</v>
      </c>
      <c r="C53" s="1596" t="s">
        <v>461</v>
      </c>
      <c r="D53" s="1597"/>
      <c r="E53" s="1597"/>
      <c r="F53" s="1597"/>
      <c r="G53" s="1597"/>
      <c r="H53" s="1597"/>
      <c r="I53" s="1597"/>
      <c r="J53" s="1597"/>
      <c r="K53" s="1597"/>
      <c r="L53" s="1597"/>
      <c r="M53" s="1598"/>
      <c r="N53" s="1205" t="s">
        <v>406</v>
      </c>
      <c r="O53" s="1205" t="s">
        <v>428</v>
      </c>
      <c r="P53" s="1599" t="s">
        <v>419</v>
      </c>
      <c r="Q53" s="1599"/>
    </row>
    <row r="54" spans="2:20" s="634" customFormat="1" ht="18.75" customHeight="1" x14ac:dyDescent="0.3">
      <c r="B54" s="664" t="s">
        <v>462</v>
      </c>
      <c r="C54" s="1638" t="s">
        <v>463</v>
      </c>
      <c r="D54" s="1639"/>
      <c r="E54" s="1639"/>
      <c r="F54" s="1639"/>
      <c r="G54" s="1639"/>
      <c r="H54" s="1639"/>
      <c r="I54" s="1639"/>
      <c r="J54" s="1639"/>
      <c r="K54" s="1639"/>
      <c r="L54" s="1639"/>
      <c r="M54" s="1640"/>
      <c r="N54" s="667"/>
      <c r="O54" s="1246" t="s">
        <v>440</v>
      </c>
      <c r="P54" s="1641"/>
      <c r="Q54" s="1641"/>
    </row>
    <row r="55" spans="2:20" s="634" customFormat="1" ht="18.75" customHeight="1" x14ac:dyDescent="0.3">
      <c r="B55" s="664" t="s">
        <v>464</v>
      </c>
      <c r="C55" s="1638" t="s">
        <v>465</v>
      </c>
      <c r="D55" s="1639"/>
      <c r="E55" s="1639"/>
      <c r="F55" s="1639"/>
      <c r="G55" s="1639"/>
      <c r="H55" s="1639"/>
      <c r="I55" s="1639"/>
      <c r="J55" s="1639"/>
      <c r="K55" s="1639"/>
      <c r="L55" s="1639"/>
      <c r="M55" s="1640"/>
      <c r="N55" s="668"/>
      <c r="O55" s="1246" t="s">
        <v>443</v>
      </c>
      <c r="P55" s="1641"/>
      <c r="Q55" s="1641"/>
    </row>
    <row r="56" spans="2:20" s="634" customFormat="1" ht="18.75" customHeight="1" x14ac:dyDescent="0.3">
      <c r="B56" s="664" t="s">
        <v>466</v>
      </c>
      <c r="C56" s="1504" t="s">
        <v>467</v>
      </c>
      <c r="D56" s="1505"/>
      <c r="E56" s="1505"/>
      <c r="F56" s="1505"/>
      <c r="G56" s="1505"/>
      <c r="H56" s="1505"/>
      <c r="I56" s="1505"/>
      <c r="J56" s="1505"/>
      <c r="K56" s="1505"/>
      <c r="L56" s="1505"/>
      <c r="M56" s="1506"/>
      <c r="N56" s="594"/>
      <c r="O56" s="1246" t="s">
        <v>446</v>
      </c>
      <c r="P56" s="1641"/>
      <c r="Q56" s="1641"/>
    </row>
    <row r="57" spans="2:20" s="634" customFormat="1" ht="18.75" customHeight="1" x14ac:dyDescent="0.3">
      <c r="B57" s="664" t="s">
        <v>468</v>
      </c>
      <c r="C57" s="1638" t="s">
        <v>469</v>
      </c>
      <c r="D57" s="1639"/>
      <c r="E57" s="1639"/>
      <c r="F57" s="1639"/>
      <c r="G57" s="1639"/>
      <c r="H57" s="1639"/>
      <c r="I57" s="1639"/>
      <c r="J57" s="1639"/>
      <c r="K57" s="1639"/>
      <c r="L57" s="1639"/>
      <c r="M57" s="1640"/>
      <c r="N57" s="669"/>
      <c r="O57" s="1246" t="s">
        <v>449</v>
      </c>
      <c r="P57" s="1641"/>
      <c r="Q57" s="1641"/>
    </row>
    <row r="58" spans="2:20" s="634" customFormat="1" ht="18.75" customHeight="1" x14ac:dyDescent="0.3">
      <c r="B58" s="660"/>
      <c r="C58" s="661"/>
      <c r="D58" s="662"/>
      <c r="E58" s="662"/>
      <c r="F58" s="662"/>
      <c r="G58" s="662"/>
      <c r="H58" s="662"/>
      <c r="I58" s="662"/>
      <c r="J58" s="662"/>
      <c r="K58" s="662"/>
      <c r="L58" s="662"/>
      <c r="M58" s="662"/>
      <c r="N58" s="662"/>
      <c r="O58" s="662"/>
      <c r="R58" s="623"/>
    </row>
    <row r="59" spans="2:20" ht="18.75" customHeight="1" x14ac:dyDescent="0.3">
      <c r="B59" s="630" t="s">
        <v>470</v>
      </c>
      <c r="C59" s="631"/>
      <c r="D59" s="631"/>
      <c r="E59" s="631"/>
      <c r="F59" s="631"/>
      <c r="G59" s="631"/>
      <c r="H59" s="513"/>
      <c r="I59" s="513"/>
      <c r="J59" s="513"/>
      <c r="K59" s="513"/>
      <c r="L59" s="513"/>
      <c r="M59" s="513"/>
      <c r="N59" s="513"/>
      <c r="O59" s="513"/>
      <c r="P59" s="513"/>
      <c r="Q59" s="514"/>
    </row>
    <row r="61" spans="2:20" ht="18.75" customHeight="1" x14ac:dyDescent="0.3">
      <c r="B61" s="632" t="s">
        <v>471</v>
      </c>
      <c r="C61" s="632" t="s">
        <v>472</v>
      </c>
      <c r="D61" s="1592" t="s">
        <v>473</v>
      </c>
      <c r="E61" s="1592"/>
      <c r="F61" s="632" t="s">
        <v>474</v>
      </c>
      <c r="G61" s="632" t="s">
        <v>475</v>
      </c>
      <c r="H61" s="1205" t="s">
        <v>406</v>
      </c>
      <c r="I61" s="1205" t="s">
        <v>428</v>
      </c>
      <c r="J61" s="1593" t="s">
        <v>476</v>
      </c>
      <c r="K61" s="1594"/>
      <c r="L61" s="1594"/>
      <c r="M61" s="1594"/>
      <c r="N61" s="1594"/>
      <c r="O61" s="1594"/>
      <c r="P61" s="1594"/>
      <c r="Q61" s="1595"/>
    </row>
    <row r="62" spans="2:20" ht="37.15" customHeight="1" x14ac:dyDescent="0.3">
      <c r="B62" s="533">
        <v>1</v>
      </c>
      <c r="C62" s="546" t="s">
        <v>896</v>
      </c>
      <c r="D62" s="1468" t="s">
        <v>897</v>
      </c>
      <c r="E62" s="1468"/>
      <c r="F62" s="609" t="str">
        <f>$C$26</f>
        <v>Average</v>
      </c>
      <c r="G62" s="1217" t="str">
        <f>C62</f>
        <v>CDD</v>
      </c>
      <c r="H62" s="693">
        <f>INDEX(ClimateData[#All],MATCH(F62,ClimateData[[#All],[Region]],0),MATCH(G62,ClimateData[#Headers],0))</f>
        <v>61.861244019138759</v>
      </c>
      <c r="I62" s="557" t="s">
        <v>896</v>
      </c>
      <c r="J62" s="1462" t="s">
        <v>898</v>
      </c>
      <c r="K62" s="1470"/>
      <c r="L62" s="1470"/>
      <c r="M62" s="1470"/>
      <c r="N62" s="1470"/>
      <c r="O62" s="1470"/>
      <c r="P62" s="1470"/>
      <c r="Q62" s="1471"/>
      <c r="R62" s="488"/>
      <c r="T62" s="738"/>
    </row>
    <row r="63" spans="2:20" ht="14.5" customHeight="1" x14ac:dyDescent="0.3">
      <c r="B63" s="533">
        <v>6</v>
      </c>
      <c r="C63" s="546" t="s">
        <v>899</v>
      </c>
      <c r="D63" s="1468" t="s">
        <v>900</v>
      </c>
      <c r="E63" s="1468"/>
      <c r="F63" s="609" t="str">
        <f>$C$26</f>
        <v>Average</v>
      </c>
      <c r="G63" s="1217" t="str">
        <f>C63</f>
        <v>HDD</v>
      </c>
      <c r="H63" s="693">
        <f>INDEX(ClimateData[#All],MATCH(F63,ClimateData[[#All],[Region]],0),MATCH(G63,ClimateData[#Headers],0))</f>
        <v>5480.7825814536336</v>
      </c>
      <c r="I63" s="557" t="s">
        <v>899</v>
      </c>
      <c r="J63" s="1462" t="s">
        <v>901</v>
      </c>
      <c r="K63" s="1470"/>
      <c r="L63" s="1470"/>
      <c r="M63" s="1470"/>
      <c r="N63" s="1470"/>
      <c r="O63" s="1470"/>
      <c r="P63" s="1470"/>
      <c r="Q63" s="1471"/>
      <c r="R63" s="488"/>
    </row>
    <row r="64" spans="2:20" ht="28.9" customHeight="1" x14ac:dyDescent="0.3">
      <c r="B64" s="535">
        <v>2</v>
      </c>
      <c r="C64" s="551" t="s">
        <v>902</v>
      </c>
      <c r="D64" s="1482" t="s">
        <v>903</v>
      </c>
      <c r="E64" s="1483"/>
      <c r="F64" s="552"/>
      <c r="G64" s="552"/>
      <c r="H64" s="552">
        <v>3.96</v>
      </c>
      <c r="I64" s="552" t="s">
        <v>904</v>
      </c>
      <c r="J64" s="1659" t="s">
        <v>727</v>
      </c>
      <c r="K64" s="1660"/>
      <c r="L64" s="1660"/>
      <c r="M64" s="1660"/>
      <c r="N64" s="1660"/>
      <c r="O64" s="1660"/>
      <c r="P64" s="1660"/>
      <c r="Q64" s="1661"/>
      <c r="R64" s="488"/>
    </row>
    <row r="65" spans="2:18" ht="30" customHeight="1" x14ac:dyDescent="0.3">
      <c r="B65" s="535">
        <v>3</v>
      </c>
      <c r="C65" s="551" t="s">
        <v>905</v>
      </c>
      <c r="D65" s="1543" t="s">
        <v>906</v>
      </c>
      <c r="E65" s="1543"/>
      <c r="F65" s="552"/>
      <c r="G65" s="552"/>
      <c r="H65" s="745">
        <v>11</v>
      </c>
      <c r="I65" s="552" t="s">
        <v>904</v>
      </c>
      <c r="J65" s="1659" t="s">
        <v>727</v>
      </c>
      <c r="K65" s="1660"/>
      <c r="L65" s="1660"/>
      <c r="M65" s="1660"/>
      <c r="N65" s="1660"/>
      <c r="O65" s="1660"/>
      <c r="P65" s="1660"/>
      <c r="Q65" s="1661"/>
      <c r="R65" s="488"/>
    </row>
    <row r="66" spans="2:18" ht="15" customHeight="1" x14ac:dyDescent="0.3">
      <c r="B66" s="535">
        <v>4</v>
      </c>
      <c r="C66" s="551" t="s">
        <v>907</v>
      </c>
      <c r="D66" s="1482" t="s">
        <v>908</v>
      </c>
      <c r="E66" s="1483"/>
      <c r="F66" s="552"/>
      <c r="G66" s="552"/>
      <c r="H66" s="597">
        <v>1</v>
      </c>
      <c r="I66" s="552" t="s">
        <v>909</v>
      </c>
      <c r="J66" s="1659" t="s">
        <v>727</v>
      </c>
      <c r="K66" s="1660"/>
      <c r="L66" s="1660"/>
      <c r="M66" s="1660"/>
      <c r="N66" s="1660"/>
      <c r="O66" s="1660"/>
      <c r="P66" s="1660"/>
      <c r="Q66" s="1661"/>
      <c r="R66" s="488"/>
    </row>
    <row r="67" spans="2:18" ht="14.5" customHeight="1" x14ac:dyDescent="0.3">
      <c r="B67" s="533">
        <v>7</v>
      </c>
      <c r="C67" s="720" t="s">
        <v>910</v>
      </c>
      <c r="D67" s="1479" t="s">
        <v>911</v>
      </c>
      <c r="E67" s="1479"/>
      <c r="F67" s="1217"/>
      <c r="G67" s="1217"/>
      <c r="H67" s="548">
        <v>0.12</v>
      </c>
      <c r="I67" s="1238" t="s">
        <v>519</v>
      </c>
      <c r="J67" s="1462" t="s">
        <v>943</v>
      </c>
      <c r="K67" s="1462"/>
      <c r="L67" s="1462"/>
      <c r="M67" s="1462"/>
      <c r="N67" s="1462"/>
      <c r="O67" s="1462"/>
      <c r="P67" s="1462"/>
      <c r="Q67" s="1556"/>
      <c r="R67" s="488"/>
    </row>
    <row r="68" spans="2:18" ht="14.5" customHeight="1" x14ac:dyDescent="0.3">
      <c r="B68" s="533">
        <v>8</v>
      </c>
      <c r="C68" s="720" t="s">
        <v>912</v>
      </c>
      <c r="D68" s="1479" t="s">
        <v>913</v>
      </c>
      <c r="E68" s="1481"/>
      <c r="F68" s="1217"/>
      <c r="G68" s="1217"/>
      <c r="H68" s="548">
        <f>0.8*0.75</f>
        <v>0.60000000000000009</v>
      </c>
      <c r="I68" s="1238" t="s">
        <v>519</v>
      </c>
      <c r="J68" s="1462" t="s">
        <v>952</v>
      </c>
      <c r="K68" s="1462"/>
      <c r="L68" s="1462"/>
      <c r="M68" s="1462"/>
      <c r="N68" s="1462"/>
      <c r="O68" s="1462"/>
      <c r="P68" s="1462"/>
      <c r="Q68" s="1556"/>
      <c r="R68" s="488"/>
    </row>
    <row r="69" spans="2:18" ht="26.5" customHeight="1" x14ac:dyDescent="0.3">
      <c r="B69" s="533">
        <v>9</v>
      </c>
      <c r="C69" s="720" t="s">
        <v>915</v>
      </c>
      <c r="D69" s="1479" t="s">
        <v>916</v>
      </c>
      <c r="E69" s="1481"/>
      <c r="F69" s="1217"/>
      <c r="G69" s="1217"/>
      <c r="H69" s="548">
        <v>0.6</v>
      </c>
      <c r="I69" s="1238" t="s">
        <v>519</v>
      </c>
      <c r="J69" s="1462" t="s">
        <v>951</v>
      </c>
      <c r="K69" s="1462"/>
      <c r="L69" s="1462"/>
      <c r="M69" s="1462"/>
      <c r="N69" s="1462"/>
      <c r="O69" s="1462"/>
      <c r="P69" s="1462"/>
      <c r="Q69" s="1556"/>
      <c r="R69" s="488"/>
    </row>
    <row r="70" spans="2:18" ht="14.5" customHeight="1" x14ac:dyDescent="0.3">
      <c r="B70" s="533">
        <v>10</v>
      </c>
      <c r="C70" s="549" t="s">
        <v>917</v>
      </c>
      <c r="D70" s="1479" t="s">
        <v>916</v>
      </c>
      <c r="E70" s="1481"/>
      <c r="F70" s="1217"/>
      <c r="G70" s="674"/>
      <c r="H70" s="548">
        <v>0</v>
      </c>
      <c r="I70" s="1238" t="s">
        <v>519</v>
      </c>
      <c r="J70" s="1462" t="s">
        <v>953</v>
      </c>
      <c r="K70" s="1462"/>
      <c r="L70" s="1462"/>
      <c r="M70" s="1462"/>
      <c r="N70" s="1462"/>
      <c r="O70" s="1462"/>
      <c r="P70" s="1462"/>
      <c r="Q70" s="1556"/>
      <c r="R70" s="488"/>
    </row>
    <row r="71" spans="2:18" s="634" customFormat="1" ht="13.15" customHeight="1" x14ac:dyDescent="0.3">
      <c r="B71" s="638">
        <v>11</v>
      </c>
      <c r="C71" s="546" t="s">
        <v>918</v>
      </c>
      <c r="D71" s="1539" t="s">
        <v>919</v>
      </c>
      <c r="E71" s="1539"/>
      <c r="F71" s="1217"/>
      <c r="G71" s="1217"/>
      <c r="H71" s="548">
        <f>SpaceCoolingShare.R.E</f>
        <v>0.13760414926305545</v>
      </c>
      <c r="I71" s="1238" t="s">
        <v>519</v>
      </c>
      <c r="J71" s="1468" t="s">
        <v>745</v>
      </c>
      <c r="K71" s="1478"/>
      <c r="L71" s="1478"/>
      <c r="M71" s="1478"/>
      <c r="N71" s="1478"/>
      <c r="O71" s="1478"/>
      <c r="P71" s="1478"/>
      <c r="Q71" s="1469"/>
    </row>
    <row r="72" spans="2:18" s="634" customFormat="1" ht="26.5" customHeight="1" x14ac:dyDescent="0.3">
      <c r="B72" s="638">
        <v>12</v>
      </c>
      <c r="C72" s="555" t="s">
        <v>799</v>
      </c>
      <c r="D72" s="1437" t="s">
        <v>920</v>
      </c>
      <c r="E72" s="1438"/>
      <c r="F72" s="1217"/>
      <c r="G72" s="674"/>
      <c r="H72" s="559" cm="1">
        <f t="array" ref="H72">_xlfn.SWITCH($C$29,"Natural gas",1,"Electricity",0,SpaceHeatingShare.R.E)</f>
        <v>1</v>
      </c>
      <c r="I72" s="1238" t="s">
        <v>519</v>
      </c>
      <c r="J72" s="1472" t="s">
        <v>921</v>
      </c>
      <c r="K72" s="1473"/>
      <c r="L72" s="1473"/>
      <c r="M72" s="1473"/>
      <c r="N72" s="1473"/>
      <c r="O72" s="1473"/>
      <c r="P72" s="1473"/>
      <c r="Q72" s="1474"/>
    </row>
    <row r="73" spans="2:18" s="634" customFormat="1" ht="36" customHeight="1" x14ac:dyDescent="0.3">
      <c r="B73" s="638">
        <v>13</v>
      </c>
      <c r="C73" s="546" t="s">
        <v>524</v>
      </c>
      <c r="D73" s="1468" t="s">
        <v>922</v>
      </c>
      <c r="E73" s="1468"/>
      <c r="F73" s="1217"/>
      <c r="G73" s="674" t="s">
        <v>923</v>
      </c>
      <c r="H73" s="559">
        <f>INDEX($B$97:$N$117,MATCH($G73,$C$97:$C$117,0),MATCH("Efficiency",$B$96:$N$96,0))</f>
        <v>1.28</v>
      </c>
      <c r="I73" s="1238" t="s">
        <v>519</v>
      </c>
      <c r="J73" s="1472" t="s">
        <v>924</v>
      </c>
      <c r="K73" s="1473"/>
      <c r="L73" s="1473"/>
      <c r="M73" s="1473"/>
      <c r="N73" s="1473"/>
      <c r="O73" s="1473"/>
      <c r="P73" s="1473"/>
      <c r="Q73" s="1474"/>
    </row>
    <row r="74" spans="2:18" s="623" customFormat="1" ht="13.15" customHeight="1" x14ac:dyDescent="0.3">
      <c r="B74" s="638">
        <v>14</v>
      </c>
      <c r="C74" s="555" t="s">
        <v>925</v>
      </c>
      <c r="D74" s="1437" t="s">
        <v>926</v>
      </c>
      <c r="E74" s="1438"/>
      <c r="F74" s="1217"/>
      <c r="G74" s="674"/>
      <c r="H74" s="559">
        <v>3.1399999999999997E-2</v>
      </c>
      <c r="I74" s="1238" t="s">
        <v>519</v>
      </c>
      <c r="J74" s="1472" t="s">
        <v>924</v>
      </c>
      <c r="K74" s="1473"/>
      <c r="L74" s="1473"/>
      <c r="M74" s="1473"/>
      <c r="N74" s="1473"/>
      <c r="O74" s="1473"/>
      <c r="P74" s="1473"/>
      <c r="Q74" s="1474"/>
    </row>
    <row r="75" spans="2:18" s="623" customFormat="1" ht="15" customHeight="1" x14ac:dyDescent="0.3">
      <c r="B75" s="638">
        <v>15</v>
      </c>
      <c r="C75" s="555" t="s">
        <v>927</v>
      </c>
      <c r="D75" s="1437" t="s">
        <v>928</v>
      </c>
      <c r="E75" s="1438"/>
      <c r="F75" s="1217"/>
      <c r="G75" s="674"/>
      <c r="H75" s="693">
        <f>SpaceCoolingEfficiency.R.SEER</f>
        <v>13</v>
      </c>
      <c r="I75" s="674" t="s">
        <v>572</v>
      </c>
      <c r="J75" s="1468" t="s">
        <v>930</v>
      </c>
      <c r="K75" s="1478"/>
      <c r="L75" s="1478"/>
      <c r="M75" s="1478"/>
      <c r="N75" s="1478"/>
      <c r="O75" s="1478"/>
      <c r="P75" s="1478"/>
      <c r="Q75" s="1469"/>
    </row>
    <row r="76" spans="2:18" ht="14.5" customHeight="1" x14ac:dyDescent="0.3">
      <c r="B76" s="533">
        <v>5</v>
      </c>
      <c r="C76" s="546" t="s">
        <v>517</v>
      </c>
      <c r="D76" s="1468" t="s">
        <v>931</v>
      </c>
      <c r="E76" s="1468"/>
      <c r="F76" s="1217"/>
      <c r="G76" s="1217"/>
      <c r="H76" s="548">
        <f>SpaceHeatingEfficiency.R.NG</f>
        <v>0.85</v>
      </c>
      <c r="I76" s="1238" t="s">
        <v>519</v>
      </c>
      <c r="J76" s="1468" t="s">
        <v>932</v>
      </c>
      <c r="K76" s="1478"/>
      <c r="L76" s="1478"/>
      <c r="M76" s="1478"/>
      <c r="N76" s="1478"/>
      <c r="O76" s="1478"/>
      <c r="P76" s="1478"/>
      <c r="Q76" s="1469"/>
      <c r="R76" s="488"/>
    </row>
    <row r="77" spans="2:18" ht="18.75" customHeight="1" x14ac:dyDescent="0.3">
      <c r="R77" s="488"/>
    </row>
    <row r="78" spans="2:18" ht="18.75" customHeight="1" x14ac:dyDescent="0.3">
      <c r="B78" s="630" t="s">
        <v>477</v>
      </c>
      <c r="C78" s="631"/>
      <c r="D78" s="631"/>
      <c r="E78" s="631"/>
      <c r="F78" s="631"/>
      <c r="G78" s="631"/>
      <c r="H78" s="513"/>
      <c r="I78" s="513"/>
      <c r="J78" s="513"/>
      <c r="K78" s="513"/>
      <c r="L78" s="513"/>
      <c r="M78" s="513"/>
      <c r="N78" s="513"/>
      <c r="O78" s="513"/>
      <c r="P78" s="513"/>
      <c r="Q78" s="514"/>
      <c r="R78" s="488"/>
    </row>
    <row r="79" spans="2:18" ht="18.75" customHeight="1" x14ac:dyDescent="0.3">
      <c r="R79" s="488"/>
    </row>
    <row r="80" spans="2:18" ht="18.75" customHeight="1" x14ac:dyDescent="0.3">
      <c r="B80" s="632" t="s">
        <v>478</v>
      </c>
      <c r="C80" s="632" t="s">
        <v>479</v>
      </c>
      <c r="D80" s="1204" t="s">
        <v>406</v>
      </c>
      <c r="E80" s="1210" t="s">
        <v>428</v>
      </c>
      <c r="F80" s="1562" t="s">
        <v>476</v>
      </c>
      <c r="G80" s="1563"/>
      <c r="H80" s="1563"/>
      <c r="I80" s="1563"/>
      <c r="J80" s="1563"/>
      <c r="K80" s="1563"/>
      <c r="L80" s="1563"/>
      <c r="M80" s="1563"/>
      <c r="N80" s="1563"/>
      <c r="O80" s="1563"/>
      <c r="P80" s="1563"/>
      <c r="Q80" s="1564"/>
      <c r="R80" s="488"/>
    </row>
    <row r="81" spans="2:18" ht="13" x14ac:dyDescent="0.3">
      <c r="B81" s="639">
        <v>1</v>
      </c>
      <c r="C81" s="648" t="s">
        <v>480</v>
      </c>
      <c r="D81" s="649">
        <v>1000</v>
      </c>
      <c r="E81" s="1211" t="s">
        <v>481</v>
      </c>
      <c r="F81" s="1565" t="s">
        <v>482</v>
      </c>
      <c r="G81" s="1566"/>
      <c r="H81" s="1566"/>
      <c r="I81" s="1566"/>
      <c r="J81" s="1566"/>
      <c r="K81" s="1566"/>
      <c r="L81" s="1566"/>
      <c r="M81" s="1566"/>
      <c r="N81" s="1566"/>
      <c r="O81" s="1566"/>
      <c r="P81" s="1566"/>
      <c r="Q81" s="1567"/>
      <c r="R81" s="488"/>
    </row>
    <row r="82" spans="2:18" ht="13" x14ac:dyDescent="0.3">
      <c r="B82" s="639">
        <v>2</v>
      </c>
      <c r="C82" s="648" t="s">
        <v>483</v>
      </c>
      <c r="D82" s="650">
        <f>0.03412*0.10548</f>
        <v>3.5989775999999999E-3</v>
      </c>
      <c r="E82" s="1211" t="s">
        <v>484</v>
      </c>
      <c r="F82" s="1568" t="s">
        <v>485</v>
      </c>
      <c r="G82" s="1569"/>
      <c r="H82" s="1569"/>
      <c r="I82" s="1569"/>
      <c r="J82" s="1569"/>
      <c r="K82" s="1569"/>
      <c r="L82" s="1569"/>
      <c r="M82" s="1569"/>
      <c r="N82" s="1569"/>
      <c r="O82" s="1569"/>
      <c r="P82" s="1569"/>
      <c r="Q82" s="1570"/>
      <c r="R82" s="488"/>
    </row>
    <row r="83" spans="2:18" ht="13" x14ac:dyDescent="0.3">
      <c r="B83" s="639">
        <v>3</v>
      </c>
      <c r="C83" s="648" t="s">
        <v>486</v>
      </c>
      <c r="D83" s="650">
        <v>3.7854099999999999E-3</v>
      </c>
      <c r="E83" s="1211" t="s">
        <v>487</v>
      </c>
      <c r="F83" s="1568" t="s">
        <v>485</v>
      </c>
      <c r="G83" s="1569"/>
      <c r="H83" s="1569"/>
      <c r="I83" s="1569"/>
      <c r="J83" s="1569"/>
      <c r="K83" s="1569"/>
      <c r="L83" s="1569"/>
      <c r="M83" s="1569"/>
      <c r="N83" s="1569"/>
      <c r="O83" s="1569"/>
      <c r="P83" s="1569"/>
      <c r="Q83" s="1570"/>
      <c r="R83" s="488"/>
    </row>
    <row r="84" spans="2:18" ht="13" x14ac:dyDescent="0.3">
      <c r="B84" s="639">
        <v>4</v>
      </c>
      <c r="C84" s="648" t="s">
        <v>488</v>
      </c>
      <c r="D84" s="650">
        <v>0.1055</v>
      </c>
      <c r="E84" s="1211" t="s">
        <v>489</v>
      </c>
      <c r="F84" s="1568" t="s">
        <v>485</v>
      </c>
      <c r="G84" s="1569"/>
      <c r="H84" s="1569"/>
      <c r="I84" s="1569"/>
      <c r="J84" s="1569"/>
      <c r="K84" s="1569"/>
      <c r="L84" s="1569"/>
      <c r="M84" s="1569"/>
      <c r="N84" s="1569"/>
      <c r="O84" s="1569"/>
      <c r="P84" s="1569"/>
      <c r="Q84" s="1570"/>
      <c r="R84" s="488"/>
    </row>
    <row r="85" spans="2:18" ht="13" x14ac:dyDescent="0.3">
      <c r="B85" s="639">
        <v>5</v>
      </c>
      <c r="C85" s="648" t="s">
        <v>490</v>
      </c>
      <c r="D85" s="650">
        <v>1.0000000000000001E-5</v>
      </c>
      <c r="E85" s="1211" t="s">
        <v>491</v>
      </c>
      <c r="F85" s="1568" t="s">
        <v>485</v>
      </c>
      <c r="G85" s="1569"/>
      <c r="H85" s="1569"/>
      <c r="I85" s="1569"/>
      <c r="J85" s="1569"/>
      <c r="K85" s="1569"/>
      <c r="L85" s="1569"/>
      <c r="M85" s="1569"/>
      <c r="N85" s="1569"/>
      <c r="O85" s="1569"/>
      <c r="P85" s="1569"/>
      <c r="Q85" s="1570"/>
      <c r="R85" s="488"/>
    </row>
    <row r="86" spans="2:18" ht="13" x14ac:dyDescent="0.3">
      <c r="B86" s="533">
        <v>6</v>
      </c>
      <c r="C86" s="563" t="s">
        <v>933</v>
      </c>
      <c r="D86" s="722">
        <f>1/12</f>
        <v>8.3333333333333329E-2</v>
      </c>
      <c r="E86" s="1211" t="s">
        <v>934</v>
      </c>
      <c r="F86" s="1568"/>
      <c r="G86" s="1569"/>
      <c r="H86" s="1569"/>
      <c r="I86" s="1569"/>
      <c r="J86" s="1569"/>
      <c r="K86" s="1569"/>
      <c r="L86" s="1569"/>
      <c r="M86" s="1569"/>
      <c r="N86" s="1569"/>
      <c r="O86" s="1569"/>
      <c r="P86" s="1569"/>
      <c r="Q86" s="1570"/>
      <c r="R86" s="488"/>
    </row>
    <row r="87" spans="2:18" ht="13" x14ac:dyDescent="0.3">
      <c r="B87" s="533">
        <v>7</v>
      </c>
      <c r="C87" s="563"/>
      <c r="D87" s="1233"/>
      <c r="E87" s="1211"/>
      <c r="F87" s="1568"/>
      <c r="G87" s="1569"/>
      <c r="H87" s="1569"/>
      <c r="I87" s="1569"/>
      <c r="J87" s="1569"/>
      <c r="K87" s="1569"/>
      <c r="L87" s="1569"/>
      <c r="M87" s="1569"/>
      <c r="N87" s="1569"/>
      <c r="O87" s="1569"/>
      <c r="P87" s="1569"/>
      <c r="Q87" s="1570"/>
      <c r="R87" s="488"/>
    </row>
    <row r="88" spans="2:18" ht="13" x14ac:dyDescent="0.3">
      <c r="B88" s="533">
        <v>8</v>
      </c>
      <c r="C88" s="563"/>
      <c r="D88" s="564"/>
      <c r="E88" s="1211"/>
      <c r="F88" s="1568"/>
      <c r="G88" s="1569"/>
      <c r="H88" s="1569"/>
      <c r="I88" s="1569"/>
      <c r="J88" s="1569"/>
      <c r="K88" s="1569"/>
      <c r="L88" s="1569"/>
      <c r="M88" s="1569"/>
      <c r="N88" s="1569"/>
      <c r="O88" s="1569"/>
      <c r="P88" s="1569"/>
      <c r="Q88" s="1570"/>
      <c r="R88" s="488"/>
    </row>
    <row r="89" spans="2:18" ht="13" x14ac:dyDescent="0.3">
      <c r="B89" s="533">
        <v>9</v>
      </c>
      <c r="C89" s="563"/>
      <c r="D89" s="1233"/>
      <c r="E89" s="1211"/>
      <c r="F89" s="1568"/>
      <c r="G89" s="1569"/>
      <c r="H89" s="1569"/>
      <c r="I89" s="1569"/>
      <c r="J89" s="1569"/>
      <c r="K89" s="1569"/>
      <c r="L89" s="1569"/>
      <c r="M89" s="1569"/>
      <c r="N89" s="1569"/>
      <c r="O89" s="1569"/>
      <c r="P89" s="1569"/>
      <c r="Q89" s="1570"/>
      <c r="R89" s="488"/>
    </row>
    <row r="90" spans="2:18" ht="13" x14ac:dyDescent="0.3">
      <c r="B90" s="533">
        <v>10</v>
      </c>
      <c r="C90" s="563"/>
      <c r="D90" s="564"/>
      <c r="E90" s="1211"/>
      <c r="F90" s="1568"/>
      <c r="G90" s="1569"/>
      <c r="H90" s="1569"/>
      <c r="I90" s="1569"/>
      <c r="J90" s="1569"/>
      <c r="K90" s="1569"/>
      <c r="L90" s="1569"/>
      <c r="M90" s="1569"/>
      <c r="N90" s="1569"/>
      <c r="O90" s="1569"/>
      <c r="P90" s="1569"/>
      <c r="Q90" s="1570"/>
      <c r="R90" s="488"/>
    </row>
    <row r="91" spans="2:18" ht="18.75" customHeight="1" x14ac:dyDescent="0.3">
      <c r="R91" s="488"/>
    </row>
    <row r="92" spans="2:18" ht="18.75" customHeight="1" x14ac:dyDescent="0.3">
      <c r="B92" s="630" t="s">
        <v>492</v>
      </c>
      <c r="C92" s="631"/>
      <c r="D92" s="631"/>
      <c r="E92" s="631"/>
      <c r="F92" s="631"/>
      <c r="G92" s="631"/>
      <c r="H92" s="513"/>
      <c r="I92" s="513"/>
      <c r="J92" s="513"/>
      <c r="K92" s="513"/>
      <c r="L92" s="513"/>
      <c r="M92" s="513"/>
      <c r="N92" s="513"/>
      <c r="O92" s="513"/>
      <c r="P92" s="513"/>
      <c r="Q92" s="514"/>
      <c r="R92" s="488"/>
    </row>
    <row r="93" spans="2:18" ht="18.75" customHeight="1" x14ac:dyDescent="0.3">
      <c r="R93" s="488"/>
    </row>
    <row r="94" spans="2:18" ht="18.75" customHeight="1" x14ac:dyDescent="0.3">
      <c r="B94" s="635" t="s">
        <v>493</v>
      </c>
      <c r="E94" s="1574" t="s">
        <v>494</v>
      </c>
      <c r="F94" s="1577"/>
      <c r="G94" s="1577"/>
      <c r="H94" s="1577"/>
      <c r="I94" s="1577"/>
      <c r="J94" s="1577"/>
      <c r="K94" s="1577"/>
      <c r="L94" s="1577"/>
      <c r="M94" s="1577"/>
      <c r="N94" s="1577"/>
      <c r="O94" s="1578" t="s">
        <v>476</v>
      </c>
      <c r="P94" s="1579"/>
      <c r="Q94" s="1580"/>
      <c r="R94" s="488"/>
    </row>
    <row r="95" spans="2:18" ht="25.5" customHeight="1" x14ac:dyDescent="0.3">
      <c r="B95" s="1571" t="s">
        <v>935</v>
      </c>
      <c r="C95" s="1572"/>
      <c r="D95" s="1573"/>
      <c r="E95" s="636" t="s">
        <v>495</v>
      </c>
      <c r="F95" s="636" t="s">
        <v>496</v>
      </c>
      <c r="G95" s="636" t="s">
        <v>497</v>
      </c>
      <c r="H95" s="636" t="s">
        <v>498</v>
      </c>
      <c r="I95" s="636" t="s">
        <v>499</v>
      </c>
      <c r="J95" s="636" t="s">
        <v>500</v>
      </c>
      <c r="K95" s="636" t="s">
        <v>501</v>
      </c>
      <c r="L95" s="636" t="s">
        <v>502</v>
      </c>
      <c r="M95" s="636" t="s">
        <v>503</v>
      </c>
      <c r="N95" s="1209" t="s">
        <v>504</v>
      </c>
      <c r="O95" s="1581"/>
      <c r="P95" s="1705"/>
      <c r="Q95" s="1583"/>
      <c r="R95" s="488"/>
    </row>
    <row r="96" spans="2:18" ht="30" customHeight="1" x14ac:dyDescent="0.3">
      <c r="B96" s="1205" t="s">
        <v>478</v>
      </c>
      <c r="C96" s="1574" t="s">
        <v>505</v>
      </c>
      <c r="D96" s="1575"/>
      <c r="E96" s="651" t="s">
        <v>936</v>
      </c>
      <c r="F96" s="651"/>
      <c r="G96" s="651"/>
      <c r="H96" s="651"/>
      <c r="I96" s="651"/>
      <c r="J96" s="651"/>
      <c r="K96" s="651"/>
      <c r="L96" s="651"/>
      <c r="M96" s="651"/>
      <c r="N96" s="652"/>
      <c r="O96" s="1584"/>
      <c r="P96" s="1585"/>
      <c r="Q96" s="1586"/>
      <c r="R96" s="488"/>
    </row>
    <row r="97" spans="2:18" ht="13" x14ac:dyDescent="0.3">
      <c r="B97" s="533">
        <v>1</v>
      </c>
      <c r="C97" s="546" t="s">
        <v>937</v>
      </c>
      <c r="D97" s="1184"/>
      <c r="E97" s="746">
        <v>1.92</v>
      </c>
      <c r="F97" s="1190"/>
      <c r="G97" s="1190"/>
      <c r="H97" s="1190"/>
      <c r="I97" s="568"/>
      <c r="J97" s="568"/>
      <c r="K97" s="568"/>
      <c r="L97" s="568"/>
      <c r="M97" s="568"/>
      <c r="N97" s="568"/>
      <c r="O97" s="1501"/>
      <c r="P97" s="1502"/>
      <c r="Q97" s="1503"/>
      <c r="R97" s="488"/>
    </row>
    <row r="98" spans="2:18" ht="13" x14ac:dyDescent="0.3">
      <c r="B98" s="533">
        <v>2</v>
      </c>
      <c r="C98" s="546" t="s">
        <v>938</v>
      </c>
      <c r="D98" s="1184"/>
      <c r="E98" s="746">
        <v>1</v>
      </c>
      <c r="F98" s="1190"/>
      <c r="G98" s="1190"/>
      <c r="H98" s="1190"/>
      <c r="I98" s="568"/>
      <c r="J98" s="568"/>
      <c r="K98" s="568"/>
      <c r="L98" s="568"/>
      <c r="M98" s="568"/>
      <c r="N98" s="568"/>
      <c r="O98" s="1495"/>
      <c r="P98" s="1496"/>
      <c r="Q98" s="1497"/>
      <c r="R98" s="488"/>
    </row>
    <row r="99" spans="2:18" ht="13" x14ac:dyDescent="0.3">
      <c r="B99" s="533">
        <v>3</v>
      </c>
      <c r="C99" s="546" t="s">
        <v>923</v>
      </c>
      <c r="D99" s="1184"/>
      <c r="E99" s="746">
        <v>1.28</v>
      </c>
      <c r="F99" s="1190"/>
      <c r="G99" s="1190"/>
      <c r="H99" s="1190"/>
      <c r="I99" s="568"/>
      <c r="J99" s="568"/>
      <c r="K99" s="568"/>
      <c r="L99" s="568"/>
      <c r="M99" s="568"/>
      <c r="N99" s="568"/>
      <c r="O99" s="1495"/>
      <c r="P99" s="1496"/>
      <c r="Q99" s="1497"/>
      <c r="R99" s="488"/>
    </row>
    <row r="100" spans="2:18" ht="13" x14ac:dyDescent="0.3">
      <c r="B100" s="533">
        <v>4</v>
      </c>
      <c r="C100" s="546"/>
      <c r="D100" s="1184"/>
      <c r="E100" s="568"/>
      <c r="F100" s="1190"/>
      <c r="G100" s="1190"/>
      <c r="H100" s="1190"/>
      <c r="I100" s="568"/>
      <c r="J100" s="568"/>
      <c r="K100" s="568"/>
      <c r="L100" s="568"/>
      <c r="M100" s="568"/>
      <c r="N100" s="568"/>
      <c r="O100" s="1495"/>
      <c r="P100" s="1496"/>
      <c r="Q100" s="1497"/>
      <c r="R100" s="488"/>
    </row>
    <row r="101" spans="2:18" ht="13" x14ac:dyDescent="0.3">
      <c r="B101" s="533">
        <v>5</v>
      </c>
      <c r="C101" s="546"/>
      <c r="D101" s="1184"/>
      <c r="E101" s="568"/>
      <c r="F101" s="1190"/>
      <c r="G101" s="1190"/>
      <c r="H101" s="1190"/>
      <c r="I101" s="568"/>
      <c r="J101" s="568"/>
      <c r="K101" s="568"/>
      <c r="L101" s="568"/>
      <c r="M101" s="568"/>
      <c r="N101" s="568"/>
      <c r="O101" s="1495"/>
      <c r="P101" s="1496"/>
      <c r="Q101" s="1497"/>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row r="118" spans="2:18" ht="18.75" customHeight="1" x14ac:dyDescent="0.3">
      <c r="B118" s="753" t="s">
        <v>493</v>
      </c>
      <c r="E118" s="1709" t="s">
        <v>494</v>
      </c>
      <c r="F118" s="1711"/>
      <c r="G118" s="1711"/>
      <c r="H118" s="1711"/>
      <c r="I118" s="1711"/>
      <c r="J118" s="1711"/>
      <c r="K118" s="1711"/>
      <c r="L118" s="1711"/>
      <c r="M118" s="1711"/>
      <c r="N118" s="1711"/>
      <c r="O118" s="1712" t="s">
        <v>476</v>
      </c>
      <c r="P118" s="1713"/>
      <c r="Q118" s="1714"/>
    </row>
    <row r="119" spans="2:18" ht="18.75" customHeight="1" x14ac:dyDescent="0.3">
      <c r="B119" s="1706"/>
      <c r="C119" s="1707"/>
      <c r="D119" s="1708"/>
      <c r="E119" s="754" t="s">
        <v>495</v>
      </c>
      <c r="F119" s="754" t="s">
        <v>496</v>
      </c>
      <c r="G119" s="754" t="s">
        <v>497</v>
      </c>
      <c r="H119" s="754" t="s">
        <v>498</v>
      </c>
      <c r="I119" s="754" t="s">
        <v>499</v>
      </c>
      <c r="J119" s="754" t="s">
        <v>500</v>
      </c>
      <c r="K119" s="754" t="s">
        <v>501</v>
      </c>
      <c r="L119" s="754" t="s">
        <v>502</v>
      </c>
      <c r="M119" s="754" t="s">
        <v>503</v>
      </c>
      <c r="N119" s="1220" t="s">
        <v>504</v>
      </c>
      <c r="O119" s="1715"/>
      <c r="P119" s="1716"/>
      <c r="Q119" s="1717"/>
    </row>
    <row r="120" spans="2:18" ht="18.649999999999999" customHeight="1" x14ac:dyDescent="0.3">
      <c r="B120" s="755" t="s">
        <v>478</v>
      </c>
      <c r="C120" s="1709" t="s">
        <v>505</v>
      </c>
      <c r="D120" s="1710"/>
      <c r="E120" s="637"/>
      <c r="F120" s="637"/>
      <c r="G120" s="637"/>
      <c r="H120" s="637"/>
      <c r="I120" s="637"/>
      <c r="J120" s="637"/>
      <c r="K120" s="637"/>
      <c r="L120" s="637"/>
      <c r="M120" s="637"/>
      <c r="N120" s="1219"/>
      <c r="O120" s="1718"/>
      <c r="P120" s="1719"/>
      <c r="Q120" s="1720"/>
    </row>
    <row r="121" spans="2:18" ht="33.65" customHeight="1" x14ac:dyDescent="0.3">
      <c r="B121" s="1240">
        <v>1</v>
      </c>
      <c r="C121" s="515"/>
      <c r="D121" s="600"/>
      <c r="E121" s="527"/>
      <c r="F121" s="1239"/>
      <c r="G121" s="1239"/>
      <c r="H121" s="1239"/>
      <c r="I121" s="527"/>
      <c r="J121" s="527"/>
      <c r="K121" s="527"/>
      <c r="L121" s="527"/>
      <c r="M121" s="527"/>
      <c r="N121" s="527"/>
      <c r="O121" s="1432"/>
      <c r="P121" s="1433"/>
      <c r="Q121" s="1434"/>
    </row>
    <row r="122" spans="2:18" ht="36.65" customHeight="1" x14ac:dyDescent="0.3">
      <c r="B122" s="1240">
        <v>2</v>
      </c>
      <c r="C122" s="515"/>
      <c r="D122" s="600"/>
      <c r="E122" s="527"/>
      <c r="F122" s="1239"/>
      <c r="G122" s="1239"/>
      <c r="H122" s="1239"/>
      <c r="I122" s="527"/>
      <c r="J122" s="527"/>
      <c r="K122" s="527"/>
      <c r="L122" s="527"/>
      <c r="M122" s="527"/>
      <c r="N122" s="527"/>
      <c r="O122" s="1422"/>
      <c r="P122" s="1423"/>
      <c r="Q122" s="1424"/>
    </row>
    <row r="123" spans="2:18" ht="18.75" customHeight="1" x14ac:dyDescent="0.3">
      <c r="B123" s="1240">
        <v>3</v>
      </c>
      <c r="C123" s="515"/>
      <c r="D123" s="600"/>
      <c r="E123" s="527"/>
      <c r="F123" s="1239"/>
      <c r="G123" s="1239"/>
      <c r="H123" s="1239"/>
      <c r="I123" s="527"/>
      <c r="J123" s="527"/>
      <c r="K123" s="527"/>
      <c r="L123" s="527"/>
      <c r="M123" s="527"/>
      <c r="N123" s="527"/>
      <c r="O123" s="1422"/>
      <c r="P123" s="1423"/>
      <c r="Q123" s="1424"/>
    </row>
    <row r="124" spans="2:18" ht="18.75" customHeight="1" x14ac:dyDescent="0.3">
      <c r="B124" s="1240">
        <v>4</v>
      </c>
      <c r="C124" s="515"/>
      <c r="D124" s="600"/>
      <c r="E124" s="527"/>
      <c r="F124" s="1239"/>
      <c r="G124" s="1239"/>
      <c r="H124" s="1239"/>
      <c r="I124" s="527"/>
      <c r="J124" s="527"/>
      <c r="K124" s="527"/>
      <c r="L124" s="527"/>
      <c r="M124" s="527"/>
      <c r="N124" s="527"/>
      <c r="O124" s="1422"/>
      <c r="P124" s="1423"/>
      <c r="Q124" s="1424"/>
    </row>
    <row r="125" spans="2:18" ht="18.75" customHeight="1" x14ac:dyDescent="0.3">
      <c r="B125" s="1240">
        <v>5</v>
      </c>
      <c r="C125" s="515"/>
      <c r="D125" s="600"/>
      <c r="E125" s="527"/>
      <c r="F125" s="1239"/>
      <c r="G125" s="1239"/>
      <c r="H125" s="1239"/>
      <c r="I125" s="527"/>
      <c r="J125" s="527"/>
      <c r="K125" s="527"/>
      <c r="L125" s="527"/>
      <c r="M125" s="527"/>
      <c r="N125" s="527"/>
      <c r="O125" s="1422"/>
      <c r="P125" s="1423"/>
      <c r="Q125" s="1424"/>
    </row>
    <row r="126" spans="2:18" ht="18.75" customHeight="1" x14ac:dyDescent="0.3">
      <c r="B126" s="1240">
        <v>6</v>
      </c>
      <c r="C126" s="515"/>
      <c r="D126" s="1189"/>
      <c r="E126" s="1239"/>
      <c r="F126" s="619"/>
      <c r="G126" s="1239"/>
      <c r="H126" s="1239"/>
      <c r="I126" s="528"/>
      <c r="J126" s="528"/>
      <c r="K126" s="528"/>
      <c r="L126" s="528"/>
      <c r="M126" s="528"/>
      <c r="N126" s="528"/>
      <c r="O126" s="1425"/>
      <c r="P126" s="1426"/>
      <c r="Q126" s="1427"/>
    </row>
    <row r="127" spans="2:18" ht="18.75" customHeight="1" x14ac:dyDescent="0.3">
      <c r="B127" s="1240">
        <v>7</v>
      </c>
      <c r="C127" s="515"/>
      <c r="D127" s="1189"/>
      <c r="E127" s="1239"/>
      <c r="F127" s="528"/>
      <c r="G127" s="528"/>
      <c r="H127" s="1239"/>
      <c r="I127" s="528"/>
      <c r="J127" s="528"/>
      <c r="K127" s="528"/>
      <c r="L127" s="528"/>
      <c r="M127" s="528"/>
      <c r="N127" s="528"/>
      <c r="O127" s="1425"/>
      <c r="P127" s="1426"/>
      <c r="Q127" s="1427"/>
    </row>
    <row r="128" spans="2:18" ht="18.75" customHeight="1" x14ac:dyDescent="0.3">
      <c r="B128" s="1240">
        <v>8</v>
      </c>
      <c r="C128" s="515"/>
      <c r="D128" s="1189"/>
      <c r="E128" s="1239"/>
      <c r="F128" s="528"/>
      <c r="G128" s="528"/>
      <c r="H128" s="528"/>
      <c r="I128" s="528"/>
      <c r="J128" s="528"/>
      <c r="K128" s="528"/>
      <c r="L128" s="528"/>
      <c r="M128" s="528"/>
      <c r="N128" s="528"/>
      <c r="O128" s="1425"/>
      <c r="P128" s="1426"/>
      <c r="Q128" s="1427"/>
    </row>
    <row r="129" spans="2:17" ht="18.75" customHeight="1" x14ac:dyDescent="0.3">
      <c r="B129" s="1240">
        <v>9</v>
      </c>
      <c r="C129" s="515"/>
      <c r="D129" s="1189"/>
      <c r="E129" s="1239"/>
      <c r="F129" s="1240"/>
      <c r="G129" s="1240"/>
      <c r="H129" s="1240"/>
      <c r="I129" s="528"/>
      <c r="J129" s="528"/>
      <c r="K129" s="528"/>
      <c r="L129" s="528"/>
      <c r="M129" s="528"/>
      <c r="N129" s="528"/>
      <c r="O129" s="1425"/>
      <c r="P129" s="1426"/>
      <c r="Q129" s="1427"/>
    </row>
    <row r="130" spans="2:17" ht="18.75" customHeight="1" x14ac:dyDescent="0.3">
      <c r="B130" s="1240">
        <v>10</v>
      </c>
      <c r="C130" s="515"/>
      <c r="D130" s="1189"/>
      <c r="E130" s="1240"/>
      <c r="F130" s="1240"/>
      <c r="G130" s="1240"/>
      <c r="H130" s="1240"/>
      <c r="I130" s="528"/>
      <c r="J130" s="528"/>
      <c r="K130" s="528"/>
      <c r="L130" s="528"/>
      <c r="M130" s="528"/>
      <c r="N130" s="528"/>
      <c r="O130" s="1425"/>
      <c r="P130" s="1426"/>
      <c r="Q130" s="1427"/>
    </row>
    <row r="131" spans="2:17" ht="18.75" customHeight="1" x14ac:dyDescent="0.3">
      <c r="B131" s="1240">
        <v>11</v>
      </c>
      <c r="C131" s="515"/>
      <c r="D131" s="1189"/>
      <c r="E131" s="529"/>
      <c r="F131" s="1239"/>
      <c r="G131" s="529"/>
      <c r="H131" s="529"/>
      <c r="I131" s="528"/>
      <c r="J131" s="528"/>
      <c r="K131" s="528"/>
      <c r="L131" s="528"/>
      <c r="M131" s="528"/>
      <c r="N131" s="528"/>
      <c r="O131" s="1425"/>
      <c r="P131" s="1426"/>
      <c r="Q131" s="1427"/>
    </row>
    <row r="132" spans="2:17" ht="18.75" customHeight="1" x14ac:dyDescent="0.3">
      <c r="B132" s="1240">
        <v>12</v>
      </c>
      <c r="C132" s="515"/>
      <c r="D132" s="1189"/>
      <c r="E132" s="1240"/>
      <c r="F132" s="1239"/>
      <c r="G132" s="1240"/>
      <c r="H132" s="1240"/>
      <c r="I132" s="528"/>
      <c r="J132" s="528"/>
      <c r="K132" s="528"/>
      <c r="L132" s="528"/>
      <c r="M132" s="528"/>
      <c r="N132" s="528"/>
      <c r="O132" s="1425"/>
      <c r="P132" s="1426"/>
      <c r="Q132" s="1427"/>
    </row>
    <row r="133" spans="2:17" ht="18.75" customHeight="1" x14ac:dyDescent="0.3">
      <c r="B133" s="1240">
        <v>13</v>
      </c>
      <c r="C133" s="515"/>
      <c r="D133" s="1189"/>
      <c r="E133" s="1240"/>
      <c r="F133" s="1240"/>
      <c r="G133" s="1240"/>
      <c r="H133" s="1240"/>
      <c r="I133" s="528"/>
      <c r="J133" s="528"/>
      <c r="K133" s="528"/>
      <c r="L133" s="528"/>
      <c r="M133" s="528"/>
      <c r="N133" s="528"/>
      <c r="O133" s="1425"/>
      <c r="P133" s="1426"/>
      <c r="Q133" s="1427"/>
    </row>
    <row r="134" spans="2:17" ht="18.75" customHeight="1" x14ac:dyDescent="0.3">
      <c r="B134" s="1240">
        <v>14</v>
      </c>
      <c r="C134" s="515"/>
      <c r="D134" s="1189"/>
      <c r="E134" s="530"/>
      <c r="F134" s="530"/>
      <c r="G134" s="530"/>
      <c r="H134" s="530"/>
      <c r="I134" s="528"/>
      <c r="J134" s="528"/>
      <c r="K134" s="528"/>
      <c r="L134" s="528"/>
      <c r="M134" s="528"/>
      <c r="N134" s="528"/>
      <c r="O134" s="1425"/>
      <c r="P134" s="1426"/>
      <c r="Q134" s="1427"/>
    </row>
    <row r="135" spans="2:17" ht="18.75" customHeight="1" x14ac:dyDescent="0.3">
      <c r="B135" s="1240">
        <v>15</v>
      </c>
      <c r="C135" s="515"/>
      <c r="D135" s="1189"/>
      <c r="E135" s="530"/>
      <c r="F135" s="530"/>
      <c r="G135" s="530"/>
      <c r="H135" s="530"/>
      <c r="I135" s="528"/>
      <c r="J135" s="528"/>
      <c r="K135" s="528"/>
      <c r="L135" s="528"/>
      <c r="M135" s="528"/>
      <c r="N135" s="528"/>
      <c r="O135" s="1425"/>
      <c r="P135" s="1426"/>
      <c r="Q135" s="1427"/>
    </row>
    <row r="136" spans="2:17" ht="18.75" customHeight="1" x14ac:dyDescent="0.3">
      <c r="B136" s="1240">
        <v>16</v>
      </c>
      <c r="C136" s="515"/>
      <c r="D136" s="1189"/>
      <c r="E136" s="530"/>
      <c r="F136" s="530"/>
      <c r="G136" s="530"/>
      <c r="H136" s="530"/>
      <c r="I136" s="528"/>
      <c r="J136" s="528"/>
      <c r="K136" s="528"/>
      <c r="L136" s="528"/>
      <c r="M136" s="528"/>
      <c r="N136" s="528"/>
      <c r="O136" s="1425"/>
      <c r="P136" s="1426"/>
      <c r="Q136" s="1427"/>
    </row>
    <row r="137" spans="2:17" ht="18.75" customHeight="1" x14ac:dyDescent="0.3">
      <c r="B137" s="1240">
        <v>17</v>
      </c>
      <c r="C137" s="515"/>
      <c r="D137" s="1189"/>
      <c r="E137" s="530"/>
      <c r="F137" s="530"/>
      <c r="G137" s="530"/>
      <c r="H137" s="530"/>
      <c r="I137" s="528"/>
      <c r="J137" s="528"/>
      <c r="K137" s="528"/>
      <c r="L137" s="528"/>
      <c r="M137" s="528"/>
      <c r="N137" s="528"/>
      <c r="O137" s="1425"/>
      <c r="P137" s="1426"/>
      <c r="Q137" s="1427"/>
    </row>
    <row r="138" spans="2:17" ht="18.75" customHeight="1" x14ac:dyDescent="0.3">
      <c r="B138" s="1240">
        <v>18</v>
      </c>
      <c r="C138" s="515"/>
      <c r="D138" s="1189"/>
      <c r="E138" s="530"/>
      <c r="F138" s="530"/>
      <c r="G138" s="530"/>
      <c r="H138" s="530"/>
      <c r="I138" s="528"/>
      <c r="J138" s="528"/>
      <c r="K138" s="528"/>
      <c r="L138" s="528"/>
      <c r="M138" s="528"/>
      <c r="N138" s="528"/>
      <c r="O138" s="1425"/>
      <c r="P138" s="1426"/>
      <c r="Q138" s="1427"/>
    </row>
    <row r="139" spans="2:17" ht="18.75" customHeight="1" x14ac:dyDescent="0.3">
      <c r="B139" s="1240">
        <v>19</v>
      </c>
      <c r="C139" s="515"/>
      <c r="D139" s="1189"/>
      <c r="E139" s="530"/>
      <c r="F139" s="530"/>
      <c r="G139" s="530"/>
      <c r="H139" s="530"/>
      <c r="I139" s="528"/>
      <c r="J139" s="528"/>
      <c r="K139" s="528"/>
      <c r="L139" s="528"/>
      <c r="M139" s="528"/>
      <c r="N139" s="528"/>
      <c r="O139" s="1425"/>
      <c r="P139" s="1426"/>
      <c r="Q139" s="1427"/>
    </row>
    <row r="140" spans="2:17" ht="18.75" customHeight="1" x14ac:dyDescent="0.3">
      <c r="B140" s="1240">
        <v>20</v>
      </c>
      <c r="C140" s="515"/>
      <c r="D140" s="1189"/>
      <c r="E140" s="530"/>
      <c r="F140" s="530"/>
      <c r="G140" s="530"/>
      <c r="H140" s="530"/>
      <c r="I140" s="528"/>
      <c r="J140" s="528"/>
      <c r="K140" s="528"/>
      <c r="L140" s="528"/>
      <c r="M140" s="528"/>
      <c r="N140" s="528"/>
      <c r="O140" s="1425"/>
      <c r="P140" s="1426"/>
      <c r="Q140" s="1427"/>
    </row>
  </sheetData>
  <sheetProtection algorithmName="SHA-512" hashValue="CQ39XaUoKoTupjaxzSqenkrzLnjVqXw9tDncZZC4pBlSDFD+NF6c7z/aWbeTpctFeD/d0ZQVr650xrswbAr4Lg==" saltValue="hr8ybgbJYLy5P6VaLcQd2w==" spinCount="100000" sheet="1" objects="1" scenarios="1" selectLockedCells="1" selectUnlockedCells="1"/>
  <mergeCells count="145">
    <mergeCell ref="J65:Q65"/>
    <mergeCell ref="J66:Q66"/>
    <mergeCell ref="J76:Q76"/>
    <mergeCell ref="J68:Q68"/>
    <mergeCell ref="O137:Q137"/>
    <mergeCell ref="O138:Q138"/>
    <mergeCell ref="O139:Q139"/>
    <mergeCell ref="O140:Q140"/>
    <mergeCell ref="O131:Q131"/>
    <mergeCell ref="O132:Q132"/>
    <mergeCell ref="O133:Q133"/>
    <mergeCell ref="O134:Q134"/>
    <mergeCell ref="O135:Q135"/>
    <mergeCell ref="O136:Q136"/>
    <mergeCell ref="O125:Q125"/>
    <mergeCell ref="O126:Q126"/>
    <mergeCell ref="O127:Q127"/>
    <mergeCell ref="O128:Q128"/>
    <mergeCell ref="O129:Q129"/>
    <mergeCell ref="O130:Q130"/>
    <mergeCell ref="O107:Q107"/>
    <mergeCell ref="O108:Q108"/>
    <mergeCell ref="O109:Q109"/>
    <mergeCell ref="O110:Q110"/>
    <mergeCell ref="B119:D119"/>
    <mergeCell ref="C120:D120"/>
    <mergeCell ref="O121:Q121"/>
    <mergeCell ref="O122:Q122"/>
    <mergeCell ref="O123:Q123"/>
    <mergeCell ref="O124:Q124"/>
    <mergeCell ref="O113:Q113"/>
    <mergeCell ref="O114:Q114"/>
    <mergeCell ref="O115:Q115"/>
    <mergeCell ref="O116:Q116"/>
    <mergeCell ref="E118:N118"/>
    <mergeCell ref="O118:Q120"/>
    <mergeCell ref="O111:Q111"/>
    <mergeCell ref="O112:Q112"/>
    <mergeCell ref="O101:Q101"/>
    <mergeCell ref="O102:Q102"/>
    <mergeCell ref="O103:Q103"/>
    <mergeCell ref="O104:Q104"/>
    <mergeCell ref="O105:Q105"/>
    <mergeCell ref="O106:Q106"/>
    <mergeCell ref="B95:D95"/>
    <mergeCell ref="C96:D96"/>
    <mergeCell ref="O97:Q97"/>
    <mergeCell ref="O98:Q98"/>
    <mergeCell ref="O99:Q99"/>
    <mergeCell ref="O100:Q100"/>
    <mergeCell ref="F86:Q86"/>
    <mergeCell ref="F87:Q87"/>
    <mergeCell ref="F88:Q88"/>
    <mergeCell ref="F89:Q89"/>
    <mergeCell ref="F90:Q90"/>
    <mergeCell ref="E94:N94"/>
    <mergeCell ref="O94:Q96"/>
    <mergeCell ref="F80:Q80"/>
    <mergeCell ref="F81:Q81"/>
    <mergeCell ref="F82:Q82"/>
    <mergeCell ref="F83:Q83"/>
    <mergeCell ref="F84:Q84"/>
    <mergeCell ref="F85:Q85"/>
    <mergeCell ref="D67:E67"/>
    <mergeCell ref="J67:Q67"/>
    <mergeCell ref="D68:E68"/>
    <mergeCell ref="D69:E69"/>
    <mergeCell ref="J69:Q69"/>
    <mergeCell ref="D66:E66"/>
    <mergeCell ref="D76:E76"/>
    <mergeCell ref="D63:E63"/>
    <mergeCell ref="J63:Q63"/>
    <mergeCell ref="D64:E64"/>
    <mergeCell ref="J64:Q64"/>
    <mergeCell ref="D65:E65"/>
    <mergeCell ref="D73:E73"/>
    <mergeCell ref="J73:Q73"/>
    <mergeCell ref="D74:E74"/>
    <mergeCell ref="J74:Q74"/>
    <mergeCell ref="D75:E75"/>
    <mergeCell ref="J75:Q75"/>
    <mergeCell ref="D70:E70"/>
    <mergeCell ref="J70:Q70"/>
    <mergeCell ref="D71:E71"/>
    <mergeCell ref="J71:Q71"/>
    <mergeCell ref="D72:E72"/>
    <mergeCell ref="J72:Q72"/>
    <mergeCell ref="C56:M56"/>
    <mergeCell ref="P56:Q56"/>
    <mergeCell ref="C57:M57"/>
    <mergeCell ref="P57:Q57"/>
    <mergeCell ref="D61:E61"/>
    <mergeCell ref="J61:Q61"/>
    <mergeCell ref="D62:E62"/>
    <mergeCell ref="C53:M53"/>
    <mergeCell ref="P53:Q53"/>
    <mergeCell ref="C54:M54"/>
    <mergeCell ref="P54:Q54"/>
    <mergeCell ref="C55:M55"/>
    <mergeCell ref="P55:Q55"/>
    <mergeCell ref="J62:Q62"/>
    <mergeCell ref="C51:M51"/>
    <mergeCell ref="P51:Q51"/>
    <mergeCell ref="E32:Q32"/>
    <mergeCell ref="E33:Q33"/>
    <mergeCell ref="D29:Q29"/>
    <mergeCell ref="D30:Q30"/>
    <mergeCell ref="C45:M45"/>
    <mergeCell ref="P45:Q45"/>
    <mergeCell ref="C47:M47"/>
    <mergeCell ref="P47:Q47"/>
    <mergeCell ref="C48:M48"/>
    <mergeCell ref="P48:Q48"/>
    <mergeCell ref="C42:M42"/>
    <mergeCell ref="P42:Q42"/>
    <mergeCell ref="C43:M43"/>
    <mergeCell ref="P43:Q43"/>
    <mergeCell ref="C44:M44"/>
    <mergeCell ref="P44:Q44"/>
    <mergeCell ref="E34:Q34"/>
    <mergeCell ref="E35:Q35"/>
    <mergeCell ref="C2:F2"/>
    <mergeCell ref="C3:F3"/>
    <mergeCell ref="C4:F4"/>
    <mergeCell ref="C5:F5"/>
    <mergeCell ref="D7:F7"/>
    <mergeCell ref="D8:F16"/>
    <mergeCell ref="C49:M49"/>
    <mergeCell ref="P49:Q49"/>
    <mergeCell ref="C50:M50"/>
    <mergeCell ref="P50:Q50"/>
    <mergeCell ref="E36:Q36"/>
    <mergeCell ref="E37:Q37"/>
    <mergeCell ref="C41:M41"/>
    <mergeCell ref="P41:Q41"/>
    <mergeCell ref="D25:Q25"/>
    <mergeCell ref="D26:Q26"/>
    <mergeCell ref="D27:Q27"/>
    <mergeCell ref="D28:Q28"/>
    <mergeCell ref="D17:F17"/>
    <mergeCell ref="D18:F18"/>
    <mergeCell ref="B20:Q20"/>
    <mergeCell ref="C21:Q21"/>
    <mergeCell ref="C22:Q22"/>
    <mergeCell ref="C23:Q23"/>
  </mergeCells>
  <conditionalFormatting sqref="F109:F116 G102:G116 H104:H116">
    <cfRule type="expression" dxfId="3602" priority="83">
      <formula>IF(OR(#REF!="L",#REF!="C"),TRUE,FALSE)</formula>
    </cfRule>
  </conditionalFormatting>
  <conditionalFormatting sqref="E110:E116">
    <cfRule type="expression" dxfId="3601" priority="82">
      <formula>IF(OR(#REF!="L",#REF!="C"),TRUE,FALSE)</formula>
    </cfRule>
  </conditionalFormatting>
  <conditionalFormatting sqref="E107">
    <cfRule type="expression" dxfId="3600" priority="81">
      <formula>IF(OR(#REF!="L",#REF!="C"),TRUE,FALSE)</formula>
    </cfRule>
  </conditionalFormatting>
  <conditionalFormatting sqref="E108">
    <cfRule type="expression" dxfId="3599" priority="80">
      <formula>IF(OR(#REF!="L",#REF!="C"),TRUE,FALSE)</formula>
    </cfRule>
  </conditionalFormatting>
  <conditionalFormatting sqref="E109">
    <cfRule type="expression" dxfId="3598" priority="79">
      <formula>IF(OR(#REF!="L",#REF!="C"),TRUE,FALSE)</formula>
    </cfRule>
  </conditionalFormatting>
  <conditionalFormatting sqref="E106">
    <cfRule type="expression" dxfId="3597" priority="78">
      <formula>IF(OR(#REF!="L",#REF!="C"),TRUE,FALSE)</formula>
    </cfRule>
  </conditionalFormatting>
  <conditionalFormatting sqref="G95 I95 K95 M95">
    <cfRule type="duplicateValues" dxfId="3596" priority="77"/>
  </conditionalFormatting>
  <conditionalFormatting sqref="M104:M116">
    <cfRule type="expression" dxfId="3595" priority="67">
      <formula>IF(OR(#REF!="L",#REF!="C"),TRUE,FALSE)</formula>
    </cfRule>
  </conditionalFormatting>
  <conditionalFormatting sqref="F102:F106">
    <cfRule type="expression" dxfId="3594" priority="76">
      <formula>IF(OR(#REF!="L",#REF!="C"),TRUE,FALSE)</formula>
    </cfRule>
  </conditionalFormatting>
  <conditionalFormatting sqref="I102:I103">
    <cfRule type="expression" dxfId="3593" priority="74">
      <formula>IF(OR(#REF!="L",#REF!="C"),TRUE,FALSE)</formula>
    </cfRule>
  </conditionalFormatting>
  <conditionalFormatting sqref="N102:N103">
    <cfRule type="expression" dxfId="3592" priority="64">
      <formula>IF(OR(#REF!="L",#REF!="C"),TRUE,FALSE)</formula>
    </cfRule>
  </conditionalFormatting>
  <conditionalFormatting sqref="I104:I116">
    <cfRule type="expression" dxfId="3591" priority="75">
      <formula>IF(OR(#REF!="L",#REF!="C"),TRUE,FALSE)</formula>
    </cfRule>
  </conditionalFormatting>
  <conditionalFormatting sqref="J102:J103">
    <cfRule type="expression" dxfId="3590" priority="72">
      <formula>IF(OR(#REF!="L",#REF!="C"),TRUE,FALSE)</formula>
    </cfRule>
  </conditionalFormatting>
  <conditionalFormatting sqref="J104:J116">
    <cfRule type="expression" dxfId="3589" priority="73">
      <formula>IF(OR(#REF!="L",#REF!="C"),TRUE,FALSE)</formula>
    </cfRule>
  </conditionalFormatting>
  <conditionalFormatting sqref="K102:K103">
    <cfRule type="expression" dxfId="3588" priority="70">
      <formula>IF(OR(#REF!="L",#REF!="C"),TRUE,FALSE)</formula>
    </cfRule>
  </conditionalFormatting>
  <conditionalFormatting sqref="K104:K116">
    <cfRule type="expression" dxfId="3587" priority="71">
      <formula>IF(OR(#REF!="L",#REF!="C"),TRUE,FALSE)</formula>
    </cfRule>
  </conditionalFormatting>
  <conditionalFormatting sqref="L102:L103">
    <cfRule type="expression" dxfId="3586" priority="68">
      <formula>IF(OR(#REF!="L",#REF!="C"),TRUE,FALSE)</formula>
    </cfRule>
  </conditionalFormatting>
  <conditionalFormatting sqref="L104:L116">
    <cfRule type="expression" dxfId="3585" priority="69">
      <formula>IF(OR(#REF!="L",#REF!="C"),TRUE,FALSE)</formula>
    </cfRule>
  </conditionalFormatting>
  <conditionalFormatting sqref="M102:M103">
    <cfRule type="expression" dxfId="3584" priority="66">
      <formula>IF(OR(#REF!="L",#REF!="C"),TRUE,FALSE)</formula>
    </cfRule>
  </conditionalFormatting>
  <conditionalFormatting sqref="N104:N116">
    <cfRule type="expression" dxfId="3583" priority="65">
      <formula>IF(OR(#REF!="L",#REF!="C"),TRUE,FALSE)</formula>
    </cfRule>
  </conditionalFormatting>
  <conditionalFormatting sqref="O102:O103">
    <cfRule type="expression" dxfId="3582" priority="61">
      <formula>IF(OR(#REF!="L",#REF!="C"),TRUE,FALSE)</formula>
    </cfRule>
  </conditionalFormatting>
  <conditionalFormatting sqref="O104:O116">
    <cfRule type="expression" dxfId="3581" priority="62">
      <formula>IF(OR(#REF!="L",#REF!="C"),TRUE,FALSE)</formula>
    </cfRule>
  </conditionalFormatting>
  <conditionalFormatting sqref="F96:N96">
    <cfRule type="duplicateValues" dxfId="3580" priority="60"/>
  </conditionalFormatting>
  <conditionalFormatting sqref="E130">
    <cfRule type="expression" dxfId="3579" priority="44">
      <formula>IF(OR(#REF!="L",#REF!="C"),TRUE,FALSE)</formula>
    </cfRule>
  </conditionalFormatting>
  <conditionalFormatting sqref="E134:E140">
    <cfRule type="expression" dxfId="3578" priority="48">
      <formula>IF(OR(#REF!="L",#REF!="C"),TRUE,FALSE)</formula>
    </cfRule>
  </conditionalFormatting>
  <conditionalFormatting sqref="F133:F140 G126:G140 H128:H140">
    <cfRule type="expression" dxfId="3577" priority="49">
      <formula>IF(OR(#REF!="L",#REF!="C"),TRUE,FALSE)</formula>
    </cfRule>
  </conditionalFormatting>
  <conditionalFormatting sqref="E131">
    <cfRule type="expression" dxfId="3576" priority="47">
      <formula>IF(OR(#REF!="L",#REF!="C"),TRUE,FALSE)</formula>
    </cfRule>
  </conditionalFormatting>
  <conditionalFormatting sqref="E132">
    <cfRule type="expression" dxfId="3575" priority="46">
      <formula>IF(OR(#REF!="L",#REF!="C"),TRUE,FALSE)</formula>
    </cfRule>
  </conditionalFormatting>
  <conditionalFormatting sqref="E133">
    <cfRule type="expression" dxfId="3574" priority="45">
      <formula>IF(OR(#REF!="L",#REF!="C"),TRUE,FALSE)</formula>
    </cfRule>
  </conditionalFormatting>
  <conditionalFormatting sqref="E119 G119 I119 K119 M119">
    <cfRule type="duplicateValues" dxfId="3573" priority="43"/>
  </conditionalFormatting>
  <conditionalFormatting sqref="M128:M140">
    <cfRule type="expression" dxfId="3572" priority="33">
      <formula>IF(OR(#REF!="L",#REF!="C"),TRUE,FALSE)</formula>
    </cfRule>
  </conditionalFormatting>
  <conditionalFormatting sqref="F126:F130">
    <cfRule type="expression" dxfId="3571" priority="42">
      <formula>IF(OR(#REF!="L",#REF!="C"),TRUE,FALSE)</formula>
    </cfRule>
  </conditionalFormatting>
  <conditionalFormatting sqref="I126:I127">
    <cfRule type="expression" dxfId="3570" priority="40">
      <formula>IF(OR(#REF!="L",#REF!="C"),TRUE,FALSE)</formula>
    </cfRule>
  </conditionalFormatting>
  <conditionalFormatting sqref="N126:N127">
    <cfRule type="expression" dxfId="3569" priority="30">
      <formula>IF(OR(#REF!="L",#REF!="C"),TRUE,FALSE)</formula>
    </cfRule>
  </conditionalFormatting>
  <conditionalFormatting sqref="I128:I140">
    <cfRule type="expression" dxfId="3568" priority="41">
      <formula>IF(OR(#REF!="L",#REF!="C"),TRUE,FALSE)</formula>
    </cfRule>
  </conditionalFormatting>
  <conditionalFormatting sqref="J126:J127">
    <cfRule type="expression" dxfId="3567" priority="38">
      <formula>IF(OR(#REF!="L",#REF!="C"),TRUE,FALSE)</formula>
    </cfRule>
  </conditionalFormatting>
  <conditionalFormatting sqref="J128:J140">
    <cfRule type="expression" dxfId="3566" priority="39">
      <formula>IF(OR(#REF!="L",#REF!="C"),TRUE,FALSE)</formula>
    </cfRule>
  </conditionalFormatting>
  <conditionalFormatting sqref="K126:K127">
    <cfRule type="expression" dxfId="3565" priority="36">
      <formula>IF(OR(#REF!="L",#REF!="C"),TRUE,FALSE)</formula>
    </cfRule>
  </conditionalFormatting>
  <conditionalFormatting sqref="K128:K140">
    <cfRule type="expression" dxfId="3564" priority="37">
      <formula>IF(OR(#REF!="L",#REF!="C"),TRUE,FALSE)</formula>
    </cfRule>
  </conditionalFormatting>
  <conditionalFormatting sqref="L126:L127">
    <cfRule type="expression" dxfId="3563" priority="34">
      <formula>IF(OR(#REF!="L",#REF!="C"),TRUE,FALSE)</formula>
    </cfRule>
  </conditionalFormatting>
  <conditionalFormatting sqref="L128:L140">
    <cfRule type="expression" dxfId="3562" priority="35">
      <formula>IF(OR(#REF!="L",#REF!="C"),TRUE,FALSE)</formula>
    </cfRule>
  </conditionalFormatting>
  <conditionalFormatting sqref="M126:M127">
    <cfRule type="expression" dxfId="3561" priority="32">
      <formula>IF(OR(#REF!="L",#REF!="C"),TRUE,FALSE)</formula>
    </cfRule>
  </conditionalFormatting>
  <conditionalFormatting sqref="N128:N140">
    <cfRule type="expression" dxfId="3560" priority="31">
      <formula>IF(OR(#REF!="L",#REF!="C"),TRUE,FALSE)</formula>
    </cfRule>
  </conditionalFormatting>
  <conditionalFormatting sqref="O126:O127">
    <cfRule type="expression" dxfId="3559" priority="28">
      <formula>IF(OR(#REF!="L",#REF!="C"),TRUE,FALSE)</formula>
    </cfRule>
  </conditionalFormatting>
  <conditionalFormatting sqref="O128:O140">
    <cfRule type="expression" dxfId="3558" priority="29">
      <formula>IF(OR(#REF!="L",#REF!="C"),TRUE,FALSE)</formula>
    </cfRule>
  </conditionalFormatting>
  <conditionalFormatting sqref="E120:N120">
    <cfRule type="duplicateValues" dxfId="3557" priority="27"/>
  </conditionalFormatting>
  <conditionalFormatting sqref="H72">
    <cfRule type="expression" dxfId="3556" priority="1">
      <formula>IF(OR(#REF!="L",#REF!="C"),TRUE,FALSE)</formula>
    </cfRule>
  </conditionalFormatting>
  <conditionalFormatting sqref="H66">
    <cfRule type="expression" dxfId="3555" priority="21">
      <formula>IF(OR(#REF!="L",#REF!="C"),TRUE,FALSE)</formula>
    </cfRule>
  </conditionalFormatting>
  <conditionalFormatting sqref="H67">
    <cfRule type="expression" dxfId="3554" priority="20">
      <formula>IF(OR(#REF!="L",#REF!="C"),TRUE,FALSE)</formula>
    </cfRule>
  </conditionalFormatting>
  <conditionalFormatting sqref="H68:H70">
    <cfRule type="expression" dxfId="3553" priority="14">
      <formula>IF(OR(#REF!="L",#REF!="C"),TRUE,FALSE)</formula>
    </cfRule>
  </conditionalFormatting>
  <conditionalFormatting sqref="H63">
    <cfRule type="expression" dxfId="3552" priority="17">
      <formula>IF(OR(#REF!="L",#REF!="C"),TRUE,FALSE)</formula>
    </cfRule>
  </conditionalFormatting>
  <conditionalFormatting sqref="H64">
    <cfRule type="expression" dxfId="3551" priority="16">
      <formula>IF(OR(#REF!="L",#REF!="C"),TRUE,FALSE)</formula>
    </cfRule>
  </conditionalFormatting>
  <conditionalFormatting sqref="H65">
    <cfRule type="expression" dxfId="3550" priority="15">
      <formula>IF(OR(#REF!="L",#REF!="C"),TRUE,FALSE)</formula>
    </cfRule>
  </conditionalFormatting>
  <conditionalFormatting sqref="H71">
    <cfRule type="expression" dxfId="3549" priority="13">
      <formula>IF(OR(#REF!="L",#REF!="C"),TRUE,FALSE)</formula>
    </cfRule>
  </conditionalFormatting>
  <conditionalFormatting sqref="H62:H63">
    <cfRule type="expression" dxfId="3548" priority="9">
      <formula>IF(OR(#REF!="L",#REF!="C"),TRUE,FALSE)</formula>
    </cfRule>
  </conditionalFormatting>
  <conditionalFormatting sqref="E95">
    <cfRule type="duplicateValues" dxfId="3547" priority="8"/>
  </conditionalFormatting>
  <conditionalFormatting sqref="E96">
    <cfRule type="duplicateValues" dxfId="3546" priority="7"/>
  </conditionalFormatting>
  <conditionalFormatting sqref="H76">
    <cfRule type="expression" dxfId="3545" priority="5">
      <formula>IF(OR(#REF!="L",#REF!="C"),TRUE,FALSE)</formula>
    </cfRule>
  </conditionalFormatting>
  <conditionalFormatting sqref="H74">
    <cfRule type="expression" dxfId="3544" priority="4">
      <formula>IF(OR(#REF!="L",#REF!="C"),TRUE,FALSE)</formula>
    </cfRule>
  </conditionalFormatting>
  <conditionalFormatting sqref="H73">
    <cfRule type="expression" dxfId="3543" priority="3">
      <formula>IF(OR(#REF!="L",#REF!="C"),TRUE,FALSE)</formula>
    </cfRule>
  </conditionalFormatting>
  <conditionalFormatting sqref="H75:H76">
    <cfRule type="expression" dxfId="3542" priority="2">
      <formula>IF(OR(#REF!="L",#REF!="C"),TRUE,FALSE)</formula>
    </cfRule>
  </conditionalFormatting>
  <dataValidations count="6">
    <dataValidation type="list" allowBlank="1" showInputMessage="1" showErrorMessage="1" sqref="C4" xr:uid="{1EEB7AC1-D842-47A7-8BD5-56675343FA0F}">
      <formula1>"COM,RES"</formula1>
    </dataValidation>
    <dataValidation type="list" allowBlank="1" showInputMessage="1" showErrorMessage="1" sqref="C9" xr:uid="{669FA1E9-75AA-4C58-8052-DB78281C0FCE}">
      <formula1>INDIRECT("MeasureTypeList[Index]")</formula1>
    </dataValidation>
    <dataValidation type="list" allowBlank="1" showInputMessage="1" showErrorMessage="1" sqref="C26" xr:uid="{584B5873-E568-4D60-AF3F-7427342CA152}">
      <formula1>INDIRECT("RegionList[Index]")</formula1>
    </dataValidation>
    <dataValidation type="list" allowBlank="1" showInputMessage="1" showErrorMessage="1" sqref="C27" xr:uid="{5CF95FAD-8FF4-4D35-8170-9E6C9FE3AC71}">
      <formula1>INDIRECT("ReplacementTypeList[Index]")</formula1>
    </dataValidation>
    <dataValidation type="list" allowBlank="1" showInputMessage="1" showErrorMessage="1" sqref="C28" xr:uid="{FB2BC9AF-64CB-4B55-B7B6-A34A2057C96B}">
      <formula1>INDIRECT("BuildingType[Building]")</formula1>
    </dataValidation>
    <dataValidation type="list" allowBlank="1" showInputMessage="1" showErrorMessage="1" sqref="C29 C30" xr:uid="{3C9F5FD3-7AD0-4636-9250-6E8D9A61D14E}">
      <formula1>INDIRECT("FuelTypeList[Index]")</formula1>
    </dataValidation>
  </dataValidations>
  <hyperlinks>
    <hyperlink ref="F83" r:id="rId1" xr:uid="{666513CB-149A-4526-B99D-3737FEEFD2FC}"/>
    <hyperlink ref="F85" r:id="rId2" xr:uid="{222062C8-0425-4788-9BBF-FB8B1D591354}"/>
    <hyperlink ref="F84" r:id="rId3" xr:uid="{2A9B9EE2-F00C-4217-BD55-1C48A1061FAD}"/>
    <hyperlink ref="F82" r:id="rId4" xr:uid="{17122210-14A6-4717-A26E-90AE7C321923}"/>
  </hyperlinks>
  <pageMargins left="0.7" right="0.7" top="0.75" bottom="0.75" header="0.3" footer="0.3"/>
  <pageSetup orientation="portrait" r:id="rId5"/>
  <extLst>
    <ext xmlns:x14="http://schemas.microsoft.com/office/spreadsheetml/2009/9/main" uri="{CCE6A557-97BC-4b89-ADB6-D9C93CAAB3DF}">
      <x14:dataValidations xmlns:xm="http://schemas.microsoft.com/office/excel/2006/main" count="1">
        <x14:dataValidation type="list" allowBlank="1" showInputMessage="1" showErrorMessage="1" xr:uid="{13385F67-DB48-4C5F-AA0B-4A3524B9275E}">
          <x14:formula1>
            <xm:f>Validation!$B$6:$B$16</xm:f>
          </x14:formula1>
          <xm:sqref>H62:H63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3DA52-F58D-4C01-B97C-3259A40FD661}">
  <sheetPr codeName="Sheet30"/>
  <dimension ref="A2:T140"/>
  <sheetViews>
    <sheetView workbookViewId="0"/>
  </sheetViews>
  <sheetFormatPr defaultColWidth="9.08984375" defaultRowHeight="18.75" customHeight="1" x14ac:dyDescent="0.3"/>
  <cols>
    <col min="1" max="1" width="2.36328125" style="488" customWidth="1"/>
    <col min="2" max="2" width="44.36328125" style="488" bestFit="1" customWidth="1"/>
    <col min="3" max="3" width="22.26953125" style="488" customWidth="1"/>
    <col min="4" max="4" width="21.6328125" style="488" customWidth="1"/>
    <col min="5" max="5" width="15" style="488" customWidth="1"/>
    <col min="6" max="6" width="17.26953125" style="488" customWidth="1"/>
    <col min="7" max="7" width="19.6328125" style="488" customWidth="1"/>
    <col min="8" max="8" width="16" style="488" customWidth="1"/>
    <col min="9" max="9" width="1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R-WB-004</v>
      </c>
      <c r="D3" s="1367"/>
      <c r="E3" s="1367"/>
      <c r="F3" s="1367"/>
    </row>
    <row r="4" spans="1:18" ht="18.75" customHeight="1" x14ac:dyDescent="0.3">
      <c r="B4" s="490" t="s">
        <v>11</v>
      </c>
      <c r="C4" s="1367" t="str" cm="1">
        <f t="array" ref="C4">_xlfn.SWITCH(LEFT(C8,1),"R","Residential","C","Commercial","ERROR")</f>
        <v>Residential</v>
      </c>
      <c r="D4" s="1367"/>
      <c r="E4" s="1367"/>
      <c r="F4" s="1367"/>
    </row>
    <row r="5" spans="1:18" ht="19.5" customHeight="1" x14ac:dyDescent="0.3">
      <c r="B5" s="490" t="s">
        <v>408</v>
      </c>
      <c r="C5" s="1530" t="s">
        <v>393</v>
      </c>
      <c r="D5" s="1531"/>
      <c r="E5" s="1531"/>
      <c r="F5" s="1532"/>
      <c r="R5" s="488"/>
    </row>
    <row r="6" spans="1:18" ht="18.75" customHeight="1" x14ac:dyDescent="0.3">
      <c r="A6" s="573"/>
    </row>
    <row r="7" spans="1:18" ht="18.75" customHeight="1" x14ac:dyDescent="0.3">
      <c r="B7" s="1193" t="s">
        <v>409</v>
      </c>
      <c r="C7" s="1192" t="s">
        <v>406</v>
      </c>
      <c r="D7" s="1363" t="s">
        <v>410</v>
      </c>
      <c r="E7" s="1363"/>
      <c r="F7" s="1363"/>
      <c r="R7" s="488"/>
    </row>
    <row r="8" spans="1:18" ht="18.75" customHeight="1" x14ac:dyDescent="0.3">
      <c r="B8" s="490" t="s">
        <v>411</v>
      </c>
      <c r="C8" s="1218" t="s">
        <v>180</v>
      </c>
      <c r="D8" s="1457"/>
      <c r="E8" s="1457"/>
      <c r="F8" s="1457"/>
      <c r="R8" s="488"/>
    </row>
    <row r="9" spans="1:18" ht="18.75" customHeight="1" x14ac:dyDescent="0.3">
      <c r="B9" s="490" t="s">
        <v>49</v>
      </c>
      <c r="C9" s="1218" t="s">
        <v>891</v>
      </c>
      <c r="D9" s="1457"/>
      <c r="E9" s="1457"/>
      <c r="F9" s="1457"/>
      <c r="R9" s="488"/>
    </row>
    <row r="10" spans="1:18" ht="18.75" customHeight="1" x14ac:dyDescent="0.3">
      <c r="B10" s="490" t="s">
        <v>412</v>
      </c>
      <c r="C10" s="1218"/>
      <c r="D10" s="1457"/>
      <c r="E10" s="1457"/>
      <c r="F10" s="1457"/>
      <c r="R10" s="488"/>
    </row>
    <row r="11" spans="1:18" ht="18.75" customHeight="1" x14ac:dyDescent="0.3">
      <c r="B11" s="490" t="s">
        <v>413</v>
      </c>
      <c r="C11" s="1218"/>
      <c r="D11" s="1457"/>
      <c r="E11" s="1457"/>
      <c r="F11" s="1457"/>
      <c r="R11" s="488"/>
    </row>
    <row r="12" spans="1:18" ht="18.75" customHeight="1" x14ac:dyDescent="0.3">
      <c r="B12" s="490" t="s">
        <v>414</v>
      </c>
      <c r="C12" s="665"/>
      <c r="D12" s="1457"/>
      <c r="E12" s="1457"/>
      <c r="F12" s="1457"/>
      <c r="R12" s="488"/>
    </row>
    <row r="13" spans="1:18" ht="18.75" customHeight="1" x14ac:dyDescent="0.3">
      <c r="B13" s="494" t="s">
        <v>415</v>
      </c>
      <c r="C13" s="658">
        <f>N43</f>
        <v>9.7719555981579543E-4</v>
      </c>
      <c r="D13" s="1457"/>
      <c r="E13" s="1457"/>
      <c r="F13" s="1457"/>
      <c r="R13" s="488"/>
    </row>
    <row r="14" spans="1:18" ht="18.75" customHeight="1" x14ac:dyDescent="0.3">
      <c r="B14" s="494" t="s">
        <v>416</v>
      </c>
      <c r="C14" s="658">
        <f>N42</f>
        <v>0</v>
      </c>
      <c r="D14" s="1457"/>
      <c r="E14" s="1457"/>
      <c r="F14" s="1457"/>
      <c r="R14" s="488"/>
    </row>
    <row r="15" spans="1:18" ht="18.75" customHeight="1" x14ac:dyDescent="0.3">
      <c r="B15" s="494" t="s">
        <v>417</v>
      </c>
      <c r="C15" s="658">
        <f>N44</f>
        <v>1.692092944490145E-2</v>
      </c>
      <c r="D15" s="1457"/>
      <c r="E15" s="1457"/>
      <c r="F15" s="1457"/>
      <c r="R15" s="488"/>
    </row>
    <row r="16" spans="1:18" ht="18.75" customHeight="1" x14ac:dyDescent="0.3">
      <c r="B16" s="494" t="s">
        <v>418</v>
      </c>
      <c r="C16" s="659">
        <f>C37</f>
        <v>0</v>
      </c>
      <c r="D16" s="1457"/>
      <c r="E16" s="1457"/>
      <c r="F16" s="1457"/>
      <c r="R16" s="488"/>
    </row>
    <row r="17" spans="2:18" ht="39" customHeight="1" x14ac:dyDescent="0.3">
      <c r="B17" s="490" t="s">
        <v>48</v>
      </c>
      <c r="C17" s="1218" t="s">
        <v>892</v>
      </c>
      <c r="D17" s="1363" t="s">
        <v>419</v>
      </c>
      <c r="E17" s="1363"/>
      <c r="F17" s="1363"/>
      <c r="R17" s="488"/>
    </row>
    <row r="18" spans="2:18" ht="18.75" customHeight="1" x14ac:dyDescent="0.3">
      <c r="B18" s="490" t="s">
        <v>420</v>
      </c>
      <c r="C18" s="666">
        <v>20</v>
      </c>
      <c r="D18" s="1513" t="s">
        <v>943</v>
      </c>
      <c r="E18" s="1513"/>
      <c r="F18" s="1513"/>
      <c r="R18" s="488"/>
    </row>
    <row r="19" spans="2:18" ht="18.75" customHeight="1" x14ac:dyDescent="0.3">
      <c r="B19" s="613"/>
      <c r="C19" s="614"/>
      <c r="E19" s="488" t="s">
        <v>941</v>
      </c>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18.75" customHeight="1" x14ac:dyDescent="0.3">
      <c r="B21" s="499" t="s">
        <v>422</v>
      </c>
      <c r="C21" s="1546" t="s">
        <v>394</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36" t="s">
        <v>395</v>
      </c>
      <c r="D22" s="1536"/>
      <c r="E22" s="1536"/>
      <c r="F22" s="1536"/>
      <c r="G22" s="1536"/>
      <c r="H22" s="1536"/>
      <c r="I22" s="1536"/>
      <c r="J22" s="1536"/>
      <c r="K22" s="1536"/>
      <c r="L22" s="1536"/>
      <c r="M22" s="1536"/>
      <c r="N22" s="1536"/>
      <c r="O22" s="1536"/>
      <c r="P22" s="1536"/>
      <c r="Q22" s="1536"/>
      <c r="R22" s="488"/>
    </row>
    <row r="23" spans="2:18" ht="18.75" customHeight="1"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Default.BuildingType.R</f>
        <v>Home - detached</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677"/>
      <c r="F33" s="1677"/>
      <c r="G33" s="1677"/>
      <c r="H33" s="1677"/>
      <c r="I33" s="1677"/>
      <c r="J33" s="1677"/>
      <c r="K33" s="1677"/>
      <c r="L33" s="1677"/>
      <c r="M33" s="1677"/>
      <c r="N33" s="1677"/>
      <c r="O33" s="1677"/>
      <c r="P33" s="1677"/>
      <c r="Q33" s="1677"/>
      <c r="R33" s="488"/>
    </row>
    <row r="34" spans="2:18" ht="18.75" customHeight="1" x14ac:dyDescent="0.3">
      <c r="B34" s="494" t="s">
        <v>431</v>
      </c>
      <c r="C34" s="542"/>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504">
        <f>SUM(C33:C34)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504">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9.7719555981579543E-4</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1.692092944490145E-2</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20" ht="36.75" customHeight="1" x14ac:dyDescent="0.3">
      <c r="B49" s="582" t="s">
        <v>454</v>
      </c>
      <c r="C49" s="1701" t="s">
        <v>894</v>
      </c>
      <c r="D49" s="1701"/>
      <c r="E49" s="1701"/>
      <c r="F49" s="1701"/>
      <c r="G49" s="1701"/>
      <c r="H49" s="1701"/>
      <c r="I49" s="1701"/>
      <c r="J49" s="1701"/>
      <c r="K49" s="1701"/>
      <c r="L49" s="1701"/>
      <c r="M49" s="1701"/>
      <c r="N49" s="742">
        <f>((1/H64-1/H65)*H66*(1-H67)*Hours_per_Day) * ( H71 * H62 * H68 / 1000 / H75  + (1-H72) * H63 * H69   /  H73 / kWh_per_BTU ) + ( N50 * H74  * H70 * kWh_per_GJ )</f>
        <v>9.7719555981579543E-4</v>
      </c>
      <c r="O49" s="756" t="s">
        <v>443</v>
      </c>
      <c r="P49" s="1510"/>
      <c r="Q49" s="1510"/>
      <c r="R49" s="488"/>
    </row>
    <row r="50" spans="2:20" ht="53.25" customHeight="1" x14ac:dyDescent="0.3">
      <c r="B50" s="582" t="s">
        <v>456</v>
      </c>
      <c r="C50" s="1507" t="s">
        <v>895</v>
      </c>
      <c r="D50" s="1699"/>
      <c r="E50" s="1699"/>
      <c r="F50" s="1699"/>
      <c r="G50" s="1699"/>
      <c r="H50" s="1699"/>
      <c r="I50" s="1699"/>
      <c r="J50" s="1699"/>
      <c r="K50" s="1699"/>
      <c r="L50" s="1699"/>
      <c r="M50" s="1699"/>
      <c r="N50" s="743">
        <f>H72*(1/H64-1/H65)*H66*(1-H67)*Hours_per_Day*H63/H76*GJ_per_BTU</f>
        <v>1.692092944490145E-2</v>
      </c>
      <c r="O50" s="1243" t="s">
        <v>446</v>
      </c>
      <c r="P50" s="1511"/>
      <c r="Q50" s="1511"/>
      <c r="R50" s="488"/>
    </row>
    <row r="51" spans="2:20"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20" ht="18.75" customHeight="1" x14ac:dyDescent="0.3">
      <c r="B52" s="583"/>
      <c r="C52" s="578"/>
      <c r="D52" s="578"/>
      <c r="E52" s="578"/>
      <c r="F52" s="578"/>
      <c r="G52" s="578"/>
      <c r="H52" s="578"/>
      <c r="I52" s="578"/>
      <c r="J52" s="578"/>
      <c r="K52" s="578"/>
      <c r="L52" s="578"/>
      <c r="M52" s="578"/>
      <c r="Q52" s="489"/>
      <c r="R52" s="488"/>
    </row>
    <row r="53" spans="2:20"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20"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20"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20" s="491" customFormat="1" ht="18.75" customHeight="1" x14ac:dyDescent="0.3">
      <c r="B56" s="531" t="s">
        <v>466</v>
      </c>
      <c r="C56" s="1504" t="s">
        <v>467</v>
      </c>
      <c r="D56" s="1505"/>
      <c r="E56" s="1505"/>
      <c r="F56" s="1505"/>
      <c r="G56" s="1505"/>
      <c r="H56" s="1505"/>
      <c r="I56" s="1505"/>
      <c r="J56" s="1505"/>
      <c r="K56" s="1505"/>
      <c r="L56" s="1505"/>
      <c r="M56" s="1506"/>
      <c r="N56" s="594"/>
      <c r="O56" s="509" t="s">
        <v>446</v>
      </c>
      <c r="P56" s="1447"/>
      <c r="Q56" s="1447"/>
    </row>
    <row r="57" spans="2:20"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20" s="491" customFormat="1" ht="18.75" customHeight="1" x14ac:dyDescent="0.3">
      <c r="B58" s="510"/>
      <c r="C58" s="502"/>
      <c r="D58" s="503"/>
      <c r="E58" s="503"/>
      <c r="F58" s="503"/>
      <c r="G58" s="503"/>
      <c r="H58" s="503"/>
      <c r="I58" s="503"/>
      <c r="J58" s="503"/>
      <c r="K58" s="503"/>
      <c r="L58" s="503"/>
      <c r="M58" s="503"/>
      <c r="N58" s="503"/>
      <c r="O58" s="503"/>
      <c r="R58" s="489"/>
    </row>
    <row r="59" spans="2:20" ht="18.75" customHeight="1" x14ac:dyDescent="0.3">
      <c r="B59" s="511" t="s">
        <v>470</v>
      </c>
      <c r="C59" s="512"/>
      <c r="D59" s="512"/>
      <c r="E59" s="512"/>
      <c r="F59" s="512"/>
      <c r="G59" s="512"/>
      <c r="H59" s="513"/>
      <c r="I59" s="513"/>
      <c r="J59" s="513"/>
      <c r="K59" s="513"/>
      <c r="L59" s="513"/>
      <c r="M59" s="513"/>
      <c r="N59" s="513"/>
      <c r="O59" s="513"/>
      <c r="P59" s="513"/>
      <c r="Q59" s="514"/>
    </row>
    <row r="61" spans="2:20" ht="18.75" customHeight="1" x14ac:dyDescent="0.3">
      <c r="B61" s="506" t="s">
        <v>471</v>
      </c>
      <c r="C61" s="506" t="s">
        <v>472</v>
      </c>
      <c r="D61" s="1395" t="s">
        <v>473</v>
      </c>
      <c r="E61" s="1395"/>
      <c r="F61" s="506" t="s">
        <v>474</v>
      </c>
      <c r="G61" s="506" t="s">
        <v>475</v>
      </c>
      <c r="H61" s="1188" t="s">
        <v>406</v>
      </c>
      <c r="I61" s="1188" t="s">
        <v>428</v>
      </c>
      <c r="J61" s="1396" t="s">
        <v>476</v>
      </c>
      <c r="K61" s="1397"/>
      <c r="L61" s="1397"/>
      <c r="M61" s="1397"/>
      <c r="N61" s="1397"/>
      <c r="O61" s="1397"/>
      <c r="P61" s="1397"/>
      <c r="Q61" s="1398"/>
    </row>
    <row r="62" spans="2:20" ht="37.15" customHeight="1" x14ac:dyDescent="0.3">
      <c r="B62" s="533">
        <v>1</v>
      </c>
      <c r="C62" s="546" t="s">
        <v>896</v>
      </c>
      <c r="D62" s="1468" t="s">
        <v>897</v>
      </c>
      <c r="E62" s="1468"/>
      <c r="F62" s="609" t="str">
        <f>$C$26</f>
        <v>Average</v>
      </c>
      <c r="G62" s="1217" t="str">
        <f>C62</f>
        <v>CDD</v>
      </c>
      <c r="H62" s="693">
        <f>INDEX(ClimateData[#All],MATCH(F62,ClimateData[[#All],[Region]],0),MATCH(G62,ClimateData[#Headers],0))</f>
        <v>61.861244019138759</v>
      </c>
      <c r="I62" s="557" t="s">
        <v>896</v>
      </c>
      <c r="J62" s="1462" t="s">
        <v>898</v>
      </c>
      <c r="K62" s="1470"/>
      <c r="L62" s="1470"/>
      <c r="M62" s="1470"/>
      <c r="N62" s="1470"/>
      <c r="O62" s="1470"/>
      <c r="P62" s="1470"/>
      <c r="Q62" s="1471"/>
      <c r="R62" s="488"/>
      <c r="T62" s="738"/>
    </row>
    <row r="63" spans="2:20" ht="30" customHeight="1" x14ac:dyDescent="0.3">
      <c r="B63" s="533">
        <v>6</v>
      </c>
      <c r="C63" s="546" t="s">
        <v>899</v>
      </c>
      <c r="D63" s="1468" t="s">
        <v>900</v>
      </c>
      <c r="E63" s="1468"/>
      <c r="F63" s="609" t="str">
        <f>$C$26</f>
        <v>Average</v>
      </c>
      <c r="G63" s="1217" t="str">
        <f>C63</f>
        <v>HDD</v>
      </c>
      <c r="H63" s="693">
        <f>INDEX(ClimateData[#All],MATCH(F63,ClimateData[[#All],[Region]],0),MATCH(G63,ClimateData[#Headers],0))</f>
        <v>5480.7825814536336</v>
      </c>
      <c r="I63" s="557" t="s">
        <v>899</v>
      </c>
      <c r="J63" s="1462" t="s">
        <v>901</v>
      </c>
      <c r="K63" s="1470"/>
      <c r="L63" s="1470"/>
      <c r="M63" s="1470"/>
      <c r="N63" s="1470"/>
      <c r="O63" s="1470"/>
      <c r="P63" s="1470"/>
      <c r="Q63" s="1471"/>
      <c r="R63" s="488"/>
    </row>
    <row r="64" spans="2:20" ht="28.9" customHeight="1" x14ac:dyDescent="0.3">
      <c r="B64" s="535">
        <v>2</v>
      </c>
      <c r="C64" s="551" t="s">
        <v>902</v>
      </c>
      <c r="D64" s="1482" t="s">
        <v>903</v>
      </c>
      <c r="E64" s="1483"/>
      <c r="F64" s="552"/>
      <c r="G64" s="552"/>
      <c r="H64" s="552">
        <v>5</v>
      </c>
      <c r="I64" s="552" t="s">
        <v>904</v>
      </c>
      <c r="J64" s="1659" t="s">
        <v>727</v>
      </c>
      <c r="K64" s="1660"/>
      <c r="L64" s="1660"/>
      <c r="M64" s="1660"/>
      <c r="N64" s="1660"/>
      <c r="O64" s="1660"/>
      <c r="P64" s="1660"/>
      <c r="Q64" s="1661"/>
      <c r="R64" s="488"/>
    </row>
    <row r="65" spans="2:18" ht="15" customHeight="1" x14ac:dyDescent="0.3">
      <c r="B65" s="535">
        <v>3</v>
      </c>
      <c r="C65" s="551" t="s">
        <v>905</v>
      </c>
      <c r="D65" s="1543" t="s">
        <v>906</v>
      </c>
      <c r="E65" s="1543"/>
      <c r="F65" s="552"/>
      <c r="G65" s="552"/>
      <c r="H65" s="745">
        <v>11</v>
      </c>
      <c r="I65" s="552" t="s">
        <v>904</v>
      </c>
      <c r="J65" s="1659" t="s">
        <v>727</v>
      </c>
      <c r="K65" s="1660"/>
      <c r="L65" s="1660"/>
      <c r="M65" s="1660"/>
      <c r="N65" s="1660"/>
      <c r="O65" s="1660"/>
      <c r="P65" s="1660"/>
      <c r="Q65" s="1661"/>
      <c r="R65" s="488"/>
    </row>
    <row r="66" spans="2:18" ht="15" customHeight="1" x14ac:dyDescent="0.3">
      <c r="B66" s="535">
        <v>4</v>
      </c>
      <c r="C66" s="551" t="s">
        <v>907</v>
      </c>
      <c r="D66" s="1482" t="s">
        <v>908</v>
      </c>
      <c r="E66" s="1483"/>
      <c r="F66" s="552"/>
      <c r="G66" s="552"/>
      <c r="H66" s="597">
        <v>1</v>
      </c>
      <c r="I66" s="552" t="s">
        <v>909</v>
      </c>
      <c r="J66" s="1659" t="s">
        <v>727</v>
      </c>
      <c r="K66" s="1660"/>
      <c r="L66" s="1660"/>
      <c r="M66" s="1660"/>
      <c r="N66" s="1660"/>
      <c r="O66" s="1660"/>
      <c r="P66" s="1660"/>
      <c r="Q66" s="1661"/>
      <c r="R66" s="488"/>
    </row>
    <row r="67" spans="2:18" ht="14.5" customHeight="1" x14ac:dyDescent="0.3">
      <c r="B67" s="533">
        <v>7</v>
      </c>
      <c r="C67" s="720" t="s">
        <v>910</v>
      </c>
      <c r="D67" s="1479" t="s">
        <v>911</v>
      </c>
      <c r="E67" s="1479"/>
      <c r="F67" s="1217"/>
      <c r="G67" s="1217"/>
      <c r="H67" s="548">
        <v>0.05</v>
      </c>
      <c r="I67" s="1238" t="s">
        <v>519</v>
      </c>
      <c r="J67" s="1462" t="s">
        <v>943</v>
      </c>
      <c r="K67" s="1464"/>
      <c r="L67" s="1464"/>
      <c r="M67" s="1464"/>
      <c r="N67" s="1464"/>
      <c r="O67" s="1464"/>
      <c r="P67" s="1464"/>
      <c r="Q67" s="1463"/>
      <c r="R67" s="488"/>
    </row>
    <row r="68" spans="2:18" ht="14.5" customHeight="1" x14ac:dyDescent="0.3">
      <c r="B68" s="533">
        <v>8</v>
      </c>
      <c r="C68" s="720" t="s">
        <v>912</v>
      </c>
      <c r="D68" s="1479" t="s">
        <v>913</v>
      </c>
      <c r="E68" s="1481"/>
      <c r="F68" s="1217"/>
      <c r="G68" s="1217"/>
      <c r="H68" s="548">
        <f>0.8*0.75</f>
        <v>0.60000000000000009</v>
      </c>
      <c r="I68" s="1238" t="s">
        <v>519</v>
      </c>
      <c r="J68" s="1462" t="s">
        <v>954</v>
      </c>
      <c r="K68" s="1464"/>
      <c r="L68" s="1464"/>
      <c r="M68" s="1464"/>
      <c r="N68" s="1464"/>
      <c r="O68" s="1464"/>
      <c r="P68" s="1464"/>
      <c r="Q68" s="1463"/>
      <c r="R68" s="488"/>
    </row>
    <row r="69" spans="2:18" ht="26.5" customHeight="1" x14ac:dyDescent="0.3">
      <c r="B69" s="533">
        <v>9</v>
      </c>
      <c r="C69" s="720" t="s">
        <v>915</v>
      </c>
      <c r="D69" s="1479" t="s">
        <v>916</v>
      </c>
      <c r="E69" s="1481"/>
      <c r="F69" s="1217"/>
      <c r="G69" s="1217"/>
      <c r="H69" s="548">
        <v>0.6</v>
      </c>
      <c r="I69" s="1238" t="s">
        <v>519</v>
      </c>
      <c r="J69" s="1462" t="s">
        <v>943</v>
      </c>
      <c r="K69" s="1464"/>
      <c r="L69" s="1464"/>
      <c r="M69" s="1464"/>
      <c r="N69" s="1464"/>
      <c r="O69" s="1464"/>
      <c r="P69" s="1464"/>
      <c r="Q69" s="1463"/>
      <c r="R69" s="488"/>
    </row>
    <row r="70" spans="2:18" ht="14.5" customHeight="1" x14ac:dyDescent="0.3">
      <c r="B70" s="533">
        <v>10</v>
      </c>
      <c r="C70" s="549" t="s">
        <v>917</v>
      </c>
      <c r="D70" s="1479" t="s">
        <v>916</v>
      </c>
      <c r="E70" s="1481"/>
      <c r="F70" s="1217"/>
      <c r="G70" s="557"/>
      <c r="H70" s="548">
        <v>0</v>
      </c>
      <c r="I70" s="1238" t="s">
        <v>519</v>
      </c>
      <c r="J70" s="1462" t="s">
        <v>944</v>
      </c>
      <c r="K70" s="1464"/>
      <c r="L70" s="1464"/>
      <c r="M70" s="1464"/>
      <c r="N70" s="1464"/>
      <c r="O70" s="1464"/>
      <c r="P70" s="1464"/>
      <c r="Q70" s="1463"/>
      <c r="R70" s="488"/>
    </row>
    <row r="71" spans="2:18" s="491" customFormat="1" ht="13.15" customHeight="1" x14ac:dyDescent="0.3">
      <c r="B71" s="536">
        <v>11</v>
      </c>
      <c r="C71" s="546" t="s">
        <v>918</v>
      </c>
      <c r="D71" s="1539" t="s">
        <v>919</v>
      </c>
      <c r="E71" s="1539"/>
      <c r="F71" s="1217"/>
      <c r="G71" s="1217"/>
      <c r="H71" s="548">
        <f>SpaceCoolingShare.R.E</f>
        <v>0.13760414926305545</v>
      </c>
      <c r="I71" s="1238" t="s">
        <v>519</v>
      </c>
      <c r="J71" s="1468" t="s">
        <v>745</v>
      </c>
      <c r="K71" s="1478"/>
      <c r="L71" s="1478"/>
      <c r="M71" s="1478"/>
      <c r="N71" s="1478"/>
      <c r="O71" s="1478"/>
      <c r="P71" s="1478"/>
      <c r="Q71" s="1469"/>
    </row>
    <row r="72" spans="2:18" s="491" customFormat="1" ht="14.5" customHeight="1" x14ac:dyDescent="0.3">
      <c r="B72" s="536">
        <v>12</v>
      </c>
      <c r="C72" s="555" t="s">
        <v>799</v>
      </c>
      <c r="D72" s="1437" t="s">
        <v>920</v>
      </c>
      <c r="E72" s="1438"/>
      <c r="F72" s="1217"/>
      <c r="G72" s="557"/>
      <c r="H72" s="559" cm="1">
        <f t="array" ref="H72">_xlfn.SWITCH($C$29,"Natural gas",1,"Electricity",0,SpaceHeatingShare.R.E)</f>
        <v>1</v>
      </c>
      <c r="I72" s="1238" t="s">
        <v>519</v>
      </c>
      <c r="J72" s="1472" t="s">
        <v>921</v>
      </c>
      <c r="K72" s="1473"/>
      <c r="L72" s="1473"/>
      <c r="M72" s="1473"/>
      <c r="N72" s="1473"/>
      <c r="O72" s="1473"/>
      <c r="P72" s="1473"/>
      <c r="Q72" s="1474"/>
    </row>
    <row r="73" spans="2:18" s="491" customFormat="1" ht="14.5" customHeight="1" x14ac:dyDescent="0.3">
      <c r="B73" s="536">
        <v>13</v>
      </c>
      <c r="C73" s="546" t="s">
        <v>524</v>
      </c>
      <c r="D73" s="1468" t="s">
        <v>922</v>
      </c>
      <c r="E73" s="1468"/>
      <c r="F73" s="1217"/>
      <c r="G73" s="557" t="s">
        <v>923</v>
      </c>
      <c r="H73" s="559">
        <f>INDEX($B$97:$N$117,MATCH($G73,$C$97:$C$117,0),MATCH("Efficiency",$B$96:$N$96,0))</f>
        <v>1.28</v>
      </c>
      <c r="I73" s="1238" t="s">
        <v>519</v>
      </c>
      <c r="J73" s="1472" t="s">
        <v>924</v>
      </c>
      <c r="K73" s="1473"/>
      <c r="L73" s="1473"/>
      <c r="M73" s="1473"/>
      <c r="N73" s="1473"/>
      <c r="O73" s="1473"/>
      <c r="P73" s="1473"/>
      <c r="Q73" s="1474"/>
    </row>
    <row r="74" spans="2:18" s="489" customFormat="1" ht="13.15" customHeight="1" x14ac:dyDescent="0.3">
      <c r="B74" s="536">
        <v>14</v>
      </c>
      <c r="C74" s="555" t="s">
        <v>925</v>
      </c>
      <c r="D74" s="1437" t="s">
        <v>926</v>
      </c>
      <c r="E74" s="1438"/>
      <c r="F74" s="1217"/>
      <c r="G74" s="557"/>
      <c r="H74" s="559">
        <v>3.1399999999999997E-2</v>
      </c>
      <c r="I74" s="1238" t="s">
        <v>519</v>
      </c>
      <c r="J74" s="1472" t="s">
        <v>924</v>
      </c>
      <c r="K74" s="1473"/>
      <c r="L74" s="1473"/>
      <c r="M74" s="1473"/>
      <c r="N74" s="1473"/>
      <c r="O74" s="1473"/>
      <c r="P74" s="1473"/>
      <c r="Q74" s="1474"/>
    </row>
    <row r="75" spans="2:18" s="489" customFormat="1" ht="14.5" customHeight="1" x14ac:dyDescent="0.3">
      <c r="B75" s="536">
        <v>15</v>
      </c>
      <c r="C75" s="555" t="s">
        <v>927</v>
      </c>
      <c r="D75" s="1437" t="s">
        <v>928</v>
      </c>
      <c r="E75" s="1438"/>
      <c r="F75" s="1217"/>
      <c r="G75" s="557"/>
      <c r="H75" s="693">
        <f>SpaceCoolingEfficiency.R.SEER</f>
        <v>13</v>
      </c>
      <c r="I75" s="557" t="s">
        <v>572</v>
      </c>
      <c r="J75" s="1468" t="s">
        <v>930</v>
      </c>
      <c r="K75" s="1478"/>
      <c r="L75" s="1478"/>
      <c r="M75" s="1478"/>
      <c r="N75" s="1478"/>
      <c r="O75" s="1478"/>
      <c r="P75" s="1478"/>
      <c r="Q75" s="1469"/>
    </row>
    <row r="76" spans="2:18" ht="30" customHeight="1" x14ac:dyDescent="0.3">
      <c r="B76" s="533">
        <v>5</v>
      </c>
      <c r="C76" s="546" t="s">
        <v>517</v>
      </c>
      <c r="D76" s="1468" t="s">
        <v>931</v>
      </c>
      <c r="E76" s="1468"/>
      <c r="F76" s="1217"/>
      <c r="G76" s="1217"/>
      <c r="H76" s="548">
        <f>SpaceHeatingEfficiency.R.NG</f>
        <v>0.85</v>
      </c>
      <c r="I76" s="1238" t="s">
        <v>519</v>
      </c>
      <c r="J76" s="1468" t="s">
        <v>932</v>
      </c>
      <c r="K76" s="1478"/>
      <c r="L76" s="1478"/>
      <c r="M76" s="1478"/>
      <c r="N76" s="1478"/>
      <c r="O76" s="1478"/>
      <c r="P76" s="1478"/>
      <c r="Q76" s="1469"/>
      <c r="R76" s="488"/>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182"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182"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c r="R85" s="488"/>
    </row>
    <row r="86" spans="2:18" ht="13" x14ac:dyDescent="0.3">
      <c r="B86" s="533">
        <v>6</v>
      </c>
      <c r="C86" s="563" t="s">
        <v>933</v>
      </c>
      <c r="D86" s="722">
        <f>1/12</f>
        <v>8.3333333333333329E-2</v>
      </c>
      <c r="E86" s="1182" t="s">
        <v>934</v>
      </c>
      <c r="F86" s="1489"/>
      <c r="G86" s="1490"/>
      <c r="H86" s="1490"/>
      <c r="I86" s="1490"/>
      <c r="J86" s="1490"/>
      <c r="K86" s="1490"/>
      <c r="L86" s="1490"/>
      <c r="M86" s="1490"/>
      <c r="N86" s="1490"/>
      <c r="O86" s="1490"/>
      <c r="P86" s="1490"/>
      <c r="Q86" s="1491"/>
      <c r="R86" s="488"/>
    </row>
    <row r="87" spans="2:18" ht="13" x14ac:dyDescent="0.3">
      <c r="B87" s="533">
        <v>7</v>
      </c>
      <c r="C87" s="563"/>
      <c r="D87" s="1233"/>
      <c r="E87" s="1182"/>
      <c r="F87" s="1489"/>
      <c r="G87" s="1490"/>
      <c r="H87" s="1490"/>
      <c r="I87" s="1490"/>
      <c r="J87" s="1490"/>
      <c r="K87" s="1490"/>
      <c r="L87" s="1490"/>
      <c r="M87" s="1490"/>
      <c r="N87" s="1490"/>
      <c r="O87" s="1490"/>
      <c r="P87" s="1490"/>
      <c r="Q87" s="1491"/>
      <c r="R87" s="488"/>
    </row>
    <row r="88" spans="2:18" ht="13" x14ac:dyDescent="0.3">
      <c r="B88" s="533">
        <v>8</v>
      </c>
      <c r="C88" s="563"/>
      <c r="D88" s="564"/>
      <c r="E88" s="1182"/>
      <c r="F88" s="1489"/>
      <c r="G88" s="1490"/>
      <c r="H88" s="1490"/>
      <c r="I88" s="1490"/>
      <c r="J88" s="1490"/>
      <c r="K88" s="1490"/>
      <c r="L88" s="1490"/>
      <c r="M88" s="1490"/>
      <c r="N88" s="1490"/>
      <c r="O88" s="1490"/>
      <c r="P88" s="1490"/>
      <c r="Q88" s="1491"/>
      <c r="R88" s="488"/>
    </row>
    <row r="89" spans="2:18" ht="13" x14ac:dyDescent="0.3">
      <c r="B89" s="533">
        <v>9</v>
      </c>
      <c r="C89" s="563"/>
      <c r="D89" s="1233"/>
      <c r="E89" s="1182"/>
      <c r="F89" s="1489"/>
      <c r="G89" s="1490"/>
      <c r="H89" s="1490"/>
      <c r="I89" s="1490"/>
      <c r="J89" s="1490"/>
      <c r="K89" s="1490"/>
      <c r="L89" s="1490"/>
      <c r="M89" s="1490"/>
      <c r="N89" s="1490"/>
      <c r="O89" s="1490"/>
      <c r="P89" s="1490"/>
      <c r="Q89" s="1491"/>
      <c r="R89" s="488"/>
    </row>
    <row r="90" spans="2:18" ht="13" x14ac:dyDescent="0.3">
      <c r="B90" s="533">
        <v>10</v>
      </c>
      <c r="C90" s="563"/>
      <c r="D90" s="564"/>
      <c r="E90" s="1182"/>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t="s">
        <v>935</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08"/>
      <c r="Q95" s="1409"/>
      <c r="R95" s="488"/>
    </row>
    <row r="96" spans="2:18" ht="30" customHeight="1" x14ac:dyDescent="0.3">
      <c r="B96" s="1188" t="s">
        <v>478</v>
      </c>
      <c r="C96" s="1402" t="s">
        <v>505</v>
      </c>
      <c r="D96" s="1431"/>
      <c r="E96" s="565" t="s">
        <v>936</v>
      </c>
      <c r="F96" s="565"/>
      <c r="G96" s="565"/>
      <c r="H96" s="565"/>
      <c r="I96" s="565"/>
      <c r="J96" s="565"/>
      <c r="K96" s="565"/>
      <c r="L96" s="565"/>
      <c r="M96" s="565"/>
      <c r="N96" s="566"/>
      <c r="O96" s="1410"/>
      <c r="P96" s="1411"/>
      <c r="Q96" s="1412"/>
      <c r="R96" s="488"/>
    </row>
    <row r="97" spans="2:18" ht="13" x14ac:dyDescent="0.3">
      <c r="B97" s="533">
        <v>1</v>
      </c>
      <c r="C97" s="546" t="s">
        <v>937</v>
      </c>
      <c r="D97" s="1184"/>
      <c r="E97" s="746">
        <v>1.92</v>
      </c>
      <c r="F97" s="1190"/>
      <c r="G97" s="1190"/>
      <c r="H97" s="1190"/>
      <c r="I97" s="568"/>
      <c r="J97" s="568"/>
      <c r="K97" s="568"/>
      <c r="L97" s="568"/>
      <c r="M97" s="568"/>
      <c r="N97" s="568"/>
      <c r="O97" s="1513" t="s">
        <v>893</v>
      </c>
      <c r="P97" s="1513"/>
      <c r="Q97" s="1513"/>
      <c r="R97" s="488"/>
    </row>
    <row r="98" spans="2:18" ht="13" x14ac:dyDescent="0.3">
      <c r="B98" s="533">
        <v>2</v>
      </c>
      <c r="C98" s="546" t="s">
        <v>938</v>
      </c>
      <c r="D98" s="1184"/>
      <c r="E98" s="746">
        <v>1</v>
      </c>
      <c r="F98" s="1190"/>
      <c r="G98" s="1190"/>
      <c r="H98" s="1190"/>
      <c r="I98" s="568"/>
      <c r="J98" s="568"/>
      <c r="K98" s="568"/>
      <c r="L98" s="568"/>
      <c r="M98" s="568"/>
      <c r="N98" s="568"/>
      <c r="O98" s="1513" t="s">
        <v>893</v>
      </c>
      <c r="P98" s="1513"/>
      <c r="Q98" s="1513"/>
      <c r="R98" s="488"/>
    </row>
    <row r="99" spans="2:18" ht="13" x14ac:dyDescent="0.3">
      <c r="B99" s="533">
        <v>3</v>
      </c>
      <c r="C99" s="546" t="s">
        <v>923</v>
      </c>
      <c r="D99" s="1184"/>
      <c r="E99" s="746">
        <v>1.28</v>
      </c>
      <c r="F99" s="1190"/>
      <c r="G99" s="1190"/>
      <c r="H99" s="1190"/>
      <c r="I99" s="568"/>
      <c r="J99" s="568"/>
      <c r="K99" s="568"/>
      <c r="L99" s="568"/>
      <c r="M99" s="568"/>
      <c r="N99" s="568"/>
      <c r="O99" s="1513" t="s">
        <v>893</v>
      </c>
      <c r="P99" s="1513"/>
      <c r="Q99" s="1513"/>
      <c r="R99" s="488"/>
    </row>
    <row r="100" spans="2:18" ht="13" x14ac:dyDescent="0.3">
      <c r="B100" s="533">
        <v>4</v>
      </c>
      <c r="C100" s="546"/>
      <c r="D100" s="1184"/>
      <c r="E100" s="568"/>
      <c r="F100" s="1190"/>
      <c r="G100" s="1190"/>
      <c r="H100" s="1190"/>
      <c r="I100" s="568"/>
      <c r="J100" s="568"/>
      <c r="K100" s="568"/>
      <c r="L100" s="568"/>
      <c r="M100" s="568"/>
      <c r="N100" s="568"/>
      <c r="O100" s="1495"/>
      <c r="P100" s="1496"/>
      <c r="Q100" s="1497"/>
      <c r="R100" s="488"/>
    </row>
    <row r="101" spans="2:18" ht="13" x14ac:dyDescent="0.3">
      <c r="B101" s="533">
        <v>5</v>
      </c>
      <c r="C101" s="546"/>
      <c r="D101" s="1184"/>
      <c r="E101" s="568"/>
      <c r="F101" s="1190"/>
      <c r="G101" s="1190"/>
      <c r="H101" s="1190"/>
      <c r="I101" s="568"/>
      <c r="J101" s="568"/>
      <c r="K101" s="568"/>
      <c r="L101" s="568"/>
      <c r="M101" s="568"/>
      <c r="N101" s="568"/>
      <c r="O101" s="1495"/>
      <c r="P101" s="1496"/>
      <c r="Q101" s="1497"/>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row r="118" spans="2:18" ht="18.75" customHeight="1" x14ac:dyDescent="0.3">
      <c r="B118" s="702" t="s">
        <v>493</v>
      </c>
      <c r="E118" s="1662" t="s">
        <v>494</v>
      </c>
      <c r="F118" s="1663"/>
      <c r="G118" s="1663"/>
      <c r="H118" s="1663"/>
      <c r="I118" s="1663"/>
      <c r="J118" s="1663"/>
      <c r="K118" s="1663"/>
      <c r="L118" s="1663"/>
      <c r="M118" s="1663"/>
      <c r="N118" s="1663"/>
      <c r="O118" s="1664" t="s">
        <v>476</v>
      </c>
      <c r="P118" s="1665"/>
      <c r="Q118" s="1666"/>
    </row>
    <row r="119" spans="2:18" ht="18.75" customHeight="1" x14ac:dyDescent="0.3">
      <c r="B119" s="1214"/>
      <c r="C119" s="1215"/>
      <c r="D119" s="1216"/>
      <c r="E119" s="703" t="s">
        <v>495</v>
      </c>
      <c r="F119" s="703" t="s">
        <v>496</v>
      </c>
      <c r="G119" s="703" t="s">
        <v>497</v>
      </c>
      <c r="H119" s="703" t="s">
        <v>498</v>
      </c>
      <c r="I119" s="703" t="s">
        <v>499</v>
      </c>
      <c r="J119" s="703" t="s">
        <v>500</v>
      </c>
      <c r="K119" s="703" t="s">
        <v>501</v>
      </c>
      <c r="L119" s="703" t="s">
        <v>502</v>
      </c>
      <c r="M119" s="703" t="s">
        <v>503</v>
      </c>
      <c r="N119" s="1213" t="s">
        <v>504</v>
      </c>
      <c r="O119" s="1667"/>
      <c r="P119" s="1702"/>
      <c r="Q119" s="1669"/>
    </row>
    <row r="120" spans="2:18" ht="18.649999999999999" customHeight="1" x14ac:dyDescent="0.3">
      <c r="B120" s="704" t="s">
        <v>478</v>
      </c>
      <c r="C120" s="1662" t="s">
        <v>505</v>
      </c>
      <c r="D120" s="1676"/>
      <c r="E120" s="525"/>
      <c r="F120" s="525"/>
      <c r="G120" s="525"/>
      <c r="H120" s="525"/>
      <c r="I120" s="525"/>
      <c r="J120" s="525"/>
      <c r="K120" s="525"/>
      <c r="L120" s="525"/>
      <c r="M120" s="525"/>
      <c r="N120" s="1214"/>
      <c r="O120" s="1670"/>
      <c r="P120" s="1671"/>
      <c r="Q120" s="1672"/>
    </row>
    <row r="121" spans="2:18" ht="33.65" customHeight="1" x14ac:dyDescent="0.3">
      <c r="B121" s="1240">
        <v>1</v>
      </c>
      <c r="C121" s="515"/>
      <c r="D121" s="600"/>
      <c r="E121" s="527"/>
      <c r="F121" s="1239"/>
      <c r="G121" s="1239"/>
      <c r="H121" s="1239"/>
      <c r="I121" s="527"/>
      <c r="J121" s="527"/>
      <c r="K121" s="527"/>
      <c r="L121" s="527"/>
      <c r="M121" s="527"/>
      <c r="N121" s="527"/>
      <c r="O121" s="1432"/>
      <c r="P121" s="1433"/>
      <c r="Q121" s="1434"/>
    </row>
    <row r="122" spans="2:18" ht="36.65" customHeight="1" x14ac:dyDescent="0.3">
      <c r="B122" s="1240">
        <v>2</v>
      </c>
      <c r="C122" s="515"/>
      <c r="D122" s="600"/>
      <c r="E122" s="527"/>
      <c r="F122" s="1239"/>
      <c r="G122" s="1239"/>
      <c r="H122" s="1239"/>
      <c r="I122" s="527"/>
      <c r="J122" s="527"/>
      <c r="K122" s="527"/>
      <c r="L122" s="527"/>
      <c r="M122" s="527"/>
      <c r="N122" s="527"/>
      <c r="O122" s="1422"/>
      <c r="P122" s="1423"/>
      <c r="Q122" s="1424"/>
    </row>
    <row r="123" spans="2:18" ht="18.75" customHeight="1" x14ac:dyDescent="0.3">
      <c r="B123" s="1240">
        <v>3</v>
      </c>
      <c r="C123" s="515"/>
      <c r="D123" s="600"/>
      <c r="E123" s="527"/>
      <c r="F123" s="1239"/>
      <c r="G123" s="1239"/>
      <c r="H123" s="1239"/>
      <c r="I123" s="527"/>
      <c r="J123" s="527"/>
      <c r="K123" s="527"/>
      <c r="L123" s="527"/>
      <c r="M123" s="527"/>
      <c r="N123" s="527"/>
      <c r="O123" s="1422"/>
      <c r="P123" s="1423"/>
      <c r="Q123" s="1424"/>
    </row>
    <row r="124" spans="2:18" ht="18.75" customHeight="1" x14ac:dyDescent="0.3">
      <c r="B124" s="1240">
        <v>4</v>
      </c>
      <c r="C124" s="515"/>
      <c r="D124" s="600"/>
      <c r="E124" s="527"/>
      <c r="F124" s="1239"/>
      <c r="G124" s="1239"/>
      <c r="H124" s="1239"/>
      <c r="I124" s="527"/>
      <c r="J124" s="527"/>
      <c r="K124" s="527"/>
      <c r="L124" s="527"/>
      <c r="M124" s="527"/>
      <c r="N124" s="527"/>
      <c r="O124" s="1422"/>
      <c r="P124" s="1423"/>
      <c r="Q124" s="1424"/>
    </row>
    <row r="125" spans="2:18" ht="18.75" customHeight="1" x14ac:dyDescent="0.3">
      <c r="B125" s="1240">
        <v>5</v>
      </c>
      <c r="C125" s="515"/>
      <c r="D125" s="600"/>
      <c r="E125" s="527"/>
      <c r="F125" s="1239"/>
      <c r="G125" s="1239"/>
      <c r="H125" s="1239"/>
      <c r="I125" s="527"/>
      <c r="J125" s="527"/>
      <c r="K125" s="527"/>
      <c r="L125" s="527"/>
      <c r="M125" s="527"/>
      <c r="N125" s="527"/>
      <c r="O125" s="1422"/>
      <c r="P125" s="1423"/>
      <c r="Q125" s="1424"/>
    </row>
    <row r="126" spans="2:18" ht="18.75" customHeight="1" x14ac:dyDescent="0.3">
      <c r="B126" s="1240">
        <v>6</v>
      </c>
      <c r="C126" s="515"/>
      <c r="D126" s="1189"/>
      <c r="E126" s="1239"/>
      <c r="F126" s="619"/>
      <c r="G126" s="1239"/>
      <c r="H126" s="1239"/>
      <c r="I126" s="528"/>
      <c r="J126" s="528"/>
      <c r="K126" s="528"/>
      <c r="L126" s="528"/>
      <c r="M126" s="528"/>
      <c r="N126" s="528"/>
      <c r="O126" s="1425"/>
      <c r="P126" s="1426"/>
      <c r="Q126" s="1427"/>
    </row>
    <row r="127" spans="2:18" ht="18.75" customHeight="1" x14ac:dyDescent="0.3">
      <c r="B127" s="1240">
        <v>7</v>
      </c>
      <c r="C127" s="515"/>
      <c r="D127" s="1189"/>
      <c r="E127" s="1239"/>
      <c r="F127" s="528"/>
      <c r="G127" s="528"/>
      <c r="H127" s="1239"/>
      <c r="I127" s="528"/>
      <c r="J127" s="528"/>
      <c r="K127" s="528"/>
      <c r="L127" s="528"/>
      <c r="M127" s="528"/>
      <c r="N127" s="528"/>
      <c r="O127" s="1425"/>
      <c r="P127" s="1426"/>
      <c r="Q127" s="1427"/>
    </row>
    <row r="128" spans="2:18" ht="18.75" customHeight="1" x14ac:dyDescent="0.3">
      <c r="B128" s="1240">
        <v>8</v>
      </c>
      <c r="C128" s="515"/>
      <c r="D128" s="1189"/>
      <c r="E128" s="1239"/>
      <c r="F128" s="528"/>
      <c r="G128" s="528"/>
      <c r="H128" s="528"/>
      <c r="I128" s="528"/>
      <c r="J128" s="528"/>
      <c r="K128" s="528"/>
      <c r="L128" s="528"/>
      <c r="M128" s="528"/>
      <c r="N128" s="528"/>
      <c r="O128" s="1425"/>
      <c r="P128" s="1426"/>
      <c r="Q128" s="1427"/>
    </row>
    <row r="129" spans="2:17" ht="18.75" customHeight="1" x14ac:dyDescent="0.3">
      <c r="B129" s="1240">
        <v>9</v>
      </c>
      <c r="C129" s="515"/>
      <c r="D129" s="1189"/>
      <c r="E129" s="1239"/>
      <c r="F129" s="1240"/>
      <c r="G129" s="1240"/>
      <c r="H129" s="1240"/>
      <c r="I129" s="528"/>
      <c r="J129" s="528"/>
      <c r="K129" s="528"/>
      <c r="L129" s="528"/>
      <c r="M129" s="528"/>
      <c r="N129" s="528"/>
      <c r="O129" s="1425"/>
      <c r="P129" s="1426"/>
      <c r="Q129" s="1427"/>
    </row>
    <row r="130" spans="2:17" ht="18.75" customHeight="1" x14ac:dyDescent="0.3">
      <c r="B130" s="1240">
        <v>10</v>
      </c>
      <c r="C130" s="515"/>
      <c r="D130" s="1189"/>
      <c r="E130" s="1240"/>
      <c r="F130" s="1240"/>
      <c r="G130" s="1240"/>
      <c r="H130" s="1240"/>
      <c r="I130" s="528"/>
      <c r="J130" s="528"/>
      <c r="K130" s="528"/>
      <c r="L130" s="528"/>
      <c r="M130" s="528"/>
      <c r="N130" s="528"/>
      <c r="O130" s="1425"/>
      <c r="P130" s="1426"/>
      <c r="Q130" s="1427"/>
    </row>
    <row r="131" spans="2:17" ht="18.75" customHeight="1" x14ac:dyDescent="0.3">
      <c r="B131" s="1240">
        <v>11</v>
      </c>
      <c r="C131" s="515"/>
      <c r="D131" s="1189"/>
      <c r="E131" s="529"/>
      <c r="F131" s="1239"/>
      <c r="G131" s="529"/>
      <c r="H131" s="529"/>
      <c r="I131" s="528"/>
      <c r="J131" s="528"/>
      <c r="K131" s="528"/>
      <c r="L131" s="528"/>
      <c r="M131" s="528"/>
      <c r="N131" s="528"/>
      <c r="O131" s="1425"/>
      <c r="P131" s="1426"/>
      <c r="Q131" s="1427"/>
    </row>
    <row r="132" spans="2:17" ht="18.75" customHeight="1" x14ac:dyDescent="0.3">
      <c r="B132" s="1240">
        <v>12</v>
      </c>
      <c r="C132" s="515"/>
      <c r="D132" s="1189"/>
      <c r="E132" s="1240"/>
      <c r="F132" s="1239"/>
      <c r="G132" s="1240"/>
      <c r="H132" s="1240"/>
      <c r="I132" s="528"/>
      <c r="J132" s="528"/>
      <c r="K132" s="528"/>
      <c r="L132" s="528"/>
      <c r="M132" s="528"/>
      <c r="N132" s="528"/>
      <c r="O132" s="1425"/>
      <c r="P132" s="1426"/>
      <c r="Q132" s="1427"/>
    </row>
    <row r="133" spans="2:17" ht="18.75" customHeight="1" x14ac:dyDescent="0.3">
      <c r="B133" s="1240">
        <v>13</v>
      </c>
      <c r="C133" s="515"/>
      <c r="D133" s="1189"/>
      <c r="E133" s="1240"/>
      <c r="F133" s="1240"/>
      <c r="G133" s="1240"/>
      <c r="H133" s="1240"/>
      <c r="I133" s="528"/>
      <c r="J133" s="528"/>
      <c r="K133" s="528"/>
      <c r="L133" s="528"/>
      <c r="M133" s="528"/>
      <c r="N133" s="528"/>
      <c r="O133" s="1425"/>
      <c r="P133" s="1426"/>
      <c r="Q133" s="1427"/>
    </row>
    <row r="134" spans="2:17" ht="18.75" customHeight="1" x14ac:dyDescent="0.3">
      <c r="B134" s="1240">
        <v>14</v>
      </c>
      <c r="C134" s="515"/>
      <c r="D134" s="1189"/>
      <c r="E134" s="530"/>
      <c r="F134" s="530"/>
      <c r="G134" s="530"/>
      <c r="H134" s="530"/>
      <c r="I134" s="528"/>
      <c r="J134" s="528"/>
      <c r="K134" s="528"/>
      <c r="L134" s="528"/>
      <c r="M134" s="528"/>
      <c r="N134" s="528"/>
      <c r="O134" s="1425"/>
      <c r="P134" s="1426"/>
      <c r="Q134" s="1427"/>
    </row>
    <row r="135" spans="2:17" ht="18.75" customHeight="1" x14ac:dyDescent="0.3">
      <c r="B135" s="1240">
        <v>15</v>
      </c>
      <c r="C135" s="515"/>
      <c r="D135" s="1189"/>
      <c r="E135" s="530"/>
      <c r="F135" s="530"/>
      <c r="G135" s="530"/>
      <c r="H135" s="530"/>
      <c r="I135" s="528"/>
      <c r="J135" s="528"/>
      <c r="K135" s="528"/>
      <c r="L135" s="528"/>
      <c r="M135" s="528"/>
      <c r="N135" s="528"/>
      <c r="O135" s="1425"/>
      <c r="P135" s="1426"/>
      <c r="Q135" s="1427"/>
    </row>
    <row r="136" spans="2:17" ht="18.75" customHeight="1" x14ac:dyDescent="0.3">
      <c r="B136" s="1240">
        <v>16</v>
      </c>
      <c r="C136" s="515"/>
      <c r="D136" s="1189"/>
      <c r="E136" s="530"/>
      <c r="F136" s="530"/>
      <c r="G136" s="530"/>
      <c r="H136" s="530"/>
      <c r="I136" s="528"/>
      <c r="J136" s="528"/>
      <c r="K136" s="528"/>
      <c r="L136" s="528"/>
      <c r="M136" s="528"/>
      <c r="N136" s="528"/>
      <c r="O136" s="1425"/>
      <c r="P136" s="1426"/>
      <c r="Q136" s="1427"/>
    </row>
    <row r="137" spans="2:17" ht="18.75" customHeight="1" x14ac:dyDescent="0.3">
      <c r="B137" s="1240">
        <v>17</v>
      </c>
      <c r="C137" s="515"/>
      <c r="D137" s="1189"/>
      <c r="E137" s="530"/>
      <c r="F137" s="530"/>
      <c r="G137" s="530"/>
      <c r="H137" s="530"/>
      <c r="I137" s="528"/>
      <c r="J137" s="528"/>
      <c r="K137" s="528"/>
      <c r="L137" s="528"/>
      <c r="M137" s="528"/>
      <c r="N137" s="528"/>
      <c r="O137" s="1425"/>
      <c r="P137" s="1426"/>
      <c r="Q137" s="1427"/>
    </row>
    <row r="138" spans="2:17" ht="18.75" customHeight="1" x14ac:dyDescent="0.3">
      <c r="B138" s="1240">
        <v>18</v>
      </c>
      <c r="C138" s="515"/>
      <c r="D138" s="1189"/>
      <c r="E138" s="530"/>
      <c r="F138" s="530"/>
      <c r="G138" s="530"/>
      <c r="H138" s="530"/>
      <c r="I138" s="528"/>
      <c r="J138" s="528"/>
      <c r="K138" s="528"/>
      <c r="L138" s="528"/>
      <c r="M138" s="528"/>
      <c r="N138" s="528"/>
      <c r="O138" s="1425"/>
      <c r="P138" s="1426"/>
      <c r="Q138" s="1427"/>
    </row>
    <row r="139" spans="2:17" ht="18.75" customHeight="1" x14ac:dyDescent="0.3">
      <c r="B139" s="1240">
        <v>19</v>
      </c>
      <c r="C139" s="515"/>
      <c r="D139" s="1189"/>
      <c r="E139" s="530"/>
      <c r="F139" s="530"/>
      <c r="G139" s="530"/>
      <c r="H139" s="530"/>
      <c r="I139" s="528"/>
      <c r="J139" s="528"/>
      <c r="K139" s="528"/>
      <c r="L139" s="528"/>
      <c r="M139" s="528"/>
      <c r="N139" s="528"/>
      <c r="O139" s="1425"/>
      <c r="P139" s="1426"/>
      <c r="Q139" s="1427"/>
    </row>
    <row r="140" spans="2:17" ht="18.75" customHeight="1" x14ac:dyDescent="0.3">
      <c r="B140" s="1240">
        <v>20</v>
      </c>
      <c r="C140" s="515"/>
      <c r="D140" s="1189"/>
      <c r="E140" s="530"/>
      <c r="F140" s="530"/>
      <c r="G140" s="530"/>
      <c r="H140" s="530"/>
      <c r="I140" s="528"/>
      <c r="J140" s="528"/>
      <c r="K140" s="528"/>
      <c r="L140" s="528"/>
      <c r="M140" s="528"/>
      <c r="N140" s="528"/>
      <c r="O140" s="1425"/>
      <c r="P140" s="1426"/>
      <c r="Q140" s="1427"/>
    </row>
  </sheetData>
  <sheetProtection algorithmName="SHA-512" hashValue="ntNDroqE3em0aqyyxEBVhZSIo0lHG7AKRsR9HmLKfttevrNFA8i4pTlVaixnwVsE114wOFqQ2vYR7dIiv1FEnQ==" saltValue="0QxT/JRrrmRcy47gd8mvKA==" spinCount="100000" sheet="1" objects="1" scenarios="1" selectLockedCells="1" selectUnlockedCells="1"/>
  <mergeCells count="144">
    <mergeCell ref="B95:D95"/>
    <mergeCell ref="O137:Q137"/>
    <mergeCell ref="O138:Q138"/>
    <mergeCell ref="O139:Q139"/>
    <mergeCell ref="O140:Q140"/>
    <mergeCell ref="O131:Q131"/>
    <mergeCell ref="O132:Q132"/>
    <mergeCell ref="O133:Q133"/>
    <mergeCell ref="O134:Q134"/>
    <mergeCell ref="O135:Q135"/>
    <mergeCell ref="O136:Q136"/>
    <mergeCell ref="O125:Q125"/>
    <mergeCell ref="O126:Q126"/>
    <mergeCell ref="O127:Q127"/>
    <mergeCell ref="O128:Q128"/>
    <mergeCell ref="O129:Q129"/>
    <mergeCell ref="O130:Q130"/>
    <mergeCell ref="C120:D120"/>
    <mergeCell ref="O121:Q121"/>
    <mergeCell ref="O122:Q122"/>
    <mergeCell ref="O123:Q123"/>
    <mergeCell ref="O124:Q124"/>
    <mergeCell ref="O113:Q113"/>
    <mergeCell ref="O114:Q114"/>
    <mergeCell ref="O115:Q115"/>
    <mergeCell ref="O116:Q116"/>
    <mergeCell ref="E118:N118"/>
    <mergeCell ref="O118:Q120"/>
    <mergeCell ref="O107:Q107"/>
    <mergeCell ref="O108:Q108"/>
    <mergeCell ref="O109:Q109"/>
    <mergeCell ref="O110:Q110"/>
    <mergeCell ref="O111:Q111"/>
    <mergeCell ref="O112:Q112"/>
    <mergeCell ref="O101:Q101"/>
    <mergeCell ref="O102:Q102"/>
    <mergeCell ref="O103:Q103"/>
    <mergeCell ref="O104:Q104"/>
    <mergeCell ref="O105:Q105"/>
    <mergeCell ref="O106:Q106"/>
    <mergeCell ref="C96:D96"/>
    <mergeCell ref="O97:Q97"/>
    <mergeCell ref="O98:Q98"/>
    <mergeCell ref="O99:Q99"/>
    <mergeCell ref="O100:Q100"/>
    <mergeCell ref="F90:Q90"/>
    <mergeCell ref="E94:N94"/>
    <mergeCell ref="O94:Q96"/>
    <mergeCell ref="F80:Q80"/>
    <mergeCell ref="F81:Q81"/>
    <mergeCell ref="F82:Q82"/>
    <mergeCell ref="F83:Q83"/>
    <mergeCell ref="F84:Q84"/>
    <mergeCell ref="F85:Q85"/>
    <mergeCell ref="J70:Q70"/>
    <mergeCell ref="D71:E71"/>
    <mergeCell ref="J71:Q71"/>
    <mergeCell ref="D72:E72"/>
    <mergeCell ref="J72:Q72"/>
    <mergeCell ref="F86:Q86"/>
    <mergeCell ref="F87:Q87"/>
    <mergeCell ref="F88:Q88"/>
    <mergeCell ref="F89:Q89"/>
    <mergeCell ref="D68:E68"/>
    <mergeCell ref="J68:Q68"/>
    <mergeCell ref="D69:E69"/>
    <mergeCell ref="J69:Q69"/>
    <mergeCell ref="D67:E67"/>
    <mergeCell ref="J67:Q67"/>
    <mergeCell ref="J62:Q62"/>
    <mergeCell ref="D76:E76"/>
    <mergeCell ref="J76:Q76"/>
    <mergeCell ref="D63:E63"/>
    <mergeCell ref="J63:Q63"/>
    <mergeCell ref="D64:E64"/>
    <mergeCell ref="J64:Q64"/>
    <mergeCell ref="D65:E65"/>
    <mergeCell ref="J65:Q65"/>
    <mergeCell ref="D66:E66"/>
    <mergeCell ref="J66:Q66"/>
    <mergeCell ref="D73:E73"/>
    <mergeCell ref="J73:Q73"/>
    <mergeCell ref="D74:E74"/>
    <mergeCell ref="J74:Q74"/>
    <mergeCell ref="D75:E75"/>
    <mergeCell ref="J75:Q75"/>
    <mergeCell ref="D70:E70"/>
    <mergeCell ref="C56:M56"/>
    <mergeCell ref="P56:Q56"/>
    <mergeCell ref="C57:M57"/>
    <mergeCell ref="P57:Q57"/>
    <mergeCell ref="D61:E61"/>
    <mergeCell ref="J61:Q61"/>
    <mergeCell ref="D62:E62"/>
    <mergeCell ref="C53:M53"/>
    <mergeCell ref="P53:Q53"/>
    <mergeCell ref="C54:M54"/>
    <mergeCell ref="P54:Q54"/>
    <mergeCell ref="C55:M55"/>
    <mergeCell ref="P55:Q55"/>
    <mergeCell ref="C49:M49"/>
    <mergeCell ref="P49:Q49"/>
    <mergeCell ref="C50:M50"/>
    <mergeCell ref="P50:Q50"/>
    <mergeCell ref="C51:M51"/>
    <mergeCell ref="P51:Q51"/>
    <mergeCell ref="C45:M45"/>
    <mergeCell ref="P45:Q45"/>
    <mergeCell ref="C47:M47"/>
    <mergeCell ref="P47:Q47"/>
    <mergeCell ref="C48:M48"/>
    <mergeCell ref="P48:Q48"/>
    <mergeCell ref="C42:M42"/>
    <mergeCell ref="P42:Q42"/>
    <mergeCell ref="C43:M43"/>
    <mergeCell ref="P43:Q43"/>
    <mergeCell ref="C44:M44"/>
    <mergeCell ref="P44:Q44"/>
    <mergeCell ref="E34:Q34"/>
    <mergeCell ref="E35:Q35"/>
    <mergeCell ref="E36:Q36"/>
    <mergeCell ref="E37:Q37"/>
    <mergeCell ref="C41:M41"/>
    <mergeCell ref="P41:Q41"/>
    <mergeCell ref="D28:Q28"/>
    <mergeCell ref="E32:Q32"/>
    <mergeCell ref="E33:Q33"/>
    <mergeCell ref="D17:F17"/>
    <mergeCell ref="D18:F18"/>
    <mergeCell ref="B20:Q20"/>
    <mergeCell ref="C21:Q21"/>
    <mergeCell ref="C22:Q22"/>
    <mergeCell ref="C23:Q23"/>
    <mergeCell ref="D29:Q29"/>
    <mergeCell ref="D30:Q30"/>
    <mergeCell ref="C2:F2"/>
    <mergeCell ref="C3:F3"/>
    <mergeCell ref="C4:F4"/>
    <mergeCell ref="C5:F5"/>
    <mergeCell ref="D7:F7"/>
    <mergeCell ref="D8:F16"/>
    <mergeCell ref="D25:Q25"/>
    <mergeCell ref="D26:Q26"/>
    <mergeCell ref="D27:Q27"/>
  </mergeCells>
  <conditionalFormatting sqref="F133:F140 G126:G140 H128:H140">
    <cfRule type="expression" dxfId="3541" priority="77">
      <formula>IF(OR(#REF!="L",#REF!="C"),TRUE,FALSE)</formula>
    </cfRule>
  </conditionalFormatting>
  <conditionalFormatting sqref="E134:E140">
    <cfRule type="expression" dxfId="3540" priority="76">
      <formula>IF(OR(#REF!="L",#REF!="C"),TRUE,FALSE)</formula>
    </cfRule>
  </conditionalFormatting>
  <conditionalFormatting sqref="E131">
    <cfRule type="expression" dxfId="3539" priority="75">
      <formula>IF(OR(#REF!="L",#REF!="C"),TRUE,FALSE)</formula>
    </cfRule>
  </conditionalFormatting>
  <conditionalFormatting sqref="E132">
    <cfRule type="expression" dxfId="3538" priority="74">
      <formula>IF(OR(#REF!="L",#REF!="C"),TRUE,FALSE)</formula>
    </cfRule>
  </conditionalFormatting>
  <conditionalFormatting sqref="E133">
    <cfRule type="expression" dxfId="3537" priority="73">
      <formula>IF(OR(#REF!="L",#REF!="C"),TRUE,FALSE)</formula>
    </cfRule>
  </conditionalFormatting>
  <conditionalFormatting sqref="E130">
    <cfRule type="expression" dxfId="3536" priority="72">
      <formula>IF(OR(#REF!="L",#REF!="C"),TRUE,FALSE)</formula>
    </cfRule>
  </conditionalFormatting>
  <conditionalFormatting sqref="E119 G119 I119 K119 M119">
    <cfRule type="duplicateValues" dxfId="3535" priority="71"/>
  </conditionalFormatting>
  <conditionalFormatting sqref="M128:M140">
    <cfRule type="expression" dxfId="3534" priority="61">
      <formula>IF(OR(#REF!="L",#REF!="C"),TRUE,FALSE)</formula>
    </cfRule>
  </conditionalFormatting>
  <conditionalFormatting sqref="F126:F130">
    <cfRule type="expression" dxfId="3533" priority="70">
      <formula>IF(OR(#REF!="L",#REF!="C"),TRUE,FALSE)</formula>
    </cfRule>
  </conditionalFormatting>
  <conditionalFormatting sqref="I126:I127">
    <cfRule type="expression" dxfId="3532" priority="68">
      <formula>IF(OR(#REF!="L",#REF!="C"),TRUE,FALSE)</formula>
    </cfRule>
  </conditionalFormatting>
  <conditionalFormatting sqref="N126:N127">
    <cfRule type="expression" dxfId="3531" priority="58">
      <formula>IF(OR(#REF!="L",#REF!="C"),TRUE,FALSE)</formula>
    </cfRule>
  </conditionalFormatting>
  <conditionalFormatting sqref="I128:I140">
    <cfRule type="expression" dxfId="3530" priority="69">
      <formula>IF(OR(#REF!="L",#REF!="C"),TRUE,FALSE)</formula>
    </cfRule>
  </conditionalFormatting>
  <conditionalFormatting sqref="J126:J127">
    <cfRule type="expression" dxfId="3529" priority="66">
      <formula>IF(OR(#REF!="L",#REF!="C"),TRUE,FALSE)</formula>
    </cfRule>
  </conditionalFormatting>
  <conditionalFormatting sqref="J128:J140">
    <cfRule type="expression" dxfId="3528" priority="67">
      <formula>IF(OR(#REF!="L",#REF!="C"),TRUE,FALSE)</formula>
    </cfRule>
  </conditionalFormatting>
  <conditionalFormatting sqref="K126:K127">
    <cfRule type="expression" dxfId="3527" priority="64">
      <formula>IF(OR(#REF!="L",#REF!="C"),TRUE,FALSE)</formula>
    </cfRule>
  </conditionalFormatting>
  <conditionalFormatting sqref="K128:K140">
    <cfRule type="expression" dxfId="3526" priority="65">
      <formula>IF(OR(#REF!="L",#REF!="C"),TRUE,FALSE)</formula>
    </cfRule>
  </conditionalFormatting>
  <conditionalFormatting sqref="L126:L127">
    <cfRule type="expression" dxfId="3525" priority="62">
      <formula>IF(OR(#REF!="L",#REF!="C"),TRUE,FALSE)</formula>
    </cfRule>
  </conditionalFormatting>
  <conditionalFormatting sqref="L128:L140">
    <cfRule type="expression" dxfId="3524" priority="63">
      <formula>IF(OR(#REF!="L",#REF!="C"),TRUE,FALSE)</formula>
    </cfRule>
  </conditionalFormatting>
  <conditionalFormatting sqref="M126:M127">
    <cfRule type="expression" dxfId="3523" priority="60">
      <formula>IF(OR(#REF!="L",#REF!="C"),TRUE,FALSE)</formula>
    </cfRule>
  </conditionalFormatting>
  <conditionalFormatting sqref="N128:N140">
    <cfRule type="expression" dxfId="3522" priority="59">
      <formula>IF(OR(#REF!="L",#REF!="C"),TRUE,FALSE)</formula>
    </cfRule>
  </conditionalFormatting>
  <conditionalFormatting sqref="O126:O127">
    <cfRule type="expression" dxfId="3521" priority="56">
      <formula>IF(OR(#REF!="L",#REF!="C"),TRUE,FALSE)</formula>
    </cfRule>
  </conditionalFormatting>
  <conditionalFormatting sqref="O128:O140">
    <cfRule type="expression" dxfId="3520" priority="57">
      <formula>IF(OR(#REF!="L",#REF!="C"),TRUE,FALSE)</formula>
    </cfRule>
  </conditionalFormatting>
  <conditionalFormatting sqref="E120:N120">
    <cfRule type="duplicateValues" dxfId="3519" priority="55"/>
  </conditionalFormatting>
  <conditionalFormatting sqref="H72">
    <cfRule type="expression" dxfId="3518" priority="1">
      <formula>IF(OR(#REF!="L",#REF!="C"),TRUE,FALSE)</formula>
    </cfRule>
  </conditionalFormatting>
  <conditionalFormatting sqref="H66">
    <cfRule type="expression" dxfId="3517" priority="42">
      <formula>IF(OR(#REF!="L",#REF!="C"),TRUE,FALSE)</formula>
    </cfRule>
  </conditionalFormatting>
  <conditionalFormatting sqref="H67">
    <cfRule type="expression" dxfId="3516" priority="41">
      <formula>IF(OR(#REF!="L",#REF!="C"),TRUE,FALSE)</formula>
    </cfRule>
  </conditionalFormatting>
  <conditionalFormatting sqref="H68:H70">
    <cfRule type="expression" dxfId="3515" priority="35">
      <formula>IF(OR(#REF!="L",#REF!="C"),TRUE,FALSE)</formula>
    </cfRule>
  </conditionalFormatting>
  <conditionalFormatting sqref="H63">
    <cfRule type="expression" dxfId="3514" priority="38">
      <formula>IF(OR(#REF!="L",#REF!="C"),TRUE,FALSE)</formula>
    </cfRule>
  </conditionalFormatting>
  <conditionalFormatting sqref="H64">
    <cfRule type="expression" dxfId="3513" priority="37">
      <formula>IF(OR(#REF!="L",#REF!="C"),TRUE,FALSE)</formula>
    </cfRule>
  </conditionalFormatting>
  <conditionalFormatting sqref="H65">
    <cfRule type="expression" dxfId="3512" priority="36">
      <formula>IF(OR(#REF!="L",#REF!="C"),TRUE,FALSE)</formula>
    </cfRule>
  </conditionalFormatting>
  <conditionalFormatting sqref="H71">
    <cfRule type="expression" dxfId="3511" priority="34">
      <formula>IF(OR(#REF!="L",#REF!="C"),TRUE,FALSE)</formula>
    </cfRule>
  </conditionalFormatting>
  <conditionalFormatting sqref="H62:H63">
    <cfRule type="expression" dxfId="3510" priority="30">
      <formula>IF(OR(#REF!="L",#REF!="C"),TRUE,FALSE)</formula>
    </cfRule>
  </conditionalFormatting>
  <conditionalFormatting sqref="F109:F116 G102:G116 H104:H116">
    <cfRule type="expression" dxfId="3509" priority="29">
      <formula>IF(OR(#REF!="L",#REF!="C"),TRUE,FALSE)</formula>
    </cfRule>
  </conditionalFormatting>
  <conditionalFormatting sqref="E110:E116">
    <cfRule type="expression" dxfId="3508" priority="28">
      <formula>IF(OR(#REF!="L",#REF!="C"),TRUE,FALSE)</formula>
    </cfRule>
  </conditionalFormatting>
  <conditionalFormatting sqref="E107">
    <cfRule type="expression" dxfId="3507" priority="27">
      <formula>IF(OR(#REF!="L",#REF!="C"),TRUE,FALSE)</formula>
    </cfRule>
  </conditionalFormatting>
  <conditionalFormatting sqref="E108">
    <cfRule type="expression" dxfId="3506" priority="26">
      <formula>IF(OR(#REF!="L",#REF!="C"),TRUE,FALSE)</formula>
    </cfRule>
  </conditionalFormatting>
  <conditionalFormatting sqref="E109">
    <cfRule type="expression" dxfId="3505" priority="25">
      <formula>IF(OR(#REF!="L",#REF!="C"),TRUE,FALSE)</formula>
    </cfRule>
  </conditionalFormatting>
  <conditionalFormatting sqref="E106">
    <cfRule type="expression" dxfId="3504" priority="24">
      <formula>IF(OR(#REF!="L",#REF!="C"),TRUE,FALSE)</formula>
    </cfRule>
  </conditionalFormatting>
  <conditionalFormatting sqref="E95 G95 I95 K95 M95">
    <cfRule type="duplicateValues" dxfId="3503" priority="23"/>
  </conditionalFormatting>
  <conditionalFormatting sqref="M104:M116">
    <cfRule type="expression" dxfId="3502" priority="13">
      <formula>IF(OR(#REF!="L",#REF!="C"),TRUE,FALSE)</formula>
    </cfRule>
  </conditionalFormatting>
  <conditionalFormatting sqref="F102:F106">
    <cfRule type="expression" dxfId="3501" priority="22">
      <formula>IF(OR(#REF!="L",#REF!="C"),TRUE,FALSE)</formula>
    </cfRule>
  </conditionalFormatting>
  <conditionalFormatting sqref="I102:I103">
    <cfRule type="expression" dxfId="3500" priority="20">
      <formula>IF(OR(#REF!="L",#REF!="C"),TRUE,FALSE)</formula>
    </cfRule>
  </conditionalFormatting>
  <conditionalFormatting sqref="N102:N103">
    <cfRule type="expression" dxfId="3499" priority="10">
      <formula>IF(OR(#REF!="L",#REF!="C"),TRUE,FALSE)</formula>
    </cfRule>
  </conditionalFormatting>
  <conditionalFormatting sqref="I104:I116">
    <cfRule type="expression" dxfId="3498" priority="21">
      <formula>IF(OR(#REF!="L",#REF!="C"),TRUE,FALSE)</formula>
    </cfRule>
  </conditionalFormatting>
  <conditionalFormatting sqref="J102:J103">
    <cfRule type="expression" dxfId="3497" priority="18">
      <formula>IF(OR(#REF!="L",#REF!="C"),TRUE,FALSE)</formula>
    </cfRule>
  </conditionalFormatting>
  <conditionalFormatting sqref="J104:J116">
    <cfRule type="expression" dxfId="3496" priority="19">
      <formula>IF(OR(#REF!="L",#REF!="C"),TRUE,FALSE)</formula>
    </cfRule>
  </conditionalFormatting>
  <conditionalFormatting sqref="K102:K103">
    <cfRule type="expression" dxfId="3495" priority="16">
      <formula>IF(OR(#REF!="L",#REF!="C"),TRUE,FALSE)</formula>
    </cfRule>
  </conditionalFormatting>
  <conditionalFormatting sqref="K104:K116">
    <cfRule type="expression" dxfId="3494" priority="17">
      <formula>IF(OR(#REF!="L",#REF!="C"),TRUE,FALSE)</formula>
    </cfRule>
  </conditionalFormatting>
  <conditionalFormatting sqref="L102:L103">
    <cfRule type="expression" dxfId="3493" priority="14">
      <formula>IF(OR(#REF!="L",#REF!="C"),TRUE,FALSE)</formula>
    </cfRule>
  </conditionalFormatting>
  <conditionalFormatting sqref="L104:L116">
    <cfRule type="expression" dxfId="3492" priority="15">
      <formula>IF(OR(#REF!="L",#REF!="C"),TRUE,FALSE)</formula>
    </cfRule>
  </conditionalFormatting>
  <conditionalFormatting sqref="M102:M103">
    <cfRule type="expression" dxfId="3491" priority="12">
      <formula>IF(OR(#REF!="L",#REF!="C"),TRUE,FALSE)</formula>
    </cfRule>
  </conditionalFormatting>
  <conditionalFormatting sqref="N104:N116">
    <cfRule type="expression" dxfId="3490" priority="11">
      <formula>IF(OR(#REF!="L",#REF!="C"),TRUE,FALSE)</formula>
    </cfRule>
  </conditionalFormatting>
  <conditionalFormatting sqref="O102:O103">
    <cfRule type="expression" dxfId="3489" priority="8">
      <formula>IF(OR(#REF!="L",#REF!="C"),TRUE,FALSE)</formula>
    </cfRule>
  </conditionalFormatting>
  <conditionalFormatting sqref="O104:O116">
    <cfRule type="expression" dxfId="3488" priority="9">
      <formula>IF(OR(#REF!="L",#REF!="C"),TRUE,FALSE)</formula>
    </cfRule>
  </conditionalFormatting>
  <conditionalFormatting sqref="E96:N96">
    <cfRule type="duplicateValues" dxfId="3487" priority="7"/>
  </conditionalFormatting>
  <conditionalFormatting sqref="H76">
    <cfRule type="expression" dxfId="3486" priority="5">
      <formula>IF(OR(#REF!="L",#REF!="C"),TRUE,FALSE)</formula>
    </cfRule>
  </conditionalFormatting>
  <conditionalFormatting sqref="H74">
    <cfRule type="expression" dxfId="3485" priority="4">
      <formula>IF(OR(#REF!="L",#REF!="C"),TRUE,FALSE)</formula>
    </cfRule>
  </conditionalFormatting>
  <conditionalFormatting sqref="H73">
    <cfRule type="expression" dxfId="3484" priority="3">
      <formula>IF(OR(#REF!="L",#REF!="C"),TRUE,FALSE)</formula>
    </cfRule>
  </conditionalFormatting>
  <conditionalFormatting sqref="H75:H76">
    <cfRule type="expression" dxfId="3483" priority="2">
      <formula>IF(OR(#REF!="L",#REF!="C"),TRUE,FALSE)</formula>
    </cfRule>
  </conditionalFormatting>
  <dataValidations count="6">
    <dataValidation type="list" allowBlank="1" showInputMessage="1" showErrorMessage="1" sqref="C4" xr:uid="{AE0E4D72-BDE3-4443-8806-9C8F8F1756DF}">
      <formula1>"COM,RES"</formula1>
    </dataValidation>
    <dataValidation type="list" allowBlank="1" showInputMessage="1" showErrorMessage="1" sqref="C9" xr:uid="{134308DD-A292-411A-9CCE-76B05EB2C64D}">
      <formula1>INDIRECT("MeasureTypeList[Index]")</formula1>
    </dataValidation>
    <dataValidation type="list" allowBlank="1" showInputMessage="1" showErrorMessage="1" sqref="C26" xr:uid="{DE864DDE-A8F1-4B82-8714-514E0C0F6DCA}">
      <formula1>INDIRECT("RegionList[Index]")</formula1>
    </dataValidation>
    <dataValidation type="list" allowBlank="1" showInputMessage="1" showErrorMessage="1" sqref="C27" xr:uid="{A02ACC9C-A1B3-4837-B4CA-F3F9DC59A0AD}">
      <formula1>INDIRECT("ReplacementTypeList[Index]")</formula1>
    </dataValidation>
    <dataValidation type="list" allowBlank="1" showInputMessage="1" showErrorMessage="1" sqref="C28" xr:uid="{4E877D06-7E80-4BFF-AC21-A675CB1FF38E}">
      <formula1>INDIRECT("BuildingType[Building]")</formula1>
    </dataValidation>
    <dataValidation type="list" allowBlank="1" showInputMessage="1" showErrorMessage="1" sqref="C29 C30" xr:uid="{57880009-83D6-4FAB-B908-3701C1AB48E2}">
      <formula1>INDIRECT("FuelTypeList[Index]")</formula1>
    </dataValidation>
  </dataValidations>
  <hyperlinks>
    <hyperlink ref="F83" r:id="rId1" xr:uid="{DFE4FE1B-BE4C-46F3-9423-810E08B8823D}"/>
    <hyperlink ref="F85" r:id="rId2" xr:uid="{2BBCC744-5962-4921-8EF9-638EA7476989}"/>
    <hyperlink ref="F84" r:id="rId3" xr:uid="{57C39E53-34DB-413E-907E-3FA4025CE1A4}"/>
    <hyperlink ref="F82" r:id="rId4" xr:uid="{6A0538B5-518D-45FD-9ED5-918FD6774E91}"/>
  </hyperlinks>
  <pageMargins left="0.7" right="0.7" top="0.75" bottom="0.75" header="0.3" footer="0.3"/>
  <pageSetup orientation="portrait" r:id="rId5"/>
  <extLst>
    <ext xmlns:x14="http://schemas.microsoft.com/office/spreadsheetml/2009/9/main" uri="{CCE6A557-97BC-4b89-ADB6-D9C93CAAB3DF}">
      <x14:dataValidations xmlns:xm="http://schemas.microsoft.com/office/excel/2006/main" count="1">
        <x14:dataValidation type="list" allowBlank="1" showInputMessage="1" showErrorMessage="1" xr:uid="{50A677B6-7DD5-46E8-A2D7-DC7ED2168A46}">
          <x14:formula1>
            <xm:f>Validation!$B$6:$B$16</xm:f>
          </x14:formula1>
          <xm:sqref>H62:H63</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53993-5007-4674-B67D-28BE8D02AB69}">
  <sheetPr codeName="Sheet276"/>
  <dimension ref="A1:R164"/>
  <sheetViews>
    <sheetView workbookViewId="0"/>
  </sheetViews>
  <sheetFormatPr defaultColWidth="9.08984375" defaultRowHeight="18.75" customHeight="1" x14ac:dyDescent="0.3"/>
  <cols>
    <col min="1" max="1" width="2.36328125" style="488" customWidth="1"/>
    <col min="2" max="2" width="44.36328125" style="488" bestFit="1" customWidth="1"/>
    <col min="3" max="3" width="28" style="488" bestFit="1" customWidth="1"/>
    <col min="4" max="4" width="21.6328125" style="488" customWidth="1"/>
    <col min="5" max="5" width="15" style="488" customWidth="1"/>
    <col min="6" max="6" width="15.6328125" style="488" customWidth="1"/>
    <col min="7" max="7" width="19.6328125" style="488" customWidth="1"/>
    <col min="8" max="8" width="16" style="488" customWidth="1"/>
    <col min="9"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8" customWidth="1"/>
    <col min="19" max="19" width="9.08984375" style="488"/>
    <col min="20" max="20" width="8.6328125" style="488" customWidth="1"/>
    <col min="21" max="16384" width="9.08984375" style="488"/>
  </cols>
  <sheetData>
    <row r="1" spans="1:18" ht="18.75" customHeight="1" x14ac:dyDescent="0.3">
      <c r="R1" s="623"/>
    </row>
    <row r="2" spans="1:18" ht="18.75" customHeight="1" x14ac:dyDescent="0.3">
      <c r="B2" s="1203" t="s">
        <v>506</v>
      </c>
      <c r="C2" s="1608" t="s">
        <v>406</v>
      </c>
      <c r="D2" s="1608"/>
      <c r="E2" s="1608"/>
      <c r="F2" s="1608"/>
      <c r="R2" s="623"/>
    </row>
    <row r="3" spans="1:18" ht="18.75" customHeight="1" x14ac:dyDescent="0.3">
      <c r="B3" s="624" t="s">
        <v>407</v>
      </c>
      <c r="C3" s="1367" t="str">
        <f>IF(ISBLANK(C8)+ISBLANK(C10),C8,C8&amp;"_"&amp;C10)</f>
        <v>R-WB-005</v>
      </c>
      <c r="D3" s="1367"/>
      <c r="E3" s="1367"/>
      <c r="F3" s="1367"/>
      <c r="R3" s="623"/>
    </row>
    <row r="4" spans="1:18" ht="18.75" customHeight="1" x14ac:dyDescent="0.3">
      <c r="B4" s="624" t="s">
        <v>11</v>
      </c>
      <c r="C4" s="1367" t="str" cm="1">
        <f t="array" ref="C4">_xlfn.SWITCH(LEFT(C8,1),"R","Residential","C","Commercial","ERROR")</f>
        <v>Residential</v>
      </c>
      <c r="D4" s="1367"/>
      <c r="E4" s="1367"/>
      <c r="F4" s="1367"/>
      <c r="R4" s="623"/>
    </row>
    <row r="5" spans="1:18" ht="19.5" customHeight="1" x14ac:dyDescent="0.3">
      <c r="B5" s="624" t="s">
        <v>408</v>
      </c>
      <c r="C5" s="1530" t="s">
        <v>396</v>
      </c>
      <c r="D5" s="1531"/>
      <c r="E5" s="1531"/>
      <c r="F5" s="1532"/>
    </row>
    <row r="6" spans="1:18" ht="18.75" customHeight="1" x14ac:dyDescent="0.3">
      <c r="A6" s="573"/>
      <c r="R6" s="623"/>
    </row>
    <row r="7" spans="1:18" ht="18.75" customHeight="1" x14ac:dyDescent="0.3">
      <c r="B7" s="1203" t="s">
        <v>409</v>
      </c>
      <c r="C7" s="1202" t="s">
        <v>406</v>
      </c>
      <c r="D7" s="1607" t="s">
        <v>410</v>
      </c>
      <c r="E7" s="1607"/>
      <c r="F7" s="1607"/>
    </row>
    <row r="8" spans="1:18" ht="18.75" customHeight="1" x14ac:dyDescent="0.3">
      <c r="B8" s="624" t="s">
        <v>411</v>
      </c>
      <c r="C8" s="1218" t="s">
        <v>181</v>
      </c>
      <c r="D8" s="1457"/>
      <c r="E8" s="1457"/>
      <c r="F8" s="1457"/>
    </row>
    <row r="9" spans="1:18" ht="18.75" customHeight="1" x14ac:dyDescent="0.3">
      <c r="B9" s="624" t="s">
        <v>49</v>
      </c>
      <c r="C9" s="1218" t="s">
        <v>891</v>
      </c>
      <c r="D9" s="1457"/>
      <c r="E9" s="1457"/>
      <c r="F9" s="1457"/>
    </row>
    <row r="10" spans="1:18" ht="18.75" customHeight="1" x14ac:dyDescent="0.3">
      <c r="B10" s="624" t="s">
        <v>412</v>
      </c>
      <c r="C10" s="1218"/>
      <c r="D10" s="1457"/>
      <c r="E10" s="1457"/>
      <c r="F10" s="1457"/>
    </row>
    <row r="11" spans="1:18" ht="18.75" customHeight="1" x14ac:dyDescent="0.3">
      <c r="B11" s="624" t="s">
        <v>413</v>
      </c>
      <c r="C11" s="1218"/>
      <c r="D11" s="1457"/>
      <c r="E11" s="1457"/>
      <c r="F11" s="1457"/>
    </row>
    <row r="12" spans="1:18" ht="18.75" customHeight="1" x14ac:dyDescent="0.3">
      <c r="B12" s="624" t="s">
        <v>414</v>
      </c>
      <c r="C12" s="665"/>
      <c r="D12" s="1457"/>
      <c r="E12" s="1457"/>
      <c r="F12" s="1457"/>
    </row>
    <row r="13" spans="1:18" ht="18.75" customHeight="1" x14ac:dyDescent="0.3">
      <c r="B13" s="626" t="s">
        <v>415</v>
      </c>
      <c r="C13" s="658">
        <f>N43</f>
        <v>0</v>
      </c>
      <c r="D13" s="1457"/>
      <c r="E13" s="1457"/>
      <c r="F13" s="1457"/>
    </row>
    <row r="14" spans="1:18" ht="18.75" customHeight="1" x14ac:dyDescent="0.3">
      <c r="B14" s="626" t="s">
        <v>416</v>
      </c>
      <c r="C14" s="658">
        <f>N42</f>
        <v>0</v>
      </c>
      <c r="D14" s="1457"/>
      <c r="E14" s="1457"/>
      <c r="F14" s="1457"/>
    </row>
    <row r="15" spans="1:18" ht="18.75" customHeight="1" x14ac:dyDescent="0.3">
      <c r="B15" s="626" t="s">
        <v>417</v>
      </c>
      <c r="C15" s="658">
        <f>N44</f>
        <v>6.1934450588564796E-2</v>
      </c>
      <c r="D15" s="1457"/>
      <c r="E15" s="1457"/>
      <c r="F15" s="1457"/>
    </row>
    <row r="16" spans="1:18" ht="18.75" customHeight="1" x14ac:dyDescent="0.3">
      <c r="B16" s="626" t="s">
        <v>418</v>
      </c>
      <c r="C16" s="659">
        <f>C37</f>
        <v>0</v>
      </c>
      <c r="D16" s="1457"/>
      <c r="E16" s="1457"/>
      <c r="F16" s="1457"/>
    </row>
    <row r="17" spans="2:18" ht="18.75" customHeight="1" x14ac:dyDescent="0.3">
      <c r="B17" s="624" t="s">
        <v>48</v>
      </c>
      <c r="C17" s="1218" t="s">
        <v>955</v>
      </c>
      <c r="D17" s="1607" t="s">
        <v>419</v>
      </c>
      <c r="E17" s="1607"/>
      <c r="F17" s="1607"/>
    </row>
    <row r="18" spans="2:18" ht="18.75" customHeight="1" x14ac:dyDescent="0.3">
      <c r="B18" s="624" t="s">
        <v>420</v>
      </c>
      <c r="C18" s="666">
        <v>15</v>
      </c>
      <c r="D18" s="1513" t="s">
        <v>956</v>
      </c>
      <c r="E18" s="1513"/>
      <c r="F18" s="1513"/>
    </row>
    <row r="19" spans="2:18" ht="18.75" customHeight="1" x14ac:dyDescent="0.3">
      <c r="B19" s="752"/>
      <c r="C19" s="614"/>
    </row>
    <row r="20" spans="2:18" ht="18.75" customHeight="1" x14ac:dyDescent="0.3">
      <c r="B20" s="1609" t="s">
        <v>421</v>
      </c>
      <c r="C20" s="1609"/>
      <c r="D20" s="1609"/>
      <c r="E20" s="1609"/>
      <c r="F20" s="1609"/>
      <c r="G20" s="1609"/>
      <c r="H20" s="1609"/>
      <c r="I20" s="1609"/>
      <c r="J20" s="1609"/>
      <c r="K20" s="1609"/>
      <c r="L20" s="1609"/>
      <c r="M20" s="1609"/>
      <c r="N20" s="1609"/>
      <c r="O20" s="1609"/>
      <c r="P20" s="1609"/>
      <c r="Q20" s="1609"/>
    </row>
    <row r="21" spans="2:18" ht="18.75" customHeight="1" x14ac:dyDescent="0.3">
      <c r="B21" s="656" t="s">
        <v>422</v>
      </c>
      <c r="C21" s="1637" t="s">
        <v>397</v>
      </c>
      <c r="D21" s="1637"/>
      <c r="E21" s="1637"/>
      <c r="F21" s="1637"/>
      <c r="G21" s="1637"/>
      <c r="H21" s="1637"/>
      <c r="I21" s="1637"/>
      <c r="J21" s="1637"/>
      <c r="K21" s="1637"/>
      <c r="L21" s="1637"/>
      <c r="M21" s="1637"/>
      <c r="N21" s="1637"/>
      <c r="O21" s="1637"/>
      <c r="P21" s="1637"/>
      <c r="Q21" s="1637"/>
    </row>
    <row r="22" spans="2:18" ht="18.75" customHeight="1" x14ac:dyDescent="0.3">
      <c r="B22" s="628" t="s">
        <v>423</v>
      </c>
      <c r="C22" s="1536" t="s">
        <v>398</v>
      </c>
      <c r="D22" s="1536"/>
      <c r="E22" s="1536"/>
      <c r="F22" s="1536"/>
      <c r="G22" s="1536"/>
      <c r="H22" s="1536"/>
      <c r="I22" s="1536"/>
      <c r="J22" s="1536"/>
      <c r="K22" s="1536"/>
      <c r="L22" s="1536"/>
      <c r="M22" s="1536"/>
      <c r="N22" s="1536"/>
      <c r="O22" s="1536"/>
      <c r="P22" s="1536"/>
      <c r="Q22" s="1536"/>
    </row>
    <row r="23" spans="2:18" ht="18.75" customHeight="1" x14ac:dyDescent="0.3">
      <c r="B23" s="628" t="s">
        <v>424</v>
      </c>
      <c r="C23" s="1536"/>
      <c r="D23" s="1536"/>
      <c r="E23" s="1536"/>
      <c r="F23" s="1536"/>
      <c r="G23" s="1536"/>
      <c r="H23" s="1536"/>
      <c r="I23" s="1536"/>
      <c r="J23" s="1536"/>
      <c r="K23" s="1536"/>
      <c r="L23" s="1536"/>
      <c r="M23" s="1536"/>
      <c r="N23" s="1536"/>
      <c r="O23" s="1536"/>
      <c r="P23" s="1536"/>
      <c r="Q23" s="1536"/>
    </row>
    <row r="24" spans="2:18" ht="18.75" customHeight="1" x14ac:dyDescent="0.3">
      <c r="R24" s="623"/>
    </row>
    <row r="25" spans="2:18" ht="18.75" customHeight="1" x14ac:dyDescent="0.3">
      <c r="B25" s="1203" t="s">
        <v>425</v>
      </c>
      <c r="C25" s="625" t="s">
        <v>406</v>
      </c>
      <c r="D25" s="1607" t="s">
        <v>421</v>
      </c>
      <c r="E25" s="1607"/>
      <c r="F25" s="1607"/>
      <c r="G25" s="1607"/>
      <c r="H25" s="1607"/>
      <c r="I25" s="1607"/>
      <c r="J25" s="1607"/>
      <c r="K25" s="1607"/>
      <c r="L25" s="1607"/>
      <c r="M25" s="1607"/>
      <c r="N25" s="1607"/>
      <c r="O25" s="1607"/>
      <c r="P25" s="1607"/>
      <c r="Q25" s="1607"/>
    </row>
    <row r="26" spans="2:18" ht="18.75" customHeight="1" x14ac:dyDescent="0.3">
      <c r="B26" s="624" t="s">
        <v>9</v>
      </c>
      <c r="C26" s="539" t="str">
        <f>Default.Region</f>
        <v>Average</v>
      </c>
      <c r="D26" s="1384"/>
      <c r="E26" s="1384"/>
      <c r="F26" s="1384"/>
      <c r="G26" s="1384"/>
      <c r="H26" s="1384"/>
      <c r="I26" s="1384"/>
      <c r="J26" s="1384"/>
      <c r="K26" s="1384"/>
      <c r="L26" s="1384"/>
      <c r="M26" s="1384"/>
      <c r="N26" s="1384"/>
      <c r="O26" s="1384"/>
      <c r="P26" s="1384"/>
      <c r="Q26" s="1384"/>
    </row>
    <row r="27" spans="2:18" ht="18.75" customHeight="1" x14ac:dyDescent="0.3">
      <c r="B27" s="624" t="s">
        <v>27</v>
      </c>
      <c r="C27" s="539" t="str">
        <f>Default.ReplacementType</f>
        <v>RET</v>
      </c>
      <c r="D27" s="1385" t="s">
        <v>426</v>
      </c>
      <c r="E27" s="1385"/>
      <c r="F27" s="1385"/>
      <c r="G27" s="1385"/>
      <c r="H27" s="1385"/>
      <c r="I27" s="1385"/>
      <c r="J27" s="1385"/>
      <c r="K27" s="1385"/>
      <c r="L27" s="1385"/>
      <c r="M27" s="1385"/>
      <c r="N27" s="1385"/>
      <c r="O27" s="1385"/>
      <c r="P27" s="1385"/>
      <c r="Q27" s="1385"/>
    </row>
    <row r="28" spans="2:18" ht="18.75" customHeight="1" x14ac:dyDescent="0.3">
      <c r="B28" s="624" t="s">
        <v>54</v>
      </c>
      <c r="C28" s="539" t="str">
        <f>Default.BuildingType.R</f>
        <v>Home - detached</v>
      </c>
      <c r="D28" s="1386"/>
      <c r="E28" s="1386"/>
      <c r="F28" s="1386"/>
      <c r="G28" s="1386"/>
      <c r="H28" s="1386"/>
      <c r="I28" s="1386"/>
      <c r="J28" s="1386"/>
      <c r="K28" s="1386"/>
      <c r="L28" s="1386"/>
      <c r="M28" s="1386"/>
      <c r="N28" s="1386"/>
      <c r="O28" s="1386"/>
      <c r="P28" s="1386"/>
      <c r="Q28" s="1386"/>
    </row>
    <row r="29" spans="2:18" ht="18.75" customHeight="1" x14ac:dyDescent="0.3">
      <c r="B29" s="624" t="s">
        <v>33</v>
      </c>
      <c r="C29" s="539" t="str">
        <f>Default.SpaceHeatingFuel</f>
        <v>Natural gas</v>
      </c>
      <c r="D29" s="1384"/>
      <c r="E29" s="1384"/>
      <c r="F29" s="1384"/>
      <c r="G29" s="1384"/>
      <c r="H29" s="1384"/>
      <c r="I29" s="1384"/>
      <c r="J29" s="1384"/>
      <c r="K29" s="1384"/>
      <c r="L29" s="1384"/>
      <c r="M29" s="1384"/>
      <c r="N29" s="1384"/>
      <c r="O29" s="1384"/>
      <c r="P29" s="1384"/>
      <c r="Q29" s="1384"/>
    </row>
    <row r="30" spans="2:18" ht="18.75" customHeight="1" x14ac:dyDescent="0.3">
      <c r="B30" s="624" t="s">
        <v>35</v>
      </c>
      <c r="C30" s="539" t="str">
        <f>Default.WaterHeatingFuel</f>
        <v>Natural gas</v>
      </c>
      <c r="D30" s="1384"/>
      <c r="E30" s="1384"/>
      <c r="F30" s="1384"/>
      <c r="G30" s="1384"/>
      <c r="H30" s="1384"/>
      <c r="I30" s="1384"/>
      <c r="J30" s="1384"/>
      <c r="K30" s="1384"/>
      <c r="L30" s="1384"/>
      <c r="M30" s="1384"/>
      <c r="N30" s="1384"/>
      <c r="O30" s="1384"/>
      <c r="P30" s="1384"/>
      <c r="Q30" s="1384"/>
    </row>
    <row r="31" spans="2:18" ht="18.75" customHeight="1" x14ac:dyDescent="0.3">
      <c r="B31" s="577"/>
      <c r="C31" s="578"/>
      <c r="D31" s="578"/>
      <c r="E31" s="578"/>
      <c r="F31" s="578"/>
      <c r="G31" s="578"/>
      <c r="H31" s="578"/>
      <c r="I31" s="578"/>
      <c r="J31" s="578"/>
      <c r="K31" s="578"/>
      <c r="L31" s="578"/>
      <c r="M31" s="578"/>
      <c r="N31" s="578"/>
      <c r="R31" s="623"/>
    </row>
    <row r="32" spans="2:18" ht="18.75" customHeight="1" x14ac:dyDescent="0.3">
      <c r="B32" s="1203" t="s">
        <v>427</v>
      </c>
      <c r="C32" s="1202" t="s">
        <v>406</v>
      </c>
      <c r="D32" s="625" t="s">
        <v>428</v>
      </c>
      <c r="E32" s="1607" t="s">
        <v>419</v>
      </c>
      <c r="F32" s="1607"/>
      <c r="G32" s="1607"/>
      <c r="H32" s="1607"/>
      <c r="I32" s="1607"/>
      <c r="J32" s="1607"/>
      <c r="K32" s="1607"/>
      <c r="L32" s="1607"/>
      <c r="M32" s="1607"/>
      <c r="N32" s="1607"/>
      <c r="O32" s="1607"/>
      <c r="P32" s="1607"/>
      <c r="Q32" s="1607"/>
      <c r="R32" s="623"/>
    </row>
    <row r="33" spans="2:18" ht="18.75" customHeight="1" x14ac:dyDescent="0.3">
      <c r="B33" s="624" t="s">
        <v>429</v>
      </c>
      <c r="C33" s="640"/>
      <c r="D33" s="586" t="s">
        <v>430</v>
      </c>
      <c r="E33" s="1512"/>
      <c r="F33" s="1512"/>
      <c r="G33" s="1512"/>
      <c r="H33" s="1512"/>
      <c r="I33" s="1512"/>
      <c r="J33" s="1512"/>
      <c r="K33" s="1512"/>
      <c r="L33" s="1512"/>
      <c r="M33" s="1512"/>
      <c r="N33" s="1512"/>
      <c r="O33" s="1512"/>
      <c r="P33" s="1512"/>
      <c r="Q33" s="1512"/>
    </row>
    <row r="34" spans="2:18" ht="18.75" customHeight="1" x14ac:dyDescent="0.3">
      <c r="B34" s="626" t="s">
        <v>431</v>
      </c>
      <c r="C34" s="640"/>
      <c r="D34" s="586" t="s">
        <v>430</v>
      </c>
      <c r="E34" s="1442"/>
      <c r="F34" s="1442"/>
      <c r="G34" s="1442"/>
      <c r="H34" s="1442"/>
      <c r="I34" s="1442"/>
      <c r="J34" s="1442"/>
      <c r="K34" s="1442"/>
      <c r="L34" s="1442"/>
      <c r="M34" s="1442"/>
      <c r="N34" s="1442"/>
      <c r="O34" s="1442"/>
      <c r="P34" s="1442"/>
      <c r="Q34" s="1442"/>
      <c r="R34" s="623"/>
    </row>
    <row r="35" spans="2:18" ht="18.75" customHeight="1" x14ac:dyDescent="0.3">
      <c r="B35" s="624" t="s">
        <v>432</v>
      </c>
      <c r="C35" s="640"/>
      <c r="D35" s="586" t="s">
        <v>430</v>
      </c>
      <c r="E35" s="1512"/>
      <c r="F35" s="1512"/>
      <c r="G35" s="1512"/>
      <c r="H35" s="1512"/>
      <c r="I35" s="1512"/>
      <c r="J35" s="1512"/>
      <c r="K35" s="1512"/>
      <c r="L35" s="1512"/>
      <c r="M35" s="1512"/>
      <c r="N35" s="1512"/>
      <c r="O35" s="1512"/>
      <c r="P35" s="1512"/>
      <c r="Q35" s="1512"/>
      <c r="R35" s="623"/>
    </row>
    <row r="36" spans="2:18" ht="18.75" customHeight="1" x14ac:dyDescent="0.3">
      <c r="B36" s="626" t="s">
        <v>433</v>
      </c>
      <c r="C36" s="629">
        <f>SUM(C33:C34)</f>
        <v>0</v>
      </c>
      <c r="D36" s="586" t="s">
        <v>430</v>
      </c>
      <c r="E36" s="1442"/>
      <c r="F36" s="1442"/>
      <c r="G36" s="1442"/>
      <c r="H36" s="1442"/>
      <c r="I36" s="1442"/>
      <c r="J36" s="1442"/>
      <c r="K36" s="1442"/>
      <c r="L36" s="1442"/>
      <c r="M36" s="1442"/>
      <c r="N36" s="1442"/>
      <c r="O36" s="1442"/>
      <c r="P36" s="1442"/>
      <c r="Q36" s="1442"/>
      <c r="R36" s="623"/>
    </row>
    <row r="37" spans="2:18" ht="18.75" customHeight="1" x14ac:dyDescent="0.3">
      <c r="B37" s="626" t="s">
        <v>434</v>
      </c>
      <c r="C37" s="629">
        <f>IF(C27="RET",C33+(C34-C35),C34-C35)</f>
        <v>0</v>
      </c>
      <c r="D37" s="586" t="s">
        <v>430</v>
      </c>
      <c r="E37" s="1442"/>
      <c r="F37" s="1442"/>
      <c r="G37" s="1442"/>
      <c r="H37" s="1442"/>
      <c r="I37" s="1442"/>
      <c r="J37" s="1442"/>
      <c r="K37" s="1442"/>
      <c r="L37" s="1442"/>
      <c r="M37" s="1442"/>
      <c r="N37" s="1442"/>
      <c r="O37" s="1442"/>
      <c r="P37" s="1442"/>
      <c r="Q37" s="1442"/>
      <c r="R37" s="623"/>
    </row>
    <row r="38" spans="2:18" ht="18.75" customHeight="1" x14ac:dyDescent="0.3">
      <c r="B38" s="577"/>
      <c r="C38" s="578"/>
      <c r="D38" s="580"/>
      <c r="E38" s="578"/>
      <c r="F38" s="578"/>
      <c r="G38" s="578"/>
      <c r="H38" s="578"/>
      <c r="I38" s="578"/>
      <c r="J38" s="578"/>
      <c r="K38" s="578"/>
      <c r="L38" s="578"/>
      <c r="M38" s="578"/>
      <c r="N38" s="578"/>
      <c r="R38" s="623"/>
    </row>
    <row r="39" spans="2:18" ht="18.75" customHeight="1" x14ac:dyDescent="0.3">
      <c r="B39" s="630" t="s">
        <v>435</v>
      </c>
      <c r="C39" s="631"/>
      <c r="D39" s="631"/>
      <c r="E39" s="631"/>
      <c r="F39" s="631"/>
      <c r="G39" s="631"/>
      <c r="H39" s="513"/>
      <c r="I39" s="513"/>
      <c r="J39" s="513"/>
      <c r="K39" s="513"/>
      <c r="L39" s="513"/>
      <c r="M39" s="513"/>
      <c r="N39" s="513"/>
      <c r="O39" s="513"/>
      <c r="P39" s="513"/>
      <c r="Q39" s="514"/>
      <c r="R39" s="623"/>
    </row>
    <row r="40" spans="2:18" ht="18.75" customHeight="1" x14ac:dyDescent="0.3">
      <c r="R40" s="623"/>
    </row>
    <row r="41" spans="2:18" ht="18.75" customHeight="1" x14ac:dyDescent="0.3">
      <c r="B41" s="632" t="s">
        <v>436</v>
      </c>
      <c r="C41" s="1596" t="s">
        <v>437</v>
      </c>
      <c r="D41" s="1597"/>
      <c r="E41" s="1597"/>
      <c r="F41" s="1597"/>
      <c r="G41" s="1597"/>
      <c r="H41" s="1597"/>
      <c r="I41" s="1597"/>
      <c r="J41" s="1597"/>
      <c r="K41" s="1597"/>
      <c r="L41" s="1597"/>
      <c r="M41" s="1598"/>
      <c r="N41" s="1205" t="s">
        <v>406</v>
      </c>
      <c r="O41" s="1205" t="s">
        <v>428</v>
      </c>
      <c r="P41" s="1599" t="s">
        <v>419</v>
      </c>
      <c r="Q41" s="1599"/>
      <c r="R41" s="623"/>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row>
    <row r="43" spans="2:18" ht="18.75" customHeight="1" x14ac:dyDescent="0.3">
      <c r="B43" s="582" t="s">
        <v>441</v>
      </c>
      <c r="C43" s="1380" t="s">
        <v>442</v>
      </c>
      <c r="D43" s="1381"/>
      <c r="E43" s="1381"/>
      <c r="F43" s="1381"/>
      <c r="G43" s="1381"/>
      <c r="H43" s="1381"/>
      <c r="I43" s="1381"/>
      <c r="J43" s="1381"/>
      <c r="K43" s="1381"/>
      <c r="L43" s="1381"/>
      <c r="M43" s="1382"/>
      <c r="N43" s="585">
        <f>N49+N55</f>
        <v>0</v>
      </c>
      <c r="O43" s="1243" t="s">
        <v>443</v>
      </c>
      <c r="P43" s="1511"/>
      <c r="Q43" s="1511"/>
    </row>
    <row r="44" spans="2:18" ht="18.75" customHeight="1" x14ac:dyDescent="0.3">
      <c r="B44" s="582" t="s">
        <v>444</v>
      </c>
      <c r="C44" s="1380" t="s">
        <v>445</v>
      </c>
      <c r="D44" s="1381"/>
      <c r="E44" s="1381"/>
      <c r="F44" s="1381"/>
      <c r="G44" s="1381"/>
      <c r="H44" s="1381"/>
      <c r="I44" s="1381"/>
      <c r="J44" s="1381"/>
      <c r="K44" s="1381"/>
      <c r="L44" s="1381"/>
      <c r="M44" s="1382"/>
      <c r="N44" s="584">
        <f>N50+N56</f>
        <v>6.1934450588564796E-2</v>
      </c>
      <c r="O44" s="1243" t="s">
        <v>446</v>
      </c>
      <c r="P44" s="1511"/>
      <c r="Q44" s="1511"/>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row>
    <row r="46" spans="2:18" ht="18.75" customHeight="1" x14ac:dyDescent="0.3">
      <c r="B46" s="583"/>
      <c r="C46" s="578"/>
      <c r="D46" s="578"/>
      <c r="E46" s="578"/>
      <c r="F46" s="578"/>
      <c r="G46" s="578"/>
      <c r="H46" s="578"/>
      <c r="I46" s="578"/>
      <c r="J46" s="578"/>
      <c r="K46" s="578"/>
      <c r="L46" s="578"/>
      <c r="M46" s="578"/>
      <c r="Q46" s="623"/>
    </row>
    <row r="47" spans="2:18" ht="18.75" customHeight="1" x14ac:dyDescent="0.3">
      <c r="B47" s="632" t="s">
        <v>450</v>
      </c>
      <c r="C47" s="1596" t="s">
        <v>451</v>
      </c>
      <c r="D47" s="1597"/>
      <c r="E47" s="1597"/>
      <c r="F47" s="1597"/>
      <c r="G47" s="1597"/>
      <c r="H47" s="1597"/>
      <c r="I47" s="1597"/>
      <c r="J47" s="1597"/>
      <c r="K47" s="1597"/>
      <c r="L47" s="1597"/>
      <c r="M47" s="1598"/>
      <c r="N47" s="1205" t="s">
        <v>406</v>
      </c>
      <c r="O47" s="1205" t="s">
        <v>428</v>
      </c>
      <c r="P47" s="1599" t="s">
        <v>419</v>
      </c>
      <c r="Q47" s="1599"/>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row>
    <row r="49" spans="2:18" ht="18.75" customHeight="1" x14ac:dyDescent="0.3">
      <c r="B49" s="582" t="s">
        <v>454</v>
      </c>
      <c r="C49" s="1504" t="s">
        <v>957</v>
      </c>
      <c r="D49" s="1505"/>
      <c r="E49" s="1505"/>
      <c r="F49" s="1505"/>
      <c r="G49" s="1505"/>
      <c r="H49" s="1505"/>
      <c r="I49" s="1505"/>
      <c r="J49" s="1505"/>
      <c r="K49" s="1505"/>
      <c r="L49" s="1505"/>
      <c r="M49" s="1506"/>
      <c r="N49" s="592">
        <f>IF(C29="Electricity", (H65-H64)*H63/D87*D88*H62/1000/H68,0)</f>
        <v>0</v>
      </c>
      <c r="O49" s="1243" t="s">
        <v>443</v>
      </c>
      <c r="P49" s="1511"/>
      <c r="Q49" s="1511"/>
    </row>
    <row r="50" spans="2:18" ht="49.5" customHeight="1" x14ac:dyDescent="0.3">
      <c r="B50" s="582" t="s">
        <v>456</v>
      </c>
      <c r="C50" s="1600" t="s">
        <v>958</v>
      </c>
      <c r="D50" s="1505"/>
      <c r="E50" s="1505"/>
      <c r="F50" s="1505"/>
      <c r="G50" s="1505"/>
      <c r="H50" s="1505"/>
      <c r="I50" s="1505"/>
      <c r="J50" s="1505"/>
      <c r="K50" s="1505"/>
      <c r="L50" s="1505"/>
      <c r="M50" s="1506"/>
      <c r="N50" s="592">
        <f>IF(C29="Natural gas", (H65-H64)*H63/D87*D88*H62/1000*D82/H67,0)</f>
        <v>6.1934450588564796E-2</v>
      </c>
      <c r="O50" s="1243" t="s">
        <v>446</v>
      </c>
      <c r="P50" s="1511"/>
      <c r="Q50" s="1511"/>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row>
    <row r="52" spans="2:18" ht="18.75" customHeight="1" x14ac:dyDescent="0.3">
      <c r="B52" s="583"/>
      <c r="C52" s="578"/>
      <c r="D52" s="578"/>
      <c r="E52" s="578"/>
      <c r="F52" s="578"/>
      <c r="G52" s="578"/>
      <c r="H52" s="578"/>
      <c r="I52" s="578"/>
      <c r="J52" s="578"/>
      <c r="K52" s="578"/>
      <c r="L52" s="578"/>
      <c r="M52" s="578"/>
      <c r="Q52" s="623"/>
    </row>
    <row r="53" spans="2:18" s="634" customFormat="1" ht="18.75" customHeight="1" x14ac:dyDescent="0.3">
      <c r="B53" s="632" t="s">
        <v>460</v>
      </c>
      <c r="C53" s="1596" t="s">
        <v>461</v>
      </c>
      <c r="D53" s="1597"/>
      <c r="E53" s="1597"/>
      <c r="F53" s="1597"/>
      <c r="G53" s="1597"/>
      <c r="H53" s="1597"/>
      <c r="I53" s="1597"/>
      <c r="J53" s="1597"/>
      <c r="K53" s="1597"/>
      <c r="L53" s="1597"/>
      <c r="M53" s="1598"/>
      <c r="N53" s="1205" t="s">
        <v>406</v>
      </c>
      <c r="O53" s="1205" t="s">
        <v>428</v>
      </c>
      <c r="P53" s="1599" t="s">
        <v>419</v>
      </c>
      <c r="Q53" s="1599"/>
    </row>
    <row r="54" spans="2:18" s="634" customFormat="1" ht="18.75" customHeight="1" x14ac:dyDescent="0.3">
      <c r="B54" s="664" t="s">
        <v>462</v>
      </c>
      <c r="C54" s="1638" t="s">
        <v>463</v>
      </c>
      <c r="D54" s="1639"/>
      <c r="E54" s="1639"/>
      <c r="F54" s="1639"/>
      <c r="G54" s="1639"/>
      <c r="H54" s="1639"/>
      <c r="I54" s="1639"/>
      <c r="J54" s="1639"/>
      <c r="K54" s="1639"/>
      <c r="L54" s="1639"/>
      <c r="M54" s="1640"/>
      <c r="N54" s="667"/>
      <c r="O54" s="1246" t="s">
        <v>440</v>
      </c>
      <c r="P54" s="1641"/>
      <c r="Q54" s="1641"/>
    </row>
    <row r="55" spans="2:18" s="634" customFormat="1" ht="18.75" customHeight="1" x14ac:dyDescent="0.3">
      <c r="B55" s="664" t="s">
        <v>464</v>
      </c>
      <c r="C55" s="1638" t="s">
        <v>465</v>
      </c>
      <c r="D55" s="1639"/>
      <c r="E55" s="1639"/>
      <c r="F55" s="1639"/>
      <c r="G55" s="1639"/>
      <c r="H55" s="1639"/>
      <c r="I55" s="1639"/>
      <c r="J55" s="1639"/>
      <c r="K55" s="1639"/>
      <c r="L55" s="1639"/>
      <c r="M55" s="1640"/>
      <c r="N55" s="668"/>
      <c r="O55" s="1246" t="s">
        <v>443</v>
      </c>
      <c r="P55" s="1641"/>
      <c r="Q55" s="1641"/>
    </row>
    <row r="56" spans="2:18" s="634" customFormat="1" ht="18.75" customHeight="1" x14ac:dyDescent="0.3">
      <c r="B56" s="664" t="s">
        <v>466</v>
      </c>
      <c r="C56" s="1504" t="s">
        <v>467</v>
      </c>
      <c r="D56" s="1505"/>
      <c r="E56" s="1505"/>
      <c r="F56" s="1505"/>
      <c r="G56" s="1505"/>
      <c r="H56" s="1505"/>
      <c r="I56" s="1505"/>
      <c r="J56" s="1505"/>
      <c r="K56" s="1505"/>
      <c r="L56" s="1505"/>
      <c r="M56" s="1506"/>
      <c r="N56" s="594"/>
      <c r="O56" s="1246" t="s">
        <v>446</v>
      </c>
      <c r="P56" s="1641"/>
      <c r="Q56" s="1641"/>
    </row>
    <row r="57" spans="2:18" s="634" customFormat="1" ht="18.75" customHeight="1" x14ac:dyDescent="0.3">
      <c r="B57" s="664" t="s">
        <v>468</v>
      </c>
      <c r="C57" s="1638" t="s">
        <v>469</v>
      </c>
      <c r="D57" s="1639"/>
      <c r="E57" s="1639"/>
      <c r="F57" s="1639"/>
      <c r="G57" s="1639"/>
      <c r="H57" s="1639"/>
      <c r="I57" s="1639"/>
      <c r="J57" s="1639"/>
      <c r="K57" s="1639"/>
      <c r="L57" s="1639"/>
      <c r="M57" s="1640"/>
      <c r="N57" s="669"/>
      <c r="O57" s="1246" t="s">
        <v>449</v>
      </c>
      <c r="P57" s="1641"/>
      <c r="Q57" s="1641"/>
    </row>
    <row r="58" spans="2:18" s="634" customFormat="1" ht="18.75" customHeight="1" x14ac:dyDescent="0.3">
      <c r="B58" s="660"/>
      <c r="C58" s="661"/>
      <c r="D58" s="662"/>
      <c r="E58" s="662"/>
      <c r="F58" s="662"/>
      <c r="G58" s="662"/>
      <c r="H58" s="662"/>
      <c r="I58" s="662"/>
      <c r="J58" s="662"/>
      <c r="K58" s="662"/>
      <c r="L58" s="662"/>
      <c r="M58" s="662"/>
      <c r="N58" s="662"/>
      <c r="O58" s="662"/>
      <c r="R58" s="623"/>
    </row>
    <row r="59" spans="2:18" ht="18.75" customHeight="1" x14ac:dyDescent="0.3">
      <c r="B59" s="630" t="s">
        <v>470</v>
      </c>
      <c r="C59" s="631"/>
      <c r="D59" s="631"/>
      <c r="E59" s="631"/>
      <c r="F59" s="631"/>
      <c r="G59" s="631"/>
      <c r="H59" s="513"/>
      <c r="I59" s="513"/>
      <c r="J59" s="513"/>
      <c r="K59" s="513"/>
      <c r="L59" s="513"/>
      <c r="M59" s="513"/>
      <c r="N59" s="513"/>
      <c r="O59" s="513"/>
      <c r="P59" s="513"/>
      <c r="Q59" s="514"/>
      <c r="R59" s="623"/>
    </row>
    <row r="60" spans="2:18" ht="18.75" customHeight="1" x14ac:dyDescent="0.3">
      <c r="R60" s="623"/>
    </row>
    <row r="61" spans="2:18" ht="18.75" customHeight="1" x14ac:dyDescent="0.3">
      <c r="B61" s="632" t="s">
        <v>471</v>
      </c>
      <c r="C61" s="632" t="s">
        <v>472</v>
      </c>
      <c r="D61" s="1592" t="s">
        <v>473</v>
      </c>
      <c r="E61" s="1592"/>
      <c r="F61" s="632" t="s">
        <v>474</v>
      </c>
      <c r="G61" s="632" t="s">
        <v>475</v>
      </c>
      <c r="H61" s="1205" t="s">
        <v>406</v>
      </c>
      <c r="I61" s="1205" t="s">
        <v>428</v>
      </c>
      <c r="J61" s="1593" t="s">
        <v>476</v>
      </c>
      <c r="K61" s="1594"/>
      <c r="L61" s="1594"/>
      <c r="M61" s="1594"/>
      <c r="N61" s="1594"/>
      <c r="O61" s="1594"/>
      <c r="P61" s="1594"/>
      <c r="Q61" s="1595"/>
      <c r="R61" s="623"/>
    </row>
    <row r="62" spans="2:18" ht="14.5" customHeight="1" x14ac:dyDescent="0.3">
      <c r="B62" s="533">
        <v>1</v>
      </c>
      <c r="C62" s="546" t="s">
        <v>899</v>
      </c>
      <c r="D62" s="1539" t="s">
        <v>959</v>
      </c>
      <c r="E62" s="1539"/>
      <c r="F62" s="1217" t="str">
        <f>$C$26</f>
        <v>Average</v>
      </c>
      <c r="G62" s="1217" t="s">
        <v>899</v>
      </c>
      <c r="H62" s="622">
        <f>INDEX(ClimateData[#All],MATCH(F62,ClimateData[[#All],[Region]],0),MATCH(G62,ClimateData[#Headers],0))</f>
        <v>5480.7825814536336</v>
      </c>
      <c r="I62" s="1217" t="s">
        <v>960</v>
      </c>
      <c r="J62" s="1462" t="s">
        <v>901</v>
      </c>
      <c r="K62" s="1470"/>
      <c r="L62" s="1470"/>
      <c r="M62" s="1470"/>
      <c r="N62" s="1470"/>
      <c r="O62" s="1470"/>
      <c r="P62" s="1470"/>
      <c r="Q62" s="1471"/>
    </row>
    <row r="63" spans="2:18" ht="13" x14ac:dyDescent="0.3">
      <c r="B63" s="535">
        <v>2</v>
      </c>
      <c r="C63" s="551" t="s">
        <v>907</v>
      </c>
      <c r="D63" s="1543" t="s">
        <v>961</v>
      </c>
      <c r="E63" s="1543"/>
      <c r="F63" s="552"/>
      <c r="G63" s="552"/>
      <c r="H63" s="758">
        <v>1</v>
      </c>
      <c r="I63" s="552" t="s">
        <v>909</v>
      </c>
      <c r="J63" s="1659" t="s">
        <v>727</v>
      </c>
      <c r="K63" s="1660"/>
      <c r="L63" s="1660"/>
      <c r="M63" s="1660"/>
      <c r="N63" s="1660"/>
      <c r="O63" s="1660"/>
      <c r="P63" s="1660"/>
      <c r="Q63" s="1661"/>
    </row>
    <row r="64" spans="2:18" ht="15" customHeight="1" x14ac:dyDescent="0.3">
      <c r="B64" s="535">
        <v>3</v>
      </c>
      <c r="C64" s="551" t="s">
        <v>962</v>
      </c>
      <c r="D64" s="1543" t="s">
        <v>963</v>
      </c>
      <c r="E64" s="1543"/>
      <c r="F64" s="758" t="str">
        <f>$C$26</f>
        <v>Average</v>
      </c>
      <c r="G64" s="552" t="s">
        <v>964</v>
      </c>
      <c r="H64" s="758">
        <f>INDEX($B$97:$N$117,MATCH($F64,$C$97:$C$117,0),MATCH(G64,$B$96:$N$96,0))</f>
        <v>1.6</v>
      </c>
      <c r="I64" s="552" t="s">
        <v>965</v>
      </c>
      <c r="J64" s="1659" t="s">
        <v>966</v>
      </c>
      <c r="K64" s="1659"/>
      <c r="L64" s="1659"/>
      <c r="M64" s="1659"/>
      <c r="N64" s="1659"/>
      <c r="O64" s="1659"/>
      <c r="P64" s="1659"/>
      <c r="Q64" s="1722"/>
    </row>
    <row r="65" spans="2:17" ht="45" customHeight="1" x14ac:dyDescent="0.3">
      <c r="B65" s="535">
        <v>4</v>
      </c>
      <c r="C65" s="551" t="s">
        <v>967</v>
      </c>
      <c r="D65" s="1543" t="s">
        <v>963</v>
      </c>
      <c r="E65" s="1543"/>
      <c r="F65" s="759" t="str">
        <f>$H$66</f>
        <v xml:space="preserve">Double pane, Wood frame, Large </v>
      </c>
      <c r="G65" s="552" t="s">
        <v>964</v>
      </c>
      <c r="H65" s="758">
        <f>INDEX($B$120:$N$140,MATCH($F65,$C$120:$C$140,0),MATCH(G65,$B$120:$N$120,0))</f>
        <v>2.7969827999999999</v>
      </c>
      <c r="I65" s="552" t="s">
        <v>965</v>
      </c>
      <c r="J65" s="1659" t="s">
        <v>968</v>
      </c>
      <c r="K65" s="1659"/>
      <c r="L65" s="1659"/>
      <c r="M65" s="1659"/>
      <c r="N65" s="1659"/>
      <c r="O65" s="1659"/>
      <c r="P65" s="1659"/>
      <c r="Q65" s="1722"/>
    </row>
    <row r="66" spans="2:17" ht="26" x14ac:dyDescent="0.3">
      <c r="B66" s="757">
        <v>5</v>
      </c>
      <c r="C66" s="760" t="s">
        <v>969</v>
      </c>
      <c r="D66" s="1588" t="s">
        <v>970</v>
      </c>
      <c r="E66" s="1588"/>
      <c r="F66" s="1191"/>
      <c r="G66" s="1191"/>
      <c r="H66" s="761" t="s">
        <v>971</v>
      </c>
      <c r="I66" s="1191" t="s">
        <v>597</v>
      </c>
      <c r="J66" s="1723" t="s">
        <v>968</v>
      </c>
      <c r="K66" s="1724"/>
      <c r="L66" s="1724"/>
      <c r="M66" s="1724"/>
      <c r="N66" s="1724"/>
      <c r="O66" s="1724"/>
      <c r="P66" s="1724"/>
      <c r="Q66" s="1725"/>
    </row>
    <row r="67" spans="2:17" ht="34.15" customHeight="1" x14ac:dyDescent="0.3">
      <c r="B67" s="533">
        <v>6</v>
      </c>
      <c r="C67" s="546" t="s">
        <v>517</v>
      </c>
      <c r="D67" s="1539" t="s">
        <v>972</v>
      </c>
      <c r="E67" s="1539"/>
      <c r="F67" s="1217"/>
      <c r="G67" s="1217"/>
      <c r="H67" s="762">
        <f>SpaceHeatingEfficiency.R.NG</f>
        <v>0.85</v>
      </c>
      <c r="I67" s="1217" t="s">
        <v>519</v>
      </c>
      <c r="J67" s="1468" t="s">
        <v>932</v>
      </c>
      <c r="K67" s="1478"/>
      <c r="L67" s="1478"/>
      <c r="M67" s="1478"/>
      <c r="N67" s="1478"/>
      <c r="O67" s="1478"/>
      <c r="P67" s="1478"/>
      <c r="Q67" s="1469"/>
    </row>
    <row r="68" spans="2:17" ht="34.5" customHeight="1" x14ac:dyDescent="0.3">
      <c r="B68" s="757">
        <v>7</v>
      </c>
      <c r="C68" s="546" t="s">
        <v>973</v>
      </c>
      <c r="D68" s="1539" t="s">
        <v>974</v>
      </c>
      <c r="E68" s="1539"/>
      <c r="F68" s="1217"/>
      <c r="G68" s="674" t="s">
        <v>923</v>
      </c>
      <c r="H68" s="676">
        <f>SpaceHeatingEfficiency.R.E</f>
        <v>1.28</v>
      </c>
      <c r="I68" s="1238" t="s">
        <v>519</v>
      </c>
      <c r="J68" s="1468" t="s">
        <v>855</v>
      </c>
      <c r="K68" s="1478"/>
      <c r="L68" s="1478"/>
      <c r="M68" s="1478"/>
      <c r="N68" s="1478"/>
      <c r="O68" s="1478"/>
      <c r="P68" s="1478"/>
      <c r="Q68" s="1469"/>
    </row>
    <row r="69" spans="2:17" ht="15" customHeight="1" x14ac:dyDescent="0.3">
      <c r="B69" s="533">
        <v>8</v>
      </c>
      <c r="C69" s="546"/>
      <c r="D69" s="1539"/>
      <c r="E69" s="1539"/>
      <c r="F69" s="1217"/>
      <c r="G69" s="1217"/>
      <c r="H69" s="1217"/>
      <c r="I69" s="1217"/>
      <c r="J69" s="1472"/>
      <c r="K69" s="1472"/>
      <c r="L69" s="1472"/>
      <c r="M69" s="1472"/>
      <c r="N69" s="1472"/>
      <c r="O69" s="1472"/>
      <c r="P69" s="1472"/>
      <c r="Q69" s="1721"/>
    </row>
    <row r="70" spans="2:17" ht="13" x14ac:dyDescent="0.3">
      <c r="B70" s="757">
        <v>9</v>
      </c>
      <c r="C70" s="546"/>
      <c r="D70" s="1539"/>
      <c r="E70" s="1539"/>
      <c r="F70" s="1217"/>
      <c r="G70" s="1217"/>
      <c r="H70" s="571"/>
      <c r="I70" s="1217"/>
      <c r="J70" s="1507"/>
      <c r="K70" s="1514"/>
      <c r="L70" s="1514"/>
      <c r="M70" s="1514"/>
      <c r="N70" s="1514"/>
      <c r="O70" s="1514"/>
      <c r="P70" s="1514"/>
      <c r="Q70" s="1515"/>
    </row>
    <row r="71" spans="2:17" ht="13" x14ac:dyDescent="0.3">
      <c r="B71" s="533">
        <v>10</v>
      </c>
      <c r="C71" s="546"/>
      <c r="D71" s="1539"/>
      <c r="E71" s="1539"/>
      <c r="F71" s="1217"/>
      <c r="G71" s="1217"/>
      <c r="H71" s="571"/>
      <c r="I71" s="1217"/>
      <c r="J71" s="1507"/>
      <c r="K71" s="1514"/>
      <c r="L71" s="1514"/>
      <c r="M71" s="1514"/>
      <c r="N71" s="1514"/>
      <c r="O71" s="1514"/>
      <c r="P71" s="1514"/>
      <c r="Q71" s="1515"/>
    </row>
    <row r="72" spans="2:17" s="634" customFormat="1" ht="13" x14ac:dyDescent="0.3">
      <c r="B72" s="757">
        <v>11</v>
      </c>
      <c r="C72" s="647"/>
      <c r="D72" s="1642"/>
      <c r="E72" s="1643"/>
      <c r="F72" s="673"/>
      <c r="G72" s="674"/>
      <c r="H72" s="673"/>
      <c r="I72" s="674"/>
      <c r="J72" s="1642"/>
      <c r="K72" s="1647"/>
      <c r="L72" s="1647"/>
      <c r="M72" s="1647"/>
      <c r="N72" s="1647"/>
      <c r="O72" s="1647"/>
      <c r="P72" s="1647"/>
      <c r="Q72" s="1643"/>
    </row>
    <row r="73" spans="2:17" s="634" customFormat="1" ht="13" x14ac:dyDescent="0.3">
      <c r="B73" s="533">
        <v>12</v>
      </c>
      <c r="C73" s="647"/>
      <c r="D73" s="1642"/>
      <c r="E73" s="1643"/>
      <c r="F73" s="673"/>
      <c r="G73" s="674"/>
      <c r="H73" s="675"/>
      <c r="I73" s="674"/>
      <c r="J73" s="1644"/>
      <c r="K73" s="1645"/>
      <c r="L73" s="1645"/>
      <c r="M73" s="1645"/>
      <c r="N73" s="1645"/>
      <c r="O73" s="1645"/>
      <c r="P73" s="1645"/>
      <c r="Q73" s="1646"/>
    </row>
    <row r="74" spans="2:17" s="634" customFormat="1" ht="13" x14ac:dyDescent="0.3">
      <c r="B74" s="757">
        <v>13</v>
      </c>
      <c r="C74" s="647"/>
      <c r="D74" s="1642"/>
      <c r="E74" s="1643"/>
      <c r="F74" s="673"/>
      <c r="G74" s="674"/>
      <c r="H74" s="673"/>
      <c r="I74" s="674"/>
      <c r="J74" s="1644"/>
      <c r="K74" s="1645"/>
      <c r="L74" s="1645"/>
      <c r="M74" s="1645"/>
      <c r="N74" s="1645"/>
      <c r="O74" s="1645"/>
      <c r="P74" s="1645"/>
      <c r="Q74" s="1646"/>
    </row>
    <row r="75" spans="2:17" s="623" customFormat="1" ht="13.15" customHeight="1" x14ac:dyDescent="0.3">
      <c r="B75" s="533">
        <v>14</v>
      </c>
      <c r="C75" s="647"/>
      <c r="D75" s="1642"/>
      <c r="E75" s="1643"/>
      <c r="F75" s="673"/>
      <c r="G75" s="674"/>
      <c r="H75" s="673"/>
      <c r="I75" s="674"/>
      <c r="J75" s="1644"/>
      <c r="K75" s="1645"/>
      <c r="L75" s="1645"/>
      <c r="M75" s="1645"/>
      <c r="N75" s="1645"/>
      <c r="O75" s="1645"/>
      <c r="P75" s="1645"/>
      <c r="Q75" s="1646"/>
    </row>
    <row r="76" spans="2:17" s="623" customFormat="1" ht="13" x14ac:dyDescent="0.3">
      <c r="B76" s="638">
        <v>15</v>
      </c>
      <c r="C76" s="647"/>
      <c r="D76" s="1642"/>
      <c r="E76" s="1643"/>
      <c r="F76" s="673"/>
      <c r="G76" s="674"/>
      <c r="H76" s="676"/>
      <c r="I76" s="674"/>
      <c r="J76" s="1644"/>
      <c r="K76" s="1645"/>
      <c r="L76" s="1645"/>
      <c r="M76" s="1645"/>
      <c r="N76" s="1645"/>
      <c r="O76" s="1645"/>
      <c r="P76" s="1645"/>
      <c r="Q76" s="1646"/>
    </row>
    <row r="78" spans="2:17" ht="18.75" customHeight="1" x14ac:dyDescent="0.3">
      <c r="B78" s="630" t="s">
        <v>477</v>
      </c>
      <c r="C78" s="631"/>
      <c r="D78" s="631"/>
      <c r="E78" s="631"/>
      <c r="F78" s="631"/>
      <c r="G78" s="631"/>
      <c r="H78" s="513"/>
      <c r="I78" s="513"/>
      <c r="J78" s="513"/>
      <c r="K78" s="513"/>
      <c r="L78" s="513"/>
      <c r="M78" s="513"/>
      <c r="N78" s="513"/>
      <c r="O78" s="513"/>
      <c r="P78" s="513"/>
      <c r="Q78" s="514"/>
    </row>
    <row r="80" spans="2:17" ht="18.75" customHeight="1" x14ac:dyDescent="0.3">
      <c r="B80" s="632" t="s">
        <v>478</v>
      </c>
      <c r="C80" s="632" t="s">
        <v>479</v>
      </c>
      <c r="D80" s="1204" t="s">
        <v>406</v>
      </c>
      <c r="E80" s="1210" t="s">
        <v>428</v>
      </c>
      <c r="F80" s="1562" t="s">
        <v>476</v>
      </c>
      <c r="G80" s="1563"/>
      <c r="H80" s="1563"/>
      <c r="I80" s="1563"/>
      <c r="J80" s="1563"/>
      <c r="K80" s="1563"/>
      <c r="L80" s="1563"/>
      <c r="M80" s="1563"/>
      <c r="N80" s="1563"/>
      <c r="O80" s="1563"/>
      <c r="P80" s="1563"/>
      <c r="Q80" s="1564"/>
    </row>
    <row r="81" spans="2:17" ht="13" x14ac:dyDescent="0.3">
      <c r="B81" s="639">
        <v>1</v>
      </c>
      <c r="C81" s="648" t="s">
        <v>480</v>
      </c>
      <c r="D81" s="649">
        <v>1000</v>
      </c>
      <c r="E81" s="763" t="s">
        <v>481</v>
      </c>
      <c r="F81" s="1565" t="s">
        <v>482</v>
      </c>
      <c r="G81" s="1566"/>
      <c r="H81" s="1566"/>
      <c r="I81" s="1566"/>
      <c r="J81" s="1566"/>
      <c r="K81" s="1566"/>
      <c r="L81" s="1566"/>
      <c r="M81" s="1566"/>
      <c r="N81" s="1566"/>
      <c r="O81" s="1566"/>
      <c r="P81" s="1566"/>
      <c r="Q81" s="1567"/>
    </row>
    <row r="82" spans="2:17" ht="13" x14ac:dyDescent="0.3">
      <c r="B82" s="639">
        <v>2</v>
      </c>
      <c r="C82" s="648" t="s">
        <v>483</v>
      </c>
      <c r="D82" s="650">
        <f>0.03412*0.10548</f>
        <v>3.5989775999999999E-3</v>
      </c>
      <c r="E82" s="763" t="s">
        <v>484</v>
      </c>
      <c r="F82" s="1568" t="s">
        <v>485</v>
      </c>
      <c r="G82" s="1569"/>
      <c r="H82" s="1569"/>
      <c r="I82" s="1569"/>
      <c r="J82" s="1569"/>
      <c r="K82" s="1569"/>
      <c r="L82" s="1569"/>
      <c r="M82" s="1569"/>
      <c r="N82" s="1569"/>
      <c r="O82" s="1569"/>
      <c r="P82" s="1569"/>
      <c r="Q82" s="1570"/>
    </row>
    <row r="83" spans="2:17" ht="13" x14ac:dyDescent="0.3">
      <c r="B83" s="639">
        <v>3</v>
      </c>
      <c r="C83" s="648" t="s">
        <v>486</v>
      </c>
      <c r="D83" s="650">
        <v>3.7854099999999999E-3</v>
      </c>
      <c r="E83" s="763" t="s">
        <v>487</v>
      </c>
      <c r="F83" s="1568" t="s">
        <v>485</v>
      </c>
      <c r="G83" s="1569"/>
      <c r="H83" s="1569"/>
      <c r="I83" s="1569"/>
      <c r="J83" s="1569"/>
      <c r="K83" s="1569"/>
      <c r="L83" s="1569"/>
      <c r="M83" s="1569"/>
      <c r="N83" s="1569"/>
      <c r="O83" s="1569"/>
      <c r="P83" s="1569"/>
      <c r="Q83" s="1570"/>
    </row>
    <row r="84" spans="2:17" ht="13" x14ac:dyDescent="0.3">
      <c r="B84" s="639">
        <v>4</v>
      </c>
      <c r="C84" s="648" t="s">
        <v>488</v>
      </c>
      <c r="D84" s="650">
        <v>0.1055</v>
      </c>
      <c r="E84" s="763" t="s">
        <v>489</v>
      </c>
      <c r="F84" s="1568" t="s">
        <v>485</v>
      </c>
      <c r="G84" s="1569"/>
      <c r="H84" s="1569"/>
      <c r="I84" s="1569"/>
      <c r="J84" s="1569"/>
      <c r="K84" s="1569"/>
      <c r="L84" s="1569"/>
      <c r="M84" s="1569"/>
      <c r="N84" s="1569"/>
      <c r="O84" s="1569"/>
      <c r="P84" s="1569"/>
      <c r="Q84" s="1570"/>
    </row>
    <row r="85" spans="2:17" ht="13" x14ac:dyDescent="0.3">
      <c r="B85" s="639">
        <v>5</v>
      </c>
      <c r="C85" s="648" t="s">
        <v>490</v>
      </c>
      <c r="D85" s="650">
        <v>1.0000000000000001E-5</v>
      </c>
      <c r="E85" s="763" t="s">
        <v>491</v>
      </c>
      <c r="F85" s="1568" t="s">
        <v>485</v>
      </c>
      <c r="G85" s="1569"/>
      <c r="H85" s="1569"/>
      <c r="I85" s="1569"/>
      <c r="J85" s="1569"/>
      <c r="K85" s="1569"/>
      <c r="L85" s="1569"/>
      <c r="M85" s="1569"/>
      <c r="N85" s="1569"/>
      <c r="O85" s="1569"/>
      <c r="P85" s="1569"/>
      <c r="Q85" s="1570"/>
    </row>
    <row r="86" spans="2:17" ht="13" x14ac:dyDescent="0.3">
      <c r="B86" s="533">
        <v>6</v>
      </c>
      <c r="C86" s="563" t="s">
        <v>975</v>
      </c>
      <c r="D86" s="650">
        <v>5.6779999999999999</v>
      </c>
      <c r="E86" s="763" t="s">
        <v>976</v>
      </c>
      <c r="F86" s="1568" t="s">
        <v>977</v>
      </c>
      <c r="G86" s="1569"/>
      <c r="H86" s="1569"/>
      <c r="I86" s="1569"/>
      <c r="J86" s="1569"/>
      <c r="K86" s="1569"/>
      <c r="L86" s="1569"/>
      <c r="M86" s="1569"/>
      <c r="N86" s="1569"/>
      <c r="O86" s="1569"/>
      <c r="P86" s="1569"/>
      <c r="Q86" s="1570"/>
    </row>
    <row r="87" spans="2:17" ht="13" x14ac:dyDescent="0.3">
      <c r="B87" s="533">
        <v>7</v>
      </c>
      <c r="C87" s="563" t="s">
        <v>978</v>
      </c>
      <c r="D87" s="650">
        <v>10.7639</v>
      </c>
      <c r="E87" s="763" t="s">
        <v>979</v>
      </c>
      <c r="F87" s="1565" t="s">
        <v>482</v>
      </c>
      <c r="G87" s="1566"/>
      <c r="H87" s="1566"/>
      <c r="I87" s="1566"/>
      <c r="J87" s="1566"/>
      <c r="K87" s="1566"/>
      <c r="L87" s="1566"/>
      <c r="M87" s="1566"/>
      <c r="N87" s="1566"/>
      <c r="O87" s="1566"/>
      <c r="P87" s="1566"/>
      <c r="Q87" s="1567"/>
    </row>
    <row r="88" spans="2:17" ht="13" x14ac:dyDescent="0.3">
      <c r="B88" s="533">
        <v>8</v>
      </c>
      <c r="C88" s="563" t="s">
        <v>980</v>
      </c>
      <c r="D88" s="650">
        <v>24</v>
      </c>
      <c r="E88" s="763" t="s">
        <v>981</v>
      </c>
      <c r="F88" s="1565" t="s">
        <v>982</v>
      </c>
      <c r="G88" s="1566"/>
      <c r="H88" s="1566"/>
      <c r="I88" s="1566"/>
      <c r="J88" s="1566"/>
      <c r="K88" s="1566"/>
      <c r="L88" s="1566"/>
      <c r="M88" s="1566"/>
      <c r="N88" s="1566"/>
      <c r="O88" s="1566"/>
      <c r="P88" s="1566"/>
      <c r="Q88" s="1567"/>
    </row>
    <row r="89" spans="2:17" ht="13" x14ac:dyDescent="0.3">
      <c r="B89" s="533">
        <v>9</v>
      </c>
      <c r="C89" s="563"/>
      <c r="D89" s="1233"/>
      <c r="E89" s="1211"/>
      <c r="F89" s="1568"/>
      <c r="G89" s="1569"/>
      <c r="H89" s="1569"/>
      <c r="I89" s="1569"/>
      <c r="J89" s="1569"/>
      <c r="K89" s="1569"/>
      <c r="L89" s="1569"/>
      <c r="M89" s="1569"/>
      <c r="N89" s="1569"/>
      <c r="O89" s="1569"/>
      <c r="P89" s="1569"/>
      <c r="Q89" s="1570"/>
    </row>
    <row r="90" spans="2:17" ht="13" x14ac:dyDescent="0.3">
      <c r="B90" s="533">
        <v>10</v>
      </c>
      <c r="C90" s="563"/>
      <c r="D90" s="564"/>
      <c r="E90" s="1211"/>
      <c r="F90" s="1568"/>
      <c r="G90" s="1569"/>
      <c r="H90" s="1569"/>
      <c r="I90" s="1569"/>
      <c r="J90" s="1569"/>
      <c r="K90" s="1569"/>
      <c r="L90" s="1569"/>
      <c r="M90" s="1569"/>
      <c r="N90" s="1569"/>
      <c r="O90" s="1569"/>
      <c r="P90" s="1569"/>
      <c r="Q90" s="1570"/>
    </row>
    <row r="92" spans="2:17" ht="18.75" customHeight="1" x14ac:dyDescent="0.3">
      <c r="B92" s="630" t="s">
        <v>492</v>
      </c>
      <c r="C92" s="631"/>
      <c r="D92" s="631"/>
      <c r="E92" s="631"/>
      <c r="F92" s="631"/>
      <c r="G92" s="631"/>
      <c r="H92" s="513"/>
      <c r="I92" s="513"/>
      <c r="J92" s="513"/>
      <c r="K92" s="513"/>
      <c r="L92" s="513"/>
      <c r="M92" s="513"/>
      <c r="N92" s="513"/>
      <c r="O92" s="513"/>
      <c r="P92" s="513"/>
      <c r="Q92" s="514"/>
    </row>
    <row r="94" spans="2:17" ht="18.75" customHeight="1" x14ac:dyDescent="0.3">
      <c r="B94" s="635" t="s">
        <v>493</v>
      </c>
      <c r="E94" s="1574" t="s">
        <v>494</v>
      </c>
      <c r="F94" s="1577"/>
      <c r="G94" s="1577"/>
      <c r="H94" s="1577"/>
      <c r="I94" s="1577"/>
      <c r="J94" s="1577"/>
      <c r="K94" s="1577"/>
      <c r="L94" s="1577"/>
      <c r="M94" s="1577"/>
      <c r="N94" s="1577"/>
      <c r="O94" s="1578" t="s">
        <v>476</v>
      </c>
      <c r="P94" s="1579"/>
      <c r="Q94" s="1580"/>
    </row>
    <row r="95" spans="2:17" ht="25.5" customHeight="1" x14ac:dyDescent="0.3">
      <c r="B95" s="1571" t="s">
        <v>983</v>
      </c>
      <c r="C95" s="1572"/>
      <c r="D95" s="1573"/>
      <c r="E95" s="636" t="s">
        <v>495</v>
      </c>
      <c r="F95" s="636" t="s">
        <v>496</v>
      </c>
      <c r="G95" s="636" t="s">
        <v>497</v>
      </c>
      <c r="H95" s="636" t="s">
        <v>498</v>
      </c>
      <c r="I95" s="636" t="s">
        <v>499</v>
      </c>
      <c r="J95" s="636" t="s">
        <v>500</v>
      </c>
      <c r="K95" s="636" t="s">
        <v>501</v>
      </c>
      <c r="L95" s="636" t="s">
        <v>502</v>
      </c>
      <c r="M95" s="636" t="s">
        <v>503</v>
      </c>
      <c r="N95" s="1209" t="s">
        <v>504</v>
      </c>
      <c r="O95" s="1581"/>
      <c r="P95" s="1705"/>
      <c r="Q95" s="1583"/>
    </row>
    <row r="96" spans="2:17" ht="25.5" customHeight="1" x14ac:dyDescent="0.3">
      <c r="B96" s="1205" t="s">
        <v>478</v>
      </c>
      <c r="C96" s="1574" t="s">
        <v>505</v>
      </c>
      <c r="D96" s="1575"/>
      <c r="E96" s="651" t="s">
        <v>964</v>
      </c>
      <c r="F96" s="651" t="s">
        <v>984</v>
      </c>
      <c r="G96" s="651"/>
      <c r="H96" s="651"/>
      <c r="I96" s="651"/>
      <c r="J96" s="651"/>
      <c r="K96" s="651"/>
      <c r="L96" s="651"/>
      <c r="M96" s="651"/>
      <c r="N96" s="652"/>
      <c r="O96" s="1584"/>
      <c r="P96" s="1585"/>
      <c r="Q96" s="1586"/>
    </row>
    <row r="97" spans="2:17" ht="13" x14ac:dyDescent="0.3">
      <c r="B97" s="533">
        <v>1</v>
      </c>
      <c r="C97" s="546" t="str">
        <f>INDEX(RegionList[],B97)</f>
        <v>Average</v>
      </c>
      <c r="D97" s="764">
        <f>_xlfn.XLOOKUP(C97,ClimateData[Region],ClimateData[CLIMATE_ZONE])</f>
        <v>0</v>
      </c>
      <c r="E97" s="1190">
        <v>1.6</v>
      </c>
      <c r="F97" s="568">
        <f>E97/$D$86</f>
        <v>0.28178936245156749</v>
      </c>
      <c r="G97" s="1190"/>
      <c r="H97" s="1190"/>
      <c r="I97" s="568"/>
      <c r="J97" s="568"/>
      <c r="K97" s="568"/>
      <c r="L97" s="568"/>
      <c r="M97" s="568"/>
      <c r="N97" s="568"/>
      <c r="O97" s="1501"/>
      <c r="P97" s="1502"/>
      <c r="Q97" s="1503"/>
    </row>
    <row r="98" spans="2:17" ht="13" x14ac:dyDescent="0.3">
      <c r="B98" s="533">
        <v>2</v>
      </c>
      <c r="C98" s="546" t="str">
        <f>INDEX(RegionList[],B98)</f>
        <v>Calgary Area</v>
      </c>
      <c r="D98" s="764">
        <f>_xlfn.XLOOKUP(C98,ClimateData[Region],ClimateData[CLIMATE_ZONE])</f>
        <v>6</v>
      </c>
      <c r="E98" s="1190">
        <v>1.4</v>
      </c>
      <c r="F98" s="568">
        <f t="shared" ref="F98:F107" si="0">E98/$D$86</f>
        <v>0.2465656921451215</v>
      </c>
      <c r="G98" s="1190"/>
      <c r="H98" s="1190"/>
      <c r="I98" s="568"/>
      <c r="J98" s="568"/>
      <c r="K98" s="568"/>
      <c r="L98" s="568"/>
      <c r="M98" s="568"/>
      <c r="N98" s="568"/>
      <c r="O98" s="1495"/>
      <c r="P98" s="1496"/>
      <c r="Q98" s="1497"/>
    </row>
    <row r="99" spans="2:17" ht="13" x14ac:dyDescent="0.3">
      <c r="B99" s="533">
        <v>3</v>
      </c>
      <c r="C99" s="546" t="str">
        <f>INDEX(RegionList[],B99)</f>
        <v>Central</v>
      </c>
      <c r="D99" s="764" t="str">
        <f>_xlfn.XLOOKUP(C99,ClimateData[Region],ClimateData[CLIMATE_ZONE])</f>
        <v>7A</v>
      </c>
      <c r="E99" s="1190">
        <v>1.6</v>
      </c>
      <c r="F99" s="568">
        <f t="shared" si="0"/>
        <v>0.28178936245156749</v>
      </c>
      <c r="G99" s="1190"/>
      <c r="H99" s="1190"/>
      <c r="I99" s="568"/>
      <c r="J99" s="568"/>
      <c r="K99" s="568"/>
      <c r="L99" s="568"/>
      <c r="M99" s="568"/>
      <c r="N99" s="568"/>
      <c r="O99" s="1495"/>
      <c r="P99" s="1496"/>
      <c r="Q99" s="1497"/>
    </row>
    <row r="100" spans="2:17" ht="13" x14ac:dyDescent="0.3">
      <c r="B100" s="533">
        <v>4</v>
      </c>
      <c r="C100" s="546" t="str">
        <f>INDEX(RegionList[],B100)</f>
        <v>East</v>
      </c>
      <c r="D100" s="764" t="str">
        <f>_xlfn.XLOOKUP(C100,ClimateData[Region],ClimateData[CLIMATE_ZONE])</f>
        <v>7A</v>
      </c>
      <c r="E100" s="1190">
        <v>1.4</v>
      </c>
      <c r="F100" s="568">
        <f t="shared" si="0"/>
        <v>0.2465656921451215</v>
      </c>
      <c r="G100" s="1190"/>
      <c r="H100" s="1190"/>
      <c r="I100" s="568"/>
      <c r="J100" s="568"/>
      <c r="K100" s="568"/>
      <c r="L100" s="568"/>
      <c r="M100" s="568"/>
      <c r="N100" s="568"/>
      <c r="O100" s="1495"/>
      <c r="P100" s="1496"/>
      <c r="Q100" s="1497"/>
    </row>
    <row r="101" spans="2:17" ht="13" x14ac:dyDescent="0.3">
      <c r="B101" s="533">
        <v>5</v>
      </c>
      <c r="C101" s="546" t="str">
        <f>INDEX(RegionList[],B101)</f>
        <v>Edmonton Area</v>
      </c>
      <c r="D101" s="764" t="str">
        <f>_xlfn.XLOOKUP(C101,ClimateData[Region],ClimateData[CLIMATE_ZONE])</f>
        <v>7A</v>
      </c>
      <c r="E101" s="1190">
        <v>1.4</v>
      </c>
      <c r="F101" s="568">
        <f t="shared" si="0"/>
        <v>0.2465656921451215</v>
      </c>
      <c r="G101" s="1190"/>
      <c r="H101" s="1190"/>
      <c r="I101" s="568"/>
      <c r="J101" s="568"/>
      <c r="K101" s="568"/>
      <c r="L101" s="568"/>
      <c r="M101" s="568"/>
      <c r="N101" s="568"/>
      <c r="O101" s="1495"/>
      <c r="P101" s="1496"/>
      <c r="Q101" s="1497"/>
    </row>
    <row r="102" spans="2:17" ht="13" x14ac:dyDescent="0.3">
      <c r="B102" s="533">
        <v>6</v>
      </c>
      <c r="C102" s="546" t="str">
        <f>INDEX(RegionList[],B102)</f>
        <v>North Central</v>
      </c>
      <c r="D102" s="764" t="str">
        <f>_xlfn.XLOOKUP(C102,ClimateData[Region],ClimateData[CLIMATE_ZONE])</f>
        <v>7B</v>
      </c>
      <c r="E102" s="1190">
        <v>1.4</v>
      </c>
      <c r="F102" s="568">
        <f t="shared" si="0"/>
        <v>0.2465656921451215</v>
      </c>
      <c r="G102" s="1190"/>
      <c r="H102" s="1190"/>
      <c r="I102" s="569"/>
      <c r="J102" s="569"/>
      <c r="K102" s="569"/>
      <c r="L102" s="569"/>
      <c r="M102" s="569"/>
      <c r="N102" s="569"/>
      <c r="O102" s="1492"/>
      <c r="P102" s="1493"/>
      <c r="Q102" s="1494"/>
    </row>
    <row r="103" spans="2:17" ht="13" x14ac:dyDescent="0.3">
      <c r="B103" s="533">
        <v>7</v>
      </c>
      <c r="C103" s="546" t="str">
        <f>INDEX(RegionList[],B103)</f>
        <v>North East</v>
      </c>
      <c r="D103" s="764" t="str">
        <f>_xlfn.XLOOKUP(C103,ClimateData[Region],ClimateData[CLIMATE_ZONE])</f>
        <v>7B</v>
      </c>
      <c r="E103" s="1190">
        <v>1.4</v>
      </c>
      <c r="F103" s="568">
        <f t="shared" si="0"/>
        <v>0.2465656921451215</v>
      </c>
      <c r="G103" s="569"/>
      <c r="H103" s="1190"/>
      <c r="I103" s="569"/>
      <c r="J103" s="569"/>
      <c r="K103" s="569"/>
      <c r="L103" s="569"/>
      <c r="M103" s="569"/>
      <c r="N103" s="569"/>
      <c r="O103" s="1492"/>
      <c r="P103" s="1493"/>
      <c r="Q103" s="1494"/>
    </row>
    <row r="104" spans="2:17" ht="13" x14ac:dyDescent="0.3">
      <c r="B104" s="533">
        <v>8</v>
      </c>
      <c r="C104" s="546" t="str">
        <f>INDEX(RegionList[],B104)</f>
        <v>North West</v>
      </c>
      <c r="D104" s="764" t="str">
        <f>_xlfn.XLOOKUP(C104,ClimateData[Region],ClimateData[CLIMATE_ZONE])</f>
        <v>7B</v>
      </c>
      <c r="E104" s="1190">
        <v>1.6</v>
      </c>
      <c r="F104" s="568">
        <f t="shared" si="0"/>
        <v>0.28178936245156749</v>
      </c>
      <c r="G104" s="569"/>
      <c r="H104" s="569"/>
      <c r="I104" s="569"/>
      <c r="J104" s="569"/>
      <c r="K104" s="569"/>
      <c r="L104" s="569"/>
      <c r="M104" s="569"/>
      <c r="N104" s="569"/>
      <c r="O104" s="1492"/>
      <c r="P104" s="1493"/>
      <c r="Q104" s="1494"/>
    </row>
    <row r="105" spans="2:17" ht="13" x14ac:dyDescent="0.3">
      <c r="B105" s="533">
        <v>9</v>
      </c>
      <c r="C105" s="546" t="str">
        <f>INDEX(RegionList[],B105)</f>
        <v>South</v>
      </c>
      <c r="D105" s="764">
        <f>_xlfn.XLOOKUP(C105,ClimateData[Region],ClimateData[CLIMATE_ZONE])</f>
        <v>6</v>
      </c>
      <c r="E105" s="1190">
        <v>1.6</v>
      </c>
      <c r="F105" s="568">
        <f t="shared" si="0"/>
        <v>0.28178936245156749</v>
      </c>
      <c r="G105" s="1217"/>
      <c r="H105" s="1217"/>
      <c r="I105" s="569"/>
      <c r="J105" s="569"/>
      <c r="K105" s="569"/>
      <c r="L105" s="569"/>
      <c r="M105" s="569"/>
      <c r="N105" s="569"/>
      <c r="O105" s="1492"/>
      <c r="P105" s="1493"/>
      <c r="Q105" s="1494"/>
    </row>
    <row r="106" spans="2:17" ht="13" x14ac:dyDescent="0.3">
      <c r="B106" s="533">
        <v>10</v>
      </c>
      <c r="C106" s="546" t="str">
        <f>INDEX(RegionList[],B106)</f>
        <v>South East</v>
      </c>
      <c r="D106" s="764">
        <f>_xlfn.XLOOKUP(C106,ClimateData[Region],ClimateData[CLIMATE_ZONE])</f>
        <v>6</v>
      </c>
      <c r="E106" s="1190">
        <v>1.4</v>
      </c>
      <c r="F106" s="568">
        <f t="shared" si="0"/>
        <v>0.2465656921451215</v>
      </c>
      <c r="G106" s="1217"/>
      <c r="H106" s="1217"/>
      <c r="I106" s="569"/>
      <c r="J106" s="569"/>
      <c r="K106" s="569"/>
      <c r="L106" s="569"/>
      <c r="M106" s="569"/>
      <c r="N106" s="569"/>
      <c r="O106" s="1492"/>
      <c r="P106" s="1493"/>
      <c r="Q106" s="1494"/>
    </row>
    <row r="107" spans="2:17" ht="13" x14ac:dyDescent="0.3">
      <c r="B107" s="533">
        <v>11</v>
      </c>
      <c r="C107" s="546" t="str">
        <f>INDEX(RegionList[],B107)</f>
        <v>South West</v>
      </c>
      <c r="D107" s="764" t="str">
        <f>_xlfn.XLOOKUP(C107,ClimateData[Region],ClimateData[CLIMATE_ZONE])</f>
        <v>7A</v>
      </c>
      <c r="E107" s="1190">
        <v>1.4</v>
      </c>
      <c r="F107" s="568">
        <f t="shared" si="0"/>
        <v>0.2465656921451215</v>
      </c>
      <c r="G107" s="571"/>
      <c r="H107" s="571"/>
      <c r="I107" s="569"/>
      <c r="J107" s="569"/>
      <c r="K107" s="569"/>
      <c r="L107" s="569"/>
      <c r="M107" s="569"/>
      <c r="N107" s="569"/>
      <c r="O107" s="1492"/>
      <c r="P107" s="1493"/>
      <c r="Q107" s="1494"/>
    </row>
    <row r="108" spans="2:17" ht="13" x14ac:dyDescent="0.3">
      <c r="B108" s="533">
        <v>12</v>
      </c>
      <c r="C108" s="546"/>
      <c r="D108" s="1184"/>
      <c r="E108" s="1217"/>
      <c r="F108" s="1190"/>
      <c r="G108" s="1217"/>
      <c r="H108" s="1217"/>
      <c r="I108" s="569"/>
      <c r="J108" s="569"/>
      <c r="K108" s="569"/>
      <c r="L108" s="569"/>
      <c r="M108" s="569"/>
      <c r="N108" s="569"/>
      <c r="O108" s="1492"/>
      <c r="P108" s="1493"/>
      <c r="Q108" s="1494"/>
    </row>
    <row r="109" spans="2:17" ht="13" x14ac:dyDescent="0.3">
      <c r="B109" s="533">
        <v>13</v>
      </c>
      <c r="C109" s="546"/>
      <c r="D109" s="1184"/>
      <c r="E109" s="1217"/>
      <c r="F109" s="1217"/>
      <c r="G109" s="1217"/>
      <c r="H109" s="1217"/>
      <c r="I109" s="569"/>
      <c r="J109" s="569"/>
      <c r="K109" s="569"/>
      <c r="L109" s="569"/>
      <c r="M109" s="569"/>
      <c r="N109" s="569"/>
      <c r="O109" s="1492"/>
      <c r="P109" s="1493"/>
      <c r="Q109" s="1494"/>
    </row>
    <row r="110" spans="2:17" ht="13" x14ac:dyDescent="0.3">
      <c r="B110" s="533">
        <v>14</v>
      </c>
      <c r="C110" s="546"/>
      <c r="D110" s="1184"/>
      <c r="E110" s="572"/>
      <c r="F110" s="572"/>
      <c r="G110" s="572"/>
      <c r="H110" s="572"/>
      <c r="I110" s="569"/>
      <c r="J110" s="569"/>
      <c r="K110" s="569"/>
      <c r="L110" s="569"/>
      <c r="M110" s="569"/>
      <c r="N110" s="569"/>
      <c r="O110" s="1492"/>
      <c r="P110" s="1493"/>
      <c r="Q110" s="1494"/>
    </row>
    <row r="111" spans="2:17" ht="13" x14ac:dyDescent="0.3">
      <c r="B111" s="533">
        <v>15</v>
      </c>
      <c r="C111" s="546"/>
      <c r="D111" s="1184"/>
      <c r="E111" s="572"/>
      <c r="F111" s="572"/>
      <c r="G111" s="572"/>
      <c r="H111" s="572"/>
      <c r="I111" s="569"/>
      <c r="J111" s="569"/>
      <c r="K111" s="569"/>
      <c r="L111" s="569"/>
      <c r="M111" s="569"/>
      <c r="N111" s="569"/>
      <c r="O111" s="1492"/>
      <c r="P111" s="1493"/>
      <c r="Q111" s="1494"/>
    </row>
    <row r="112" spans="2:17" ht="13" x14ac:dyDescent="0.3">
      <c r="B112" s="533">
        <v>16</v>
      </c>
      <c r="C112" s="546"/>
      <c r="D112" s="1184"/>
      <c r="E112" s="572"/>
      <c r="F112" s="572"/>
      <c r="G112" s="572"/>
      <c r="H112" s="572"/>
      <c r="I112" s="569"/>
      <c r="J112" s="569"/>
      <c r="K112" s="569"/>
      <c r="L112" s="569"/>
      <c r="M112" s="569"/>
      <c r="N112" s="569"/>
      <c r="O112" s="1492"/>
      <c r="P112" s="1493"/>
      <c r="Q112" s="1494"/>
    </row>
    <row r="113" spans="2:18" ht="13" x14ac:dyDescent="0.3">
      <c r="B113" s="533">
        <v>17</v>
      </c>
      <c r="C113" s="546"/>
      <c r="D113" s="1184"/>
      <c r="E113" s="572"/>
      <c r="F113" s="572"/>
      <c r="G113" s="572"/>
      <c r="H113" s="572"/>
      <c r="I113" s="569"/>
      <c r="J113" s="569"/>
      <c r="K113" s="569"/>
      <c r="L113" s="569"/>
      <c r="M113" s="569"/>
      <c r="N113" s="569"/>
      <c r="O113" s="1492"/>
      <c r="P113" s="1493"/>
      <c r="Q113" s="1494"/>
    </row>
    <row r="114" spans="2:18" ht="13" x14ac:dyDescent="0.3">
      <c r="B114" s="533">
        <v>18</v>
      </c>
      <c r="C114" s="546"/>
      <c r="D114" s="1184"/>
      <c r="E114" s="572"/>
      <c r="F114" s="572"/>
      <c r="G114" s="572"/>
      <c r="H114" s="572"/>
      <c r="I114" s="569"/>
      <c r="J114" s="569"/>
      <c r="K114" s="569"/>
      <c r="L114" s="569"/>
      <c r="M114" s="569"/>
      <c r="N114" s="569"/>
      <c r="O114" s="1492"/>
      <c r="P114" s="1493"/>
      <c r="Q114" s="1494"/>
    </row>
    <row r="115" spans="2:18" ht="13" x14ac:dyDescent="0.3">
      <c r="B115" s="533">
        <v>19</v>
      </c>
      <c r="C115" s="546"/>
      <c r="D115" s="1184"/>
      <c r="E115" s="572"/>
      <c r="F115" s="572"/>
      <c r="G115" s="572"/>
      <c r="H115" s="572"/>
      <c r="I115" s="569"/>
      <c r="J115" s="569"/>
      <c r="K115" s="569"/>
      <c r="L115" s="569"/>
      <c r="M115" s="569"/>
      <c r="N115" s="569"/>
      <c r="O115" s="1492"/>
      <c r="P115" s="1493"/>
      <c r="Q115" s="1494"/>
    </row>
    <row r="116" spans="2:18" ht="13" x14ac:dyDescent="0.3">
      <c r="B116" s="533">
        <v>20</v>
      </c>
      <c r="C116" s="546"/>
      <c r="D116" s="1184"/>
      <c r="E116" s="572"/>
      <c r="F116" s="572"/>
      <c r="G116" s="572"/>
      <c r="H116" s="572"/>
      <c r="I116" s="569"/>
      <c r="J116" s="569"/>
      <c r="K116" s="569"/>
      <c r="L116" s="569"/>
      <c r="M116" s="569"/>
      <c r="N116" s="569"/>
      <c r="O116" s="1492"/>
      <c r="P116" s="1493"/>
      <c r="Q116" s="1494"/>
    </row>
    <row r="117" spans="2:18" ht="18.75" customHeight="1" x14ac:dyDescent="0.3">
      <c r="R117" s="623"/>
    </row>
    <row r="118" spans="2:18" ht="18.75" customHeight="1" x14ac:dyDescent="0.3">
      <c r="B118" s="753" t="s">
        <v>493</v>
      </c>
      <c r="E118" s="1709" t="s">
        <v>494</v>
      </c>
      <c r="F118" s="1711"/>
      <c r="G118" s="1711"/>
      <c r="H118" s="1711"/>
      <c r="I118" s="1711"/>
      <c r="J118" s="1711"/>
      <c r="K118" s="1711"/>
      <c r="L118" s="1711"/>
      <c r="M118" s="1711"/>
      <c r="N118" s="1711"/>
      <c r="O118" s="1712" t="s">
        <v>476</v>
      </c>
      <c r="P118" s="1713"/>
      <c r="Q118" s="1714"/>
      <c r="R118" s="623"/>
    </row>
    <row r="119" spans="2:18" ht="18.75" customHeight="1" x14ac:dyDescent="0.3">
      <c r="B119" s="1706" t="s">
        <v>985</v>
      </c>
      <c r="C119" s="1707"/>
      <c r="D119" s="1708"/>
      <c r="E119" s="754" t="s">
        <v>495</v>
      </c>
      <c r="F119" s="754" t="s">
        <v>496</v>
      </c>
      <c r="G119" s="754" t="s">
        <v>497</v>
      </c>
      <c r="H119" s="754" t="s">
        <v>498</v>
      </c>
      <c r="I119" s="754" t="s">
        <v>499</v>
      </c>
      <c r="J119" s="754" t="s">
        <v>500</v>
      </c>
      <c r="K119" s="754" t="s">
        <v>501</v>
      </c>
      <c r="L119" s="754" t="s">
        <v>502</v>
      </c>
      <c r="M119" s="754" t="s">
        <v>503</v>
      </c>
      <c r="N119" s="1220" t="s">
        <v>504</v>
      </c>
      <c r="O119" s="1715"/>
      <c r="P119" s="1716"/>
      <c r="Q119" s="1717"/>
      <c r="R119" s="623"/>
    </row>
    <row r="120" spans="2:18" ht="36" customHeight="1" x14ac:dyDescent="0.3">
      <c r="B120" s="755" t="s">
        <v>478</v>
      </c>
      <c r="C120" s="1709" t="s">
        <v>505</v>
      </c>
      <c r="D120" s="1710"/>
      <c r="E120" s="637" t="s">
        <v>986</v>
      </c>
      <c r="F120" s="637" t="s">
        <v>964</v>
      </c>
      <c r="G120" s="637"/>
      <c r="H120" s="637"/>
      <c r="I120" s="637"/>
      <c r="J120" s="637"/>
      <c r="K120" s="637"/>
      <c r="L120" s="637"/>
      <c r="M120" s="637"/>
      <c r="N120" s="1219"/>
      <c r="O120" s="1718"/>
      <c r="P120" s="1719"/>
      <c r="Q120" s="1720"/>
      <c r="R120" s="623"/>
    </row>
    <row r="121" spans="2:18" ht="40.9" customHeight="1" x14ac:dyDescent="0.3">
      <c r="B121" s="1240">
        <v>1</v>
      </c>
      <c r="C121" s="515" t="s">
        <v>987</v>
      </c>
      <c r="D121" s="501"/>
      <c r="E121" s="528">
        <v>1.3698999999999999</v>
      </c>
      <c r="F121" s="528">
        <f>E121*$D$86</f>
        <v>7.7782921999999992</v>
      </c>
      <c r="G121" s="1239"/>
      <c r="H121" s="1239"/>
      <c r="I121" s="527"/>
      <c r="J121" s="527"/>
      <c r="K121" s="527"/>
      <c r="L121" s="527"/>
      <c r="M121" s="527"/>
      <c r="N121" s="527"/>
      <c r="O121" s="1432"/>
      <c r="P121" s="1433"/>
      <c r="Q121" s="1434"/>
      <c r="R121" s="623"/>
    </row>
    <row r="122" spans="2:18" ht="40.9" customHeight="1" x14ac:dyDescent="0.3">
      <c r="B122" s="1240">
        <v>2</v>
      </c>
      <c r="C122" s="515" t="s">
        <v>988</v>
      </c>
      <c r="D122" s="501"/>
      <c r="E122" s="528">
        <v>1.2821</v>
      </c>
      <c r="F122" s="528">
        <f t="shared" ref="F122:F138" si="1">E122*$D$86</f>
        <v>7.2797638000000005</v>
      </c>
      <c r="G122" s="1239"/>
      <c r="H122" s="1239"/>
      <c r="I122" s="527"/>
      <c r="J122" s="527"/>
      <c r="K122" s="527"/>
      <c r="L122" s="527"/>
      <c r="M122" s="527"/>
      <c r="N122" s="527"/>
      <c r="O122" s="1422"/>
      <c r="P122" s="1423"/>
      <c r="Q122" s="1424"/>
      <c r="R122" s="623"/>
    </row>
    <row r="123" spans="2:18" ht="40.9" customHeight="1" x14ac:dyDescent="0.3">
      <c r="B123" s="1240">
        <v>3</v>
      </c>
      <c r="C123" s="515" t="s">
        <v>989</v>
      </c>
      <c r="D123" s="501"/>
      <c r="E123" s="528">
        <v>1.2048000000000001</v>
      </c>
      <c r="F123" s="528">
        <f t="shared" si="1"/>
        <v>6.8408544000000004</v>
      </c>
      <c r="G123" s="1239"/>
      <c r="H123" s="1239"/>
      <c r="I123" s="527"/>
      <c r="J123" s="527"/>
      <c r="K123" s="527"/>
      <c r="L123" s="527"/>
      <c r="M123" s="527"/>
      <c r="N123" s="527"/>
      <c r="O123" s="1422"/>
      <c r="P123" s="1423"/>
      <c r="Q123" s="1424"/>
      <c r="R123" s="623"/>
    </row>
    <row r="124" spans="2:18" ht="40.9" customHeight="1" x14ac:dyDescent="0.3">
      <c r="B124" s="1240">
        <v>4</v>
      </c>
      <c r="C124" s="515" t="s">
        <v>990</v>
      </c>
      <c r="D124" s="501"/>
      <c r="E124" s="528">
        <v>0.76339999999999997</v>
      </c>
      <c r="F124" s="528">
        <f t="shared" si="1"/>
        <v>4.3345851999999994</v>
      </c>
      <c r="G124" s="1239"/>
      <c r="H124" s="1239"/>
      <c r="I124" s="527"/>
      <c r="J124" s="527"/>
      <c r="K124" s="527"/>
      <c r="L124" s="527"/>
      <c r="M124" s="527"/>
      <c r="N124" s="527"/>
      <c r="O124" s="1422"/>
      <c r="P124" s="1423"/>
      <c r="Q124" s="1424"/>
      <c r="R124" s="623"/>
    </row>
    <row r="125" spans="2:18" ht="40.9" customHeight="1" x14ac:dyDescent="0.3">
      <c r="B125" s="1240">
        <v>5</v>
      </c>
      <c r="C125" s="515" t="s">
        <v>991</v>
      </c>
      <c r="D125" s="501"/>
      <c r="E125" s="528">
        <v>0.86209999999999998</v>
      </c>
      <c r="F125" s="528">
        <f t="shared" si="1"/>
        <v>4.8950037999999996</v>
      </c>
      <c r="G125" s="1239"/>
      <c r="H125" s="1239"/>
      <c r="I125" s="527"/>
      <c r="J125" s="527"/>
      <c r="K125" s="527"/>
      <c r="L125" s="527"/>
      <c r="M125" s="527"/>
      <c r="N125" s="527"/>
      <c r="O125" s="1422"/>
      <c r="P125" s="1423"/>
      <c r="Q125" s="1424"/>
      <c r="R125" s="623"/>
    </row>
    <row r="126" spans="2:18" ht="40.9" customHeight="1" x14ac:dyDescent="0.3">
      <c r="B126" s="1240">
        <v>6</v>
      </c>
      <c r="C126" s="515" t="s">
        <v>992</v>
      </c>
      <c r="D126" s="501"/>
      <c r="E126" s="528">
        <v>0.98040000000000005</v>
      </c>
      <c r="F126" s="528">
        <f t="shared" si="1"/>
        <v>5.5667112000000003</v>
      </c>
      <c r="G126" s="1239"/>
      <c r="H126" s="1239"/>
      <c r="I126" s="528"/>
      <c r="J126" s="528"/>
      <c r="K126" s="528"/>
      <c r="L126" s="528"/>
      <c r="M126" s="528"/>
      <c r="N126" s="528"/>
      <c r="O126" s="1425"/>
      <c r="P126" s="1426"/>
      <c r="Q126" s="1427"/>
      <c r="R126" s="623"/>
    </row>
    <row r="127" spans="2:18" ht="40.9" customHeight="1" x14ac:dyDescent="0.3">
      <c r="B127" s="1240">
        <v>7</v>
      </c>
      <c r="C127" s="515" t="s">
        <v>993</v>
      </c>
      <c r="D127" s="501"/>
      <c r="E127" s="528">
        <v>0.76339999999999997</v>
      </c>
      <c r="F127" s="528">
        <f t="shared" si="1"/>
        <v>4.3345851999999994</v>
      </c>
      <c r="G127" s="528"/>
      <c r="H127" s="1239"/>
      <c r="I127" s="528"/>
      <c r="J127" s="528"/>
      <c r="K127" s="528"/>
      <c r="L127" s="528"/>
      <c r="M127" s="528"/>
      <c r="N127" s="528"/>
      <c r="O127" s="1425"/>
      <c r="P127" s="1426"/>
      <c r="Q127" s="1427"/>
      <c r="R127" s="623"/>
    </row>
    <row r="128" spans="2:18" ht="40.9" customHeight="1" x14ac:dyDescent="0.3">
      <c r="B128" s="1240">
        <v>8</v>
      </c>
      <c r="C128" s="515" t="s">
        <v>994</v>
      </c>
      <c r="D128" s="501"/>
      <c r="E128" s="528">
        <v>0.86209999999999998</v>
      </c>
      <c r="F128" s="528">
        <f t="shared" si="1"/>
        <v>4.8950037999999996</v>
      </c>
      <c r="G128" s="528"/>
      <c r="H128" s="528"/>
      <c r="I128" s="528"/>
      <c r="J128" s="528"/>
      <c r="K128" s="528"/>
      <c r="L128" s="528"/>
      <c r="M128" s="528"/>
      <c r="N128" s="528"/>
      <c r="O128" s="1425"/>
      <c r="P128" s="1426"/>
      <c r="Q128" s="1427"/>
      <c r="R128" s="623"/>
    </row>
    <row r="129" spans="2:18" ht="40.9" customHeight="1" x14ac:dyDescent="0.3">
      <c r="B129" s="1240">
        <v>9</v>
      </c>
      <c r="C129" s="515" t="s">
        <v>995</v>
      </c>
      <c r="D129" s="501"/>
      <c r="E129" s="528">
        <v>0.98040000000000005</v>
      </c>
      <c r="F129" s="528">
        <f t="shared" si="1"/>
        <v>5.5667112000000003</v>
      </c>
      <c r="G129" s="1240"/>
      <c r="H129" s="1240"/>
      <c r="I129" s="528"/>
      <c r="J129" s="528"/>
      <c r="K129" s="528"/>
      <c r="L129" s="528"/>
      <c r="M129" s="528"/>
      <c r="N129" s="528"/>
      <c r="O129" s="1425"/>
      <c r="P129" s="1426"/>
      <c r="Q129" s="1427"/>
      <c r="R129" s="623"/>
    </row>
    <row r="130" spans="2:18" ht="40.9" customHeight="1" x14ac:dyDescent="0.3">
      <c r="B130" s="1240">
        <v>10</v>
      </c>
      <c r="C130" s="515" t="s">
        <v>996</v>
      </c>
      <c r="D130" s="501"/>
      <c r="E130" s="528">
        <v>1</v>
      </c>
      <c r="F130" s="528">
        <f t="shared" si="1"/>
        <v>5.6779999999999999</v>
      </c>
      <c r="G130" s="1240"/>
      <c r="H130" s="1240"/>
      <c r="I130" s="528"/>
      <c r="J130" s="528"/>
      <c r="K130" s="528"/>
      <c r="L130" s="528"/>
      <c r="M130" s="528"/>
      <c r="N130" s="528"/>
      <c r="O130" s="1425"/>
      <c r="P130" s="1426"/>
      <c r="Q130" s="1427"/>
      <c r="R130" s="623"/>
    </row>
    <row r="131" spans="2:18" ht="40.9" customHeight="1" x14ac:dyDescent="0.3">
      <c r="B131" s="1240">
        <v>11</v>
      </c>
      <c r="C131" s="515" t="s">
        <v>997</v>
      </c>
      <c r="D131" s="501"/>
      <c r="E131" s="528">
        <v>0.84750000000000003</v>
      </c>
      <c r="F131" s="528">
        <f t="shared" si="1"/>
        <v>4.8121049999999999</v>
      </c>
      <c r="G131" s="529"/>
      <c r="H131" s="529"/>
      <c r="I131" s="528"/>
      <c r="J131" s="528"/>
      <c r="K131" s="528"/>
      <c r="L131" s="528"/>
      <c r="M131" s="528"/>
      <c r="N131" s="528"/>
      <c r="O131" s="1425"/>
      <c r="P131" s="1426"/>
      <c r="Q131" s="1427"/>
      <c r="R131" s="623"/>
    </row>
    <row r="132" spans="2:18" ht="40.9" customHeight="1" x14ac:dyDescent="0.3">
      <c r="B132" s="1240">
        <v>12</v>
      </c>
      <c r="C132" s="515" t="s">
        <v>998</v>
      </c>
      <c r="D132" s="600"/>
      <c r="E132" s="528">
        <v>0.67569999999999997</v>
      </c>
      <c r="F132" s="528">
        <f t="shared" si="1"/>
        <v>3.8366245999999999</v>
      </c>
      <c r="G132" s="1240"/>
      <c r="H132" s="1240"/>
      <c r="I132" s="528"/>
      <c r="J132" s="528"/>
      <c r="K132" s="528"/>
      <c r="L132" s="528"/>
      <c r="M132" s="528"/>
      <c r="N132" s="528"/>
      <c r="O132" s="1425"/>
      <c r="P132" s="1426"/>
      <c r="Q132" s="1427"/>
      <c r="R132" s="623"/>
    </row>
    <row r="133" spans="2:18" ht="40.9" customHeight="1" x14ac:dyDescent="0.3">
      <c r="B133" s="1240">
        <v>13</v>
      </c>
      <c r="C133" s="515" t="s">
        <v>999</v>
      </c>
      <c r="D133" s="600"/>
      <c r="E133" s="528">
        <v>0.4854</v>
      </c>
      <c r="F133" s="528">
        <f t="shared" si="1"/>
        <v>2.7561011999999998</v>
      </c>
      <c r="G133" s="1240"/>
      <c r="H133" s="1240"/>
      <c r="I133" s="528"/>
      <c r="J133" s="528"/>
      <c r="K133" s="528"/>
      <c r="L133" s="528"/>
      <c r="M133" s="528"/>
      <c r="N133" s="528"/>
      <c r="O133" s="1425"/>
      <c r="P133" s="1426"/>
      <c r="Q133" s="1427"/>
      <c r="R133" s="623"/>
    </row>
    <row r="134" spans="2:18" ht="40.9" customHeight="1" x14ac:dyDescent="0.3">
      <c r="B134" s="1240">
        <v>14</v>
      </c>
      <c r="C134" s="515" t="s">
        <v>1000</v>
      </c>
      <c r="D134" s="600"/>
      <c r="E134" s="528">
        <v>0.48780000000000001</v>
      </c>
      <c r="F134" s="528">
        <f t="shared" si="1"/>
        <v>2.7697284</v>
      </c>
      <c r="G134" s="530"/>
      <c r="H134" s="530"/>
      <c r="I134" s="528"/>
      <c r="J134" s="528"/>
      <c r="K134" s="528"/>
      <c r="L134" s="528"/>
      <c r="M134" s="528"/>
      <c r="N134" s="528"/>
      <c r="O134" s="1425"/>
      <c r="P134" s="1426"/>
      <c r="Q134" s="1427"/>
      <c r="R134" s="623"/>
    </row>
    <row r="135" spans="2:18" ht="40.9" customHeight="1" x14ac:dyDescent="0.3">
      <c r="B135" s="1240">
        <v>15</v>
      </c>
      <c r="C135" s="515" t="s">
        <v>971</v>
      </c>
      <c r="D135" s="600"/>
      <c r="E135" s="528">
        <v>0.49259999999999998</v>
      </c>
      <c r="F135" s="528">
        <f t="shared" si="1"/>
        <v>2.7969827999999999</v>
      </c>
      <c r="G135" s="530"/>
      <c r="H135" s="530"/>
      <c r="I135" s="528"/>
      <c r="J135" s="528"/>
      <c r="K135" s="528"/>
      <c r="L135" s="528"/>
      <c r="M135" s="528"/>
      <c r="N135" s="528"/>
      <c r="O135" s="1425"/>
      <c r="P135" s="1426"/>
      <c r="Q135" s="1427"/>
      <c r="R135" s="623"/>
    </row>
    <row r="136" spans="2:18" ht="40.9" customHeight="1" x14ac:dyDescent="0.3">
      <c r="B136" s="1240">
        <v>16</v>
      </c>
      <c r="C136" s="515" t="s">
        <v>1001</v>
      </c>
      <c r="D136" s="600"/>
      <c r="E136" s="528">
        <v>0.4854</v>
      </c>
      <c r="F136" s="528">
        <f t="shared" si="1"/>
        <v>2.7561011999999998</v>
      </c>
      <c r="G136" s="530"/>
      <c r="H136" s="530"/>
      <c r="I136" s="528"/>
      <c r="J136" s="528"/>
      <c r="K136" s="528"/>
      <c r="L136" s="528"/>
      <c r="M136" s="528"/>
      <c r="N136" s="528"/>
      <c r="O136" s="1425"/>
      <c r="P136" s="1426"/>
      <c r="Q136" s="1427"/>
      <c r="R136" s="623"/>
    </row>
    <row r="137" spans="2:18" ht="40.9" customHeight="1" x14ac:dyDescent="0.3">
      <c r="B137" s="1240">
        <v>17</v>
      </c>
      <c r="C137" s="515" t="s">
        <v>1002</v>
      </c>
      <c r="D137" s="600"/>
      <c r="E137" s="528">
        <v>0.48780000000000001</v>
      </c>
      <c r="F137" s="528">
        <f t="shared" si="1"/>
        <v>2.7697284</v>
      </c>
      <c r="G137" s="530"/>
      <c r="H137" s="530"/>
      <c r="I137" s="528"/>
      <c r="J137" s="528"/>
      <c r="K137" s="528"/>
      <c r="L137" s="528"/>
      <c r="M137" s="528"/>
      <c r="N137" s="528"/>
      <c r="O137" s="1425"/>
      <c r="P137" s="1426"/>
      <c r="Q137" s="1427"/>
      <c r="R137" s="623"/>
    </row>
    <row r="138" spans="2:18" ht="40.9" customHeight="1" x14ac:dyDescent="0.3">
      <c r="B138" s="1240">
        <v>18</v>
      </c>
      <c r="C138" s="515" t="s">
        <v>1003</v>
      </c>
      <c r="D138" s="600"/>
      <c r="E138" s="528">
        <v>0.49259999999999998</v>
      </c>
      <c r="F138" s="528">
        <f t="shared" si="1"/>
        <v>2.7969827999999999</v>
      </c>
      <c r="G138" s="530"/>
      <c r="H138" s="530"/>
      <c r="I138" s="528"/>
      <c r="J138" s="528"/>
      <c r="K138" s="528"/>
      <c r="L138" s="528"/>
      <c r="M138" s="528"/>
      <c r="N138" s="528"/>
      <c r="O138" s="1425"/>
      <c r="P138" s="1426"/>
      <c r="Q138" s="1427"/>
      <c r="R138" s="623"/>
    </row>
    <row r="139" spans="2:18" ht="18.75" customHeight="1" x14ac:dyDescent="0.3">
      <c r="B139" s="1240">
        <v>19</v>
      </c>
      <c r="C139" s="515"/>
      <c r="D139" s="600"/>
      <c r="E139" s="530"/>
      <c r="F139" s="530"/>
      <c r="G139" s="530"/>
      <c r="H139" s="530"/>
      <c r="I139" s="528"/>
      <c r="J139" s="528"/>
      <c r="K139" s="528"/>
      <c r="L139" s="528"/>
      <c r="M139" s="528"/>
      <c r="N139" s="528"/>
      <c r="O139" s="1425"/>
      <c r="P139" s="1426"/>
      <c r="Q139" s="1427"/>
      <c r="R139" s="623"/>
    </row>
    <row r="140" spans="2:18" ht="18.75" customHeight="1" x14ac:dyDescent="0.3">
      <c r="B140" s="1240">
        <v>20</v>
      </c>
      <c r="C140" s="515"/>
      <c r="D140" s="600"/>
      <c r="E140" s="530"/>
      <c r="F140" s="530"/>
      <c r="G140" s="530"/>
      <c r="H140" s="530"/>
      <c r="I140" s="528"/>
      <c r="J140" s="528"/>
      <c r="K140" s="528"/>
      <c r="L140" s="528"/>
      <c r="M140" s="528"/>
      <c r="N140" s="528"/>
      <c r="O140" s="1425"/>
      <c r="P140" s="1426"/>
      <c r="Q140" s="1427"/>
      <c r="R140" s="623"/>
    </row>
    <row r="143" spans="2:18" ht="25.5" customHeight="1" x14ac:dyDescent="0.3"/>
    <row r="144" spans="2:18" ht="30" customHeight="1" x14ac:dyDescent="0.3"/>
    <row r="145" ht="13" x14ac:dyDescent="0.3"/>
    <row r="146" ht="13" x14ac:dyDescent="0.3"/>
    <row r="147" ht="13" x14ac:dyDescent="0.3"/>
    <row r="148" ht="13" x14ac:dyDescent="0.3"/>
    <row r="149" ht="13" x14ac:dyDescent="0.3"/>
    <row r="150" ht="13" x14ac:dyDescent="0.3"/>
    <row r="151" ht="13" x14ac:dyDescent="0.3"/>
    <row r="152" ht="13" x14ac:dyDescent="0.3"/>
    <row r="153" ht="13" x14ac:dyDescent="0.3"/>
    <row r="154" ht="13" x14ac:dyDescent="0.3"/>
    <row r="155" ht="13" x14ac:dyDescent="0.3"/>
    <row r="156" ht="13" x14ac:dyDescent="0.3"/>
    <row r="157" ht="13" x14ac:dyDescent="0.3"/>
    <row r="158" ht="13" x14ac:dyDescent="0.3"/>
    <row r="159" ht="13" x14ac:dyDescent="0.3"/>
    <row r="160" ht="13" x14ac:dyDescent="0.3"/>
    <row r="161" ht="13" x14ac:dyDescent="0.3"/>
    <row r="162" ht="13" x14ac:dyDescent="0.3"/>
    <row r="163" ht="13" x14ac:dyDescent="0.3"/>
    <row r="164" ht="13" x14ac:dyDescent="0.3"/>
  </sheetData>
  <sheetProtection algorithmName="SHA-512" hashValue="VRBumisg2ZBisOEpfKWov0YbNyafhyJQGwiln9yzAgq6+vkBmOPqn63rA1DBp2xaA44+DtRoOvCP1CJUNtIhpA==" saltValue="GNq+p+Dy+iG7MLhsbKzBYg==" spinCount="100000" sheet="1" objects="1" scenarios="1" selectLockedCells="1" selectUnlockedCells="1"/>
  <mergeCells count="145">
    <mergeCell ref="O135:Q135"/>
    <mergeCell ref="O136:Q136"/>
    <mergeCell ref="O137:Q137"/>
    <mergeCell ref="O138:Q138"/>
    <mergeCell ref="O139:Q139"/>
    <mergeCell ref="O140:Q140"/>
    <mergeCell ref="D65:E65"/>
    <mergeCell ref="O126:Q126"/>
    <mergeCell ref="O127:Q127"/>
    <mergeCell ref="O128:Q128"/>
    <mergeCell ref="O129:Q129"/>
    <mergeCell ref="O130:Q130"/>
    <mergeCell ref="O131:Q131"/>
    <mergeCell ref="O132:Q132"/>
    <mergeCell ref="O133:Q133"/>
    <mergeCell ref="O134:Q134"/>
    <mergeCell ref="E118:N118"/>
    <mergeCell ref="O118:Q120"/>
    <mergeCell ref="B119:D119"/>
    <mergeCell ref="C120:D120"/>
    <mergeCell ref="O121:Q121"/>
    <mergeCell ref="O122:Q122"/>
    <mergeCell ref="O123:Q123"/>
    <mergeCell ref="O124:Q124"/>
    <mergeCell ref="O125:Q125"/>
    <mergeCell ref="D17:F17"/>
    <mergeCell ref="D18:F18"/>
    <mergeCell ref="B20:Q20"/>
    <mergeCell ref="C21:Q21"/>
    <mergeCell ref="C22:Q22"/>
    <mergeCell ref="C23:Q23"/>
    <mergeCell ref="C2:F2"/>
    <mergeCell ref="C3:F3"/>
    <mergeCell ref="C4:F4"/>
    <mergeCell ref="C5:F5"/>
    <mergeCell ref="D7:F7"/>
    <mergeCell ref="D8:F16"/>
    <mergeCell ref="E34:Q34"/>
    <mergeCell ref="E35:Q35"/>
    <mergeCell ref="E36:Q36"/>
    <mergeCell ref="E37:Q37"/>
    <mergeCell ref="C41:M41"/>
    <mergeCell ref="P41:Q41"/>
    <mergeCell ref="D25:Q25"/>
    <mergeCell ref="D26:Q26"/>
    <mergeCell ref="D27:Q27"/>
    <mergeCell ref="D28:Q28"/>
    <mergeCell ref="E32:Q32"/>
    <mergeCell ref="E33:Q33"/>
    <mergeCell ref="C45:M45"/>
    <mergeCell ref="P45:Q45"/>
    <mergeCell ref="C47:M47"/>
    <mergeCell ref="P47:Q47"/>
    <mergeCell ref="C48:M48"/>
    <mergeCell ref="P48:Q48"/>
    <mergeCell ref="C42:M42"/>
    <mergeCell ref="P42:Q42"/>
    <mergeCell ref="C43:M43"/>
    <mergeCell ref="P43:Q43"/>
    <mergeCell ref="C44:M44"/>
    <mergeCell ref="P44:Q44"/>
    <mergeCell ref="C53:M53"/>
    <mergeCell ref="P53:Q53"/>
    <mergeCell ref="C54:M54"/>
    <mergeCell ref="P54:Q54"/>
    <mergeCell ref="C55:M55"/>
    <mergeCell ref="P55:Q55"/>
    <mergeCell ref="C49:M49"/>
    <mergeCell ref="P49:Q49"/>
    <mergeCell ref="C50:M50"/>
    <mergeCell ref="P50:Q50"/>
    <mergeCell ref="C51:M51"/>
    <mergeCell ref="P51:Q51"/>
    <mergeCell ref="D62:E62"/>
    <mergeCell ref="J62:Q62"/>
    <mergeCell ref="J63:Q63"/>
    <mergeCell ref="C56:M56"/>
    <mergeCell ref="P56:Q56"/>
    <mergeCell ref="C57:M57"/>
    <mergeCell ref="P57:Q57"/>
    <mergeCell ref="D61:E61"/>
    <mergeCell ref="J61:Q61"/>
    <mergeCell ref="D63:E63"/>
    <mergeCell ref="D69:E69"/>
    <mergeCell ref="J69:Q69"/>
    <mergeCell ref="D67:E67"/>
    <mergeCell ref="J67:Q67"/>
    <mergeCell ref="D68:E68"/>
    <mergeCell ref="J68:Q68"/>
    <mergeCell ref="D70:E70"/>
    <mergeCell ref="J70:Q70"/>
    <mergeCell ref="D64:E64"/>
    <mergeCell ref="J64:Q64"/>
    <mergeCell ref="J65:Q65"/>
    <mergeCell ref="D66:E66"/>
    <mergeCell ref="J66:Q66"/>
    <mergeCell ref="D74:E74"/>
    <mergeCell ref="J74:Q74"/>
    <mergeCell ref="D75:E75"/>
    <mergeCell ref="J75:Q75"/>
    <mergeCell ref="D76:E76"/>
    <mergeCell ref="J76:Q76"/>
    <mergeCell ref="D71:E71"/>
    <mergeCell ref="J71:Q71"/>
    <mergeCell ref="D72:E72"/>
    <mergeCell ref="J72:Q72"/>
    <mergeCell ref="D73:E73"/>
    <mergeCell ref="J73:Q73"/>
    <mergeCell ref="F86:Q86"/>
    <mergeCell ref="F87:Q87"/>
    <mergeCell ref="F88:Q88"/>
    <mergeCell ref="F89:Q89"/>
    <mergeCell ref="F90:Q90"/>
    <mergeCell ref="E94:N94"/>
    <mergeCell ref="O94:Q96"/>
    <mergeCell ref="F80:Q80"/>
    <mergeCell ref="F81:Q81"/>
    <mergeCell ref="F82:Q82"/>
    <mergeCell ref="F83:Q83"/>
    <mergeCell ref="F84:Q84"/>
    <mergeCell ref="F85:Q85"/>
    <mergeCell ref="D29:Q29"/>
    <mergeCell ref="D30:Q30"/>
    <mergeCell ref="O113:Q113"/>
    <mergeCell ref="O114:Q114"/>
    <mergeCell ref="O115:Q115"/>
    <mergeCell ref="O116:Q116"/>
    <mergeCell ref="O107:Q107"/>
    <mergeCell ref="O108:Q108"/>
    <mergeCell ref="O109:Q109"/>
    <mergeCell ref="O110:Q110"/>
    <mergeCell ref="O111:Q111"/>
    <mergeCell ref="O112:Q112"/>
    <mergeCell ref="O101:Q101"/>
    <mergeCell ref="O102:Q102"/>
    <mergeCell ref="O103:Q103"/>
    <mergeCell ref="O104:Q104"/>
    <mergeCell ref="O105:Q105"/>
    <mergeCell ref="O106:Q106"/>
    <mergeCell ref="B95:D95"/>
    <mergeCell ref="C96:D96"/>
    <mergeCell ref="O97:Q97"/>
    <mergeCell ref="O98:Q98"/>
    <mergeCell ref="O99:Q99"/>
    <mergeCell ref="O100:Q100"/>
  </mergeCells>
  <conditionalFormatting sqref="H70:H71">
    <cfRule type="expression" dxfId="3482" priority="93">
      <formula>IF(OR(#REF!="L",#REF!="C"),TRUE,FALSE)</formula>
    </cfRule>
  </conditionalFormatting>
  <conditionalFormatting sqref="H66">
    <cfRule type="expression" dxfId="3481" priority="89">
      <formula>IF(OR(#REF!="L",#REF!="C"),TRUE,FALSE)</formula>
    </cfRule>
  </conditionalFormatting>
  <conditionalFormatting sqref="H67">
    <cfRule type="expression" dxfId="3480" priority="88">
      <formula>IF(OR(#REF!="L",#REF!="C"),TRUE,FALSE)</formula>
    </cfRule>
  </conditionalFormatting>
  <conditionalFormatting sqref="F109:F116 G102:G116 H104:H116">
    <cfRule type="expression" dxfId="3479" priority="85">
      <formula>IF(OR(#REF!="L",#REF!="C"),TRUE,FALSE)</formula>
    </cfRule>
  </conditionalFormatting>
  <conditionalFormatting sqref="E110:E116">
    <cfRule type="expression" dxfId="3478" priority="84">
      <formula>IF(OR(#REF!="L",#REF!="C"),TRUE,FALSE)</formula>
    </cfRule>
  </conditionalFormatting>
  <conditionalFormatting sqref="E108">
    <cfRule type="expression" dxfId="3477" priority="82">
      <formula>IF(OR(#REF!="L",#REF!="C"),TRUE,FALSE)</formula>
    </cfRule>
  </conditionalFormatting>
  <conditionalFormatting sqref="E109">
    <cfRule type="expression" dxfId="3476" priority="81">
      <formula>IF(OR(#REF!="L",#REF!="C"),TRUE,FALSE)</formula>
    </cfRule>
  </conditionalFormatting>
  <conditionalFormatting sqref="E95 G95 I95 K95 M95">
    <cfRule type="duplicateValues" dxfId="3475" priority="79"/>
  </conditionalFormatting>
  <conditionalFormatting sqref="M104:M116">
    <cfRule type="expression" dxfId="3474" priority="69">
      <formula>IF(OR(#REF!="L",#REF!="C"),TRUE,FALSE)</formula>
    </cfRule>
  </conditionalFormatting>
  <conditionalFormatting sqref="I102:I103">
    <cfRule type="expression" dxfId="3473" priority="76">
      <formula>IF(OR(#REF!="L",#REF!="C"),TRUE,FALSE)</formula>
    </cfRule>
  </conditionalFormatting>
  <conditionalFormatting sqref="N102:N103">
    <cfRule type="expression" dxfId="3472" priority="66">
      <formula>IF(OR(#REF!="L",#REF!="C"),TRUE,FALSE)</formula>
    </cfRule>
  </conditionalFormatting>
  <conditionalFormatting sqref="I104:I116">
    <cfRule type="expression" dxfId="3471" priority="77">
      <formula>IF(OR(#REF!="L",#REF!="C"),TRUE,FALSE)</formula>
    </cfRule>
  </conditionalFormatting>
  <conditionalFormatting sqref="J102:J103">
    <cfRule type="expression" dxfId="3470" priority="74">
      <formula>IF(OR(#REF!="L",#REF!="C"),TRUE,FALSE)</formula>
    </cfRule>
  </conditionalFormatting>
  <conditionalFormatting sqref="J104:J116">
    <cfRule type="expression" dxfId="3469" priority="75">
      <formula>IF(OR(#REF!="L",#REF!="C"),TRUE,FALSE)</formula>
    </cfRule>
  </conditionalFormatting>
  <conditionalFormatting sqref="K102:K103">
    <cfRule type="expression" dxfId="3468" priority="72">
      <formula>IF(OR(#REF!="L",#REF!="C"),TRUE,FALSE)</formula>
    </cfRule>
  </conditionalFormatting>
  <conditionalFormatting sqref="K104:K116">
    <cfRule type="expression" dxfId="3467" priority="73">
      <formula>IF(OR(#REF!="L",#REF!="C"),TRUE,FALSE)</formula>
    </cfRule>
  </conditionalFormatting>
  <conditionalFormatting sqref="L102:L103">
    <cfRule type="expression" dxfId="3466" priority="70">
      <formula>IF(OR(#REF!="L",#REF!="C"),TRUE,FALSE)</formula>
    </cfRule>
  </conditionalFormatting>
  <conditionalFormatting sqref="L104:L116">
    <cfRule type="expression" dxfId="3465" priority="71">
      <formula>IF(OR(#REF!="L",#REF!="C"),TRUE,FALSE)</formula>
    </cfRule>
  </conditionalFormatting>
  <conditionalFormatting sqref="M102:M103">
    <cfRule type="expression" dxfId="3464" priority="68">
      <formula>IF(OR(#REF!="L",#REF!="C"),TRUE,FALSE)</formula>
    </cfRule>
  </conditionalFormatting>
  <conditionalFormatting sqref="N104:N116">
    <cfRule type="expression" dxfId="3463" priority="67">
      <formula>IF(OR(#REF!="L",#REF!="C"),TRUE,FALSE)</formula>
    </cfRule>
  </conditionalFormatting>
  <conditionalFormatting sqref="O104:O116">
    <cfRule type="expression" dxfId="3462" priority="64">
      <formula>IF(OR(#REF!="L",#REF!="C"),TRUE,FALSE)</formula>
    </cfRule>
  </conditionalFormatting>
  <conditionalFormatting sqref="O102:O103">
    <cfRule type="expression" dxfId="3461" priority="63">
      <formula>IF(OR(#REF!="L",#REF!="C"),TRUE,FALSE)</formula>
    </cfRule>
  </conditionalFormatting>
  <conditionalFormatting sqref="E96:N96">
    <cfRule type="duplicateValues" dxfId="3460" priority="62"/>
  </conditionalFormatting>
  <conditionalFormatting sqref="H72">
    <cfRule type="expression" dxfId="3459" priority="60">
      <formula>IF(OR(#REF!="L",#REF!="C"),TRUE,FALSE)</formula>
    </cfRule>
  </conditionalFormatting>
  <conditionalFormatting sqref="H73">
    <cfRule type="expression" dxfId="3458" priority="59">
      <formula>IF(OR(#REF!="L",#REF!="C"),TRUE,FALSE)</formula>
    </cfRule>
  </conditionalFormatting>
  <conditionalFormatting sqref="H74">
    <cfRule type="expression" dxfId="3457" priority="58">
      <formula>IF(OR(#REF!="L",#REF!="C"),TRUE,FALSE)</formula>
    </cfRule>
  </conditionalFormatting>
  <conditionalFormatting sqref="H75">
    <cfRule type="expression" dxfId="3456" priority="57">
      <formula>IF(OR(#REF!="L",#REF!="C"),TRUE,FALSE)</formula>
    </cfRule>
  </conditionalFormatting>
  <conditionalFormatting sqref="H76">
    <cfRule type="expression" dxfId="3455" priority="56">
      <formula>IF(OR(#REF!="L",#REF!="C"),TRUE,FALSE)</formula>
    </cfRule>
  </conditionalFormatting>
  <conditionalFormatting sqref="H64">
    <cfRule type="expression" dxfId="3454" priority="53">
      <formula>IF(OR(#REF!="L",#REF!="C"),TRUE,FALSE)</formula>
    </cfRule>
  </conditionalFormatting>
  <conditionalFormatting sqref="F139:F140 G126:G140 H128:H140">
    <cfRule type="expression" dxfId="3453" priority="52">
      <formula>IF(OR(#REF!="L",#REF!="C"),TRUE,FALSE)</formula>
    </cfRule>
  </conditionalFormatting>
  <conditionalFormatting sqref="E139:E140">
    <cfRule type="expression" dxfId="3452" priority="51">
      <formula>IF(OR(#REF!="L",#REF!="C"),TRUE,FALSE)</formula>
    </cfRule>
  </conditionalFormatting>
  <conditionalFormatting sqref="J128:J140">
    <cfRule type="expression" dxfId="3451" priority="44">
      <formula>IF(OR(#REF!="L",#REF!="C"),TRUE,FALSE)</formula>
    </cfRule>
  </conditionalFormatting>
  <conditionalFormatting sqref="E119 G119 I119 K119 M119">
    <cfRule type="duplicateValues" dxfId="3450" priority="48"/>
  </conditionalFormatting>
  <conditionalFormatting sqref="M128:M140">
    <cfRule type="expression" dxfId="3449" priority="38">
      <formula>IF(OR(#REF!="L",#REF!="C"),TRUE,FALSE)</formula>
    </cfRule>
  </conditionalFormatting>
  <conditionalFormatting sqref="I126:I127">
    <cfRule type="expression" dxfId="3448" priority="45">
      <formula>IF(OR(#REF!="L",#REF!="C"),TRUE,FALSE)</formula>
    </cfRule>
  </conditionalFormatting>
  <conditionalFormatting sqref="N126:N127">
    <cfRule type="expression" dxfId="3447" priority="35">
      <formula>IF(OR(#REF!="L",#REF!="C"),TRUE,FALSE)</formula>
    </cfRule>
  </conditionalFormatting>
  <conditionalFormatting sqref="I128:I140">
    <cfRule type="expression" dxfId="3446" priority="46">
      <formula>IF(OR(#REF!="L",#REF!="C"),TRUE,FALSE)</formula>
    </cfRule>
  </conditionalFormatting>
  <conditionalFormatting sqref="J126:J127">
    <cfRule type="expression" dxfId="3445" priority="43">
      <formula>IF(OR(#REF!="L",#REF!="C"),TRUE,FALSE)</formula>
    </cfRule>
  </conditionalFormatting>
  <conditionalFormatting sqref="K126:K127">
    <cfRule type="expression" dxfId="3444" priority="41">
      <formula>IF(OR(#REF!="L",#REF!="C"),TRUE,FALSE)</formula>
    </cfRule>
  </conditionalFormatting>
  <conditionalFormatting sqref="K128:K140">
    <cfRule type="expression" dxfId="3443" priority="42">
      <formula>IF(OR(#REF!="L",#REF!="C"),TRUE,FALSE)</formula>
    </cfRule>
  </conditionalFormatting>
  <conditionalFormatting sqref="L126:L127">
    <cfRule type="expression" dxfId="3442" priority="39">
      <formula>IF(OR(#REF!="L",#REF!="C"),TRUE,FALSE)</formula>
    </cfRule>
  </conditionalFormatting>
  <conditionalFormatting sqref="L128:L140">
    <cfRule type="expression" dxfId="3441" priority="40">
      <formula>IF(OR(#REF!="L",#REF!="C"),TRUE,FALSE)</formula>
    </cfRule>
  </conditionalFormatting>
  <conditionalFormatting sqref="M126:M127">
    <cfRule type="expression" dxfId="3440" priority="37">
      <formula>IF(OR(#REF!="L",#REF!="C"),TRUE,FALSE)</formula>
    </cfRule>
  </conditionalFormatting>
  <conditionalFormatting sqref="N128:N140">
    <cfRule type="expression" dxfId="3439" priority="36">
      <formula>IF(OR(#REF!="L",#REF!="C"),TRUE,FALSE)</formula>
    </cfRule>
  </conditionalFormatting>
  <conditionalFormatting sqref="O128:O140">
    <cfRule type="expression" dxfId="3438" priority="34">
      <formula>IF(OR(#REF!="L",#REF!="C"),TRUE,FALSE)</formula>
    </cfRule>
  </conditionalFormatting>
  <conditionalFormatting sqref="O126:O127">
    <cfRule type="expression" dxfId="3437" priority="33">
      <formula>IF(OR(#REF!="L",#REF!="C"),TRUE,FALSE)</formula>
    </cfRule>
  </conditionalFormatting>
  <conditionalFormatting sqref="E120:N120">
    <cfRule type="duplicateValues" dxfId="3436" priority="32"/>
  </conditionalFormatting>
  <conditionalFormatting sqref="E135:F138">
    <cfRule type="expression" dxfId="3435" priority="31">
      <formula>IF(OR(#REF!="L",#REF!="C"),TRUE,FALSE)</formula>
    </cfRule>
  </conditionalFormatting>
  <conditionalFormatting sqref="E121:F134">
    <cfRule type="expression" dxfId="3434" priority="30">
      <formula>IF(OR(#REF!="L",#REF!="C"),TRUE,FALSE)</formula>
    </cfRule>
  </conditionalFormatting>
  <conditionalFormatting sqref="H63">
    <cfRule type="expression" dxfId="3433" priority="29">
      <formula>IF(OR(#REF!="L",#REF!="C"),TRUE,FALSE)</formula>
    </cfRule>
  </conditionalFormatting>
  <conditionalFormatting sqref="H65">
    <cfRule type="expression" dxfId="3432" priority="26">
      <formula>IF(OR(#REF!="L",#REF!="C"),TRUE,FALSE)</formula>
    </cfRule>
  </conditionalFormatting>
  <conditionalFormatting sqref="H62">
    <cfRule type="expression" dxfId="3431" priority="25">
      <formula>IF(OR(#REF!="L",#REF!="C"),TRUE,FALSE)</formula>
    </cfRule>
  </conditionalFormatting>
  <conditionalFormatting sqref="H68:H69">
    <cfRule type="expression" dxfId="3430" priority="24">
      <formula>IF(OR(#REF!="L",#REF!="C"),TRUE,FALSE)</formula>
    </cfRule>
  </conditionalFormatting>
  <dataValidations count="9">
    <dataValidation type="list" allowBlank="1" showInputMessage="1" showErrorMessage="1" sqref="F72:F74" xr:uid="{38DB998D-DE35-4AD4-A9A2-1FB6F00574BD}">
      <formula1>$C$98:$C$103</formula1>
    </dataValidation>
    <dataValidation type="list" allowBlank="1" showInputMessage="1" showErrorMessage="1" sqref="C4" xr:uid="{902F31D4-768E-4A25-BD4D-46FEC21286D5}">
      <formula1>"COM,RES"</formula1>
    </dataValidation>
    <dataValidation type="list" allowBlank="1" showInputMessage="1" showErrorMessage="1" sqref="F63 F69" xr:uid="{19143D03-BD89-4344-91AA-A1256C25E4B4}">
      <formula1>#REF!</formula1>
    </dataValidation>
    <dataValidation type="list" allowBlank="1" showInputMessage="1" showErrorMessage="1" sqref="H66" xr:uid="{2616E9BE-0A15-48E9-8273-C3C1FD83A19A}">
      <formula1>$C$121:$C$140</formula1>
    </dataValidation>
    <dataValidation type="list" allowBlank="1" showInputMessage="1" showErrorMessage="1" sqref="C9" xr:uid="{25D72DE1-95BC-49F4-901F-80704C4A1793}">
      <formula1>INDIRECT("MeasureTypeList[Index]")</formula1>
    </dataValidation>
    <dataValidation type="list" allowBlank="1" showInputMessage="1" showErrorMessage="1" sqref="C26" xr:uid="{87955187-10D9-445A-BE17-939C941BE827}">
      <formula1>INDIRECT("RegionList[Index]")</formula1>
    </dataValidation>
    <dataValidation type="list" allowBlank="1" showInputMessage="1" showErrorMessage="1" sqref="C27" xr:uid="{7DF54DE1-6C45-4B34-8AC6-CC8C0CF99C58}">
      <formula1>INDIRECT("ReplacementTypeList[Index]")</formula1>
    </dataValidation>
    <dataValidation type="list" allowBlank="1" showInputMessage="1" showErrorMessage="1" sqref="C28" xr:uid="{D338DA48-A838-4AB2-AE11-45A047A70742}">
      <formula1>INDIRECT("BuildingType[Building]")</formula1>
    </dataValidation>
    <dataValidation type="list" allowBlank="1" showInputMessage="1" showErrorMessage="1" sqref="C29 C30" xr:uid="{AD00F253-F945-4479-A0F7-F66AC13DBC3F}">
      <formula1>INDIRECT("FuelTypeList[Index]")</formula1>
    </dataValidation>
  </dataValidations>
  <hyperlinks>
    <hyperlink ref="F83" r:id="rId1" xr:uid="{2AF6F604-6C4E-44CA-A15C-C451C82720C1}"/>
    <hyperlink ref="F85" r:id="rId2" xr:uid="{E58AD26B-CE84-4589-8F09-7B4C1F4C74C6}"/>
    <hyperlink ref="F84" r:id="rId3" xr:uid="{CFDB5AAB-CA4E-4EF5-92A7-984C179D12AC}"/>
    <hyperlink ref="F82" r:id="rId4" xr:uid="{CC9FEE12-9E8B-4EF3-A8FB-4B2E8D741833}"/>
    <hyperlink ref="F86" r:id="rId5" xr:uid="{443649DA-21C1-4584-9FD8-6D886EA8C9CD}"/>
  </hyperlinks>
  <pageMargins left="0.7" right="0.7" top="0.75" bottom="0.75" header="0.3" footer="0.3"/>
  <pageSetup orientation="portrait"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19DCB-9B6A-4ACA-A657-9DF39C969DCE}">
  <sheetPr codeName="Sheet278"/>
  <dimension ref="A2:R116"/>
  <sheetViews>
    <sheetView workbookViewId="0"/>
  </sheetViews>
  <sheetFormatPr defaultColWidth="9.08984375" defaultRowHeight="18.75" customHeight="1" x14ac:dyDescent="0.3"/>
  <cols>
    <col min="1" max="1" width="2.36328125" style="488" customWidth="1"/>
    <col min="2" max="2" width="44.36328125" style="488" bestFit="1" customWidth="1"/>
    <col min="3" max="3" width="28" style="488" bestFit="1" customWidth="1"/>
    <col min="4" max="4" width="21.6328125" style="488" customWidth="1"/>
    <col min="5" max="5" width="15" style="488" customWidth="1"/>
    <col min="6" max="6" width="15.6328125" style="488" customWidth="1"/>
    <col min="7" max="7" width="19.6328125" style="488" customWidth="1"/>
    <col min="8" max="8" width="16" style="488" customWidth="1"/>
    <col min="9"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R-WB-006</v>
      </c>
      <c r="D3" s="1367"/>
      <c r="E3" s="1367"/>
      <c r="F3" s="1367"/>
    </row>
    <row r="4" spans="1:18" ht="18.75" customHeight="1" x14ac:dyDescent="0.3">
      <c r="B4" s="490" t="s">
        <v>11</v>
      </c>
      <c r="C4" s="1367" t="str" cm="1">
        <f t="array" ref="C4">_xlfn.SWITCH(LEFT(C8,1),"R","Residential","C","Commercial","ERROR")</f>
        <v>Residential</v>
      </c>
      <c r="D4" s="1367"/>
      <c r="E4" s="1367"/>
      <c r="F4" s="1367"/>
    </row>
    <row r="5" spans="1:18" ht="19.5" customHeight="1" x14ac:dyDescent="0.3">
      <c r="B5" s="490" t="s">
        <v>408</v>
      </c>
      <c r="C5" s="1530" t="s">
        <v>399</v>
      </c>
      <c r="D5" s="1531"/>
      <c r="E5" s="1531"/>
      <c r="F5" s="1532"/>
      <c r="R5" s="488"/>
    </row>
    <row r="6" spans="1:18" ht="18.75" customHeight="1" x14ac:dyDescent="0.3">
      <c r="A6" s="573"/>
    </row>
    <row r="7" spans="1:18" ht="18.75" customHeight="1" x14ac:dyDescent="0.3">
      <c r="B7" s="1193" t="s">
        <v>409</v>
      </c>
      <c r="C7" s="1192" t="s">
        <v>406</v>
      </c>
      <c r="D7" s="1363" t="s">
        <v>410</v>
      </c>
      <c r="E7" s="1363"/>
      <c r="F7" s="1363"/>
      <c r="R7" s="488"/>
    </row>
    <row r="8" spans="1:18" ht="18.75" customHeight="1" x14ac:dyDescent="0.3">
      <c r="B8" s="490" t="s">
        <v>411</v>
      </c>
      <c r="C8" s="1218" t="s">
        <v>183</v>
      </c>
      <c r="D8" s="1626" t="s">
        <v>672</v>
      </c>
      <c r="E8" s="1627"/>
      <c r="F8" s="1628"/>
      <c r="R8" s="488"/>
    </row>
    <row r="9" spans="1:18" ht="18.75" customHeight="1" x14ac:dyDescent="0.3">
      <c r="B9" s="490" t="s">
        <v>49</v>
      </c>
      <c r="C9" s="1218" t="s">
        <v>891</v>
      </c>
      <c r="D9" s="1629"/>
      <c r="E9" s="1630"/>
      <c r="F9" s="1631"/>
      <c r="R9" s="488"/>
    </row>
    <row r="10" spans="1:18" ht="18.75" customHeight="1" x14ac:dyDescent="0.3">
      <c r="B10" s="490" t="s">
        <v>412</v>
      </c>
      <c r="C10" s="1218"/>
      <c r="D10" s="1629"/>
      <c r="E10" s="1630"/>
      <c r="F10" s="1631"/>
      <c r="R10" s="488"/>
    </row>
    <row r="11" spans="1:18" ht="18.75" customHeight="1" x14ac:dyDescent="0.3">
      <c r="B11" s="490" t="s">
        <v>413</v>
      </c>
      <c r="C11" s="1218"/>
      <c r="D11" s="1629"/>
      <c r="E11" s="1630"/>
      <c r="F11" s="1631"/>
      <c r="R11" s="488"/>
    </row>
    <row r="12" spans="1:18" ht="18.75" customHeight="1" x14ac:dyDescent="0.3">
      <c r="B12" s="490" t="s">
        <v>414</v>
      </c>
      <c r="C12" s="665"/>
      <c r="D12" s="1629"/>
      <c r="E12" s="1630"/>
      <c r="F12" s="1631"/>
      <c r="R12" s="488"/>
    </row>
    <row r="13" spans="1:18" ht="18.75" customHeight="1" x14ac:dyDescent="0.3">
      <c r="B13" s="494" t="s">
        <v>415</v>
      </c>
      <c r="C13" s="658">
        <f>N43</f>
        <v>0</v>
      </c>
      <c r="D13" s="1629"/>
      <c r="E13" s="1630"/>
      <c r="F13" s="1631"/>
      <c r="R13" s="488"/>
    </row>
    <row r="14" spans="1:18" ht="18.75" customHeight="1" x14ac:dyDescent="0.3">
      <c r="B14" s="494" t="s">
        <v>416</v>
      </c>
      <c r="C14" s="658">
        <f>N42</f>
        <v>0</v>
      </c>
      <c r="D14" s="1629"/>
      <c r="E14" s="1630"/>
      <c r="F14" s="1631"/>
      <c r="R14" s="488"/>
    </row>
    <row r="15" spans="1:18" ht="18.75" customHeight="1" x14ac:dyDescent="0.3">
      <c r="B15" s="494" t="s">
        <v>417</v>
      </c>
      <c r="C15" s="658">
        <f>N44</f>
        <v>0</v>
      </c>
      <c r="D15" s="1629"/>
      <c r="E15" s="1630"/>
      <c r="F15" s="1631"/>
      <c r="R15" s="488"/>
    </row>
    <row r="16" spans="1:18" ht="18.75" customHeight="1" x14ac:dyDescent="0.3">
      <c r="B16" s="494" t="s">
        <v>418</v>
      </c>
      <c r="C16" s="659">
        <f>C37</f>
        <v>0</v>
      </c>
      <c r="D16" s="1632"/>
      <c r="E16" s="1633"/>
      <c r="F16" s="1634"/>
      <c r="R16" s="488"/>
    </row>
    <row r="17" spans="2:18" ht="18.75" customHeight="1" x14ac:dyDescent="0.3">
      <c r="B17" s="490" t="s">
        <v>48</v>
      </c>
      <c r="C17" s="1218" t="s">
        <v>673</v>
      </c>
      <c r="D17" s="1363" t="s">
        <v>419</v>
      </c>
      <c r="E17" s="1363"/>
      <c r="F17" s="1363"/>
      <c r="R17" s="488"/>
    </row>
    <row r="18" spans="2:18" ht="18.75" customHeight="1" x14ac:dyDescent="0.3">
      <c r="B18" s="490" t="s">
        <v>420</v>
      </c>
      <c r="C18" s="666">
        <v>15</v>
      </c>
      <c r="D18" s="1635" t="s">
        <v>674</v>
      </c>
      <c r="E18" s="1635"/>
      <c r="F18" s="1635"/>
      <c r="R18" s="488"/>
    </row>
    <row r="19" spans="2:18" ht="18.75" customHeight="1" x14ac:dyDescent="0.3">
      <c r="B19" s="613"/>
      <c r="C19" s="614"/>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18.75" customHeight="1" x14ac:dyDescent="0.3">
      <c r="B21" s="499" t="s">
        <v>422</v>
      </c>
      <c r="C21" s="1546" t="s">
        <v>400</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36" t="s">
        <v>401</v>
      </c>
      <c r="D22" s="1536"/>
      <c r="E22" s="1536"/>
      <c r="F22" s="1536"/>
      <c r="G22" s="1536"/>
      <c r="H22" s="1536"/>
      <c r="I22" s="1536"/>
      <c r="J22" s="1536"/>
      <c r="K22" s="1536"/>
      <c r="L22" s="1536"/>
      <c r="M22" s="1536"/>
      <c r="N22" s="1536"/>
      <c r="O22" s="1536"/>
      <c r="P22" s="1536"/>
      <c r="Q22" s="1536"/>
      <c r="R22" s="488"/>
    </row>
    <row r="23" spans="2:18" ht="18.75" customHeight="1" x14ac:dyDescent="0.3">
      <c r="B23" s="500" t="s">
        <v>424</v>
      </c>
      <c r="C23" s="1546"/>
      <c r="D23" s="1546"/>
      <c r="E23" s="1546"/>
      <c r="F23" s="1546"/>
      <c r="G23" s="1546"/>
      <c r="H23" s="1546"/>
      <c r="I23" s="1546"/>
      <c r="J23" s="1546"/>
      <c r="K23" s="1546"/>
      <c r="L23" s="1546"/>
      <c r="M23" s="1546"/>
      <c r="N23" s="1546"/>
      <c r="O23" s="1546"/>
      <c r="P23" s="1546"/>
      <c r="Q23" s="154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Default.BuildingType.R</f>
        <v>Home - detached</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512"/>
      <c r="F33" s="1512"/>
      <c r="G33" s="1512"/>
      <c r="H33" s="1512"/>
      <c r="I33" s="1512"/>
      <c r="J33" s="1512"/>
      <c r="K33" s="1512"/>
      <c r="L33" s="1512"/>
      <c r="M33" s="1512"/>
      <c r="N33" s="1512"/>
      <c r="O33" s="1512"/>
      <c r="P33" s="1512"/>
      <c r="Q33" s="1512"/>
      <c r="R33" s="488"/>
    </row>
    <row r="34" spans="2:18" ht="18.75" customHeight="1" x14ac:dyDescent="0.3">
      <c r="B34" s="494" t="s">
        <v>431</v>
      </c>
      <c r="C34" s="542"/>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504">
        <f>SUM(C33:C34)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504">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0</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1004</v>
      </c>
      <c r="D49" s="1505"/>
      <c r="E49" s="1505"/>
      <c r="F49" s="1505"/>
      <c r="G49" s="1505"/>
      <c r="H49" s="1505"/>
      <c r="I49" s="1505"/>
      <c r="J49" s="1505"/>
      <c r="K49" s="1505"/>
      <c r="L49" s="1505"/>
      <c r="M49" s="1506"/>
      <c r="N49" s="592"/>
      <c r="O49" s="1243" t="s">
        <v>443</v>
      </c>
      <c r="P49" s="1511"/>
      <c r="Q49" s="1511"/>
      <c r="R49" s="488"/>
    </row>
    <row r="50" spans="2:18" ht="18.75" customHeight="1" x14ac:dyDescent="0.3">
      <c r="B50" s="582" t="s">
        <v>456</v>
      </c>
      <c r="C50" s="1504" t="s">
        <v>1005</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467</v>
      </c>
      <c r="D56" s="1505"/>
      <c r="E56" s="1505"/>
      <c r="F56" s="1505"/>
      <c r="G56" s="1505"/>
      <c r="H56" s="1505"/>
      <c r="I56" s="1505"/>
      <c r="J56" s="1505"/>
      <c r="K56" s="1505"/>
      <c r="L56" s="1505"/>
      <c r="M56" s="1506"/>
      <c r="N56" s="594"/>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1188" t="s">
        <v>406</v>
      </c>
      <c r="I61" s="1188" t="s">
        <v>428</v>
      </c>
      <c r="J61" s="1396" t="s">
        <v>476</v>
      </c>
      <c r="K61" s="1397"/>
      <c r="L61" s="1397"/>
      <c r="M61" s="1397"/>
      <c r="N61" s="1397"/>
      <c r="O61" s="1397"/>
      <c r="P61" s="1397"/>
      <c r="Q61" s="1398"/>
    </row>
    <row r="62" spans="2:18" ht="13" x14ac:dyDescent="0.3">
      <c r="B62" s="533">
        <v>1</v>
      </c>
      <c r="C62" s="546"/>
      <c r="D62" s="1539"/>
      <c r="E62" s="1539"/>
      <c r="F62" s="1217"/>
      <c r="G62" s="1217"/>
      <c r="H62" s="622"/>
      <c r="I62" s="1217"/>
      <c r="J62" s="1468"/>
      <c r="K62" s="1478"/>
      <c r="L62" s="1478"/>
      <c r="M62" s="1478"/>
      <c r="N62" s="1478"/>
      <c r="O62" s="1478"/>
      <c r="P62" s="1478"/>
      <c r="Q62" s="1469"/>
      <c r="R62" s="488"/>
    </row>
    <row r="63" spans="2:18" ht="15" customHeight="1" x14ac:dyDescent="0.3">
      <c r="B63" s="533">
        <v>2</v>
      </c>
      <c r="C63" s="546"/>
      <c r="D63" s="1539"/>
      <c r="E63" s="1539"/>
      <c r="F63" s="1217"/>
      <c r="G63" s="1217"/>
      <c r="H63" s="1217"/>
      <c r="I63" s="1217"/>
      <c r="J63" s="1472"/>
      <c r="K63" s="1472"/>
      <c r="L63" s="1472"/>
      <c r="M63" s="1472"/>
      <c r="N63" s="1472"/>
      <c r="O63" s="1472"/>
      <c r="P63" s="1472"/>
      <c r="Q63" s="1721"/>
      <c r="R63" s="488"/>
    </row>
    <row r="64" spans="2:18" ht="13" x14ac:dyDescent="0.3">
      <c r="B64" s="533">
        <v>3</v>
      </c>
      <c r="C64" s="546"/>
      <c r="D64" s="1539"/>
      <c r="E64" s="1539"/>
      <c r="F64" s="1217"/>
      <c r="G64" s="1217"/>
      <c r="H64" s="1217"/>
      <c r="I64" s="1217"/>
      <c r="J64" s="1472"/>
      <c r="K64" s="1472"/>
      <c r="L64" s="1472"/>
      <c r="M64" s="1472"/>
      <c r="N64" s="1472"/>
      <c r="O64" s="1472"/>
      <c r="P64" s="1472"/>
      <c r="Q64" s="1721"/>
      <c r="R64" s="488"/>
    </row>
    <row r="65" spans="2:18" ht="15" customHeight="1" x14ac:dyDescent="0.3">
      <c r="B65" s="533">
        <v>4</v>
      </c>
      <c r="C65" s="546"/>
      <c r="D65" s="1539"/>
      <c r="E65" s="1539"/>
      <c r="F65" s="569"/>
      <c r="G65" s="1217"/>
      <c r="H65" s="598"/>
      <c r="I65" s="1238"/>
      <c r="J65" s="1472"/>
      <c r="K65" s="1472"/>
      <c r="L65" s="1472"/>
      <c r="M65" s="1472"/>
      <c r="N65" s="1472"/>
      <c r="O65" s="1472"/>
      <c r="P65" s="1472"/>
      <c r="Q65" s="1721"/>
      <c r="R65" s="488"/>
    </row>
    <row r="66" spans="2:18" ht="13" x14ac:dyDescent="0.3">
      <c r="B66" s="533">
        <v>5</v>
      </c>
      <c r="C66" s="546"/>
      <c r="D66" s="1539"/>
      <c r="E66" s="1539"/>
      <c r="F66" s="765"/>
      <c r="G66" s="1217"/>
      <c r="H66" s="598"/>
      <c r="I66" s="1238"/>
      <c r="J66" s="1472"/>
      <c r="K66" s="1472"/>
      <c r="L66" s="1472"/>
      <c r="M66" s="1472"/>
      <c r="N66" s="1472"/>
      <c r="O66" s="1472"/>
      <c r="P66" s="1472"/>
      <c r="Q66" s="1721"/>
      <c r="R66" s="488"/>
    </row>
    <row r="67" spans="2:18" ht="13" x14ac:dyDescent="0.3">
      <c r="B67" s="757">
        <v>6</v>
      </c>
      <c r="C67" s="760"/>
      <c r="D67" s="1588"/>
      <c r="E67" s="1588"/>
      <c r="F67" s="1191"/>
      <c r="G67" s="1191"/>
      <c r="H67" s="761"/>
      <c r="I67" s="1191"/>
      <c r="J67" s="1723"/>
      <c r="K67" s="1724"/>
      <c r="L67" s="1724"/>
      <c r="M67" s="1724"/>
      <c r="N67" s="1724"/>
      <c r="O67" s="1724"/>
      <c r="P67" s="1724"/>
      <c r="Q67" s="1725"/>
      <c r="R67" s="488"/>
    </row>
    <row r="68" spans="2:18" ht="13" x14ac:dyDescent="0.3">
      <c r="B68" s="533">
        <v>7</v>
      </c>
      <c r="C68" s="546"/>
      <c r="D68" s="1539"/>
      <c r="E68" s="1539"/>
      <c r="F68" s="1217"/>
      <c r="G68" s="1217"/>
      <c r="H68" s="762"/>
      <c r="I68" s="1217"/>
      <c r="J68" s="1462"/>
      <c r="K68" s="1462"/>
      <c r="L68" s="1462"/>
      <c r="M68" s="1462"/>
      <c r="N68" s="1462"/>
      <c r="O68" s="1462"/>
      <c r="P68" s="1462"/>
      <c r="Q68" s="1556"/>
      <c r="R68" s="488"/>
    </row>
    <row r="69" spans="2:18" ht="13" x14ac:dyDescent="0.3">
      <c r="B69" s="533">
        <v>8</v>
      </c>
      <c r="C69" s="546"/>
      <c r="D69" s="1539"/>
      <c r="E69" s="1539"/>
      <c r="F69" s="1217"/>
      <c r="G69" s="557"/>
      <c r="H69" s="559"/>
      <c r="I69" s="1238"/>
      <c r="J69" s="1472"/>
      <c r="K69" s="1473"/>
      <c r="L69" s="1473"/>
      <c r="M69" s="1473"/>
      <c r="N69" s="1473"/>
      <c r="O69" s="1473"/>
      <c r="P69" s="1473"/>
      <c r="Q69" s="1474"/>
      <c r="R69" s="488"/>
    </row>
    <row r="70" spans="2:18" ht="13" x14ac:dyDescent="0.3">
      <c r="B70" s="533">
        <v>9</v>
      </c>
      <c r="C70" s="546"/>
      <c r="D70" s="1539"/>
      <c r="E70" s="1539"/>
      <c r="F70" s="1217"/>
      <c r="G70" s="1217"/>
      <c r="H70" s="571"/>
      <c r="I70" s="1217"/>
      <c r="J70" s="1507"/>
      <c r="K70" s="1514"/>
      <c r="L70" s="1514"/>
      <c r="M70" s="1514"/>
      <c r="N70" s="1514"/>
      <c r="O70" s="1514"/>
      <c r="P70" s="1514"/>
      <c r="Q70" s="1515"/>
      <c r="R70" s="488"/>
    </row>
    <row r="71" spans="2:18" ht="13" x14ac:dyDescent="0.3">
      <c r="B71" s="533">
        <v>10</v>
      </c>
      <c r="C71" s="546"/>
      <c r="D71" s="1539"/>
      <c r="E71" s="1539"/>
      <c r="F71" s="1217"/>
      <c r="G71" s="1217"/>
      <c r="H71" s="571"/>
      <c r="I71" s="1217"/>
      <c r="J71" s="1507"/>
      <c r="K71" s="1514"/>
      <c r="L71" s="1514"/>
      <c r="M71" s="1514"/>
      <c r="N71" s="1514"/>
      <c r="O71" s="1514"/>
      <c r="P71" s="1514"/>
      <c r="Q71" s="1515"/>
      <c r="R71" s="488"/>
    </row>
    <row r="72" spans="2:18" s="491" customFormat="1" ht="13" x14ac:dyDescent="0.3">
      <c r="B72" s="536">
        <v>11</v>
      </c>
      <c r="C72" s="555"/>
      <c r="D72" s="1437"/>
      <c r="E72" s="1438"/>
      <c r="F72" s="556"/>
      <c r="G72" s="557"/>
      <c r="H72" s="556"/>
      <c r="I72" s="557"/>
      <c r="J72" s="1437"/>
      <c r="K72" s="1448"/>
      <c r="L72" s="1448"/>
      <c r="M72" s="1448"/>
      <c r="N72" s="1448"/>
      <c r="O72" s="1448"/>
      <c r="P72" s="1448"/>
      <c r="Q72" s="1438"/>
    </row>
    <row r="73" spans="2:18" s="491" customFormat="1" ht="13" x14ac:dyDescent="0.3">
      <c r="B73" s="536">
        <v>12</v>
      </c>
      <c r="C73" s="555"/>
      <c r="D73" s="1437"/>
      <c r="E73" s="1438"/>
      <c r="F73" s="556"/>
      <c r="G73" s="557"/>
      <c r="H73" s="558"/>
      <c r="I73" s="557"/>
      <c r="J73" s="1472"/>
      <c r="K73" s="1473"/>
      <c r="L73" s="1473"/>
      <c r="M73" s="1473"/>
      <c r="N73" s="1473"/>
      <c r="O73" s="1473"/>
      <c r="P73" s="1473"/>
      <c r="Q73" s="1474"/>
    </row>
    <row r="74" spans="2:18" s="491" customFormat="1" ht="13" x14ac:dyDescent="0.3">
      <c r="B74" s="536">
        <v>13</v>
      </c>
      <c r="C74" s="555"/>
      <c r="D74" s="1437"/>
      <c r="E74" s="1438"/>
      <c r="F74" s="556"/>
      <c r="G74" s="557"/>
      <c r="H74" s="556"/>
      <c r="I74" s="557"/>
      <c r="J74" s="1472"/>
      <c r="K74" s="1473"/>
      <c r="L74" s="1473"/>
      <c r="M74" s="1473"/>
      <c r="N74" s="1473"/>
      <c r="O74" s="1473"/>
      <c r="P74" s="1473"/>
      <c r="Q74" s="1474"/>
    </row>
    <row r="75" spans="2:18" s="489" customFormat="1" ht="13.15" customHeight="1" x14ac:dyDescent="0.3">
      <c r="B75" s="536">
        <v>14</v>
      </c>
      <c r="C75" s="555"/>
      <c r="D75" s="1437"/>
      <c r="E75" s="1438"/>
      <c r="F75" s="556"/>
      <c r="G75" s="557"/>
      <c r="H75" s="556"/>
      <c r="I75" s="557"/>
      <c r="J75" s="1472"/>
      <c r="K75" s="1473"/>
      <c r="L75" s="1473"/>
      <c r="M75" s="1473"/>
      <c r="N75" s="1473"/>
      <c r="O75" s="1473"/>
      <c r="P75" s="1473"/>
      <c r="Q75" s="1474"/>
    </row>
    <row r="76" spans="2:18" s="489" customFormat="1" ht="13" x14ac:dyDescent="0.3">
      <c r="B76" s="536">
        <v>15</v>
      </c>
      <c r="C76" s="555"/>
      <c r="D76" s="1437"/>
      <c r="E76" s="1438"/>
      <c r="F76" s="556"/>
      <c r="G76" s="557"/>
      <c r="H76" s="559"/>
      <c r="I76" s="557"/>
      <c r="J76" s="1472"/>
      <c r="K76" s="1473"/>
      <c r="L76" s="1473"/>
      <c r="M76" s="1473"/>
      <c r="N76" s="1473"/>
      <c r="O76" s="1473"/>
      <c r="P76" s="1473"/>
      <c r="Q76" s="1474"/>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734"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734"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734"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734"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734" t="s">
        <v>491</v>
      </c>
      <c r="F85" s="1489" t="s">
        <v>485</v>
      </c>
      <c r="G85" s="1490"/>
      <c r="H85" s="1490"/>
      <c r="I85" s="1490"/>
      <c r="J85" s="1490"/>
      <c r="K85" s="1490"/>
      <c r="L85" s="1490"/>
      <c r="M85" s="1490"/>
      <c r="N85" s="1490"/>
      <c r="O85" s="1490"/>
      <c r="P85" s="1490"/>
      <c r="Q85" s="1491"/>
      <c r="R85" s="488"/>
    </row>
    <row r="86" spans="2:18" ht="13" x14ac:dyDescent="0.3">
      <c r="B86" s="533">
        <v>6</v>
      </c>
      <c r="C86" s="563" t="s">
        <v>975</v>
      </c>
      <c r="D86" s="562">
        <v>5.6779999999999999</v>
      </c>
      <c r="E86" s="734" t="s">
        <v>976</v>
      </c>
      <c r="F86" s="1489" t="s">
        <v>977</v>
      </c>
      <c r="G86" s="1490"/>
      <c r="H86" s="1490"/>
      <c r="I86" s="1490"/>
      <c r="J86" s="1490"/>
      <c r="K86" s="1490"/>
      <c r="L86" s="1490"/>
      <c r="M86" s="1490"/>
      <c r="N86" s="1490"/>
      <c r="O86" s="1490"/>
      <c r="P86" s="1490"/>
      <c r="Q86" s="1491"/>
      <c r="R86" s="488"/>
    </row>
    <row r="87" spans="2:18" ht="13" x14ac:dyDescent="0.3">
      <c r="B87" s="533">
        <v>7</v>
      </c>
      <c r="C87" s="563" t="s">
        <v>978</v>
      </c>
      <c r="D87" s="562">
        <v>10.7639</v>
      </c>
      <c r="E87" s="734" t="s">
        <v>979</v>
      </c>
      <c r="F87" s="1486" t="s">
        <v>482</v>
      </c>
      <c r="G87" s="1487"/>
      <c r="H87" s="1487"/>
      <c r="I87" s="1487"/>
      <c r="J87" s="1487"/>
      <c r="K87" s="1487"/>
      <c r="L87" s="1487"/>
      <c r="M87" s="1487"/>
      <c r="N87" s="1487"/>
      <c r="O87" s="1487"/>
      <c r="P87" s="1487"/>
      <c r="Q87" s="1488"/>
      <c r="R87" s="488"/>
    </row>
    <row r="88" spans="2:18" ht="13" x14ac:dyDescent="0.3">
      <c r="B88" s="533">
        <v>8</v>
      </c>
      <c r="C88" s="563" t="s">
        <v>980</v>
      </c>
      <c r="D88" s="562">
        <v>24</v>
      </c>
      <c r="E88" s="734" t="s">
        <v>981</v>
      </c>
      <c r="F88" s="1486" t="s">
        <v>982</v>
      </c>
      <c r="G88" s="1487"/>
      <c r="H88" s="1487"/>
      <c r="I88" s="1487"/>
      <c r="J88" s="1487"/>
      <c r="K88" s="1487"/>
      <c r="L88" s="1487"/>
      <c r="M88" s="1487"/>
      <c r="N88" s="1487"/>
      <c r="O88" s="1487"/>
      <c r="P88" s="1487"/>
      <c r="Q88" s="1488"/>
      <c r="R88" s="488"/>
    </row>
    <row r="89" spans="2:18" ht="13" x14ac:dyDescent="0.3">
      <c r="B89" s="533">
        <v>9</v>
      </c>
      <c r="C89" s="563"/>
      <c r="D89" s="1233"/>
      <c r="E89" s="1182"/>
      <c r="F89" s="1489"/>
      <c r="G89" s="1490"/>
      <c r="H89" s="1490"/>
      <c r="I89" s="1490"/>
      <c r="J89" s="1490"/>
      <c r="K89" s="1490"/>
      <c r="L89" s="1490"/>
      <c r="M89" s="1490"/>
      <c r="N89" s="1490"/>
      <c r="O89" s="1490"/>
      <c r="P89" s="1490"/>
      <c r="Q89" s="1491"/>
      <c r="R89" s="488"/>
    </row>
    <row r="90" spans="2:18" ht="13" x14ac:dyDescent="0.3">
      <c r="B90" s="533">
        <v>10</v>
      </c>
      <c r="C90" s="563"/>
      <c r="D90" s="564"/>
      <c r="E90" s="1182"/>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08"/>
      <c r="Q95" s="1409"/>
      <c r="R95" s="488"/>
    </row>
    <row r="96" spans="2:18" ht="25.5" customHeight="1" x14ac:dyDescent="0.3">
      <c r="B96" s="1188" t="s">
        <v>478</v>
      </c>
      <c r="C96" s="1402" t="s">
        <v>505</v>
      </c>
      <c r="D96" s="1431"/>
      <c r="E96" s="565"/>
      <c r="F96" s="565"/>
      <c r="G96" s="565"/>
      <c r="H96" s="565"/>
      <c r="I96" s="565"/>
      <c r="J96" s="565"/>
      <c r="K96" s="565"/>
      <c r="L96" s="565"/>
      <c r="M96" s="565"/>
      <c r="N96" s="566"/>
      <c r="O96" s="1410"/>
      <c r="P96" s="1411"/>
      <c r="Q96" s="1412"/>
      <c r="R96" s="488"/>
    </row>
    <row r="97" spans="2:18" ht="13" x14ac:dyDescent="0.3">
      <c r="B97" s="533">
        <v>1</v>
      </c>
      <c r="C97" s="546"/>
      <c r="D97" s="1241"/>
      <c r="E97" s="1190"/>
      <c r="F97" s="568"/>
      <c r="G97" s="1190"/>
      <c r="H97" s="1190"/>
      <c r="I97" s="568"/>
      <c r="J97" s="568"/>
      <c r="K97" s="568"/>
      <c r="L97" s="568"/>
      <c r="M97" s="568"/>
      <c r="N97" s="568"/>
      <c r="O97" s="1501"/>
      <c r="P97" s="1502"/>
      <c r="Q97" s="1503"/>
      <c r="R97" s="488"/>
    </row>
    <row r="98" spans="2:18" ht="13" x14ac:dyDescent="0.3">
      <c r="B98" s="533">
        <v>2</v>
      </c>
      <c r="C98" s="546"/>
      <c r="D98" s="1241"/>
      <c r="E98" s="1190"/>
      <c r="F98" s="568"/>
      <c r="G98" s="1190"/>
      <c r="H98" s="1190"/>
      <c r="I98" s="568"/>
      <c r="J98" s="568"/>
      <c r="K98" s="568"/>
      <c r="L98" s="568"/>
      <c r="M98" s="568"/>
      <c r="N98" s="568"/>
      <c r="O98" s="1495"/>
      <c r="P98" s="1496"/>
      <c r="Q98" s="1497"/>
      <c r="R98" s="488"/>
    </row>
    <row r="99" spans="2:18" ht="13" x14ac:dyDescent="0.3">
      <c r="B99" s="533">
        <v>3</v>
      </c>
      <c r="C99" s="546"/>
      <c r="D99" s="1241"/>
      <c r="E99" s="1190"/>
      <c r="F99" s="568"/>
      <c r="G99" s="1190"/>
      <c r="H99" s="1190"/>
      <c r="I99" s="568"/>
      <c r="J99" s="568"/>
      <c r="K99" s="568"/>
      <c r="L99" s="568"/>
      <c r="M99" s="568"/>
      <c r="N99" s="568"/>
      <c r="O99" s="1495"/>
      <c r="P99" s="1496"/>
      <c r="Q99" s="1497"/>
      <c r="R99" s="488"/>
    </row>
    <row r="100" spans="2:18" ht="13" x14ac:dyDescent="0.3">
      <c r="B100" s="533">
        <v>4</v>
      </c>
      <c r="C100" s="546"/>
      <c r="D100" s="1241"/>
      <c r="E100" s="1190"/>
      <c r="F100" s="568"/>
      <c r="G100" s="1190"/>
      <c r="H100" s="1190"/>
      <c r="I100" s="568"/>
      <c r="J100" s="568"/>
      <c r="K100" s="568"/>
      <c r="L100" s="568"/>
      <c r="M100" s="568"/>
      <c r="N100" s="568"/>
      <c r="O100" s="1495"/>
      <c r="P100" s="1496"/>
      <c r="Q100" s="1497"/>
      <c r="R100" s="488"/>
    </row>
    <row r="101" spans="2:18" ht="13" x14ac:dyDescent="0.3">
      <c r="B101" s="533">
        <v>5</v>
      </c>
      <c r="C101" s="546"/>
      <c r="D101" s="1241"/>
      <c r="E101" s="1190"/>
      <c r="F101" s="568"/>
      <c r="G101" s="1190"/>
      <c r="H101" s="1190"/>
      <c r="I101" s="568"/>
      <c r="J101" s="568"/>
      <c r="K101" s="568"/>
      <c r="L101" s="568"/>
      <c r="M101" s="568"/>
      <c r="N101" s="568"/>
      <c r="O101" s="1495"/>
      <c r="P101" s="1496"/>
      <c r="Q101" s="1497"/>
      <c r="R101" s="488"/>
    </row>
    <row r="102" spans="2:18" ht="13" x14ac:dyDescent="0.3">
      <c r="B102" s="533">
        <v>6</v>
      </c>
      <c r="C102" s="546"/>
      <c r="D102" s="1241"/>
      <c r="E102" s="1190"/>
      <c r="F102" s="568"/>
      <c r="G102" s="1190"/>
      <c r="H102" s="1190"/>
      <c r="I102" s="569"/>
      <c r="J102" s="569"/>
      <c r="K102" s="569"/>
      <c r="L102" s="569"/>
      <c r="M102" s="569"/>
      <c r="N102" s="569"/>
      <c r="O102" s="1492"/>
      <c r="P102" s="1493"/>
      <c r="Q102" s="1494"/>
      <c r="R102" s="488"/>
    </row>
    <row r="103" spans="2:18" ht="13" x14ac:dyDescent="0.3">
      <c r="B103" s="533">
        <v>7</v>
      </c>
      <c r="C103" s="546"/>
      <c r="D103" s="1241"/>
      <c r="E103" s="1190"/>
      <c r="F103" s="568"/>
      <c r="G103" s="569"/>
      <c r="H103" s="1190"/>
      <c r="I103" s="569"/>
      <c r="J103" s="569"/>
      <c r="K103" s="569"/>
      <c r="L103" s="569"/>
      <c r="M103" s="569"/>
      <c r="N103" s="569"/>
      <c r="O103" s="1492"/>
      <c r="P103" s="1493"/>
      <c r="Q103" s="1494"/>
      <c r="R103" s="488"/>
    </row>
    <row r="104" spans="2:18" ht="13" x14ac:dyDescent="0.3">
      <c r="B104" s="533">
        <v>8</v>
      </c>
      <c r="C104" s="546"/>
      <c r="D104" s="1241"/>
      <c r="E104" s="1190"/>
      <c r="F104" s="568"/>
      <c r="G104" s="569"/>
      <c r="H104" s="569"/>
      <c r="I104" s="569"/>
      <c r="J104" s="569"/>
      <c r="K104" s="569"/>
      <c r="L104" s="569"/>
      <c r="M104" s="569"/>
      <c r="N104" s="569"/>
      <c r="O104" s="1492"/>
      <c r="P104" s="1493"/>
      <c r="Q104" s="1494"/>
      <c r="R104" s="488"/>
    </row>
    <row r="105" spans="2:18" ht="13" x14ac:dyDescent="0.3">
      <c r="B105" s="533">
        <v>9</v>
      </c>
      <c r="C105" s="546"/>
      <c r="D105" s="1241"/>
      <c r="E105" s="1190"/>
      <c r="F105" s="568"/>
      <c r="G105" s="1217"/>
      <c r="H105" s="1217"/>
      <c r="I105" s="569"/>
      <c r="J105" s="569"/>
      <c r="K105" s="569"/>
      <c r="L105" s="569"/>
      <c r="M105" s="569"/>
      <c r="N105" s="569"/>
      <c r="O105" s="1492"/>
      <c r="P105" s="1493"/>
      <c r="Q105" s="1494"/>
      <c r="R105" s="488"/>
    </row>
    <row r="106" spans="2:18" ht="13" x14ac:dyDescent="0.3">
      <c r="B106" s="533">
        <v>10</v>
      </c>
      <c r="C106" s="546"/>
      <c r="D106" s="1241"/>
      <c r="E106" s="1190"/>
      <c r="F106" s="568"/>
      <c r="G106" s="1217"/>
      <c r="H106" s="1217"/>
      <c r="I106" s="569"/>
      <c r="J106" s="569"/>
      <c r="K106" s="569"/>
      <c r="L106" s="569"/>
      <c r="M106" s="569"/>
      <c r="N106" s="569"/>
      <c r="O106" s="1492"/>
      <c r="P106" s="1493"/>
      <c r="Q106" s="1494"/>
      <c r="R106" s="488"/>
    </row>
    <row r="107" spans="2:18" ht="13" x14ac:dyDescent="0.3">
      <c r="B107" s="533">
        <v>11</v>
      </c>
      <c r="C107" s="546"/>
      <c r="D107" s="1241"/>
      <c r="E107" s="1190"/>
      <c r="F107" s="568"/>
      <c r="G107" s="571"/>
      <c r="H107" s="571"/>
      <c r="I107" s="569"/>
      <c r="J107" s="569"/>
      <c r="K107" s="569"/>
      <c r="L107" s="569"/>
      <c r="M107" s="569"/>
      <c r="N107" s="569"/>
      <c r="O107" s="1492"/>
      <c r="P107" s="1493"/>
      <c r="Q107" s="1494"/>
      <c r="R107" s="488"/>
    </row>
    <row r="108" spans="2:18" ht="13" x14ac:dyDescent="0.3">
      <c r="B108" s="533">
        <v>12</v>
      </c>
      <c r="C108" s="546"/>
      <c r="D108" s="1184"/>
      <c r="E108" s="1217"/>
      <c r="F108" s="1190"/>
      <c r="G108" s="1217"/>
      <c r="H108" s="1217"/>
      <c r="I108" s="569"/>
      <c r="J108" s="569"/>
      <c r="K108" s="569"/>
      <c r="L108" s="569"/>
      <c r="M108" s="569"/>
      <c r="N108" s="569"/>
      <c r="O108" s="1492"/>
      <c r="P108" s="1493"/>
      <c r="Q108" s="1494"/>
      <c r="R108" s="488"/>
    </row>
    <row r="109" spans="2:18" ht="13" x14ac:dyDescent="0.3">
      <c r="B109" s="533">
        <v>13</v>
      </c>
      <c r="C109" s="546"/>
      <c r="D109" s="1184"/>
      <c r="E109" s="1217"/>
      <c r="F109" s="1217"/>
      <c r="G109" s="1217"/>
      <c r="H109" s="1217"/>
      <c r="I109" s="569"/>
      <c r="J109" s="569"/>
      <c r="K109" s="569"/>
      <c r="L109" s="569"/>
      <c r="M109" s="569"/>
      <c r="N109" s="569"/>
      <c r="O109" s="1492"/>
      <c r="P109" s="1493"/>
      <c r="Q109" s="1494"/>
      <c r="R109" s="488"/>
    </row>
    <row r="110" spans="2:18" ht="13" x14ac:dyDescent="0.3">
      <c r="B110" s="533">
        <v>14</v>
      </c>
      <c r="C110" s="546"/>
      <c r="D110" s="1184"/>
      <c r="E110" s="572"/>
      <c r="F110" s="572"/>
      <c r="G110" s="572"/>
      <c r="H110" s="572"/>
      <c r="I110" s="569"/>
      <c r="J110" s="569"/>
      <c r="K110" s="569"/>
      <c r="L110" s="569"/>
      <c r="M110" s="569"/>
      <c r="N110" s="569"/>
      <c r="O110" s="1492"/>
      <c r="P110" s="1493"/>
      <c r="Q110" s="1494"/>
      <c r="R110" s="488"/>
    </row>
    <row r="111" spans="2:18" ht="13" x14ac:dyDescent="0.3">
      <c r="B111" s="533">
        <v>15</v>
      </c>
      <c r="C111" s="546"/>
      <c r="D111" s="1184"/>
      <c r="E111" s="572"/>
      <c r="F111" s="572"/>
      <c r="G111" s="572"/>
      <c r="H111" s="572"/>
      <c r="I111" s="569"/>
      <c r="J111" s="569"/>
      <c r="K111" s="569"/>
      <c r="L111" s="569"/>
      <c r="M111" s="569"/>
      <c r="N111" s="569"/>
      <c r="O111" s="1492"/>
      <c r="P111" s="1493"/>
      <c r="Q111" s="1494"/>
      <c r="R111" s="488"/>
    </row>
    <row r="112" spans="2:18" ht="13" x14ac:dyDescent="0.3">
      <c r="B112" s="533">
        <v>16</v>
      </c>
      <c r="C112" s="546"/>
      <c r="D112" s="1184"/>
      <c r="E112" s="572"/>
      <c r="F112" s="572"/>
      <c r="G112" s="572"/>
      <c r="H112" s="572"/>
      <c r="I112" s="569"/>
      <c r="J112" s="569"/>
      <c r="K112" s="569"/>
      <c r="L112" s="569"/>
      <c r="M112" s="569"/>
      <c r="N112" s="569"/>
      <c r="O112" s="1492"/>
      <c r="P112" s="1493"/>
      <c r="Q112" s="1494"/>
      <c r="R112" s="488"/>
    </row>
    <row r="113" spans="2:18" ht="13" x14ac:dyDescent="0.3">
      <c r="B113" s="533">
        <v>17</v>
      </c>
      <c r="C113" s="546"/>
      <c r="D113" s="1184"/>
      <c r="E113" s="572"/>
      <c r="F113" s="572"/>
      <c r="G113" s="572"/>
      <c r="H113" s="572"/>
      <c r="I113" s="569"/>
      <c r="J113" s="569"/>
      <c r="K113" s="569"/>
      <c r="L113" s="569"/>
      <c r="M113" s="569"/>
      <c r="N113" s="569"/>
      <c r="O113" s="1492"/>
      <c r="P113" s="1493"/>
      <c r="Q113" s="1494"/>
      <c r="R113" s="488"/>
    </row>
    <row r="114" spans="2:18" ht="13" x14ac:dyDescent="0.3">
      <c r="B114" s="533">
        <v>18</v>
      </c>
      <c r="C114" s="546"/>
      <c r="D114" s="1184"/>
      <c r="E114" s="572"/>
      <c r="F114" s="572"/>
      <c r="G114" s="572"/>
      <c r="H114" s="572"/>
      <c r="I114" s="569"/>
      <c r="J114" s="569"/>
      <c r="K114" s="569"/>
      <c r="L114" s="569"/>
      <c r="M114" s="569"/>
      <c r="N114" s="569"/>
      <c r="O114" s="1492"/>
      <c r="P114" s="1493"/>
      <c r="Q114" s="1494"/>
      <c r="R114" s="488"/>
    </row>
    <row r="115" spans="2:18" ht="13" x14ac:dyDescent="0.3">
      <c r="B115" s="533">
        <v>19</v>
      </c>
      <c r="C115" s="546"/>
      <c r="D115" s="1184"/>
      <c r="E115" s="572"/>
      <c r="F115" s="572"/>
      <c r="G115" s="572"/>
      <c r="H115" s="572"/>
      <c r="I115" s="569"/>
      <c r="J115" s="569"/>
      <c r="K115" s="569"/>
      <c r="L115" s="569"/>
      <c r="M115" s="569"/>
      <c r="N115" s="569"/>
      <c r="O115" s="1492"/>
      <c r="P115" s="1493"/>
      <c r="Q115" s="1494"/>
      <c r="R115" s="488"/>
    </row>
    <row r="116" spans="2:18" ht="13" x14ac:dyDescent="0.3">
      <c r="B116" s="533">
        <v>20</v>
      </c>
      <c r="C116" s="546"/>
      <c r="D116" s="1184"/>
      <c r="E116" s="572"/>
      <c r="F116" s="572"/>
      <c r="G116" s="572"/>
      <c r="H116" s="572"/>
      <c r="I116" s="569"/>
      <c r="J116" s="569"/>
      <c r="K116" s="569"/>
      <c r="L116" s="569"/>
      <c r="M116" s="569"/>
      <c r="N116" s="569"/>
      <c r="O116" s="1492"/>
      <c r="P116" s="1493"/>
      <c r="Q116" s="1494"/>
      <c r="R116" s="488"/>
    </row>
  </sheetData>
  <sheetProtection algorithmName="SHA-512" hashValue="5ubPRKXz6f1SvLKYOzlcdoa2jgGZawm8lhbtHMe7iSbAO11eq405Eljv/u6VhP7mLbndU/J00kuz5GAFi/2G5A==" saltValue="WrJ1gWacQ0DWyow8Lx+5ew==" spinCount="100000" sheet="1" objects="1" scenarios="1" selectLockedCells="1" selectUnlockedCells="1"/>
  <mergeCells count="121">
    <mergeCell ref="O116:Q116"/>
    <mergeCell ref="O110:Q110"/>
    <mergeCell ref="O111:Q111"/>
    <mergeCell ref="O112:Q112"/>
    <mergeCell ref="O113:Q113"/>
    <mergeCell ref="O114:Q114"/>
    <mergeCell ref="O115:Q115"/>
    <mergeCell ref="O104:Q104"/>
    <mergeCell ref="O105:Q105"/>
    <mergeCell ref="O106:Q106"/>
    <mergeCell ref="O107:Q107"/>
    <mergeCell ref="O108:Q108"/>
    <mergeCell ref="O109:Q109"/>
    <mergeCell ref="O98:Q98"/>
    <mergeCell ref="O99:Q99"/>
    <mergeCell ref="O100:Q100"/>
    <mergeCell ref="O101:Q101"/>
    <mergeCell ref="O102:Q102"/>
    <mergeCell ref="O103:Q103"/>
    <mergeCell ref="F90:Q90"/>
    <mergeCell ref="E94:N94"/>
    <mergeCell ref="O94:Q96"/>
    <mergeCell ref="B95:D95"/>
    <mergeCell ref="C96:D96"/>
    <mergeCell ref="O97:Q97"/>
    <mergeCell ref="F84:Q84"/>
    <mergeCell ref="F85:Q85"/>
    <mergeCell ref="F86:Q86"/>
    <mergeCell ref="F87:Q87"/>
    <mergeCell ref="F88:Q88"/>
    <mergeCell ref="F89:Q89"/>
    <mergeCell ref="D76:E76"/>
    <mergeCell ref="J76:Q76"/>
    <mergeCell ref="F80:Q80"/>
    <mergeCell ref="F81:Q81"/>
    <mergeCell ref="F82:Q82"/>
    <mergeCell ref="F83:Q83"/>
    <mergeCell ref="D73:E73"/>
    <mergeCell ref="J73:Q73"/>
    <mergeCell ref="D74:E74"/>
    <mergeCell ref="J74:Q74"/>
    <mergeCell ref="D75:E75"/>
    <mergeCell ref="J75:Q75"/>
    <mergeCell ref="D70:E70"/>
    <mergeCell ref="J70:Q70"/>
    <mergeCell ref="D71:E71"/>
    <mergeCell ref="J71:Q71"/>
    <mergeCell ref="D72:E72"/>
    <mergeCell ref="J72:Q72"/>
    <mergeCell ref="D67:E67"/>
    <mergeCell ref="J67:Q67"/>
    <mergeCell ref="D68:E68"/>
    <mergeCell ref="J68:Q68"/>
    <mergeCell ref="D69:E69"/>
    <mergeCell ref="J69:Q69"/>
    <mergeCell ref="D64:E64"/>
    <mergeCell ref="J64:Q64"/>
    <mergeCell ref="D65:E65"/>
    <mergeCell ref="J65:Q65"/>
    <mergeCell ref="D66:E66"/>
    <mergeCell ref="J66:Q66"/>
    <mergeCell ref="D61:E61"/>
    <mergeCell ref="J61:Q61"/>
    <mergeCell ref="D62:E62"/>
    <mergeCell ref="J62:Q62"/>
    <mergeCell ref="D63:E63"/>
    <mergeCell ref="J63:Q63"/>
    <mergeCell ref="C55:M55"/>
    <mergeCell ref="P55:Q55"/>
    <mergeCell ref="C56:M56"/>
    <mergeCell ref="P56:Q56"/>
    <mergeCell ref="C57:M57"/>
    <mergeCell ref="P57:Q57"/>
    <mergeCell ref="C51:M51"/>
    <mergeCell ref="P51:Q51"/>
    <mergeCell ref="C53:M53"/>
    <mergeCell ref="P53:Q53"/>
    <mergeCell ref="C54:M54"/>
    <mergeCell ref="P54:Q54"/>
    <mergeCell ref="C48:M48"/>
    <mergeCell ref="P48:Q48"/>
    <mergeCell ref="C49:M49"/>
    <mergeCell ref="P49:Q49"/>
    <mergeCell ref="C50:M50"/>
    <mergeCell ref="P50:Q50"/>
    <mergeCell ref="C44:M44"/>
    <mergeCell ref="P44:Q44"/>
    <mergeCell ref="C45:M45"/>
    <mergeCell ref="P45:Q45"/>
    <mergeCell ref="C47:M47"/>
    <mergeCell ref="P47:Q47"/>
    <mergeCell ref="C41:M41"/>
    <mergeCell ref="P41:Q41"/>
    <mergeCell ref="C42:M42"/>
    <mergeCell ref="P42:Q42"/>
    <mergeCell ref="C43:M43"/>
    <mergeCell ref="P43:Q43"/>
    <mergeCell ref="E32:Q32"/>
    <mergeCell ref="E33:Q33"/>
    <mergeCell ref="E34:Q34"/>
    <mergeCell ref="E35:Q35"/>
    <mergeCell ref="E36:Q36"/>
    <mergeCell ref="E37:Q37"/>
    <mergeCell ref="D28:Q28"/>
    <mergeCell ref="D29:Q29"/>
    <mergeCell ref="D30:Q30"/>
    <mergeCell ref="D17:F17"/>
    <mergeCell ref="D18:F18"/>
    <mergeCell ref="B20:Q20"/>
    <mergeCell ref="C21:Q21"/>
    <mergeCell ref="C22:Q22"/>
    <mergeCell ref="C23:Q23"/>
    <mergeCell ref="C2:F2"/>
    <mergeCell ref="C3:F3"/>
    <mergeCell ref="C4:F4"/>
    <mergeCell ref="C5:F5"/>
    <mergeCell ref="D7:F7"/>
    <mergeCell ref="D8:F16"/>
    <mergeCell ref="D25:Q25"/>
    <mergeCell ref="D26:Q26"/>
    <mergeCell ref="D27:Q27"/>
  </mergeCells>
  <conditionalFormatting sqref="H70:H71">
    <cfRule type="expression" dxfId="3429" priority="76">
      <formula>IF(OR(#REF!="L",#REF!="C"),TRUE,FALSE)</formula>
    </cfRule>
  </conditionalFormatting>
  <conditionalFormatting sqref="H67">
    <cfRule type="expression" dxfId="3428" priority="75">
      <formula>IF(OR(#REF!="L",#REF!="C"),TRUE,FALSE)</formula>
    </cfRule>
  </conditionalFormatting>
  <conditionalFormatting sqref="H68">
    <cfRule type="expression" dxfId="3427" priority="74">
      <formula>IF(OR(#REF!="L",#REF!="C"),TRUE,FALSE)</formula>
    </cfRule>
  </conditionalFormatting>
  <conditionalFormatting sqref="F109:F116 G102:G116 H104:H116">
    <cfRule type="expression" dxfId="3426" priority="73">
      <formula>IF(OR(#REF!="L",#REF!="C"),TRUE,FALSE)</formula>
    </cfRule>
  </conditionalFormatting>
  <conditionalFormatting sqref="E110:E116">
    <cfRule type="expression" dxfId="3425" priority="72">
      <formula>IF(OR(#REF!="L",#REF!="C"),TRUE,FALSE)</formula>
    </cfRule>
  </conditionalFormatting>
  <conditionalFormatting sqref="E108">
    <cfRule type="expression" dxfId="3424" priority="71">
      <formula>IF(OR(#REF!="L",#REF!="C"),TRUE,FALSE)</formula>
    </cfRule>
  </conditionalFormatting>
  <conditionalFormatting sqref="E109">
    <cfRule type="expression" dxfId="3423" priority="70">
      <formula>IF(OR(#REF!="L",#REF!="C"),TRUE,FALSE)</formula>
    </cfRule>
  </conditionalFormatting>
  <conditionalFormatting sqref="E95 G95 I95 K95 M95">
    <cfRule type="duplicateValues" dxfId="3422" priority="69"/>
  </conditionalFormatting>
  <conditionalFormatting sqref="M104:M116">
    <cfRule type="expression" dxfId="3421" priority="60">
      <formula>IF(OR(#REF!="L",#REF!="C"),TRUE,FALSE)</formula>
    </cfRule>
  </conditionalFormatting>
  <conditionalFormatting sqref="I102:I103">
    <cfRule type="expression" dxfId="3420" priority="67">
      <formula>IF(OR(#REF!="L",#REF!="C"),TRUE,FALSE)</formula>
    </cfRule>
  </conditionalFormatting>
  <conditionalFormatting sqref="N102:N103">
    <cfRule type="expression" dxfId="3419" priority="57">
      <formula>IF(OR(#REF!="L",#REF!="C"),TRUE,FALSE)</formula>
    </cfRule>
  </conditionalFormatting>
  <conditionalFormatting sqref="I104:I116">
    <cfRule type="expression" dxfId="3418" priority="68">
      <formula>IF(OR(#REF!="L",#REF!="C"),TRUE,FALSE)</formula>
    </cfRule>
  </conditionalFormatting>
  <conditionalFormatting sqref="J102:J103">
    <cfRule type="expression" dxfId="3417" priority="65">
      <formula>IF(OR(#REF!="L",#REF!="C"),TRUE,FALSE)</formula>
    </cfRule>
  </conditionalFormatting>
  <conditionalFormatting sqref="J104:J116">
    <cfRule type="expression" dxfId="3416" priority="66">
      <formula>IF(OR(#REF!="L",#REF!="C"),TRUE,FALSE)</formula>
    </cfRule>
  </conditionalFormatting>
  <conditionalFormatting sqref="K102:K103">
    <cfRule type="expression" dxfId="3415" priority="63">
      <formula>IF(OR(#REF!="L",#REF!="C"),TRUE,FALSE)</formula>
    </cfRule>
  </conditionalFormatting>
  <conditionalFormatting sqref="K104:K116">
    <cfRule type="expression" dxfId="3414" priority="64">
      <formula>IF(OR(#REF!="L",#REF!="C"),TRUE,FALSE)</formula>
    </cfRule>
  </conditionalFormatting>
  <conditionalFormatting sqref="L102:L103">
    <cfRule type="expression" dxfId="3413" priority="61">
      <formula>IF(OR(#REF!="L",#REF!="C"),TRUE,FALSE)</formula>
    </cfRule>
  </conditionalFormatting>
  <conditionalFormatting sqref="L104:L116">
    <cfRule type="expression" dxfId="3412" priority="62">
      <formula>IF(OR(#REF!="L",#REF!="C"),TRUE,FALSE)</formula>
    </cfRule>
  </conditionalFormatting>
  <conditionalFormatting sqref="M102:M103">
    <cfRule type="expression" dxfId="3411" priority="59">
      <formula>IF(OR(#REF!="L",#REF!="C"),TRUE,FALSE)</formula>
    </cfRule>
  </conditionalFormatting>
  <conditionalFormatting sqref="N104:N116">
    <cfRule type="expression" dxfId="3410" priority="58">
      <formula>IF(OR(#REF!="L",#REF!="C"),TRUE,FALSE)</formula>
    </cfRule>
  </conditionalFormatting>
  <conditionalFormatting sqref="O104:O116">
    <cfRule type="expression" dxfId="3409" priority="56">
      <formula>IF(OR(#REF!="L",#REF!="C"),TRUE,FALSE)</formula>
    </cfRule>
  </conditionalFormatting>
  <conditionalFormatting sqref="O102:O103">
    <cfRule type="expression" dxfId="3408" priority="55">
      <formula>IF(OR(#REF!="L",#REF!="C"),TRUE,FALSE)</formula>
    </cfRule>
  </conditionalFormatting>
  <conditionalFormatting sqref="E96:N96">
    <cfRule type="duplicateValues" dxfId="3407" priority="54"/>
  </conditionalFormatting>
  <conditionalFormatting sqref="H72">
    <cfRule type="expression" dxfId="3406" priority="53">
      <formula>IF(OR(#REF!="L",#REF!="C"),TRUE,FALSE)</formula>
    </cfRule>
  </conditionalFormatting>
  <conditionalFormatting sqref="H73">
    <cfRule type="expression" dxfId="3405" priority="52">
      <formula>IF(OR(#REF!="L",#REF!="C"),TRUE,FALSE)</formula>
    </cfRule>
  </conditionalFormatting>
  <conditionalFormatting sqref="H74">
    <cfRule type="expression" dxfId="3404" priority="51">
      <formula>IF(OR(#REF!="L",#REF!="C"),TRUE,FALSE)</formula>
    </cfRule>
  </conditionalFormatting>
  <conditionalFormatting sqref="H75">
    <cfRule type="expression" dxfId="3403" priority="50">
      <formula>IF(OR(#REF!="L",#REF!="C"),TRUE,FALSE)</formula>
    </cfRule>
  </conditionalFormatting>
  <conditionalFormatting sqref="H76">
    <cfRule type="expression" dxfId="3402" priority="49">
      <formula>IF(OR(#REF!="L",#REF!="C"),TRUE,FALSE)</formula>
    </cfRule>
  </conditionalFormatting>
  <conditionalFormatting sqref="H65">
    <cfRule type="expression" dxfId="3401" priority="48">
      <formula>IF(OR(#REF!="L",#REF!="C"),TRUE,FALSE)</formula>
    </cfRule>
  </conditionalFormatting>
  <conditionalFormatting sqref="H66">
    <cfRule type="expression" dxfId="3400" priority="26">
      <formula>IF(OR(#REF!="L",#REF!="C"),TRUE,FALSE)</formula>
    </cfRule>
  </conditionalFormatting>
  <conditionalFormatting sqref="H62">
    <cfRule type="expression" dxfId="3399" priority="25">
      <formula>IF(OR(#REF!="L",#REF!="C"),TRUE,FALSE)</formula>
    </cfRule>
  </conditionalFormatting>
  <conditionalFormatting sqref="H69">
    <cfRule type="expression" dxfId="3398" priority="24">
      <formula>IF(OR(#REF!="L",#REF!="C"),TRUE,FALSE)</formula>
    </cfRule>
  </conditionalFormatting>
  <dataValidations count="9">
    <dataValidation type="list" allowBlank="1" showInputMessage="1" showErrorMessage="1" sqref="F63:F64" xr:uid="{30B1E414-389B-40A3-882D-F303941392D7}">
      <formula1>#REF!</formula1>
    </dataValidation>
    <dataValidation type="list" allowBlank="1" showInputMessage="1" showErrorMessage="1" sqref="C4" xr:uid="{3AADF7E9-14AD-47C0-9FBF-8E44A1832E96}">
      <formula1>"COM,RES"</formula1>
    </dataValidation>
    <dataValidation type="list" allowBlank="1" showInputMessage="1" showErrorMessage="1" sqref="F72:F74" xr:uid="{84CE7F5B-C9ED-46B6-B909-AB18C29F3068}">
      <formula1>$C$98:$C$103</formula1>
    </dataValidation>
    <dataValidation type="list" allowBlank="1" showInputMessage="1" showErrorMessage="1" sqref="H67" xr:uid="{6D660A77-70CA-4F83-A8D8-B2AB0A20038F}">
      <formula1>#REF!</formula1>
    </dataValidation>
    <dataValidation type="list" allowBlank="1" showInputMessage="1" showErrorMessage="1" sqref="C9" xr:uid="{67FC4BA6-8F22-46B5-A0C7-82FC9C3522B4}">
      <formula1>INDIRECT("MeasureTypeList[Index]")</formula1>
    </dataValidation>
    <dataValidation type="list" allowBlank="1" showInputMessage="1" showErrorMessage="1" sqref="C26" xr:uid="{846975D6-4924-43E9-9CEE-12F5678666F9}">
      <formula1>INDIRECT("RegionList[Index]")</formula1>
    </dataValidation>
    <dataValidation type="list" allowBlank="1" showInputMessage="1" showErrorMessage="1" sqref="C27" xr:uid="{1FC012E2-5C9E-467A-9DEC-BFA40C9900BE}">
      <formula1>INDIRECT("ReplacementTypeList[Index]")</formula1>
    </dataValidation>
    <dataValidation type="list" allowBlank="1" showInputMessage="1" showErrorMessage="1" sqref="C28" xr:uid="{A0235D19-1224-4D01-AB72-3D7DDCE432E9}">
      <formula1>INDIRECT("BuildingType[Building]")</formula1>
    </dataValidation>
    <dataValidation type="list" allowBlank="1" showInputMessage="1" showErrorMessage="1" sqref="C29 C30" xr:uid="{C08E84E3-C122-40F9-B89F-A1DAC0905E80}">
      <formula1>INDIRECT("FuelTypeList[Index]")</formula1>
    </dataValidation>
  </dataValidations>
  <hyperlinks>
    <hyperlink ref="F83" r:id="rId1" xr:uid="{C6C63A3B-95AF-41F9-8EC4-C7C7626E890F}"/>
    <hyperlink ref="F85" r:id="rId2" xr:uid="{1568AE8A-E4D7-45FF-B932-A98723E9BEFD}"/>
    <hyperlink ref="F84" r:id="rId3" xr:uid="{667E78F6-B849-44CB-9FB5-F5DEB3FE7821}"/>
    <hyperlink ref="F82" r:id="rId4" xr:uid="{1D386FE4-D2B1-475B-96AB-0DE62082F522}"/>
    <hyperlink ref="F86" r:id="rId5" xr:uid="{57F07A49-F766-4D41-A19F-74A61C05A3F9}"/>
  </hyperlinks>
  <pageMargins left="0.7" right="0.7" top="0.75" bottom="0.75" header="0.3" footer="0.3"/>
  <pageSetup orientation="portrait"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E90FC-B208-4C2A-8330-103A1F8CE98C}">
  <sheetPr codeName="Sheet279"/>
  <dimension ref="A2:R116"/>
  <sheetViews>
    <sheetView workbookViewId="0"/>
  </sheetViews>
  <sheetFormatPr defaultColWidth="9.08984375" defaultRowHeight="18.75" customHeight="1" x14ac:dyDescent="0.3"/>
  <cols>
    <col min="1" max="1" width="2.36328125" style="488" customWidth="1"/>
    <col min="2" max="2" width="44.36328125" style="488" bestFit="1" customWidth="1"/>
    <col min="3" max="3" width="28" style="488" bestFit="1" customWidth="1"/>
    <col min="4" max="4" width="21.6328125" style="488" customWidth="1"/>
    <col min="5" max="5" width="15" style="488" customWidth="1"/>
    <col min="6" max="6" width="15.6328125" style="488" customWidth="1"/>
    <col min="7" max="7" width="19.6328125" style="488" customWidth="1"/>
    <col min="8" max="8" width="16" style="488" customWidth="1"/>
    <col min="9"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R-WB-007</v>
      </c>
      <c r="D3" s="1367"/>
      <c r="E3" s="1367"/>
      <c r="F3" s="1367"/>
    </row>
    <row r="4" spans="1:18" ht="18.75" customHeight="1" x14ac:dyDescent="0.3">
      <c r="B4" s="490" t="s">
        <v>11</v>
      </c>
      <c r="C4" s="1367" t="str" cm="1">
        <f t="array" ref="C4">_xlfn.SWITCH(LEFT(C8,1),"R","Residential","C","Commercial","ERROR")</f>
        <v>Residential</v>
      </c>
      <c r="D4" s="1367"/>
      <c r="E4" s="1367"/>
      <c r="F4" s="1367"/>
    </row>
    <row r="5" spans="1:18" ht="19.5" customHeight="1" x14ac:dyDescent="0.3">
      <c r="B5" s="490" t="s">
        <v>408</v>
      </c>
      <c r="C5" s="1530" t="s">
        <v>402</v>
      </c>
      <c r="D5" s="1531"/>
      <c r="E5" s="1531"/>
      <c r="F5" s="1532"/>
      <c r="R5" s="488"/>
    </row>
    <row r="6" spans="1:18" ht="18.75" customHeight="1" x14ac:dyDescent="0.3">
      <c r="A6" s="573"/>
    </row>
    <row r="7" spans="1:18" ht="18.75" customHeight="1" x14ac:dyDescent="0.3">
      <c r="B7" s="1193" t="s">
        <v>409</v>
      </c>
      <c r="C7" s="1192" t="s">
        <v>406</v>
      </c>
      <c r="D7" s="1363" t="s">
        <v>410</v>
      </c>
      <c r="E7" s="1363"/>
      <c r="F7" s="1363"/>
      <c r="R7" s="488"/>
    </row>
    <row r="8" spans="1:18" ht="18.75" customHeight="1" x14ac:dyDescent="0.3">
      <c r="B8" s="490" t="s">
        <v>411</v>
      </c>
      <c r="C8" s="1218" t="s">
        <v>184</v>
      </c>
      <c r="D8" s="1626" t="s">
        <v>672</v>
      </c>
      <c r="E8" s="1627"/>
      <c r="F8" s="1628"/>
      <c r="R8" s="488"/>
    </row>
    <row r="9" spans="1:18" ht="18.75" customHeight="1" x14ac:dyDescent="0.3">
      <c r="B9" s="490" t="s">
        <v>49</v>
      </c>
      <c r="C9" s="1218" t="s">
        <v>891</v>
      </c>
      <c r="D9" s="1629"/>
      <c r="E9" s="1630"/>
      <c r="F9" s="1631"/>
      <c r="R9" s="488"/>
    </row>
    <row r="10" spans="1:18" ht="18.75" customHeight="1" x14ac:dyDescent="0.3">
      <c r="B10" s="490" t="s">
        <v>412</v>
      </c>
      <c r="C10" s="1218"/>
      <c r="D10" s="1629"/>
      <c r="E10" s="1630"/>
      <c r="F10" s="1631"/>
      <c r="R10" s="488"/>
    </row>
    <row r="11" spans="1:18" ht="18.75" customHeight="1" x14ac:dyDescent="0.3">
      <c r="B11" s="490" t="s">
        <v>413</v>
      </c>
      <c r="C11" s="1218"/>
      <c r="D11" s="1629"/>
      <c r="E11" s="1630"/>
      <c r="F11" s="1631"/>
      <c r="R11" s="488"/>
    </row>
    <row r="12" spans="1:18" ht="18.75" customHeight="1" x14ac:dyDescent="0.3">
      <c r="B12" s="490" t="s">
        <v>414</v>
      </c>
      <c r="C12" s="665"/>
      <c r="D12" s="1629"/>
      <c r="E12" s="1630"/>
      <c r="F12" s="1631"/>
      <c r="R12" s="488"/>
    </row>
    <row r="13" spans="1:18" ht="18.75" customHeight="1" x14ac:dyDescent="0.3">
      <c r="B13" s="494" t="s">
        <v>415</v>
      </c>
      <c r="C13" s="658">
        <f>N43</f>
        <v>0</v>
      </c>
      <c r="D13" s="1629"/>
      <c r="E13" s="1630"/>
      <c r="F13" s="1631"/>
      <c r="R13" s="488"/>
    </row>
    <row r="14" spans="1:18" ht="18.75" customHeight="1" x14ac:dyDescent="0.3">
      <c r="B14" s="494" t="s">
        <v>416</v>
      </c>
      <c r="C14" s="658">
        <f>N42</f>
        <v>0</v>
      </c>
      <c r="D14" s="1629"/>
      <c r="E14" s="1630"/>
      <c r="F14" s="1631"/>
      <c r="R14" s="488"/>
    </row>
    <row r="15" spans="1:18" ht="18.75" customHeight="1" x14ac:dyDescent="0.3">
      <c r="B15" s="494" t="s">
        <v>417</v>
      </c>
      <c r="C15" s="658">
        <f>N44</f>
        <v>0</v>
      </c>
      <c r="D15" s="1629"/>
      <c r="E15" s="1630"/>
      <c r="F15" s="1631"/>
      <c r="R15" s="488"/>
    </row>
    <row r="16" spans="1:18" ht="18.75" customHeight="1" x14ac:dyDescent="0.3">
      <c r="B16" s="494" t="s">
        <v>418</v>
      </c>
      <c r="C16" s="659">
        <f>C37</f>
        <v>0</v>
      </c>
      <c r="D16" s="1632"/>
      <c r="E16" s="1633"/>
      <c r="F16" s="1634"/>
      <c r="R16" s="488"/>
    </row>
    <row r="17" spans="2:18" ht="18.75" customHeight="1" x14ac:dyDescent="0.3">
      <c r="B17" s="490" t="s">
        <v>48</v>
      </c>
      <c r="C17" s="1218" t="s">
        <v>673</v>
      </c>
      <c r="D17" s="1363" t="s">
        <v>419</v>
      </c>
      <c r="E17" s="1363"/>
      <c r="F17" s="1363"/>
      <c r="R17" s="488"/>
    </row>
    <row r="18" spans="2:18" ht="18.75" customHeight="1" x14ac:dyDescent="0.3">
      <c r="B18" s="490" t="s">
        <v>420</v>
      </c>
      <c r="C18" s="666">
        <v>15</v>
      </c>
      <c r="D18" s="1635" t="s">
        <v>674</v>
      </c>
      <c r="E18" s="1635"/>
      <c r="F18" s="1635"/>
      <c r="R18" s="488"/>
    </row>
    <row r="19" spans="2:18" ht="18.75" customHeight="1" x14ac:dyDescent="0.3">
      <c r="B19" s="613"/>
      <c r="C19" s="614"/>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33.65" customHeight="1" x14ac:dyDescent="0.3">
      <c r="B21" s="499" t="s">
        <v>422</v>
      </c>
      <c r="C21" s="1546" t="s">
        <v>403</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36" t="s">
        <v>404</v>
      </c>
      <c r="D22" s="1536"/>
      <c r="E22" s="1536"/>
      <c r="F22" s="1536"/>
      <c r="G22" s="1536"/>
      <c r="H22" s="1536"/>
      <c r="I22" s="1536"/>
      <c r="J22" s="1536"/>
      <c r="K22" s="1536"/>
      <c r="L22" s="1536"/>
      <c r="M22" s="1536"/>
      <c r="N22" s="1536"/>
      <c r="O22" s="1536"/>
      <c r="P22" s="1536"/>
      <c r="Q22" s="1536"/>
      <c r="R22" s="488"/>
    </row>
    <row r="23" spans="2:18" ht="18.75" customHeight="1" x14ac:dyDescent="0.3">
      <c r="B23" s="500" t="s">
        <v>424</v>
      </c>
      <c r="C23" s="1546"/>
      <c r="D23" s="1546"/>
      <c r="E23" s="1546"/>
      <c r="F23" s="1546"/>
      <c r="G23" s="1546"/>
      <c r="H23" s="1546"/>
      <c r="I23" s="1546"/>
      <c r="J23" s="1546"/>
      <c r="K23" s="1546"/>
      <c r="L23" s="1546"/>
      <c r="M23" s="1546"/>
      <c r="N23" s="1546"/>
      <c r="O23" s="1546"/>
      <c r="P23" s="1546"/>
      <c r="Q23" s="154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Default.BuildingType.R</f>
        <v>Home - detached</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512"/>
      <c r="F33" s="1512"/>
      <c r="G33" s="1512"/>
      <c r="H33" s="1512"/>
      <c r="I33" s="1512"/>
      <c r="J33" s="1512"/>
      <c r="K33" s="1512"/>
      <c r="L33" s="1512"/>
      <c r="M33" s="1512"/>
      <c r="N33" s="1512"/>
      <c r="O33" s="1512"/>
      <c r="P33" s="1512"/>
      <c r="Q33" s="1512"/>
      <c r="R33" s="488"/>
    </row>
    <row r="34" spans="2:18" ht="18.75" customHeight="1" x14ac:dyDescent="0.3">
      <c r="B34" s="494" t="s">
        <v>431</v>
      </c>
      <c r="C34" s="542"/>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504">
        <f>SUM(C33:C34)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504">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0</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1004</v>
      </c>
      <c r="D49" s="1505"/>
      <c r="E49" s="1505"/>
      <c r="F49" s="1505"/>
      <c r="G49" s="1505"/>
      <c r="H49" s="1505"/>
      <c r="I49" s="1505"/>
      <c r="J49" s="1505"/>
      <c r="K49" s="1505"/>
      <c r="L49" s="1505"/>
      <c r="M49" s="1506"/>
      <c r="N49" s="592"/>
      <c r="O49" s="1243" t="s">
        <v>443</v>
      </c>
      <c r="P49" s="1511"/>
      <c r="Q49" s="1511"/>
      <c r="R49" s="488"/>
    </row>
    <row r="50" spans="2:18" ht="18.75" customHeight="1" x14ac:dyDescent="0.3">
      <c r="B50" s="582" t="s">
        <v>456</v>
      </c>
      <c r="C50" s="1504" t="s">
        <v>1005</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467</v>
      </c>
      <c r="D56" s="1505"/>
      <c r="E56" s="1505"/>
      <c r="F56" s="1505"/>
      <c r="G56" s="1505"/>
      <c r="H56" s="1505"/>
      <c r="I56" s="1505"/>
      <c r="J56" s="1505"/>
      <c r="K56" s="1505"/>
      <c r="L56" s="1505"/>
      <c r="M56" s="1506"/>
      <c r="N56" s="594"/>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1188" t="s">
        <v>406</v>
      </c>
      <c r="I61" s="1188" t="s">
        <v>428</v>
      </c>
      <c r="J61" s="1396" t="s">
        <v>476</v>
      </c>
      <c r="K61" s="1397"/>
      <c r="L61" s="1397"/>
      <c r="M61" s="1397"/>
      <c r="N61" s="1397"/>
      <c r="O61" s="1397"/>
      <c r="P61" s="1397"/>
      <c r="Q61" s="1398"/>
    </row>
    <row r="62" spans="2:18" ht="13" x14ac:dyDescent="0.3">
      <c r="B62" s="533">
        <v>1</v>
      </c>
      <c r="C62" s="546"/>
      <c r="D62" s="1539"/>
      <c r="E62" s="1539"/>
      <c r="F62" s="1217"/>
      <c r="G62" s="1217"/>
      <c r="H62" s="622"/>
      <c r="I62" s="1217"/>
      <c r="J62" s="1468"/>
      <c r="K62" s="1478"/>
      <c r="L62" s="1478"/>
      <c r="M62" s="1478"/>
      <c r="N62" s="1478"/>
      <c r="O62" s="1478"/>
      <c r="P62" s="1478"/>
      <c r="Q62" s="1469"/>
      <c r="R62" s="488"/>
    </row>
    <row r="63" spans="2:18" ht="15" customHeight="1" x14ac:dyDescent="0.3">
      <c r="B63" s="533">
        <v>2</v>
      </c>
      <c r="C63" s="546"/>
      <c r="D63" s="1539"/>
      <c r="E63" s="1539"/>
      <c r="F63" s="1217"/>
      <c r="G63" s="1217"/>
      <c r="H63" s="1217"/>
      <c r="I63" s="1217"/>
      <c r="J63" s="1472"/>
      <c r="K63" s="1472"/>
      <c r="L63" s="1472"/>
      <c r="M63" s="1472"/>
      <c r="N63" s="1472"/>
      <c r="O63" s="1472"/>
      <c r="P63" s="1472"/>
      <c r="Q63" s="1721"/>
      <c r="R63" s="488"/>
    </row>
    <row r="64" spans="2:18" ht="13" x14ac:dyDescent="0.3">
      <c r="B64" s="533">
        <v>3</v>
      </c>
      <c r="C64" s="546"/>
      <c r="D64" s="1539"/>
      <c r="E64" s="1539"/>
      <c r="F64" s="1217"/>
      <c r="G64" s="1217"/>
      <c r="H64" s="1217"/>
      <c r="I64" s="1217"/>
      <c r="J64" s="1472"/>
      <c r="K64" s="1472"/>
      <c r="L64" s="1472"/>
      <c r="M64" s="1472"/>
      <c r="N64" s="1472"/>
      <c r="O64" s="1472"/>
      <c r="P64" s="1472"/>
      <c r="Q64" s="1721"/>
      <c r="R64" s="488"/>
    </row>
    <row r="65" spans="2:18" ht="15" customHeight="1" x14ac:dyDescent="0.3">
      <c r="B65" s="533">
        <v>4</v>
      </c>
      <c r="C65" s="546"/>
      <c r="D65" s="1539"/>
      <c r="E65" s="1539"/>
      <c r="F65" s="569"/>
      <c r="G65" s="1217"/>
      <c r="H65" s="598"/>
      <c r="I65" s="1238"/>
      <c r="J65" s="1472"/>
      <c r="K65" s="1472"/>
      <c r="L65" s="1472"/>
      <c r="M65" s="1472"/>
      <c r="N65" s="1472"/>
      <c r="O65" s="1472"/>
      <c r="P65" s="1472"/>
      <c r="Q65" s="1721"/>
      <c r="R65" s="488"/>
    </row>
    <row r="66" spans="2:18" ht="13" x14ac:dyDescent="0.3">
      <c r="B66" s="533">
        <v>5</v>
      </c>
      <c r="C66" s="546"/>
      <c r="D66" s="1539"/>
      <c r="E66" s="1539"/>
      <c r="F66" s="765"/>
      <c r="G66" s="1217"/>
      <c r="H66" s="598"/>
      <c r="I66" s="1238"/>
      <c r="J66" s="1472"/>
      <c r="K66" s="1472"/>
      <c r="L66" s="1472"/>
      <c r="M66" s="1472"/>
      <c r="N66" s="1472"/>
      <c r="O66" s="1472"/>
      <c r="P66" s="1472"/>
      <c r="Q66" s="1721"/>
      <c r="R66" s="488"/>
    </row>
    <row r="67" spans="2:18" ht="13" x14ac:dyDescent="0.3">
      <c r="B67" s="757">
        <v>6</v>
      </c>
      <c r="C67" s="760"/>
      <c r="D67" s="1588"/>
      <c r="E67" s="1588"/>
      <c r="F67" s="1191"/>
      <c r="G67" s="1191"/>
      <c r="H67" s="761"/>
      <c r="I67" s="1191"/>
      <c r="J67" s="1723"/>
      <c r="K67" s="1724"/>
      <c r="L67" s="1724"/>
      <c r="M67" s="1724"/>
      <c r="N67" s="1724"/>
      <c r="O67" s="1724"/>
      <c r="P67" s="1724"/>
      <c r="Q67" s="1725"/>
      <c r="R67" s="488"/>
    </row>
    <row r="68" spans="2:18" ht="13" x14ac:dyDescent="0.3">
      <c r="B68" s="533">
        <v>7</v>
      </c>
      <c r="C68" s="546"/>
      <c r="D68" s="1539"/>
      <c r="E68" s="1539"/>
      <c r="F68" s="1217"/>
      <c r="G68" s="1217"/>
      <c r="H68" s="762"/>
      <c r="I68" s="1217"/>
      <c r="J68" s="1462"/>
      <c r="K68" s="1462"/>
      <c r="L68" s="1462"/>
      <c r="M68" s="1462"/>
      <c r="N68" s="1462"/>
      <c r="O68" s="1462"/>
      <c r="P68" s="1462"/>
      <c r="Q68" s="1556"/>
      <c r="R68" s="488"/>
    </row>
    <row r="69" spans="2:18" ht="13" x14ac:dyDescent="0.3">
      <c r="B69" s="533">
        <v>8</v>
      </c>
      <c r="C69" s="546"/>
      <c r="D69" s="1539"/>
      <c r="E69" s="1539"/>
      <c r="F69" s="1217"/>
      <c r="G69" s="557"/>
      <c r="H69" s="559"/>
      <c r="I69" s="1238"/>
      <c r="J69" s="1472"/>
      <c r="K69" s="1473"/>
      <c r="L69" s="1473"/>
      <c r="M69" s="1473"/>
      <c r="N69" s="1473"/>
      <c r="O69" s="1473"/>
      <c r="P69" s="1473"/>
      <c r="Q69" s="1474"/>
      <c r="R69" s="488"/>
    </row>
    <row r="70" spans="2:18" ht="13" x14ac:dyDescent="0.3">
      <c r="B70" s="533">
        <v>9</v>
      </c>
      <c r="C70" s="546"/>
      <c r="D70" s="1539"/>
      <c r="E70" s="1539"/>
      <c r="F70" s="1217"/>
      <c r="G70" s="1217"/>
      <c r="H70" s="571"/>
      <c r="I70" s="1217"/>
      <c r="J70" s="1507"/>
      <c r="K70" s="1514"/>
      <c r="L70" s="1514"/>
      <c r="M70" s="1514"/>
      <c r="N70" s="1514"/>
      <c r="O70" s="1514"/>
      <c r="P70" s="1514"/>
      <c r="Q70" s="1515"/>
      <c r="R70" s="488"/>
    </row>
    <row r="71" spans="2:18" ht="13" x14ac:dyDescent="0.3">
      <c r="B71" s="533">
        <v>10</v>
      </c>
      <c r="C71" s="546"/>
      <c r="D71" s="1539"/>
      <c r="E71" s="1539"/>
      <c r="F71" s="1217"/>
      <c r="G71" s="1217"/>
      <c r="H71" s="571"/>
      <c r="I71" s="1217"/>
      <c r="J71" s="1507"/>
      <c r="K71" s="1514"/>
      <c r="L71" s="1514"/>
      <c r="M71" s="1514"/>
      <c r="N71" s="1514"/>
      <c r="O71" s="1514"/>
      <c r="P71" s="1514"/>
      <c r="Q71" s="1515"/>
      <c r="R71" s="488"/>
    </row>
    <row r="72" spans="2:18" s="491" customFormat="1" ht="13" x14ac:dyDescent="0.3">
      <c r="B72" s="536">
        <v>11</v>
      </c>
      <c r="C72" s="555"/>
      <c r="D72" s="1437"/>
      <c r="E72" s="1438"/>
      <c r="F72" s="556"/>
      <c r="G72" s="557"/>
      <c r="H72" s="556"/>
      <c r="I72" s="557"/>
      <c r="J72" s="1437"/>
      <c r="K72" s="1448"/>
      <c r="L72" s="1448"/>
      <c r="M72" s="1448"/>
      <c r="N72" s="1448"/>
      <c r="O72" s="1448"/>
      <c r="P72" s="1448"/>
      <c r="Q72" s="1438"/>
    </row>
    <row r="73" spans="2:18" s="491" customFormat="1" ht="13" x14ac:dyDescent="0.3">
      <c r="B73" s="536">
        <v>12</v>
      </c>
      <c r="C73" s="555"/>
      <c r="D73" s="1437"/>
      <c r="E73" s="1438"/>
      <c r="F73" s="556"/>
      <c r="G73" s="557"/>
      <c r="H73" s="558"/>
      <c r="I73" s="557"/>
      <c r="J73" s="1472"/>
      <c r="K73" s="1473"/>
      <c r="L73" s="1473"/>
      <c r="M73" s="1473"/>
      <c r="N73" s="1473"/>
      <c r="O73" s="1473"/>
      <c r="P73" s="1473"/>
      <c r="Q73" s="1474"/>
    </row>
    <row r="74" spans="2:18" s="491" customFormat="1" ht="13" x14ac:dyDescent="0.3">
      <c r="B74" s="536">
        <v>13</v>
      </c>
      <c r="C74" s="555"/>
      <c r="D74" s="1437"/>
      <c r="E74" s="1438"/>
      <c r="F74" s="556"/>
      <c r="G74" s="557"/>
      <c r="H74" s="556"/>
      <c r="I74" s="557"/>
      <c r="J74" s="1472"/>
      <c r="K74" s="1473"/>
      <c r="L74" s="1473"/>
      <c r="M74" s="1473"/>
      <c r="N74" s="1473"/>
      <c r="O74" s="1473"/>
      <c r="P74" s="1473"/>
      <c r="Q74" s="1474"/>
    </row>
    <row r="75" spans="2:18" s="489" customFormat="1" ht="13.15" customHeight="1" x14ac:dyDescent="0.3">
      <c r="B75" s="536">
        <v>14</v>
      </c>
      <c r="C75" s="555"/>
      <c r="D75" s="1437"/>
      <c r="E75" s="1438"/>
      <c r="F75" s="556"/>
      <c r="G75" s="557"/>
      <c r="H75" s="556"/>
      <c r="I75" s="557"/>
      <c r="J75" s="1472"/>
      <c r="K75" s="1473"/>
      <c r="L75" s="1473"/>
      <c r="M75" s="1473"/>
      <c r="N75" s="1473"/>
      <c r="O75" s="1473"/>
      <c r="P75" s="1473"/>
      <c r="Q75" s="1474"/>
    </row>
    <row r="76" spans="2:18" s="489" customFormat="1" ht="13" x14ac:dyDescent="0.3">
      <c r="B76" s="536">
        <v>15</v>
      </c>
      <c r="C76" s="555"/>
      <c r="D76" s="1437"/>
      <c r="E76" s="1438"/>
      <c r="F76" s="556"/>
      <c r="G76" s="557"/>
      <c r="H76" s="559"/>
      <c r="I76" s="557"/>
      <c r="J76" s="1472"/>
      <c r="K76" s="1473"/>
      <c r="L76" s="1473"/>
      <c r="M76" s="1473"/>
      <c r="N76" s="1473"/>
      <c r="O76" s="1473"/>
      <c r="P76" s="1473"/>
      <c r="Q76" s="1474"/>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734"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734"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734"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734"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734" t="s">
        <v>491</v>
      </c>
      <c r="F85" s="1489" t="s">
        <v>485</v>
      </c>
      <c r="G85" s="1490"/>
      <c r="H85" s="1490"/>
      <c r="I85" s="1490"/>
      <c r="J85" s="1490"/>
      <c r="K85" s="1490"/>
      <c r="L85" s="1490"/>
      <c r="M85" s="1490"/>
      <c r="N85" s="1490"/>
      <c r="O85" s="1490"/>
      <c r="P85" s="1490"/>
      <c r="Q85" s="1491"/>
      <c r="R85" s="488"/>
    </row>
    <row r="86" spans="2:18" ht="13" x14ac:dyDescent="0.3">
      <c r="B86" s="533">
        <v>6</v>
      </c>
      <c r="C86" s="563" t="s">
        <v>975</v>
      </c>
      <c r="D86" s="562">
        <v>5.6779999999999999</v>
      </c>
      <c r="E86" s="734" t="s">
        <v>976</v>
      </c>
      <c r="F86" s="1489" t="s">
        <v>977</v>
      </c>
      <c r="G86" s="1490"/>
      <c r="H86" s="1490"/>
      <c r="I86" s="1490"/>
      <c r="J86" s="1490"/>
      <c r="K86" s="1490"/>
      <c r="L86" s="1490"/>
      <c r="M86" s="1490"/>
      <c r="N86" s="1490"/>
      <c r="O86" s="1490"/>
      <c r="P86" s="1490"/>
      <c r="Q86" s="1491"/>
      <c r="R86" s="488"/>
    </row>
    <row r="87" spans="2:18" ht="13" x14ac:dyDescent="0.3">
      <c r="B87" s="533">
        <v>7</v>
      </c>
      <c r="C87" s="563" t="s">
        <v>978</v>
      </c>
      <c r="D87" s="562">
        <v>10.7639</v>
      </c>
      <c r="E87" s="734" t="s">
        <v>979</v>
      </c>
      <c r="F87" s="1486" t="s">
        <v>482</v>
      </c>
      <c r="G87" s="1487"/>
      <c r="H87" s="1487"/>
      <c r="I87" s="1487"/>
      <c r="J87" s="1487"/>
      <c r="K87" s="1487"/>
      <c r="L87" s="1487"/>
      <c r="M87" s="1487"/>
      <c r="N87" s="1487"/>
      <c r="O87" s="1487"/>
      <c r="P87" s="1487"/>
      <c r="Q87" s="1488"/>
      <c r="R87" s="488"/>
    </row>
    <row r="88" spans="2:18" ht="13" x14ac:dyDescent="0.3">
      <c r="B88" s="533">
        <v>8</v>
      </c>
      <c r="C88" s="563" t="s">
        <v>980</v>
      </c>
      <c r="D88" s="562">
        <v>24</v>
      </c>
      <c r="E88" s="734" t="s">
        <v>981</v>
      </c>
      <c r="F88" s="1486" t="s">
        <v>982</v>
      </c>
      <c r="G88" s="1487"/>
      <c r="H88" s="1487"/>
      <c r="I88" s="1487"/>
      <c r="J88" s="1487"/>
      <c r="K88" s="1487"/>
      <c r="L88" s="1487"/>
      <c r="M88" s="1487"/>
      <c r="N88" s="1487"/>
      <c r="O88" s="1487"/>
      <c r="P88" s="1487"/>
      <c r="Q88" s="1488"/>
      <c r="R88" s="488"/>
    </row>
    <row r="89" spans="2:18" ht="13" x14ac:dyDescent="0.3">
      <c r="B89" s="533">
        <v>9</v>
      </c>
      <c r="C89" s="563"/>
      <c r="D89" s="1233"/>
      <c r="E89" s="1182"/>
      <c r="F89" s="1489"/>
      <c r="G89" s="1490"/>
      <c r="H89" s="1490"/>
      <c r="I89" s="1490"/>
      <c r="J89" s="1490"/>
      <c r="K89" s="1490"/>
      <c r="L89" s="1490"/>
      <c r="M89" s="1490"/>
      <c r="N89" s="1490"/>
      <c r="O89" s="1490"/>
      <c r="P89" s="1490"/>
      <c r="Q89" s="1491"/>
      <c r="R89" s="488"/>
    </row>
    <row r="90" spans="2:18" ht="13" x14ac:dyDescent="0.3">
      <c r="B90" s="533">
        <v>10</v>
      </c>
      <c r="C90" s="563"/>
      <c r="D90" s="564"/>
      <c r="E90" s="1182"/>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08"/>
      <c r="Q95" s="1409"/>
      <c r="R95" s="488"/>
    </row>
    <row r="96" spans="2:18" ht="25.5" customHeight="1" x14ac:dyDescent="0.3">
      <c r="B96" s="1188" t="s">
        <v>478</v>
      </c>
      <c r="C96" s="1402" t="s">
        <v>505</v>
      </c>
      <c r="D96" s="1431"/>
      <c r="E96" s="565"/>
      <c r="F96" s="565"/>
      <c r="G96" s="565"/>
      <c r="H96" s="565"/>
      <c r="I96" s="565"/>
      <c r="J96" s="565"/>
      <c r="K96" s="565"/>
      <c r="L96" s="565"/>
      <c r="M96" s="565"/>
      <c r="N96" s="566"/>
      <c r="O96" s="1410"/>
      <c r="P96" s="1411"/>
      <c r="Q96" s="1412"/>
      <c r="R96" s="488"/>
    </row>
    <row r="97" spans="2:18" ht="13" x14ac:dyDescent="0.3">
      <c r="B97" s="533">
        <v>1</v>
      </c>
      <c r="C97" s="546"/>
      <c r="D97" s="1241"/>
      <c r="E97" s="1190"/>
      <c r="F97" s="568"/>
      <c r="G97" s="1190"/>
      <c r="H97" s="1190"/>
      <c r="I97" s="568"/>
      <c r="J97" s="568"/>
      <c r="K97" s="568"/>
      <c r="L97" s="568"/>
      <c r="M97" s="568"/>
      <c r="N97" s="568"/>
      <c r="O97" s="1501"/>
      <c r="P97" s="1502"/>
      <c r="Q97" s="1503"/>
      <c r="R97" s="488"/>
    </row>
    <row r="98" spans="2:18" ht="13" x14ac:dyDescent="0.3">
      <c r="B98" s="533">
        <v>2</v>
      </c>
      <c r="C98" s="546"/>
      <c r="D98" s="1241"/>
      <c r="E98" s="1190"/>
      <c r="F98" s="568"/>
      <c r="G98" s="1190"/>
      <c r="H98" s="1190"/>
      <c r="I98" s="568"/>
      <c r="J98" s="568"/>
      <c r="K98" s="568"/>
      <c r="L98" s="568"/>
      <c r="M98" s="568"/>
      <c r="N98" s="568"/>
      <c r="O98" s="1495"/>
      <c r="P98" s="1496"/>
      <c r="Q98" s="1497"/>
      <c r="R98" s="488"/>
    </row>
    <row r="99" spans="2:18" ht="13" x14ac:dyDescent="0.3">
      <c r="B99" s="533">
        <v>3</v>
      </c>
      <c r="C99" s="546"/>
      <c r="D99" s="1241"/>
      <c r="E99" s="1190"/>
      <c r="F99" s="568"/>
      <c r="G99" s="1190"/>
      <c r="H99" s="1190"/>
      <c r="I99" s="568"/>
      <c r="J99" s="568"/>
      <c r="K99" s="568"/>
      <c r="L99" s="568"/>
      <c r="M99" s="568"/>
      <c r="N99" s="568"/>
      <c r="O99" s="1495"/>
      <c r="P99" s="1496"/>
      <c r="Q99" s="1497"/>
      <c r="R99" s="488"/>
    </row>
    <row r="100" spans="2:18" ht="13" x14ac:dyDescent="0.3">
      <c r="B100" s="533">
        <v>4</v>
      </c>
      <c r="C100" s="546"/>
      <c r="D100" s="1241"/>
      <c r="E100" s="1190"/>
      <c r="F100" s="568"/>
      <c r="G100" s="1190"/>
      <c r="H100" s="1190"/>
      <c r="I100" s="568"/>
      <c r="J100" s="568"/>
      <c r="K100" s="568"/>
      <c r="L100" s="568"/>
      <c r="M100" s="568"/>
      <c r="N100" s="568"/>
      <c r="O100" s="1495"/>
      <c r="P100" s="1496"/>
      <c r="Q100" s="1497"/>
      <c r="R100" s="488"/>
    </row>
    <row r="101" spans="2:18" ht="13" x14ac:dyDescent="0.3">
      <c r="B101" s="533">
        <v>5</v>
      </c>
      <c r="C101" s="546"/>
      <c r="D101" s="1241"/>
      <c r="E101" s="1190"/>
      <c r="F101" s="568"/>
      <c r="G101" s="1190"/>
      <c r="H101" s="1190"/>
      <c r="I101" s="568"/>
      <c r="J101" s="568"/>
      <c r="K101" s="568"/>
      <c r="L101" s="568"/>
      <c r="M101" s="568"/>
      <c r="N101" s="568"/>
      <c r="O101" s="1495"/>
      <c r="P101" s="1496"/>
      <c r="Q101" s="1497"/>
      <c r="R101" s="488"/>
    </row>
    <row r="102" spans="2:18" ht="13" x14ac:dyDescent="0.3">
      <c r="B102" s="533">
        <v>6</v>
      </c>
      <c r="C102" s="546"/>
      <c r="D102" s="1241"/>
      <c r="E102" s="1190"/>
      <c r="F102" s="568"/>
      <c r="G102" s="1190"/>
      <c r="H102" s="1190"/>
      <c r="I102" s="569"/>
      <c r="J102" s="569"/>
      <c r="K102" s="569"/>
      <c r="L102" s="569"/>
      <c r="M102" s="569"/>
      <c r="N102" s="569"/>
      <c r="O102" s="1492"/>
      <c r="P102" s="1493"/>
      <c r="Q102" s="1494"/>
      <c r="R102" s="488"/>
    </row>
    <row r="103" spans="2:18" ht="13" x14ac:dyDescent="0.3">
      <c r="B103" s="533">
        <v>7</v>
      </c>
      <c r="C103" s="546"/>
      <c r="D103" s="1241"/>
      <c r="E103" s="1190"/>
      <c r="F103" s="568"/>
      <c r="G103" s="569"/>
      <c r="H103" s="1190"/>
      <c r="I103" s="569"/>
      <c r="J103" s="569"/>
      <c r="K103" s="569"/>
      <c r="L103" s="569"/>
      <c r="M103" s="569"/>
      <c r="N103" s="569"/>
      <c r="O103" s="1492"/>
      <c r="P103" s="1493"/>
      <c r="Q103" s="1494"/>
      <c r="R103" s="488"/>
    </row>
    <row r="104" spans="2:18" ht="13" x14ac:dyDescent="0.3">
      <c r="B104" s="533">
        <v>8</v>
      </c>
      <c r="C104" s="546"/>
      <c r="D104" s="1241"/>
      <c r="E104" s="1190"/>
      <c r="F104" s="568"/>
      <c r="G104" s="569"/>
      <c r="H104" s="569"/>
      <c r="I104" s="569"/>
      <c r="J104" s="569"/>
      <c r="K104" s="569"/>
      <c r="L104" s="569"/>
      <c r="M104" s="569"/>
      <c r="N104" s="569"/>
      <c r="O104" s="1492"/>
      <c r="P104" s="1493"/>
      <c r="Q104" s="1494"/>
      <c r="R104" s="488"/>
    </row>
    <row r="105" spans="2:18" ht="13" x14ac:dyDescent="0.3">
      <c r="B105" s="533">
        <v>9</v>
      </c>
      <c r="C105" s="546"/>
      <c r="D105" s="1241"/>
      <c r="E105" s="1190"/>
      <c r="F105" s="568"/>
      <c r="G105" s="1217"/>
      <c r="H105" s="1217"/>
      <c r="I105" s="569"/>
      <c r="J105" s="569"/>
      <c r="K105" s="569"/>
      <c r="L105" s="569"/>
      <c r="M105" s="569"/>
      <c r="N105" s="569"/>
      <c r="O105" s="1492"/>
      <c r="P105" s="1493"/>
      <c r="Q105" s="1494"/>
      <c r="R105" s="488"/>
    </row>
    <row r="106" spans="2:18" ht="13" x14ac:dyDescent="0.3">
      <c r="B106" s="533">
        <v>10</v>
      </c>
      <c r="C106" s="546"/>
      <c r="D106" s="1241"/>
      <c r="E106" s="1190"/>
      <c r="F106" s="568"/>
      <c r="G106" s="1217"/>
      <c r="H106" s="1217"/>
      <c r="I106" s="569"/>
      <c r="J106" s="569"/>
      <c r="K106" s="569"/>
      <c r="L106" s="569"/>
      <c r="M106" s="569"/>
      <c r="N106" s="569"/>
      <c r="O106" s="1492"/>
      <c r="P106" s="1493"/>
      <c r="Q106" s="1494"/>
      <c r="R106" s="488"/>
    </row>
    <row r="107" spans="2:18" ht="13" x14ac:dyDescent="0.3">
      <c r="B107" s="533">
        <v>11</v>
      </c>
      <c r="C107" s="546"/>
      <c r="D107" s="1241"/>
      <c r="E107" s="1190"/>
      <c r="F107" s="568"/>
      <c r="G107" s="571"/>
      <c r="H107" s="571"/>
      <c r="I107" s="569"/>
      <c r="J107" s="569"/>
      <c r="K107" s="569"/>
      <c r="L107" s="569"/>
      <c r="M107" s="569"/>
      <c r="N107" s="569"/>
      <c r="O107" s="1492"/>
      <c r="P107" s="1493"/>
      <c r="Q107" s="1494"/>
      <c r="R107" s="488"/>
    </row>
    <row r="108" spans="2:18" ht="13" x14ac:dyDescent="0.3">
      <c r="B108" s="533">
        <v>12</v>
      </c>
      <c r="C108" s="546"/>
      <c r="D108" s="1184"/>
      <c r="E108" s="1217"/>
      <c r="F108" s="1190"/>
      <c r="G108" s="1217"/>
      <c r="H108" s="1217"/>
      <c r="I108" s="569"/>
      <c r="J108" s="569"/>
      <c r="K108" s="569"/>
      <c r="L108" s="569"/>
      <c r="M108" s="569"/>
      <c r="N108" s="569"/>
      <c r="O108" s="1492"/>
      <c r="P108" s="1493"/>
      <c r="Q108" s="1494"/>
      <c r="R108" s="488"/>
    </row>
    <row r="109" spans="2:18" ht="13" x14ac:dyDescent="0.3">
      <c r="B109" s="533">
        <v>13</v>
      </c>
      <c r="C109" s="546"/>
      <c r="D109" s="1184"/>
      <c r="E109" s="1217"/>
      <c r="F109" s="1217"/>
      <c r="G109" s="1217"/>
      <c r="H109" s="1217"/>
      <c r="I109" s="569"/>
      <c r="J109" s="569"/>
      <c r="K109" s="569"/>
      <c r="L109" s="569"/>
      <c r="M109" s="569"/>
      <c r="N109" s="569"/>
      <c r="O109" s="1492"/>
      <c r="P109" s="1493"/>
      <c r="Q109" s="1494"/>
      <c r="R109" s="488"/>
    </row>
    <row r="110" spans="2:18" ht="13" x14ac:dyDescent="0.3">
      <c r="B110" s="533">
        <v>14</v>
      </c>
      <c r="C110" s="546"/>
      <c r="D110" s="1184"/>
      <c r="E110" s="572"/>
      <c r="F110" s="572"/>
      <c r="G110" s="572"/>
      <c r="H110" s="572"/>
      <c r="I110" s="569"/>
      <c r="J110" s="569"/>
      <c r="K110" s="569"/>
      <c r="L110" s="569"/>
      <c r="M110" s="569"/>
      <c r="N110" s="569"/>
      <c r="O110" s="1492"/>
      <c r="P110" s="1493"/>
      <c r="Q110" s="1494"/>
      <c r="R110" s="488"/>
    </row>
    <row r="111" spans="2:18" ht="13" x14ac:dyDescent="0.3">
      <c r="B111" s="533">
        <v>15</v>
      </c>
      <c r="C111" s="546"/>
      <c r="D111" s="1184"/>
      <c r="E111" s="572"/>
      <c r="F111" s="572"/>
      <c r="G111" s="572"/>
      <c r="H111" s="572"/>
      <c r="I111" s="569"/>
      <c r="J111" s="569"/>
      <c r="K111" s="569"/>
      <c r="L111" s="569"/>
      <c r="M111" s="569"/>
      <c r="N111" s="569"/>
      <c r="O111" s="1492"/>
      <c r="P111" s="1493"/>
      <c r="Q111" s="1494"/>
      <c r="R111" s="488"/>
    </row>
    <row r="112" spans="2:18" ht="13" x14ac:dyDescent="0.3">
      <c r="B112" s="533">
        <v>16</v>
      </c>
      <c r="C112" s="546"/>
      <c r="D112" s="1184"/>
      <c r="E112" s="572"/>
      <c r="F112" s="572"/>
      <c r="G112" s="572"/>
      <c r="H112" s="572"/>
      <c r="I112" s="569"/>
      <c r="J112" s="569"/>
      <c r="K112" s="569"/>
      <c r="L112" s="569"/>
      <c r="M112" s="569"/>
      <c r="N112" s="569"/>
      <c r="O112" s="1492"/>
      <c r="P112" s="1493"/>
      <c r="Q112" s="1494"/>
      <c r="R112" s="488"/>
    </row>
    <row r="113" spans="2:18" ht="13" x14ac:dyDescent="0.3">
      <c r="B113" s="533">
        <v>17</v>
      </c>
      <c r="C113" s="546"/>
      <c r="D113" s="1184"/>
      <c r="E113" s="572"/>
      <c r="F113" s="572"/>
      <c r="G113" s="572"/>
      <c r="H113" s="572"/>
      <c r="I113" s="569"/>
      <c r="J113" s="569"/>
      <c r="K113" s="569"/>
      <c r="L113" s="569"/>
      <c r="M113" s="569"/>
      <c r="N113" s="569"/>
      <c r="O113" s="1492"/>
      <c r="P113" s="1493"/>
      <c r="Q113" s="1494"/>
      <c r="R113" s="488"/>
    </row>
    <row r="114" spans="2:18" ht="13" x14ac:dyDescent="0.3">
      <c r="B114" s="533">
        <v>18</v>
      </c>
      <c r="C114" s="546"/>
      <c r="D114" s="1184"/>
      <c r="E114" s="572"/>
      <c r="F114" s="572"/>
      <c r="G114" s="572"/>
      <c r="H114" s="572"/>
      <c r="I114" s="569"/>
      <c r="J114" s="569"/>
      <c r="K114" s="569"/>
      <c r="L114" s="569"/>
      <c r="M114" s="569"/>
      <c r="N114" s="569"/>
      <c r="O114" s="1492"/>
      <c r="P114" s="1493"/>
      <c r="Q114" s="1494"/>
      <c r="R114" s="488"/>
    </row>
    <row r="115" spans="2:18" ht="13" x14ac:dyDescent="0.3">
      <c r="B115" s="533">
        <v>19</v>
      </c>
      <c r="C115" s="546"/>
      <c r="D115" s="1184"/>
      <c r="E115" s="572"/>
      <c r="F115" s="572"/>
      <c r="G115" s="572"/>
      <c r="H115" s="572"/>
      <c r="I115" s="569"/>
      <c r="J115" s="569"/>
      <c r="K115" s="569"/>
      <c r="L115" s="569"/>
      <c r="M115" s="569"/>
      <c r="N115" s="569"/>
      <c r="O115" s="1492"/>
      <c r="P115" s="1493"/>
      <c r="Q115" s="1494"/>
      <c r="R115" s="488"/>
    </row>
    <row r="116" spans="2:18" ht="13" x14ac:dyDescent="0.3">
      <c r="B116" s="533">
        <v>20</v>
      </c>
      <c r="C116" s="546"/>
      <c r="D116" s="1184"/>
      <c r="E116" s="572"/>
      <c r="F116" s="572"/>
      <c r="G116" s="572"/>
      <c r="H116" s="572"/>
      <c r="I116" s="569"/>
      <c r="J116" s="569"/>
      <c r="K116" s="569"/>
      <c r="L116" s="569"/>
      <c r="M116" s="569"/>
      <c r="N116" s="569"/>
      <c r="O116" s="1492"/>
      <c r="P116" s="1493"/>
      <c r="Q116" s="1494"/>
      <c r="R116" s="488"/>
    </row>
  </sheetData>
  <sheetProtection algorithmName="SHA-512" hashValue="I+XY6zsDl+pmQArJmWEMsD9U54bkXkC2rgo5qc68yctATcTpZtqkHXSbzRKsWgxSqPa/mWS+FVHsW6wEw0q8aA==" saltValue="0yPW0gdwP14vNfgQZNu2jw==" spinCount="100000" sheet="1" objects="1" scenarios="1" selectLockedCells="1" selectUnlockedCells="1"/>
  <mergeCells count="121">
    <mergeCell ref="O116:Q116"/>
    <mergeCell ref="O110:Q110"/>
    <mergeCell ref="O111:Q111"/>
    <mergeCell ref="O112:Q112"/>
    <mergeCell ref="O113:Q113"/>
    <mergeCell ref="O114:Q114"/>
    <mergeCell ref="O115:Q115"/>
    <mergeCell ref="O104:Q104"/>
    <mergeCell ref="O105:Q105"/>
    <mergeCell ref="O106:Q106"/>
    <mergeCell ref="O107:Q107"/>
    <mergeCell ref="O108:Q108"/>
    <mergeCell ref="O109:Q109"/>
    <mergeCell ref="O98:Q98"/>
    <mergeCell ref="O99:Q99"/>
    <mergeCell ref="O100:Q100"/>
    <mergeCell ref="O101:Q101"/>
    <mergeCell ref="O102:Q102"/>
    <mergeCell ref="O103:Q103"/>
    <mergeCell ref="F90:Q90"/>
    <mergeCell ref="E94:N94"/>
    <mergeCell ref="O94:Q96"/>
    <mergeCell ref="B95:D95"/>
    <mergeCell ref="C96:D96"/>
    <mergeCell ref="O97:Q97"/>
    <mergeCell ref="F84:Q84"/>
    <mergeCell ref="F85:Q85"/>
    <mergeCell ref="F86:Q86"/>
    <mergeCell ref="F87:Q87"/>
    <mergeCell ref="F88:Q88"/>
    <mergeCell ref="F89:Q89"/>
    <mergeCell ref="D76:E76"/>
    <mergeCell ref="J76:Q76"/>
    <mergeCell ref="F80:Q80"/>
    <mergeCell ref="F81:Q81"/>
    <mergeCell ref="F82:Q82"/>
    <mergeCell ref="F83:Q83"/>
    <mergeCell ref="D73:E73"/>
    <mergeCell ref="J73:Q73"/>
    <mergeCell ref="D74:E74"/>
    <mergeCell ref="J74:Q74"/>
    <mergeCell ref="D75:E75"/>
    <mergeCell ref="J75:Q75"/>
    <mergeCell ref="D70:E70"/>
    <mergeCell ref="J70:Q70"/>
    <mergeCell ref="D71:E71"/>
    <mergeCell ref="J71:Q71"/>
    <mergeCell ref="D72:E72"/>
    <mergeCell ref="J72:Q72"/>
    <mergeCell ref="D67:E67"/>
    <mergeCell ref="J67:Q67"/>
    <mergeCell ref="D68:E68"/>
    <mergeCell ref="J68:Q68"/>
    <mergeCell ref="D69:E69"/>
    <mergeCell ref="J69:Q69"/>
    <mergeCell ref="D64:E64"/>
    <mergeCell ref="J64:Q64"/>
    <mergeCell ref="D65:E65"/>
    <mergeCell ref="J65:Q65"/>
    <mergeCell ref="D66:E66"/>
    <mergeCell ref="J66:Q66"/>
    <mergeCell ref="D61:E61"/>
    <mergeCell ref="J61:Q61"/>
    <mergeCell ref="D62:E62"/>
    <mergeCell ref="J62:Q62"/>
    <mergeCell ref="D63:E63"/>
    <mergeCell ref="J63:Q63"/>
    <mergeCell ref="C55:M55"/>
    <mergeCell ref="P55:Q55"/>
    <mergeCell ref="C56:M56"/>
    <mergeCell ref="P56:Q56"/>
    <mergeCell ref="C57:M57"/>
    <mergeCell ref="P57:Q57"/>
    <mergeCell ref="C51:M51"/>
    <mergeCell ref="P51:Q51"/>
    <mergeCell ref="C53:M53"/>
    <mergeCell ref="P53:Q53"/>
    <mergeCell ref="C54:M54"/>
    <mergeCell ref="P54:Q54"/>
    <mergeCell ref="C48:M48"/>
    <mergeCell ref="P48:Q48"/>
    <mergeCell ref="C49:M49"/>
    <mergeCell ref="P49:Q49"/>
    <mergeCell ref="C50:M50"/>
    <mergeCell ref="P50:Q50"/>
    <mergeCell ref="C44:M44"/>
    <mergeCell ref="P44:Q44"/>
    <mergeCell ref="C45:M45"/>
    <mergeCell ref="P45:Q45"/>
    <mergeCell ref="C47:M47"/>
    <mergeCell ref="P47:Q47"/>
    <mergeCell ref="C41:M41"/>
    <mergeCell ref="P41:Q41"/>
    <mergeCell ref="C42:M42"/>
    <mergeCell ref="P42:Q42"/>
    <mergeCell ref="C43:M43"/>
    <mergeCell ref="P43:Q43"/>
    <mergeCell ref="E32:Q32"/>
    <mergeCell ref="E33:Q33"/>
    <mergeCell ref="E34:Q34"/>
    <mergeCell ref="E35:Q35"/>
    <mergeCell ref="E36:Q36"/>
    <mergeCell ref="E37:Q37"/>
    <mergeCell ref="D28:Q28"/>
    <mergeCell ref="D29:Q29"/>
    <mergeCell ref="D30:Q30"/>
    <mergeCell ref="D17:F17"/>
    <mergeCell ref="D18:F18"/>
    <mergeCell ref="B20:Q20"/>
    <mergeCell ref="C21:Q21"/>
    <mergeCell ref="C22:Q22"/>
    <mergeCell ref="C23:Q23"/>
    <mergeCell ref="C2:F2"/>
    <mergeCell ref="C3:F3"/>
    <mergeCell ref="C4:F4"/>
    <mergeCell ref="C5:F5"/>
    <mergeCell ref="D7:F7"/>
    <mergeCell ref="D8:F16"/>
    <mergeCell ref="D25:Q25"/>
    <mergeCell ref="D26:Q26"/>
    <mergeCell ref="D27:Q27"/>
  </mergeCells>
  <conditionalFormatting sqref="H70:H71">
    <cfRule type="expression" dxfId="3397" priority="32">
      <formula>IF(OR(#REF!="L",#REF!="C"),TRUE,FALSE)</formula>
    </cfRule>
  </conditionalFormatting>
  <conditionalFormatting sqref="H67">
    <cfRule type="expression" dxfId="3396" priority="31">
      <formula>IF(OR(#REF!="L",#REF!="C"),TRUE,FALSE)</formula>
    </cfRule>
  </conditionalFormatting>
  <conditionalFormatting sqref="H68">
    <cfRule type="expression" dxfId="3395" priority="30">
      <formula>IF(OR(#REF!="L",#REF!="C"),TRUE,FALSE)</formula>
    </cfRule>
  </conditionalFormatting>
  <conditionalFormatting sqref="F109:F116 G102:G116 H104:H116">
    <cfRule type="expression" dxfId="3394" priority="29">
      <formula>IF(OR(#REF!="L",#REF!="C"),TRUE,FALSE)</formula>
    </cfRule>
  </conditionalFormatting>
  <conditionalFormatting sqref="E110:E116">
    <cfRule type="expression" dxfId="3393" priority="28">
      <formula>IF(OR(#REF!="L",#REF!="C"),TRUE,FALSE)</formula>
    </cfRule>
  </conditionalFormatting>
  <conditionalFormatting sqref="E108">
    <cfRule type="expression" dxfId="3392" priority="27">
      <formula>IF(OR(#REF!="L",#REF!="C"),TRUE,FALSE)</formula>
    </cfRule>
  </conditionalFormatting>
  <conditionalFormatting sqref="E109">
    <cfRule type="expression" dxfId="3391" priority="26">
      <formula>IF(OR(#REF!="L",#REF!="C"),TRUE,FALSE)</formula>
    </cfRule>
  </conditionalFormatting>
  <conditionalFormatting sqref="E95 G95 I95 K95 M95">
    <cfRule type="duplicateValues" dxfId="3390" priority="25"/>
  </conditionalFormatting>
  <conditionalFormatting sqref="M104:M116">
    <cfRule type="expression" dxfId="3389" priority="16">
      <formula>IF(OR(#REF!="L",#REF!="C"),TRUE,FALSE)</formula>
    </cfRule>
  </conditionalFormatting>
  <conditionalFormatting sqref="I102:I103">
    <cfRule type="expression" dxfId="3388" priority="23">
      <formula>IF(OR(#REF!="L",#REF!="C"),TRUE,FALSE)</formula>
    </cfRule>
  </conditionalFormatting>
  <conditionalFormatting sqref="N102:N103">
    <cfRule type="expression" dxfId="3387" priority="13">
      <formula>IF(OR(#REF!="L",#REF!="C"),TRUE,FALSE)</formula>
    </cfRule>
  </conditionalFormatting>
  <conditionalFormatting sqref="I104:I116">
    <cfRule type="expression" dxfId="3386" priority="24">
      <formula>IF(OR(#REF!="L",#REF!="C"),TRUE,FALSE)</formula>
    </cfRule>
  </conditionalFormatting>
  <conditionalFormatting sqref="J102:J103">
    <cfRule type="expression" dxfId="3385" priority="21">
      <formula>IF(OR(#REF!="L",#REF!="C"),TRUE,FALSE)</formula>
    </cfRule>
  </conditionalFormatting>
  <conditionalFormatting sqref="J104:J116">
    <cfRule type="expression" dxfId="3384" priority="22">
      <formula>IF(OR(#REF!="L",#REF!="C"),TRUE,FALSE)</formula>
    </cfRule>
  </conditionalFormatting>
  <conditionalFormatting sqref="K102:K103">
    <cfRule type="expression" dxfId="3383" priority="19">
      <formula>IF(OR(#REF!="L",#REF!="C"),TRUE,FALSE)</formula>
    </cfRule>
  </conditionalFormatting>
  <conditionalFormatting sqref="K104:K116">
    <cfRule type="expression" dxfId="3382" priority="20">
      <formula>IF(OR(#REF!="L",#REF!="C"),TRUE,FALSE)</formula>
    </cfRule>
  </conditionalFormatting>
  <conditionalFormatting sqref="L102:L103">
    <cfRule type="expression" dxfId="3381" priority="17">
      <formula>IF(OR(#REF!="L",#REF!="C"),TRUE,FALSE)</formula>
    </cfRule>
  </conditionalFormatting>
  <conditionalFormatting sqref="L104:L116">
    <cfRule type="expression" dxfId="3380" priority="18">
      <formula>IF(OR(#REF!="L",#REF!="C"),TRUE,FALSE)</formula>
    </cfRule>
  </conditionalFormatting>
  <conditionalFormatting sqref="M102:M103">
    <cfRule type="expression" dxfId="3379" priority="15">
      <formula>IF(OR(#REF!="L",#REF!="C"),TRUE,FALSE)</formula>
    </cfRule>
  </conditionalFormatting>
  <conditionalFormatting sqref="N104:N116">
    <cfRule type="expression" dxfId="3378" priority="14">
      <formula>IF(OR(#REF!="L",#REF!="C"),TRUE,FALSE)</formula>
    </cfRule>
  </conditionalFormatting>
  <conditionalFormatting sqref="O104:O116">
    <cfRule type="expression" dxfId="3377" priority="12">
      <formula>IF(OR(#REF!="L",#REF!="C"),TRUE,FALSE)</formula>
    </cfRule>
  </conditionalFormatting>
  <conditionalFormatting sqref="O102:O103">
    <cfRule type="expression" dxfId="3376" priority="11">
      <formula>IF(OR(#REF!="L",#REF!="C"),TRUE,FALSE)</formula>
    </cfRule>
  </conditionalFormatting>
  <conditionalFormatting sqref="E96:N96">
    <cfRule type="duplicateValues" dxfId="3375" priority="10"/>
  </conditionalFormatting>
  <conditionalFormatting sqref="H72">
    <cfRule type="expression" dxfId="3374" priority="9">
      <formula>IF(OR(#REF!="L",#REF!="C"),TRUE,FALSE)</formula>
    </cfRule>
  </conditionalFormatting>
  <conditionalFormatting sqref="H73">
    <cfRule type="expression" dxfId="3373" priority="8">
      <formula>IF(OR(#REF!="L",#REF!="C"),TRUE,FALSE)</formula>
    </cfRule>
  </conditionalFormatting>
  <conditionalFormatting sqref="H74">
    <cfRule type="expression" dxfId="3372" priority="7">
      <formula>IF(OR(#REF!="L",#REF!="C"),TRUE,FALSE)</formula>
    </cfRule>
  </conditionalFormatting>
  <conditionalFormatting sqref="H75">
    <cfRule type="expression" dxfId="3371" priority="6">
      <formula>IF(OR(#REF!="L",#REF!="C"),TRUE,FALSE)</formula>
    </cfRule>
  </conditionalFormatting>
  <conditionalFormatting sqref="H76">
    <cfRule type="expression" dxfId="3370" priority="5">
      <formula>IF(OR(#REF!="L",#REF!="C"),TRUE,FALSE)</formula>
    </cfRule>
  </conditionalFormatting>
  <conditionalFormatting sqref="H65">
    <cfRule type="expression" dxfId="3369" priority="4">
      <formula>IF(OR(#REF!="L",#REF!="C"),TRUE,FALSE)</formula>
    </cfRule>
  </conditionalFormatting>
  <conditionalFormatting sqref="H66">
    <cfRule type="expression" dxfId="3368" priority="3">
      <formula>IF(OR(#REF!="L",#REF!="C"),TRUE,FALSE)</formula>
    </cfRule>
  </conditionalFormatting>
  <conditionalFormatting sqref="H62">
    <cfRule type="expression" dxfId="3367" priority="2">
      <formula>IF(OR(#REF!="L",#REF!="C"),TRUE,FALSE)</formula>
    </cfRule>
  </conditionalFormatting>
  <conditionalFormatting sqref="H69">
    <cfRule type="expression" dxfId="3366" priority="1">
      <formula>IF(OR(#REF!="L",#REF!="C"),TRUE,FALSE)</formula>
    </cfRule>
  </conditionalFormatting>
  <dataValidations count="9">
    <dataValidation type="list" allowBlank="1" showInputMessage="1" showErrorMessage="1" sqref="H67" xr:uid="{4E8F4A7A-9923-44AE-89D7-D11969EF29DE}">
      <formula1>#REF!</formula1>
    </dataValidation>
    <dataValidation type="list" allowBlank="1" showInputMessage="1" showErrorMessage="1" sqref="F72:F74" xr:uid="{D8C69FA5-7C4F-43D7-BC84-B87F24425A29}">
      <formula1>$C$98:$C$103</formula1>
    </dataValidation>
    <dataValidation type="list" allowBlank="1" showInputMessage="1" showErrorMessage="1" sqref="C4" xr:uid="{25BA88AF-FD50-4D8B-940D-8D0111D428AA}">
      <formula1>"COM,RES"</formula1>
    </dataValidation>
    <dataValidation type="list" allowBlank="1" showInputMessage="1" showErrorMessage="1" sqref="F63:F64" xr:uid="{35326846-E408-49A7-A420-423489FED7CB}">
      <formula1>#REF!</formula1>
    </dataValidation>
    <dataValidation type="list" allowBlank="1" showInputMessage="1" showErrorMessage="1" sqref="C9" xr:uid="{33C84ABA-CCAC-4709-9D55-EC7E84F8B25D}">
      <formula1>INDIRECT("MeasureTypeList[Index]")</formula1>
    </dataValidation>
    <dataValidation type="list" allowBlank="1" showInputMessage="1" showErrorMessage="1" sqref="C26" xr:uid="{F161D062-E2DD-4A1A-830A-006A06EE577D}">
      <formula1>INDIRECT("RegionList[Index]")</formula1>
    </dataValidation>
    <dataValidation type="list" allowBlank="1" showInputMessage="1" showErrorMessage="1" sqref="C27" xr:uid="{B318AF4B-FA89-4B9E-97EF-58762E1C006D}">
      <formula1>INDIRECT("ReplacementTypeList[Index]")</formula1>
    </dataValidation>
    <dataValidation type="list" allowBlank="1" showInputMessage="1" showErrorMessage="1" sqref="C28" xr:uid="{D1D6D642-BEFC-4EA9-B445-84BB10564BE8}">
      <formula1>INDIRECT("BuildingType[Building]")</formula1>
    </dataValidation>
    <dataValidation type="list" allowBlank="1" showInputMessage="1" showErrorMessage="1" sqref="C29 C30" xr:uid="{8124E410-B033-470C-A6A2-CAAEB56C9726}">
      <formula1>INDIRECT("FuelTypeList[Index]")</formula1>
    </dataValidation>
  </dataValidations>
  <hyperlinks>
    <hyperlink ref="F83" r:id="rId1" xr:uid="{B598E7BB-FA41-4484-A77C-DA5DE42E10C9}"/>
    <hyperlink ref="F85" r:id="rId2" xr:uid="{998ACA7B-8B6E-434F-ACFB-FD33380C38B7}"/>
    <hyperlink ref="F84" r:id="rId3" xr:uid="{A21B8489-5C7C-44DF-BB41-7F3FBCA6D7C1}"/>
    <hyperlink ref="F82" r:id="rId4" xr:uid="{9AF12081-34CA-4D7D-9DD4-191CFA77ECE1}"/>
    <hyperlink ref="F86" r:id="rId5" xr:uid="{F8F3F60F-A658-411B-B98D-BF29845CC3CB}"/>
  </hyperlinks>
  <pageMargins left="0.7" right="0.7" top="0.75" bottom="0.75" header="0.3" footer="0.3"/>
  <pageSetup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4C62-699F-46B1-B74B-E33B3DE5E307}">
  <sheetPr codeName="Sheet61"/>
  <dimension ref="A1:C14"/>
  <sheetViews>
    <sheetView workbookViewId="0">
      <selection activeCell="B4" sqref="B4"/>
    </sheetView>
  </sheetViews>
  <sheetFormatPr defaultRowHeight="14.5" x14ac:dyDescent="0.35"/>
  <cols>
    <col min="1" max="1" width="26.26953125" style="1089" customWidth="1"/>
    <col min="2" max="2" width="24.08984375" style="1089" customWidth="1"/>
    <col min="3" max="3" width="35.08984375" style="1089" customWidth="1"/>
  </cols>
  <sheetData>
    <row r="1" spans="1:3" x14ac:dyDescent="0.35">
      <c r="A1" s="1094" t="s">
        <v>25</v>
      </c>
      <c r="B1" s="1094"/>
      <c r="C1" s="1087"/>
    </row>
    <row r="2" spans="1:3" ht="18.5" x14ac:dyDescent="0.45">
      <c r="A2" s="1091" t="s">
        <v>26</v>
      </c>
      <c r="B2" s="1092"/>
      <c r="C2" s="1087"/>
    </row>
    <row r="3" spans="1:3" s="123" customFormat="1" ht="18.5" x14ac:dyDescent="0.45">
      <c r="A3" s="1091"/>
      <c r="B3" s="1092"/>
      <c r="C3" s="1087"/>
    </row>
    <row r="4" spans="1:3" x14ac:dyDescent="0.35">
      <c r="A4" s="1088"/>
      <c r="C4" s="1087"/>
    </row>
    <row r="5" spans="1:3" x14ac:dyDescent="0.35">
      <c r="A5" s="1088" t="s">
        <v>27</v>
      </c>
      <c r="B5" s="1093" t="s">
        <v>28</v>
      </c>
      <c r="C5" s="1087"/>
    </row>
    <row r="6" spans="1:3" ht="14.25" customHeight="1" x14ac:dyDescent="0.35">
      <c r="A6" s="1088" t="s">
        <v>29</v>
      </c>
      <c r="B6" s="1093" t="s">
        <v>30</v>
      </c>
      <c r="C6" s="1087"/>
    </row>
    <row r="7" spans="1:3" s="123" customFormat="1" ht="14.25" customHeight="1" x14ac:dyDescent="0.35">
      <c r="A7" s="1088" t="s">
        <v>31</v>
      </c>
      <c r="B7" s="1093" t="s">
        <v>32</v>
      </c>
      <c r="C7" s="1087"/>
    </row>
    <row r="8" spans="1:3" x14ac:dyDescent="0.35">
      <c r="A8" s="1088" t="s">
        <v>33</v>
      </c>
      <c r="B8" s="1093" t="s">
        <v>34</v>
      </c>
      <c r="C8" s="1087"/>
    </row>
    <row r="9" spans="1:3" x14ac:dyDescent="0.35">
      <c r="A9" s="1088" t="s">
        <v>35</v>
      </c>
      <c r="B9" s="1093" t="s">
        <v>34</v>
      </c>
      <c r="C9" s="1087"/>
    </row>
    <row r="14" spans="1:3" x14ac:dyDescent="0.35">
      <c r="A14" s="1090"/>
      <c r="B14" s="1090"/>
      <c r="C14" s="1090"/>
    </row>
  </sheetData>
  <sheetProtection algorithmName="SHA-512" hashValue="TOWdwa8PAUkEudg86wYfqA96Y0Ui0QgQBJFQ6DuYQW0YSWKnhoJ4wkZ69RNEUvaapW/3hADlThByYOKBdWKxqg==" saltValue="9pKfwJoK6OIyEcW5iuam0g==" spinCount="100000" sheet="1" objects="1" scenarios="1" selectLockedCells="1" selectUnlockedCells="1"/>
  <dataValidations count="2">
    <dataValidation type="list" allowBlank="1" showInputMessage="1" showErrorMessage="1" sqref="B5" xr:uid="{85373B50-F225-44EE-9E1B-28F298D64313}">
      <formula1>#REF!</formula1>
    </dataValidation>
    <dataValidation type="list" allowBlank="1" showInputMessage="1" showErrorMessage="1" sqref="B8:B9" xr:uid="{12839BA2-95E8-44E0-AA7C-53ECB1F926E2}">
      <formula1>INDIRECT("FuelType[Fuel]")</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4BFE2428-F116-4ABC-ADB7-893BAAF3B96E}">
          <x14:formula1>
            <xm:f>'Building Data'!$B$6:$B$40</xm:f>
          </x14:formula1>
          <xm:sqref>B6:B7</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8C03A-C7F4-4EF0-B89A-D8B75576F69B}">
  <sheetPr codeName="Sheet13">
    <tabColor theme="1"/>
  </sheetPr>
  <dimension ref="A1"/>
  <sheetViews>
    <sheetView workbookViewId="0">
      <selection activeCell="H9" sqref="H9"/>
    </sheetView>
  </sheetViews>
  <sheetFormatPr defaultColWidth="9.08984375" defaultRowHeight="14.5" x14ac:dyDescent="0.35"/>
  <cols>
    <col min="1" max="16384" width="9.08984375" style="123"/>
  </cols>
  <sheetData/>
  <sheetProtection algorithmName="SHA-512" hashValue="xPzZH1busDBh4FdGOQvSwu7hhX2YQTlIrVTl1T/Cypa7FMu0of9LTxNPFxdkK3bEyVakeIoS30kwDyiUggGsMg==" saltValue="EmFBmQFCsnRYhiVDJ2+ngA==" spinCount="100000" sheet="1" objects="1" scenarios="1" selectLockedCells="1" selectUnlockedCell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6EBCD-AE91-4AF4-B4CB-9877E69DF2FD}">
  <sheetPr codeName="Sheet195"/>
  <dimension ref="A1:R116"/>
  <sheetViews>
    <sheetView workbookViewId="0">
      <selection activeCell="N51" sqref="N51"/>
    </sheetView>
  </sheetViews>
  <sheetFormatPr defaultColWidth="9.08984375" defaultRowHeight="18.75" customHeight="1" x14ac:dyDescent="0.3"/>
  <cols>
    <col min="1" max="1" width="2.36328125" style="767" customWidth="1"/>
    <col min="2" max="2" width="39.08984375" style="767" customWidth="1"/>
    <col min="3" max="3" width="27.81640625" style="767" customWidth="1"/>
    <col min="4" max="4" width="21.6328125" style="767" customWidth="1"/>
    <col min="5" max="5" width="14.36328125" style="767" customWidth="1"/>
    <col min="6" max="6" width="15.6328125" style="767" customWidth="1"/>
    <col min="7" max="7" width="19.6328125" style="767" customWidth="1"/>
    <col min="8" max="8" width="16" style="767" customWidth="1"/>
    <col min="9" max="9" width="14.7265625" style="767" customWidth="1"/>
    <col min="10" max="10" width="14.6328125" style="767" customWidth="1"/>
    <col min="11" max="12" width="9.08984375" style="767"/>
    <col min="13" max="13" width="11" style="767" customWidth="1"/>
    <col min="14" max="14" width="12.26953125" style="767" customWidth="1"/>
    <col min="15" max="15" width="10.7265625" style="767" customWidth="1"/>
    <col min="16" max="17" width="9.08984375" style="767"/>
    <col min="18" max="18" width="9.7265625" style="768" customWidth="1"/>
    <col min="19" max="19" width="9.08984375" style="767"/>
    <col min="20" max="20" width="8.6328125" style="767" customWidth="1"/>
    <col min="21" max="16384" width="9.08984375" style="767"/>
  </cols>
  <sheetData>
    <row r="1" spans="1:18" ht="18.75" customHeight="1" x14ac:dyDescent="0.3">
      <c r="A1" s="766"/>
    </row>
    <row r="2" spans="1:18" ht="18.75" customHeight="1" x14ac:dyDescent="0.3">
      <c r="B2" s="1193" t="s">
        <v>506</v>
      </c>
      <c r="C2" s="1366" t="s">
        <v>406</v>
      </c>
      <c r="D2" s="1366"/>
      <c r="E2" s="1366"/>
      <c r="F2" s="1366"/>
      <c r="R2" s="767"/>
    </row>
    <row r="3" spans="1:18" ht="18.75" customHeight="1" x14ac:dyDescent="0.3">
      <c r="B3" s="490" t="s">
        <v>407</v>
      </c>
      <c r="C3" s="1367" t="str">
        <f>IF(ISBLANK(C8)+ISBLANK(C10),C8,C8&amp;"_"&amp;C10)</f>
        <v>C-K-001</v>
      </c>
      <c r="D3" s="1367"/>
      <c r="E3" s="1367"/>
      <c r="F3" s="1367"/>
      <c r="R3" s="767"/>
    </row>
    <row r="4" spans="1:18" ht="21.75" customHeight="1" x14ac:dyDescent="0.3">
      <c r="B4" s="490" t="s">
        <v>11</v>
      </c>
      <c r="C4" s="1367" t="str" cm="1">
        <f t="array" ref="C4">_xlfn.SWITCH(LEFT(C8,1),"R","Residential","C","Commercial","ERROR")</f>
        <v>Commercial</v>
      </c>
      <c r="D4" s="1367"/>
      <c r="E4" s="1367"/>
      <c r="F4" s="1367"/>
      <c r="R4" s="767"/>
    </row>
    <row r="5" spans="1:18" ht="18.75" customHeight="1" x14ac:dyDescent="0.3">
      <c r="B5" s="490" t="s">
        <v>408</v>
      </c>
      <c r="C5" s="1530" t="s">
        <v>242</v>
      </c>
      <c r="D5" s="1531"/>
      <c r="E5" s="1531"/>
      <c r="F5" s="1532"/>
      <c r="R5" s="767"/>
    </row>
    <row r="6" spans="1:18" ht="18.75" customHeight="1" x14ac:dyDescent="0.3">
      <c r="R6" s="767"/>
    </row>
    <row r="7" spans="1:18" ht="18.75" customHeight="1" x14ac:dyDescent="0.3">
      <c r="B7" s="1226" t="s">
        <v>507</v>
      </c>
      <c r="C7" s="769" t="s">
        <v>406</v>
      </c>
      <c r="D7" s="1790" t="s">
        <v>410</v>
      </c>
      <c r="E7" s="1791"/>
      <c r="F7" s="1792"/>
      <c r="R7" s="767"/>
    </row>
    <row r="8" spans="1:18" ht="18.75" customHeight="1" x14ac:dyDescent="0.3">
      <c r="B8" s="770" t="s">
        <v>411</v>
      </c>
      <c r="C8" s="801" t="s">
        <v>102</v>
      </c>
      <c r="D8" s="1793"/>
      <c r="E8" s="1793"/>
      <c r="F8" s="1793"/>
      <c r="R8" s="767"/>
    </row>
    <row r="9" spans="1:18" ht="20.5" customHeight="1" x14ac:dyDescent="0.3">
      <c r="B9" s="770" t="s">
        <v>49</v>
      </c>
      <c r="C9" s="801" t="s">
        <v>1006</v>
      </c>
      <c r="D9" s="1793"/>
      <c r="E9" s="1793"/>
      <c r="F9" s="1793"/>
      <c r="R9" s="767"/>
    </row>
    <row r="10" spans="1:18" ht="18.75" customHeight="1" x14ac:dyDescent="0.3">
      <c r="B10" s="770" t="s">
        <v>412</v>
      </c>
      <c r="C10" s="801"/>
      <c r="D10" s="1793"/>
      <c r="E10" s="1793"/>
      <c r="F10" s="1793"/>
      <c r="R10" s="767"/>
    </row>
    <row r="11" spans="1:18" ht="18.75" customHeight="1" x14ac:dyDescent="0.3">
      <c r="B11" s="770" t="s">
        <v>413</v>
      </c>
      <c r="C11" s="801"/>
      <c r="D11" s="1793"/>
      <c r="E11" s="1793"/>
      <c r="F11" s="1793"/>
      <c r="R11" s="767"/>
    </row>
    <row r="12" spans="1:18" ht="18.75" customHeight="1" x14ac:dyDescent="0.3">
      <c r="B12" s="770" t="s">
        <v>414</v>
      </c>
      <c r="C12" s="802"/>
      <c r="D12" s="1793"/>
      <c r="E12" s="1793"/>
      <c r="F12" s="1793"/>
      <c r="R12" s="767"/>
    </row>
    <row r="13" spans="1:18" ht="18.75" customHeight="1" x14ac:dyDescent="0.3">
      <c r="B13" s="771" t="s">
        <v>415</v>
      </c>
      <c r="C13" s="772">
        <f>N43</f>
        <v>4966</v>
      </c>
      <c r="D13" s="1793"/>
      <c r="E13" s="1793"/>
      <c r="F13" s="1793"/>
      <c r="R13" s="767"/>
    </row>
    <row r="14" spans="1:18" ht="18.75" customHeight="1" x14ac:dyDescent="0.3">
      <c r="B14" s="771" t="s">
        <v>416</v>
      </c>
      <c r="C14" s="772">
        <f>N42</f>
        <v>0</v>
      </c>
      <c r="D14" s="1793"/>
      <c r="E14" s="1793"/>
      <c r="F14" s="1793"/>
      <c r="R14" s="767"/>
    </row>
    <row r="15" spans="1:18" ht="18.75" customHeight="1" x14ac:dyDescent="0.3">
      <c r="B15" s="771" t="s">
        <v>417</v>
      </c>
      <c r="C15" s="772">
        <f>N44</f>
        <v>125.9069335577301</v>
      </c>
      <c r="D15" s="1793"/>
      <c r="E15" s="1793"/>
      <c r="F15" s="1793"/>
      <c r="R15" s="767"/>
    </row>
    <row r="16" spans="1:18" ht="18.75" customHeight="1" x14ac:dyDescent="0.3">
      <c r="B16" s="771" t="s">
        <v>418</v>
      </c>
      <c r="C16" s="773">
        <f>C35</f>
        <v>0</v>
      </c>
      <c r="D16" s="1793"/>
      <c r="E16" s="1793"/>
      <c r="F16" s="1793"/>
      <c r="R16" s="767"/>
    </row>
    <row r="17" spans="2:18" ht="18.75" customHeight="1" x14ac:dyDescent="0.3">
      <c r="B17" s="770" t="s">
        <v>48</v>
      </c>
      <c r="C17" s="803" t="s">
        <v>1007</v>
      </c>
      <c r="D17" s="1790" t="s">
        <v>419</v>
      </c>
      <c r="E17" s="1791"/>
      <c r="F17" s="1792"/>
      <c r="R17" s="767"/>
    </row>
    <row r="18" spans="2:18" ht="43.5" customHeight="1" x14ac:dyDescent="0.3">
      <c r="B18" s="770" t="s">
        <v>420</v>
      </c>
      <c r="C18" s="804">
        <v>15</v>
      </c>
      <c r="D18" s="1454" t="s">
        <v>1008</v>
      </c>
      <c r="E18" s="1455"/>
      <c r="F18" s="1456"/>
      <c r="R18" s="767"/>
    </row>
    <row r="19" spans="2:18" ht="18.75" customHeight="1" x14ac:dyDescent="0.3">
      <c r="B19" s="774"/>
      <c r="C19" s="775"/>
      <c r="F19" s="768"/>
      <c r="R19" s="767"/>
    </row>
    <row r="20" spans="2:18" ht="18.75" customHeight="1" x14ac:dyDescent="0.3">
      <c r="B20" s="1778" t="s">
        <v>421</v>
      </c>
      <c r="C20" s="1778"/>
      <c r="D20" s="1778"/>
      <c r="E20" s="1778"/>
      <c r="F20" s="1778"/>
      <c r="G20" s="1778"/>
      <c r="H20" s="1778"/>
      <c r="I20" s="1778"/>
      <c r="J20" s="1778"/>
      <c r="K20" s="1778"/>
      <c r="L20" s="1778"/>
      <c r="M20" s="1778"/>
      <c r="N20" s="1778"/>
      <c r="O20" s="1778"/>
      <c r="P20" s="1778"/>
      <c r="Q20" s="1778"/>
      <c r="R20" s="767"/>
    </row>
    <row r="21" spans="2:18" ht="30" customHeight="1" x14ac:dyDescent="0.3">
      <c r="B21" s="776" t="s">
        <v>422</v>
      </c>
      <c r="C21" s="1779" t="s">
        <v>243</v>
      </c>
      <c r="D21" s="1779"/>
      <c r="E21" s="1779"/>
      <c r="F21" s="1779"/>
      <c r="G21" s="1779"/>
      <c r="H21" s="1779"/>
      <c r="I21" s="1779"/>
      <c r="J21" s="1779"/>
      <c r="K21" s="1779"/>
      <c r="L21" s="1779"/>
      <c r="M21" s="1779"/>
      <c r="N21" s="1779"/>
      <c r="O21" s="1779"/>
      <c r="P21" s="1779"/>
      <c r="Q21" s="1779"/>
      <c r="R21" s="767"/>
    </row>
    <row r="22" spans="2:18" ht="18.75" customHeight="1" x14ac:dyDescent="0.3">
      <c r="B22" s="777" t="s">
        <v>423</v>
      </c>
      <c r="C22" s="1780" t="s">
        <v>244</v>
      </c>
      <c r="D22" s="1780"/>
      <c r="E22" s="1780"/>
      <c r="F22" s="1780"/>
      <c r="G22" s="1780"/>
      <c r="H22" s="1780"/>
      <c r="I22" s="1780"/>
      <c r="J22" s="1780"/>
      <c r="K22" s="1780"/>
      <c r="L22" s="1780"/>
      <c r="M22" s="1780"/>
      <c r="N22" s="1780"/>
      <c r="O22" s="1780"/>
      <c r="P22" s="1780"/>
      <c r="Q22" s="1780"/>
      <c r="R22" s="767"/>
    </row>
    <row r="23" spans="2:18" ht="30.65" customHeight="1" x14ac:dyDescent="0.3">
      <c r="B23" s="777" t="s">
        <v>424</v>
      </c>
      <c r="C23" s="1780"/>
      <c r="D23" s="1780"/>
      <c r="E23" s="1780"/>
      <c r="F23" s="1780"/>
      <c r="G23" s="1780"/>
      <c r="H23" s="1780"/>
      <c r="I23" s="1780"/>
      <c r="J23" s="1780"/>
      <c r="K23" s="1780"/>
      <c r="L23" s="1780"/>
      <c r="M23" s="1780"/>
      <c r="N23" s="1780"/>
      <c r="O23" s="1780"/>
      <c r="P23" s="1780"/>
      <c r="Q23" s="1780"/>
      <c r="R23" s="767"/>
    </row>
    <row r="25" spans="2:18" ht="18.75" customHeight="1" x14ac:dyDescent="0.3">
      <c r="B25" s="1226" t="s">
        <v>425</v>
      </c>
      <c r="C25" s="778" t="s">
        <v>406</v>
      </c>
      <c r="D25" s="1781" t="s">
        <v>421</v>
      </c>
      <c r="E25" s="1781"/>
      <c r="F25" s="1781"/>
      <c r="G25" s="1781"/>
      <c r="H25" s="1781"/>
      <c r="I25" s="1781"/>
      <c r="J25" s="1781"/>
      <c r="K25" s="1781"/>
      <c r="L25" s="1781"/>
      <c r="M25" s="1781"/>
      <c r="N25" s="1781"/>
      <c r="O25" s="1781"/>
      <c r="P25" s="1781"/>
      <c r="Q25" s="1781"/>
      <c r="R25" s="767"/>
    </row>
    <row r="26" spans="2:18" ht="18.75" customHeight="1" x14ac:dyDescent="0.3">
      <c r="B26" s="770" t="s">
        <v>9</v>
      </c>
      <c r="C26" s="800" t="str">
        <f>Default.Region</f>
        <v>Average</v>
      </c>
      <c r="D26" s="1782"/>
      <c r="E26" s="1782"/>
      <c r="F26" s="1782"/>
      <c r="G26" s="1782"/>
      <c r="H26" s="1782"/>
      <c r="I26" s="1782"/>
      <c r="J26" s="1782"/>
      <c r="K26" s="1782"/>
      <c r="L26" s="1782"/>
      <c r="M26" s="1782"/>
      <c r="N26" s="1782"/>
      <c r="O26" s="1782"/>
      <c r="P26" s="1782"/>
      <c r="Q26" s="1782"/>
      <c r="R26" s="767"/>
    </row>
    <row r="27" spans="2:18" ht="18.75" customHeight="1" x14ac:dyDescent="0.3">
      <c r="B27" s="770" t="s">
        <v>27</v>
      </c>
      <c r="C27" s="800" t="str">
        <f>Default.ReplacementType</f>
        <v>RET</v>
      </c>
      <c r="D27" s="1788" t="s">
        <v>426</v>
      </c>
      <c r="E27" s="1788"/>
      <c r="F27" s="1788"/>
      <c r="G27" s="1788"/>
      <c r="H27" s="1788"/>
      <c r="I27" s="1788"/>
      <c r="J27" s="1788"/>
      <c r="K27" s="1788"/>
      <c r="L27" s="1788"/>
      <c r="M27" s="1788"/>
      <c r="N27" s="1788"/>
      <c r="O27" s="1788"/>
      <c r="P27" s="1788"/>
      <c r="Q27" s="1788"/>
      <c r="R27" s="767"/>
    </row>
    <row r="28" spans="2:18" ht="18.75" customHeight="1" x14ac:dyDescent="0.3">
      <c r="B28" s="770" t="s">
        <v>54</v>
      </c>
      <c r="C28" s="539" t="str">
        <f>Default.BuildingType.C</f>
        <v>Other</v>
      </c>
      <c r="D28" s="1789"/>
      <c r="E28" s="1789"/>
      <c r="F28" s="1789"/>
      <c r="G28" s="1789"/>
      <c r="H28" s="1789"/>
      <c r="I28" s="1789"/>
      <c r="J28" s="1789"/>
      <c r="K28" s="1789"/>
      <c r="L28" s="1789"/>
      <c r="M28" s="1789"/>
      <c r="N28" s="1789"/>
      <c r="O28" s="1789"/>
      <c r="P28" s="1789"/>
      <c r="Q28" s="1789"/>
      <c r="R28" s="767"/>
    </row>
    <row r="29" spans="2:18" ht="18.75" customHeight="1" x14ac:dyDescent="0.3">
      <c r="B29" s="770" t="s">
        <v>33</v>
      </c>
      <c r="C29" s="800" t="str">
        <f>Default.SpaceHeatingFuel</f>
        <v>Natural gas</v>
      </c>
      <c r="D29" s="1782"/>
      <c r="E29" s="1782"/>
      <c r="F29" s="1782"/>
      <c r="G29" s="1782"/>
      <c r="H29" s="1782"/>
      <c r="I29" s="1782"/>
      <c r="J29" s="1782"/>
      <c r="K29" s="1782"/>
      <c r="L29" s="1782"/>
      <c r="M29" s="1782"/>
      <c r="N29" s="1782"/>
      <c r="O29" s="1782"/>
      <c r="P29" s="1782"/>
      <c r="Q29" s="1782"/>
      <c r="R29" s="767"/>
    </row>
    <row r="30" spans="2:18" ht="18.75" customHeight="1" x14ac:dyDescent="0.3">
      <c r="B30" s="770" t="s">
        <v>35</v>
      </c>
      <c r="C30" s="800" t="str">
        <f>Default.WaterHeatingFuel</f>
        <v>Natural gas</v>
      </c>
      <c r="D30" s="1782"/>
      <c r="E30" s="1782"/>
      <c r="F30" s="1782"/>
      <c r="G30" s="1782"/>
      <c r="H30" s="1782"/>
      <c r="I30" s="1782"/>
      <c r="J30" s="1782"/>
      <c r="K30" s="1782"/>
      <c r="L30" s="1782"/>
      <c r="M30" s="1782"/>
      <c r="N30" s="1782"/>
      <c r="O30" s="1782"/>
      <c r="P30" s="1782"/>
      <c r="Q30" s="1782"/>
      <c r="R30" s="767"/>
    </row>
    <row r="31" spans="2:18" ht="18.75" customHeight="1" x14ac:dyDescent="0.3">
      <c r="B31" s="779"/>
      <c r="C31" s="780"/>
      <c r="D31" s="780"/>
      <c r="E31" s="780"/>
      <c r="F31" s="780"/>
      <c r="G31" s="780"/>
      <c r="H31" s="780"/>
      <c r="I31" s="780"/>
      <c r="J31" s="780"/>
      <c r="K31" s="780"/>
      <c r="L31" s="780"/>
      <c r="M31" s="780"/>
      <c r="N31" s="780"/>
    </row>
    <row r="32" spans="2:18" ht="18.75" customHeight="1" x14ac:dyDescent="0.3">
      <c r="B32" s="1226" t="s">
        <v>427</v>
      </c>
      <c r="C32" s="769" t="s">
        <v>406</v>
      </c>
      <c r="D32" s="778" t="s">
        <v>428</v>
      </c>
      <c r="E32" s="1781" t="s">
        <v>419</v>
      </c>
      <c r="F32" s="1781"/>
      <c r="G32" s="1781"/>
      <c r="H32" s="1781"/>
      <c r="I32" s="1781"/>
      <c r="J32" s="1781"/>
      <c r="K32" s="1781"/>
      <c r="L32" s="1781"/>
      <c r="M32" s="1781"/>
      <c r="N32" s="1781"/>
      <c r="O32" s="1781"/>
      <c r="P32" s="1781"/>
      <c r="Q32" s="1781"/>
    </row>
    <row r="33" spans="2:18" ht="18.75" customHeight="1" x14ac:dyDescent="0.3">
      <c r="B33" s="770" t="s">
        <v>429</v>
      </c>
      <c r="C33" s="542"/>
      <c r="D33" s="799" t="s">
        <v>430</v>
      </c>
      <c r="E33" s="1786"/>
      <c r="F33" s="1786"/>
      <c r="G33" s="1786"/>
      <c r="H33" s="1786"/>
      <c r="I33" s="1786"/>
      <c r="J33" s="1786"/>
      <c r="K33" s="1786"/>
      <c r="L33" s="1786"/>
      <c r="M33" s="1786"/>
      <c r="N33" s="1786"/>
      <c r="O33" s="1786"/>
      <c r="P33" s="1786"/>
      <c r="Q33" s="1786"/>
      <c r="R33" s="767"/>
    </row>
    <row r="34" spans="2:18" ht="18.75" customHeight="1" x14ac:dyDescent="0.3">
      <c r="B34" s="771" t="s">
        <v>431</v>
      </c>
      <c r="C34" s="542"/>
      <c r="D34" s="799" t="s">
        <v>430</v>
      </c>
      <c r="E34" s="1787"/>
      <c r="F34" s="1787"/>
      <c r="G34" s="1787"/>
      <c r="H34" s="1787"/>
      <c r="I34" s="1787"/>
      <c r="J34" s="1787"/>
      <c r="K34" s="1787"/>
      <c r="L34" s="1787"/>
      <c r="M34" s="1787"/>
      <c r="N34" s="1787"/>
      <c r="O34" s="1787"/>
      <c r="P34" s="1787"/>
      <c r="Q34" s="1787"/>
    </row>
    <row r="35" spans="2:18" ht="18.75" customHeight="1" x14ac:dyDescent="0.3">
      <c r="B35" s="770" t="s">
        <v>432</v>
      </c>
      <c r="C35" s="542"/>
      <c r="D35" s="799" t="s">
        <v>430</v>
      </c>
      <c r="E35" s="1786"/>
      <c r="F35" s="1786"/>
      <c r="G35" s="1786"/>
      <c r="H35" s="1786"/>
      <c r="I35" s="1786"/>
      <c r="J35" s="1786"/>
      <c r="K35" s="1786"/>
      <c r="L35" s="1786"/>
      <c r="M35" s="1786"/>
      <c r="N35" s="1786"/>
      <c r="O35" s="1786"/>
      <c r="P35" s="1786"/>
      <c r="Q35" s="1786"/>
    </row>
    <row r="36" spans="2:18" ht="18.75" customHeight="1" x14ac:dyDescent="0.3">
      <c r="B36" s="771" t="s">
        <v>433</v>
      </c>
      <c r="C36" s="504">
        <f>SUM(C33:C34)</f>
        <v>0</v>
      </c>
      <c r="D36" s="799" t="s">
        <v>430</v>
      </c>
      <c r="E36" s="1787"/>
      <c r="F36" s="1787"/>
      <c r="G36" s="1787"/>
      <c r="H36" s="1787"/>
      <c r="I36" s="1787"/>
      <c r="J36" s="1787"/>
      <c r="K36" s="1787"/>
      <c r="L36" s="1787"/>
      <c r="M36" s="1787"/>
      <c r="N36" s="1787"/>
      <c r="O36" s="1787"/>
      <c r="P36" s="1787"/>
      <c r="Q36" s="1787"/>
    </row>
    <row r="37" spans="2:18" ht="18.75" customHeight="1" x14ac:dyDescent="0.3">
      <c r="B37" s="771" t="s">
        <v>434</v>
      </c>
      <c r="C37" s="504">
        <f>IF(C27="RET",C33+(C34-C35),C34-C35)</f>
        <v>0</v>
      </c>
      <c r="D37" s="799" t="s">
        <v>430</v>
      </c>
      <c r="E37" s="1787"/>
      <c r="F37" s="1787"/>
      <c r="G37" s="1787"/>
      <c r="H37" s="1787"/>
      <c r="I37" s="1787"/>
      <c r="J37" s="1787"/>
      <c r="K37" s="1787"/>
      <c r="L37" s="1787"/>
      <c r="M37" s="1787"/>
      <c r="N37" s="1787"/>
      <c r="O37" s="1787"/>
      <c r="P37" s="1787"/>
      <c r="Q37" s="1787"/>
    </row>
    <row r="38" spans="2:18" ht="18.75" customHeight="1" x14ac:dyDescent="0.3">
      <c r="B38" s="779"/>
      <c r="C38" s="780"/>
      <c r="D38" s="781"/>
      <c r="E38" s="780"/>
      <c r="F38" s="780"/>
      <c r="G38" s="780"/>
      <c r="H38" s="780"/>
      <c r="I38" s="780"/>
      <c r="J38" s="780"/>
      <c r="K38" s="780"/>
      <c r="L38" s="780"/>
      <c r="M38" s="780"/>
      <c r="N38" s="780"/>
    </row>
    <row r="39" spans="2:18" ht="18.75" customHeight="1" x14ac:dyDescent="0.3">
      <c r="B39" s="782" t="s">
        <v>435</v>
      </c>
      <c r="C39" s="783"/>
      <c r="D39" s="783"/>
      <c r="E39" s="783"/>
      <c r="F39" s="783"/>
      <c r="G39" s="783"/>
      <c r="H39" s="784"/>
      <c r="I39" s="784"/>
      <c r="J39" s="784"/>
      <c r="K39" s="784"/>
      <c r="L39" s="784"/>
      <c r="M39" s="784"/>
      <c r="N39" s="784"/>
      <c r="O39" s="784"/>
      <c r="P39" s="784"/>
      <c r="Q39" s="785"/>
    </row>
    <row r="41" spans="2:18" ht="18.75" customHeight="1" x14ac:dyDescent="0.3">
      <c r="B41" s="786" t="s">
        <v>436</v>
      </c>
      <c r="C41" s="1731" t="s">
        <v>437</v>
      </c>
      <c r="D41" s="1732"/>
      <c r="E41" s="1732"/>
      <c r="F41" s="1732"/>
      <c r="G41" s="1732"/>
      <c r="H41" s="1732"/>
      <c r="I41" s="1732"/>
      <c r="J41" s="1732"/>
      <c r="K41" s="1732"/>
      <c r="L41" s="1732"/>
      <c r="M41" s="1733"/>
      <c r="N41" s="1223" t="s">
        <v>406</v>
      </c>
      <c r="O41" s="1223" t="s">
        <v>428</v>
      </c>
      <c r="P41" s="1734" t="s">
        <v>419</v>
      </c>
      <c r="Q41" s="1734"/>
    </row>
    <row r="42" spans="2:18" ht="18.75" customHeight="1" x14ac:dyDescent="0.3">
      <c r="B42" s="792" t="s">
        <v>438</v>
      </c>
      <c r="C42" s="1775" t="s">
        <v>439</v>
      </c>
      <c r="D42" s="1776"/>
      <c r="E42" s="1776"/>
      <c r="F42" s="1776"/>
      <c r="G42" s="1776"/>
      <c r="H42" s="1776"/>
      <c r="I42" s="1776"/>
      <c r="J42" s="1776"/>
      <c r="K42" s="1776"/>
      <c r="L42" s="1776"/>
      <c r="M42" s="1777"/>
      <c r="N42" s="797">
        <f>N48+N54</f>
        <v>0</v>
      </c>
      <c r="O42" s="787" t="s">
        <v>440</v>
      </c>
      <c r="P42" s="1729"/>
      <c r="Q42" s="1729"/>
      <c r="R42" s="767"/>
    </row>
    <row r="43" spans="2:18" ht="18.75" customHeight="1" x14ac:dyDescent="0.3">
      <c r="B43" s="792" t="s">
        <v>441</v>
      </c>
      <c r="C43" s="1775" t="s">
        <v>442</v>
      </c>
      <c r="D43" s="1776"/>
      <c r="E43" s="1776"/>
      <c r="F43" s="1776"/>
      <c r="G43" s="1776"/>
      <c r="H43" s="1776"/>
      <c r="I43" s="1776"/>
      <c r="J43" s="1776"/>
      <c r="K43" s="1776"/>
      <c r="L43" s="1776"/>
      <c r="M43" s="1777"/>
      <c r="N43" s="798">
        <f>N49+N55</f>
        <v>4966</v>
      </c>
      <c r="O43" s="787" t="s">
        <v>443</v>
      </c>
      <c r="P43" s="1729"/>
      <c r="Q43" s="1729"/>
      <c r="R43" s="767"/>
    </row>
    <row r="44" spans="2:18" ht="18.75" customHeight="1" x14ac:dyDescent="0.3">
      <c r="B44" s="792" t="s">
        <v>444</v>
      </c>
      <c r="C44" s="1775" t="s">
        <v>445</v>
      </c>
      <c r="D44" s="1776"/>
      <c r="E44" s="1776"/>
      <c r="F44" s="1776"/>
      <c r="G44" s="1776"/>
      <c r="H44" s="1776"/>
      <c r="I44" s="1776"/>
      <c r="J44" s="1776"/>
      <c r="K44" s="1776"/>
      <c r="L44" s="1776"/>
      <c r="M44" s="1777"/>
      <c r="N44" s="797">
        <f>N50+N56</f>
        <v>125.9069335577301</v>
      </c>
      <c r="O44" s="787" t="s">
        <v>446</v>
      </c>
      <c r="P44" s="1729"/>
      <c r="Q44" s="1729"/>
      <c r="R44" s="767"/>
    </row>
    <row r="45" spans="2:18" ht="18.75" customHeight="1" x14ac:dyDescent="0.3">
      <c r="B45" s="792" t="s">
        <v>447</v>
      </c>
      <c r="C45" s="1775" t="s">
        <v>448</v>
      </c>
      <c r="D45" s="1776"/>
      <c r="E45" s="1776"/>
      <c r="F45" s="1776"/>
      <c r="G45" s="1776"/>
      <c r="H45" s="1776"/>
      <c r="I45" s="1776"/>
      <c r="J45" s="1776"/>
      <c r="K45" s="1776"/>
      <c r="L45" s="1776"/>
      <c r="M45" s="1777"/>
      <c r="N45" s="797">
        <f>N51+N57</f>
        <v>0</v>
      </c>
      <c r="O45" s="787" t="s">
        <v>449</v>
      </c>
      <c r="P45" s="1729"/>
      <c r="Q45" s="1729"/>
      <c r="R45" s="767"/>
    </row>
    <row r="46" spans="2:18" ht="18.75" customHeight="1" x14ac:dyDescent="0.3">
      <c r="B46" s="793"/>
      <c r="C46" s="780"/>
      <c r="D46" s="780"/>
      <c r="E46" s="780"/>
      <c r="F46" s="780"/>
      <c r="G46" s="780"/>
      <c r="H46" s="780"/>
      <c r="I46" s="780"/>
      <c r="J46" s="780"/>
      <c r="K46" s="780"/>
      <c r="L46" s="780"/>
      <c r="M46" s="780"/>
      <c r="Q46" s="768"/>
      <c r="R46" s="767"/>
    </row>
    <row r="47" spans="2:18" ht="18.75" customHeight="1" x14ac:dyDescent="0.3">
      <c r="B47" s="786" t="s">
        <v>450</v>
      </c>
      <c r="C47" s="1731" t="s">
        <v>451</v>
      </c>
      <c r="D47" s="1732"/>
      <c r="E47" s="1732"/>
      <c r="F47" s="1732"/>
      <c r="G47" s="1732"/>
      <c r="H47" s="1732"/>
      <c r="I47" s="1732"/>
      <c r="J47" s="1732"/>
      <c r="K47" s="1732"/>
      <c r="L47" s="1732"/>
      <c r="M47" s="1733"/>
      <c r="N47" s="1223" t="s">
        <v>406</v>
      </c>
      <c r="O47" s="1223" t="s">
        <v>428</v>
      </c>
      <c r="P47" s="1734" t="s">
        <v>419</v>
      </c>
      <c r="Q47" s="1734"/>
      <c r="R47" s="767"/>
    </row>
    <row r="48" spans="2:18" ht="18.75" customHeight="1" x14ac:dyDescent="0.3">
      <c r="B48" s="792" t="s">
        <v>452</v>
      </c>
      <c r="C48" s="1726" t="s">
        <v>453</v>
      </c>
      <c r="D48" s="1727"/>
      <c r="E48" s="1727"/>
      <c r="F48" s="1727"/>
      <c r="G48" s="1727"/>
      <c r="H48" s="1727"/>
      <c r="I48" s="1727"/>
      <c r="J48" s="1727"/>
      <c r="K48" s="1727"/>
      <c r="L48" s="1727"/>
      <c r="M48" s="1728"/>
      <c r="N48" s="805"/>
      <c r="O48" s="787" t="s">
        <v>440</v>
      </c>
      <c r="P48" s="1729"/>
      <c r="Q48" s="1729"/>
      <c r="R48" s="767"/>
    </row>
    <row r="49" spans="2:18" ht="18.75" customHeight="1" x14ac:dyDescent="0.3">
      <c r="B49" s="792" t="s">
        <v>454</v>
      </c>
      <c r="C49" s="1726" t="s">
        <v>1009</v>
      </c>
      <c r="D49" s="1727"/>
      <c r="E49" s="1727"/>
      <c r="F49" s="1727"/>
      <c r="G49" s="1727"/>
      <c r="H49" s="1727"/>
      <c r="I49" s="1727"/>
      <c r="J49" s="1727"/>
      <c r="K49" s="1727"/>
      <c r="L49" s="1727"/>
      <c r="M49" s="1728"/>
      <c r="N49" s="806">
        <f>H62*H63</f>
        <v>4966</v>
      </c>
      <c r="O49" s="787" t="s">
        <v>443</v>
      </c>
      <c r="P49" s="1729"/>
      <c r="Q49" s="1729"/>
      <c r="R49" s="767"/>
    </row>
    <row r="50" spans="2:18" ht="18.75" customHeight="1" x14ac:dyDescent="0.3">
      <c r="B50" s="792" t="s">
        <v>456</v>
      </c>
      <c r="C50" s="1726" t="s">
        <v>1010</v>
      </c>
      <c r="D50" s="1727"/>
      <c r="E50" s="1727"/>
      <c r="F50" s="1727"/>
      <c r="G50" s="1727"/>
      <c r="H50" s="1727"/>
      <c r="I50" s="1727"/>
      <c r="J50" s="1727"/>
      <c r="K50" s="1727"/>
      <c r="L50" s="1727"/>
      <c r="M50" s="1728"/>
      <c r="N50" s="806">
        <f>(H64*H63*H65/H66)*GJ_per_BTU</f>
        <v>125.9069335577301</v>
      </c>
      <c r="O50" s="787" t="s">
        <v>446</v>
      </c>
      <c r="P50" s="1729"/>
      <c r="Q50" s="1729"/>
      <c r="R50" s="767"/>
    </row>
    <row r="51" spans="2:18" ht="18.75" customHeight="1" x14ac:dyDescent="0.3">
      <c r="B51" s="792" t="s">
        <v>458</v>
      </c>
      <c r="C51" s="1726" t="s">
        <v>459</v>
      </c>
      <c r="D51" s="1727"/>
      <c r="E51" s="1727"/>
      <c r="F51" s="1727"/>
      <c r="G51" s="1727"/>
      <c r="H51" s="1727"/>
      <c r="I51" s="1727"/>
      <c r="J51" s="1727"/>
      <c r="K51" s="1727"/>
      <c r="L51" s="1727"/>
      <c r="M51" s="1728"/>
      <c r="N51" s="806"/>
      <c r="O51" s="787" t="s">
        <v>449</v>
      </c>
      <c r="P51" s="1729"/>
      <c r="Q51" s="1729"/>
      <c r="R51" s="767"/>
    </row>
    <row r="52" spans="2:18" ht="18.75" customHeight="1" x14ac:dyDescent="0.3">
      <c r="B52" s="793"/>
      <c r="C52" s="780"/>
      <c r="D52" s="780"/>
      <c r="E52" s="780"/>
      <c r="F52" s="780"/>
      <c r="G52" s="780"/>
      <c r="H52" s="780"/>
      <c r="I52" s="780"/>
      <c r="J52" s="780"/>
      <c r="K52" s="780"/>
      <c r="L52" s="780"/>
      <c r="M52" s="780"/>
      <c r="Q52" s="768"/>
      <c r="R52" s="767"/>
    </row>
    <row r="53" spans="2:18" ht="18.75" customHeight="1" x14ac:dyDescent="0.3">
      <c r="B53" s="786" t="s">
        <v>460</v>
      </c>
      <c r="C53" s="1731" t="s">
        <v>461</v>
      </c>
      <c r="D53" s="1732"/>
      <c r="E53" s="1732"/>
      <c r="F53" s="1732"/>
      <c r="G53" s="1732"/>
      <c r="H53" s="1732"/>
      <c r="I53" s="1732"/>
      <c r="J53" s="1732"/>
      <c r="K53" s="1732"/>
      <c r="L53" s="1732"/>
      <c r="M53" s="1733"/>
      <c r="N53" s="1223" t="s">
        <v>406</v>
      </c>
      <c r="O53" s="1223" t="s">
        <v>428</v>
      </c>
      <c r="P53" s="1734" t="s">
        <v>419</v>
      </c>
      <c r="Q53" s="1734"/>
      <c r="R53" s="767"/>
    </row>
    <row r="54" spans="2:18" ht="18.75" customHeight="1" x14ac:dyDescent="0.3">
      <c r="B54" s="792" t="s">
        <v>462</v>
      </c>
      <c r="C54" s="1726" t="s">
        <v>463</v>
      </c>
      <c r="D54" s="1727"/>
      <c r="E54" s="1727"/>
      <c r="F54" s="1727"/>
      <c r="G54" s="1727"/>
      <c r="H54" s="1727"/>
      <c r="I54" s="1727"/>
      <c r="J54" s="1727"/>
      <c r="K54" s="1727"/>
      <c r="L54" s="1727"/>
      <c r="M54" s="1728"/>
      <c r="N54" s="805"/>
      <c r="O54" s="787" t="s">
        <v>440</v>
      </c>
      <c r="P54" s="1729"/>
      <c r="Q54" s="1729"/>
      <c r="R54" s="767"/>
    </row>
    <row r="55" spans="2:18" ht="18.75" customHeight="1" x14ac:dyDescent="0.3">
      <c r="B55" s="792" t="s">
        <v>464</v>
      </c>
      <c r="C55" s="1726" t="s">
        <v>465</v>
      </c>
      <c r="D55" s="1727"/>
      <c r="E55" s="1727"/>
      <c r="F55" s="1727"/>
      <c r="G55" s="1727"/>
      <c r="H55" s="1727"/>
      <c r="I55" s="1727"/>
      <c r="J55" s="1727"/>
      <c r="K55" s="1727"/>
      <c r="L55" s="1727"/>
      <c r="M55" s="1728"/>
      <c r="N55" s="807"/>
      <c r="O55" s="787" t="s">
        <v>443</v>
      </c>
      <c r="P55" s="1729"/>
      <c r="Q55" s="1729"/>
      <c r="R55" s="767"/>
    </row>
    <row r="56" spans="2:18" ht="18.75" customHeight="1" x14ac:dyDescent="0.3">
      <c r="B56" s="792" t="s">
        <v>466</v>
      </c>
      <c r="C56" s="1726" t="s">
        <v>1011</v>
      </c>
      <c r="D56" s="1727"/>
      <c r="E56" s="1727"/>
      <c r="F56" s="1727"/>
      <c r="G56" s="1727"/>
      <c r="H56" s="1727"/>
      <c r="I56" s="1727"/>
      <c r="J56" s="1727"/>
      <c r="K56" s="1727"/>
      <c r="L56" s="1727"/>
      <c r="M56" s="1728"/>
      <c r="N56" s="808"/>
      <c r="O56" s="787" t="s">
        <v>446</v>
      </c>
      <c r="P56" s="1729"/>
      <c r="Q56" s="1729"/>
      <c r="R56" s="767"/>
    </row>
    <row r="57" spans="2:18" ht="18.75" customHeight="1" x14ac:dyDescent="0.3">
      <c r="B57" s="792" t="s">
        <v>468</v>
      </c>
      <c r="C57" s="1726" t="s">
        <v>469</v>
      </c>
      <c r="D57" s="1727"/>
      <c r="E57" s="1727"/>
      <c r="F57" s="1727"/>
      <c r="G57" s="1727"/>
      <c r="H57" s="1727"/>
      <c r="I57" s="1727"/>
      <c r="J57" s="1727"/>
      <c r="K57" s="1727"/>
      <c r="L57" s="1727"/>
      <c r="M57" s="1728"/>
      <c r="N57" s="809"/>
      <c r="O57" s="787" t="s">
        <v>449</v>
      </c>
      <c r="P57" s="1729"/>
      <c r="Q57" s="1729"/>
      <c r="R57" s="767"/>
    </row>
    <row r="58" spans="2:18" ht="18.75" customHeight="1" x14ac:dyDescent="0.3">
      <c r="B58" s="788"/>
      <c r="C58" s="779"/>
      <c r="D58" s="780"/>
      <c r="E58" s="780"/>
      <c r="F58" s="780"/>
      <c r="G58" s="780"/>
      <c r="H58" s="780"/>
      <c r="I58" s="780"/>
      <c r="J58" s="780"/>
      <c r="K58" s="780"/>
      <c r="L58" s="780"/>
      <c r="M58" s="780"/>
      <c r="N58" s="780"/>
      <c r="O58" s="780"/>
    </row>
    <row r="59" spans="2:18" ht="18.75" customHeight="1" x14ac:dyDescent="0.3">
      <c r="B59" s="782" t="s">
        <v>470</v>
      </c>
      <c r="C59" s="783"/>
      <c r="D59" s="783"/>
      <c r="E59" s="783"/>
      <c r="F59" s="783"/>
      <c r="G59" s="783"/>
      <c r="H59" s="784"/>
      <c r="I59" s="784"/>
      <c r="J59" s="784"/>
      <c r="K59" s="784"/>
      <c r="L59" s="784"/>
      <c r="M59" s="784"/>
      <c r="N59" s="784"/>
      <c r="O59" s="784"/>
      <c r="P59" s="784"/>
      <c r="Q59" s="785"/>
    </row>
    <row r="61" spans="2:18" ht="18.75" customHeight="1" x14ac:dyDescent="0.3">
      <c r="B61" s="786" t="s">
        <v>471</v>
      </c>
      <c r="C61" s="786" t="s">
        <v>472</v>
      </c>
      <c r="D61" s="1785" t="s">
        <v>473</v>
      </c>
      <c r="E61" s="1785"/>
      <c r="F61" s="786" t="s">
        <v>474</v>
      </c>
      <c r="G61" s="786" t="s">
        <v>765</v>
      </c>
      <c r="H61" s="786" t="s">
        <v>406</v>
      </c>
      <c r="I61" s="786" t="s">
        <v>428</v>
      </c>
      <c r="J61" s="1741" t="s">
        <v>476</v>
      </c>
      <c r="K61" s="1742"/>
      <c r="L61" s="1742"/>
      <c r="M61" s="1742"/>
      <c r="N61" s="1742"/>
      <c r="O61" s="1742"/>
      <c r="P61" s="1742"/>
      <c r="Q61" s="1743"/>
    </row>
    <row r="62" spans="2:18" ht="27" customHeight="1" x14ac:dyDescent="0.3">
      <c r="B62" s="794">
        <v>1</v>
      </c>
      <c r="C62" s="810" t="s">
        <v>1012</v>
      </c>
      <c r="D62" s="1735" t="s">
        <v>1013</v>
      </c>
      <c r="E62" s="1737"/>
      <c r="F62" s="811"/>
      <c r="G62" s="811"/>
      <c r="H62" s="812">
        <v>4966</v>
      </c>
      <c r="I62" s="811" t="s">
        <v>1014</v>
      </c>
      <c r="J62" s="1735" t="s">
        <v>1015</v>
      </c>
      <c r="K62" s="1736"/>
      <c r="L62" s="1736"/>
      <c r="M62" s="1736"/>
      <c r="N62" s="1736"/>
      <c r="O62" s="1736"/>
      <c r="P62" s="1736"/>
      <c r="Q62" s="1737"/>
      <c r="R62" s="767"/>
    </row>
    <row r="63" spans="2:18" ht="33.75" customHeight="1" x14ac:dyDescent="0.3">
      <c r="B63" s="795">
        <v>2</v>
      </c>
      <c r="C63" s="813" t="s">
        <v>1016</v>
      </c>
      <c r="D63" s="1783" t="s">
        <v>1017</v>
      </c>
      <c r="E63" s="1784"/>
      <c r="F63" s="814"/>
      <c r="G63" s="814"/>
      <c r="H63" s="815">
        <v>1</v>
      </c>
      <c r="I63" s="814" t="s">
        <v>1018</v>
      </c>
      <c r="J63" s="1482" t="s">
        <v>1019</v>
      </c>
      <c r="K63" s="1544"/>
      <c r="L63" s="1544"/>
      <c r="M63" s="1544"/>
      <c r="N63" s="1544"/>
      <c r="O63" s="1544"/>
      <c r="P63" s="1544"/>
      <c r="Q63" s="1545"/>
      <c r="R63" s="767"/>
    </row>
    <row r="64" spans="2:18" ht="36" customHeight="1" x14ac:dyDescent="0.3">
      <c r="B64" s="796">
        <v>3</v>
      </c>
      <c r="C64" s="810" t="s">
        <v>1020</v>
      </c>
      <c r="D64" s="1735" t="s">
        <v>1021</v>
      </c>
      <c r="E64" s="1737"/>
      <c r="F64" s="811"/>
      <c r="G64" s="811"/>
      <c r="H64" s="812">
        <v>430</v>
      </c>
      <c r="I64" s="811" t="s">
        <v>1022</v>
      </c>
      <c r="J64" s="1735" t="s">
        <v>1023</v>
      </c>
      <c r="K64" s="1736"/>
      <c r="L64" s="1736"/>
      <c r="M64" s="1736"/>
      <c r="N64" s="1736"/>
      <c r="O64" s="1736"/>
      <c r="P64" s="1736"/>
      <c r="Q64" s="1737"/>
      <c r="R64" s="767"/>
    </row>
    <row r="65" spans="2:17" s="767" customFormat="1" ht="51.75" customHeight="1" x14ac:dyDescent="0.3">
      <c r="B65" s="794">
        <v>4</v>
      </c>
      <c r="C65" s="816" t="s">
        <v>1024</v>
      </c>
      <c r="D65" s="1738" t="s">
        <v>1025</v>
      </c>
      <c r="E65" s="1740"/>
      <c r="F65" s="817"/>
      <c r="G65" s="818"/>
      <c r="H65" s="819">
        <f>INDEX(KitchenVentilationHeatLoad[],1,MATCH($C$26,KitchenVentilationHeatLoad[#Headers],0))</f>
        <v>235897.29389152027</v>
      </c>
      <c r="I65" s="817" t="s">
        <v>1026</v>
      </c>
      <c r="J65" s="1738" t="s">
        <v>1027</v>
      </c>
      <c r="K65" s="1739"/>
      <c r="L65" s="1739"/>
      <c r="M65" s="1739"/>
      <c r="N65" s="1739"/>
      <c r="O65" s="1739"/>
      <c r="P65" s="1739"/>
      <c r="Q65" s="1740"/>
    </row>
    <row r="66" spans="2:17" s="767" customFormat="1" ht="37.5" customHeight="1" x14ac:dyDescent="0.3">
      <c r="B66" s="794">
        <v>5</v>
      </c>
      <c r="C66" s="816" t="s">
        <v>517</v>
      </c>
      <c r="D66" s="1730" t="s">
        <v>1028</v>
      </c>
      <c r="E66" s="1730"/>
      <c r="F66" s="817"/>
      <c r="G66" s="817"/>
      <c r="H66" s="548">
        <f>SpaceHeatingEfficiency.CI.NG</f>
        <v>0.85</v>
      </c>
      <c r="I66" s="817" t="s">
        <v>519</v>
      </c>
      <c r="J66" s="1468" t="s">
        <v>1029</v>
      </c>
      <c r="K66" s="1478"/>
      <c r="L66" s="1478"/>
      <c r="M66" s="1478"/>
      <c r="N66" s="1478"/>
      <c r="O66" s="1478"/>
      <c r="P66" s="1478"/>
      <c r="Q66" s="1469"/>
    </row>
    <row r="67" spans="2:17" s="767" customFormat="1" ht="33.75" customHeight="1" x14ac:dyDescent="0.3">
      <c r="B67" s="796">
        <v>6</v>
      </c>
      <c r="C67" s="810"/>
      <c r="D67" s="1744"/>
      <c r="E67" s="1744"/>
      <c r="F67" s="811"/>
      <c r="G67" s="811"/>
      <c r="H67" s="811"/>
      <c r="I67" s="811"/>
      <c r="J67" s="1735"/>
      <c r="K67" s="1736"/>
      <c r="L67" s="1736"/>
      <c r="M67" s="1736"/>
      <c r="N67" s="1736"/>
      <c r="O67" s="1736"/>
      <c r="P67" s="1736"/>
      <c r="Q67" s="1737"/>
    </row>
    <row r="68" spans="2:17" s="767" customFormat="1" ht="15" customHeight="1" x14ac:dyDescent="0.3">
      <c r="B68" s="796">
        <v>7</v>
      </c>
      <c r="C68" s="810"/>
      <c r="D68" s="1539"/>
      <c r="E68" s="1539"/>
      <c r="F68" s="1217"/>
      <c r="G68" s="554"/>
      <c r="H68" s="670"/>
      <c r="I68" s="1217"/>
      <c r="J68" s="1759"/>
      <c r="K68" s="1760"/>
      <c r="L68" s="1760"/>
      <c r="M68" s="1760"/>
      <c r="N68" s="1760"/>
      <c r="O68" s="1760"/>
      <c r="P68" s="1760"/>
      <c r="Q68" s="1761"/>
    </row>
    <row r="69" spans="2:17" s="767" customFormat="1" ht="13" x14ac:dyDescent="0.3">
      <c r="B69" s="794">
        <v>8</v>
      </c>
      <c r="C69" s="810"/>
      <c r="D69" s="1539"/>
      <c r="E69" s="1539"/>
      <c r="F69" s="1217"/>
      <c r="G69" s="554"/>
      <c r="H69" s="670"/>
      <c r="I69" s="1217"/>
      <c r="J69" s="1759"/>
      <c r="K69" s="1760"/>
      <c r="L69" s="1760"/>
      <c r="M69" s="1760"/>
      <c r="N69" s="1760"/>
      <c r="O69" s="1760"/>
      <c r="P69" s="1760"/>
      <c r="Q69" s="1761"/>
    </row>
    <row r="70" spans="2:17" s="767" customFormat="1" ht="13" x14ac:dyDescent="0.3">
      <c r="B70" s="794">
        <v>9</v>
      </c>
      <c r="C70" s="810"/>
      <c r="D70" s="1539"/>
      <c r="E70" s="1539"/>
      <c r="F70" s="1217"/>
      <c r="G70" s="554"/>
      <c r="H70" s="670"/>
      <c r="I70" s="1217"/>
      <c r="J70" s="1759"/>
      <c r="K70" s="1760"/>
      <c r="L70" s="1760"/>
      <c r="M70" s="1760"/>
      <c r="N70" s="1760"/>
      <c r="O70" s="1760"/>
      <c r="P70" s="1760"/>
      <c r="Q70" s="1761"/>
    </row>
    <row r="71" spans="2:17" s="767" customFormat="1" ht="13" x14ac:dyDescent="0.3">
      <c r="B71" s="794">
        <v>10</v>
      </c>
      <c r="C71" s="810"/>
      <c r="D71" s="1744"/>
      <c r="E71" s="1744"/>
      <c r="F71" s="811"/>
      <c r="G71" s="811"/>
      <c r="H71" s="820"/>
      <c r="I71" s="811"/>
      <c r="J71" s="1759"/>
      <c r="K71" s="1760"/>
      <c r="L71" s="1760"/>
      <c r="M71" s="1760"/>
      <c r="N71" s="1760"/>
      <c r="O71" s="1760"/>
      <c r="P71" s="1760"/>
      <c r="Q71" s="1761"/>
    </row>
    <row r="72" spans="2:17" s="767" customFormat="1" ht="13" x14ac:dyDescent="0.3">
      <c r="B72" s="794">
        <v>11</v>
      </c>
      <c r="C72" s="810"/>
      <c r="D72" s="1744"/>
      <c r="E72" s="1744"/>
      <c r="F72" s="811"/>
      <c r="G72" s="811"/>
      <c r="H72" s="820"/>
      <c r="I72" s="811"/>
      <c r="J72" s="1759"/>
      <c r="K72" s="1760"/>
      <c r="L72" s="1760"/>
      <c r="M72" s="1760"/>
      <c r="N72" s="1760"/>
      <c r="O72" s="1760"/>
      <c r="P72" s="1760"/>
      <c r="Q72" s="1761"/>
    </row>
    <row r="73" spans="2:17" s="767" customFormat="1" ht="13" x14ac:dyDescent="0.3">
      <c r="B73" s="794">
        <v>12</v>
      </c>
      <c r="C73" s="810"/>
      <c r="D73" s="1744"/>
      <c r="E73" s="1744"/>
      <c r="F73" s="811"/>
      <c r="G73" s="811"/>
      <c r="H73" s="820"/>
      <c r="I73" s="811"/>
      <c r="J73" s="1759"/>
      <c r="K73" s="1760"/>
      <c r="L73" s="1760"/>
      <c r="M73" s="1760"/>
      <c r="N73" s="1760"/>
      <c r="O73" s="1760"/>
      <c r="P73" s="1760"/>
      <c r="Q73" s="1761"/>
    </row>
    <row r="74" spans="2:17" s="767" customFormat="1" ht="13" x14ac:dyDescent="0.3">
      <c r="B74" s="794">
        <v>13</v>
      </c>
      <c r="C74" s="810"/>
      <c r="D74" s="1744"/>
      <c r="E74" s="1744"/>
      <c r="F74" s="811"/>
      <c r="G74" s="811"/>
      <c r="H74" s="820"/>
      <c r="I74" s="811"/>
      <c r="J74" s="1759"/>
      <c r="K74" s="1760"/>
      <c r="L74" s="1760"/>
      <c r="M74" s="1760"/>
      <c r="N74" s="1760"/>
      <c r="O74" s="1760"/>
      <c r="P74" s="1760"/>
      <c r="Q74" s="1761"/>
    </row>
    <row r="75" spans="2:17" s="767" customFormat="1" ht="13" x14ac:dyDescent="0.3">
      <c r="B75" s="794">
        <v>14</v>
      </c>
      <c r="C75" s="810"/>
      <c r="D75" s="1744"/>
      <c r="E75" s="1744"/>
      <c r="F75" s="811"/>
      <c r="G75" s="811"/>
      <c r="H75" s="820"/>
      <c r="I75" s="811"/>
      <c r="J75" s="1759"/>
      <c r="K75" s="1760"/>
      <c r="L75" s="1760"/>
      <c r="M75" s="1760"/>
      <c r="N75" s="1760"/>
      <c r="O75" s="1760"/>
      <c r="P75" s="1760"/>
      <c r="Q75" s="1761"/>
    </row>
    <row r="76" spans="2:17" s="767" customFormat="1" ht="13" x14ac:dyDescent="0.3">
      <c r="B76" s="794">
        <v>15</v>
      </c>
      <c r="C76" s="810"/>
      <c r="D76" s="1744"/>
      <c r="E76" s="1744"/>
      <c r="F76" s="811"/>
      <c r="G76" s="811"/>
      <c r="H76" s="820"/>
      <c r="I76" s="811"/>
      <c r="J76" s="1759"/>
      <c r="K76" s="1760"/>
      <c r="L76" s="1760"/>
      <c r="M76" s="1760"/>
      <c r="N76" s="1760"/>
      <c r="O76" s="1760"/>
      <c r="P76" s="1760"/>
      <c r="Q76" s="1761"/>
    </row>
    <row r="77" spans="2:17" s="767" customFormat="1" ht="18.75" customHeight="1" x14ac:dyDescent="0.3"/>
    <row r="78" spans="2:17" s="767" customFormat="1" ht="18.75" customHeight="1" x14ac:dyDescent="0.3">
      <c r="B78" s="782" t="s">
        <v>1030</v>
      </c>
      <c r="C78" s="783"/>
      <c r="D78" s="783"/>
      <c r="E78" s="783"/>
      <c r="F78" s="783"/>
      <c r="G78" s="783"/>
      <c r="H78" s="784"/>
      <c r="I78" s="784"/>
      <c r="J78" s="784"/>
      <c r="K78" s="784"/>
      <c r="L78" s="784"/>
      <c r="M78" s="784"/>
      <c r="N78" s="784"/>
      <c r="O78" s="784"/>
      <c r="P78" s="784"/>
      <c r="Q78" s="785"/>
    </row>
    <row r="79" spans="2:17" s="767" customFormat="1" ht="18.75" customHeight="1" x14ac:dyDescent="0.3"/>
    <row r="80" spans="2:17" s="767" customFormat="1" ht="18.75" customHeight="1" x14ac:dyDescent="0.3">
      <c r="B80" s="506" t="s">
        <v>478</v>
      </c>
      <c r="C80" s="506" t="s">
        <v>1031</v>
      </c>
      <c r="D80" s="1187" t="s">
        <v>1032</v>
      </c>
      <c r="E80" s="1181" t="s">
        <v>476</v>
      </c>
      <c r="F80" s="1413"/>
      <c r="G80" s="1414"/>
      <c r="H80" s="1414"/>
      <c r="I80" s="1414"/>
      <c r="J80" s="1414"/>
      <c r="K80" s="1414"/>
      <c r="L80" s="1414"/>
      <c r="M80" s="1414"/>
      <c r="N80" s="1414"/>
      <c r="O80" s="1414"/>
      <c r="P80" s="1414"/>
      <c r="Q80" s="1415"/>
    </row>
    <row r="81" spans="2:17" s="767" customFormat="1" ht="13" x14ac:dyDescent="0.3">
      <c r="B81" s="533">
        <v>1</v>
      </c>
      <c r="C81" s="560" t="s">
        <v>1033</v>
      </c>
      <c r="D81" s="561">
        <v>1000</v>
      </c>
      <c r="E81" s="734"/>
      <c r="F81" s="1486"/>
      <c r="G81" s="1487"/>
      <c r="H81" s="1487"/>
      <c r="I81" s="1487"/>
      <c r="J81" s="1487"/>
      <c r="K81" s="1487"/>
      <c r="L81" s="1487"/>
      <c r="M81" s="1487"/>
      <c r="N81" s="1487"/>
      <c r="O81" s="1487"/>
      <c r="P81" s="1487"/>
      <c r="Q81" s="1488"/>
    </row>
    <row r="82" spans="2:17" s="767" customFormat="1" ht="13" x14ac:dyDescent="0.3">
      <c r="B82" s="533">
        <v>2</v>
      </c>
      <c r="C82" s="560" t="s">
        <v>1034</v>
      </c>
      <c r="D82" s="562">
        <f>0.03412*0.10548</f>
        <v>3.5989775999999999E-3</v>
      </c>
      <c r="E82" s="734"/>
      <c r="F82" s="1489"/>
      <c r="G82" s="1490"/>
      <c r="H82" s="1490"/>
      <c r="I82" s="1490"/>
      <c r="J82" s="1490"/>
      <c r="K82" s="1490"/>
      <c r="L82" s="1490"/>
      <c r="M82" s="1490"/>
      <c r="N82" s="1490"/>
      <c r="O82" s="1490"/>
      <c r="P82" s="1490"/>
      <c r="Q82" s="1491"/>
    </row>
    <row r="83" spans="2:17" s="767" customFormat="1" ht="13" x14ac:dyDescent="0.3">
      <c r="B83" s="533">
        <v>3</v>
      </c>
      <c r="C83" s="560" t="s">
        <v>1035</v>
      </c>
      <c r="D83" s="562">
        <v>3.7854099999999999E-3</v>
      </c>
      <c r="E83" s="734"/>
      <c r="F83" s="1489"/>
      <c r="G83" s="1490"/>
      <c r="H83" s="1490"/>
      <c r="I83" s="1490"/>
      <c r="J83" s="1490"/>
      <c r="K83" s="1490"/>
      <c r="L83" s="1490"/>
      <c r="M83" s="1490"/>
      <c r="N83" s="1490"/>
      <c r="O83" s="1490"/>
      <c r="P83" s="1490"/>
      <c r="Q83" s="1491"/>
    </row>
    <row r="84" spans="2:17" s="767" customFormat="1" ht="13" x14ac:dyDescent="0.3">
      <c r="B84" s="533">
        <v>4</v>
      </c>
      <c r="C84" s="560" t="s">
        <v>1036</v>
      </c>
      <c r="D84" s="562">
        <v>0.1055</v>
      </c>
      <c r="E84" s="734"/>
      <c r="F84" s="1489"/>
      <c r="G84" s="1490"/>
      <c r="H84" s="1490"/>
      <c r="I84" s="1490"/>
      <c r="J84" s="1490"/>
      <c r="K84" s="1490"/>
      <c r="L84" s="1490"/>
      <c r="M84" s="1490"/>
      <c r="N84" s="1490"/>
      <c r="O84" s="1490"/>
      <c r="P84" s="1490"/>
      <c r="Q84" s="1491"/>
    </row>
    <row r="85" spans="2:17" s="767" customFormat="1" ht="13" x14ac:dyDescent="0.3">
      <c r="B85" s="533">
        <v>5</v>
      </c>
      <c r="C85" s="560"/>
      <c r="D85" s="562"/>
      <c r="E85" s="734"/>
      <c r="F85" s="1489"/>
      <c r="G85" s="1490"/>
      <c r="H85" s="1490"/>
      <c r="I85" s="1490"/>
      <c r="J85" s="1490"/>
      <c r="K85" s="1490"/>
      <c r="L85" s="1490"/>
      <c r="M85" s="1490"/>
      <c r="N85" s="1490"/>
      <c r="O85" s="1490"/>
      <c r="P85" s="1490"/>
      <c r="Q85" s="1491"/>
    </row>
    <row r="86" spans="2:17" s="767" customFormat="1" ht="13" x14ac:dyDescent="0.3">
      <c r="B86" s="533">
        <v>6</v>
      </c>
      <c r="C86" s="563"/>
      <c r="D86" s="562"/>
      <c r="E86" s="734"/>
      <c r="F86" s="1489"/>
      <c r="G86" s="1490"/>
      <c r="H86" s="1490"/>
      <c r="I86" s="1490"/>
      <c r="J86" s="1490"/>
      <c r="K86" s="1490"/>
      <c r="L86" s="1490"/>
      <c r="M86" s="1490"/>
      <c r="N86" s="1490"/>
      <c r="O86" s="1490"/>
      <c r="P86" s="1490"/>
      <c r="Q86" s="1491"/>
    </row>
    <row r="87" spans="2:17" s="767" customFormat="1" ht="13" x14ac:dyDescent="0.3">
      <c r="B87" s="533">
        <v>7</v>
      </c>
      <c r="C87" s="563"/>
      <c r="D87" s="562"/>
      <c r="E87" s="734"/>
      <c r="F87" s="1486"/>
      <c r="G87" s="1487"/>
      <c r="H87" s="1487"/>
      <c r="I87" s="1487"/>
      <c r="J87" s="1487"/>
      <c r="K87" s="1487"/>
      <c r="L87" s="1487"/>
      <c r="M87" s="1487"/>
      <c r="N87" s="1487"/>
      <c r="O87" s="1487"/>
      <c r="P87" s="1487"/>
      <c r="Q87" s="1488"/>
    </row>
    <row r="88" spans="2:17" s="767" customFormat="1" ht="13" x14ac:dyDescent="0.3">
      <c r="B88" s="533">
        <v>8</v>
      </c>
      <c r="C88" s="563"/>
      <c r="D88" s="562"/>
      <c r="E88" s="734"/>
      <c r="F88" s="1486"/>
      <c r="G88" s="1487"/>
      <c r="H88" s="1487"/>
      <c r="I88" s="1487"/>
      <c r="J88" s="1487"/>
      <c r="K88" s="1487"/>
      <c r="L88" s="1487"/>
      <c r="M88" s="1487"/>
      <c r="N88" s="1487"/>
      <c r="O88" s="1487"/>
      <c r="P88" s="1487"/>
      <c r="Q88" s="1488"/>
    </row>
    <row r="89" spans="2:17" s="767" customFormat="1" ht="13" x14ac:dyDescent="0.3">
      <c r="B89" s="533">
        <v>9</v>
      </c>
      <c r="C89" s="563"/>
      <c r="D89" s="1233"/>
      <c r="E89" s="1182"/>
      <c r="F89" s="1489"/>
      <c r="G89" s="1490"/>
      <c r="H89" s="1490"/>
      <c r="I89" s="1490"/>
      <c r="J89" s="1490"/>
      <c r="K89" s="1490"/>
      <c r="L89" s="1490"/>
      <c r="M89" s="1490"/>
      <c r="N89" s="1490"/>
      <c r="O89" s="1490"/>
      <c r="P89" s="1490"/>
      <c r="Q89" s="1491"/>
    </row>
    <row r="90" spans="2:17" s="767" customFormat="1" ht="13" x14ac:dyDescent="0.3">
      <c r="B90" s="533">
        <v>10</v>
      </c>
      <c r="C90" s="563"/>
      <c r="D90" s="564"/>
      <c r="E90" s="1182"/>
      <c r="F90" s="1489"/>
      <c r="G90" s="1490"/>
      <c r="H90" s="1490"/>
      <c r="I90" s="1490"/>
      <c r="J90" s="1490"/>
      <c r="K90" s="1490"/>
      <c r="L90" s="1490"/>
      <c r="M90" s="1490"/>
      <c r="N90" s="1490"/>
      <c r="O90" s="1490"/>
      <c r="P90" s="1490"/>
      <c r="Q90" s="1491"/>
    </row>
    <row r="91" spans="2:17" s="767" customFormat="1" ht="18.75" customHeight="1" x14ac:dyDescent="0.3">
      <c r="B91" s="488"/>
      <c r="C91" s="488"/>
      <c r="D91" s="488"/>
      <c r="E91" s="488"/>
      <c r="F91" s="488"/>
      <c r="G91" s="488"/>
      <c r="H91" s="488"/>
      <c r="I91" s="488"/>
      <c r="J91" s="488"/>
      <c r="K91" s="488"/>
      <c r="L91" s="488"/>
      <c r="M91" s="488"/>
      <c r="N91" s="488"/>
      <c r="O91" s="488"/>
      <c r="P91" s="488"/>
      <c r="Q91" s="488"/>
    </row>
    <row r="92" spans="2:17" s="767" customFormat="1" ht="18.75" customHeight="1" x14ac:dyDescent="0.3">
      <c r="B92" s="782" t="s">
        <v>492</v>
      </c>
      <c r="C92" s="783"/>
      <c r="D92" s="783"/>
      <c r="E92" s="783"/>
      <c r="F92" s="783"/>
      <c r="G92" s="783"/>
      <c r="H92" s="784"/>
      <c r="I92" s="784"/>
      <c r="J92" s="784"/>
      <c r="K92" s="784"/>
      <c r="L92" s="784"/>
      <c r="M92" s="784"/>
      <c r="N92" s="784"/>
      <c r="O92" s="784"/>
      <c r="P92" s="784"/>
      <c r="Q92" s="785"/>
    </row>
    <row r="93" spans="2:17" s="767" customFormat="1" ht="18.75" customHeight="1" x14ac:dyDescent="0.3"/>
    <row r="94" spans="2:17" s="767" customFormat="1" ht="18.75" customHeight="1" x14ac:dyDescent="0.3">
      <c r="B94" s="789" t="s">
        <v>493</v>
      </c>
      <c r="E94" s="1751" t="s">
        <v>494</v>
      </c>
      <c r="F94" s="1762"/>
      <c r="G94" s="1762"/>
      <c r="H94" s="1762"/>
      <c r="I94" s="1762"/>
      <c r="J94" s="1762"/>
      <c r="K94" s="1762"/>
      <c r="L94" s="1762"/>
      <c r="M94" s="1762"/>
      <c r="N94" s="1762"/>
      <c r="O94" s="1763" t="s">
        <v>476</v>
      </c>
      <c r="P94" s="1764"/>
      <c r="Q94" s="1765"/>
    </row>
    <row r="95" spans="2:17" s="767" customFormat="1" ht="25.5" customHeight="1" x14ac:dyDescent="0.3">
      <c r="B95" s="1748"/>
      <c r="C95" s="1749"/>
      <c r="D95" s="1750"/>
      <c r="E95" s="790" t="s">
        <v>495</v>
      </c>
      <c r="F95" s="790" t="s">
        <v>496</v>
      </c>
      <c r="G95" s="790" t="s">
        <v>497</v>
      </c>
      <c r="H95" s="790" t="s">
        <v>498</v>
      </c>
      <c r="I95" s="790" t="s">
        <v>499</v>
      </c>
      <c r="J95" s="790" t="s">
        <v>500</v>
      </c>
      <c r="K95" s="790" t="s">
        <v>501</v>
      </c>
      <c r="L95" s="790" t="s">
        <v>502</v>
      </c>
      <c r="M95" s="790" t="s">
        <v>503</v>
      </c>
      <c r="N95" s="1227" t="s">
        <v>504</v>
      </c>
      <c r="O95" s="1766"/>
      <c r="P95" s="1767"/>
      <c r="Q95" s="1768"/>
    </row>
    <row r="96" spans="2:17" s="767" customFormat="1" ht="25.5" customHeight="1" x14ac:dyDescent="0.3">
      <c r="B96" s="1223" t="s">
        <v>478</v>
      </c>
      <c r="C96" s="1751" t="s">
        <v>538</v>
      </c>
      <c r="D96" s="1752"/>
      <c r="E96" s="821"/>
      <c r="F96" s="821"/>
      <c r="G96" s="821"/>
      <c r="H96" s="821"/>
      <c r="I96" s="821"/>
      <c r="J96" s="821"/>
      <c r="K96" s="821"/>
      <c r="L96" s="821"/>
      <c r="M96" s="821"/>
      <c r="N96" s="822"/>
      <c r="O96" s="1769"/>
      <c r="P96" s="1770"/>
      <c r="Q96" s="1771"/>
    </row>
    <row r="97" spans="2:17" s="767" customFormat="1" ht="13" x14ac:dyDescent="0.3">
      <c r="B97" s="794">
        <v>1</v>
      </c>
      <c r="C97" s="810"/>
      <c r="D97" s="1225"/>
      <c r="E97" s="823"/>
      <c r="F97" s="823"/>
      <c r="G97" s="823"/>
      <c r="H97" s="823"/>
      <c r="I97" s="824"/>
      <c r="J97" s="824"/>
      <c r="K97" s="824"/>
      <c r="L97" s="824"/>
      <c r="M97" s="824"/>
      <c r="N97" s="824"/>
      <c r="O97" s="1753"/>
      <c r="P97" s="1754"/>
      <c r="Q97" s="1755"/>
    </row>
    <row r="98" spans="2:17" s="767" customFormat="1" ht="13" x14ac:dyDescent="0.3">
      <c r="B98" s="794">
        <v>2</v>
      </c>
      <c r="C98" s="810"/>
      <c r="D98" s="1225"/>
      <c r="E98" s="823"/>
      <c r="F98" s="823"/>
      <c r="G98" s="823"/>
      <c r="H98" s="823"/>
      <c r="I98" s="824"/>
      <c r="J98" s="824"/>
      <c r="K98" s="824"/>
      <c r="L98" s="824"/>
      <c r="M98" s="824"/>
      <c r="N98" s="824"/>
      <c r="O98" s="1756"/>
      <c r="P98" s="1757"/>
      <c r="Q98" s="1758"/>
    </row>
    <row r="99" spans="2:17" s="767" customFormat="1" ht="13" x14ac:dyDescent="0.3">
      <c r="B99" s="794">
        <v>3</v>
      </c>
      <c r="C99" s="810"/>
      <c r="D99" s="1225"/>
      <c r="E99" s="823"/>
      <c r="F99" s="823"/>
      <c r="G99" s="823"/>
      <c r="H99" s="823"/>
      <c r="I99" s="824"/>
      <c r="J99" s="824"/>
      <c r="K99" s="824"/>
      <c r="L99" s="824"/>
      <c r="M99" s="824"/>
      <c r="N99" s="824"/>
      <c r="O99" s="1756"/>
      <c r="P99" s="1757"/>
      <c r="Q99" s="1758"/>
    </row>
    <row r="100" spans="2:17" s="767" customFormat="1" ht="13" x14ac:dyDescent="0.3">
      <c r="B100" s="794">
        <v>4</v>
      </c>
      <c r="C100" s="810"/>
      <c r="D100" s="1225"/>
      <c r="E100" s="823"/>
      <c r="F100" s="823"/>
      <c r="G100" s="823"/>
      <c r="H100" s="823"/>
      <c r="I100" s="824"/>
      <c r="J100" s="824"/>
      <c r="K100" s="824"/>
      <c r="L100" s="824"/>
      <c r="M100" s="824"/>
      <c r="N100" s="824"/>
      <c r="O100" s="1756"/>
      <c r="P100" s="1757"/>
      <c r="Q100" s="1758"/>
    </row>
    <row r="101" spans="2:17" s="767" customFormat="1" ht="13" x14ac:dyDescent="0.3">
      <c r="B101" s="794">
        <v>5</v>
      </c>
      <c r="C101" s="810"/>
      <c r="D101" s="1225"/>
      <c r="E101" s="823"/>
      <c r="F101" s="823"/>
      <c r="G101" s="823"/>
      <c r="H101" s="823"/>
      <c r="I101" s="824"/>
      <c r="J101" s="824"/>
      <c r="K101" s="824"/>
      <c r="L101" s="824"/>
      <c r="M101" s="824"/>
      <c r="N101" s="824"/>
      <c r="O101" s="1756"/>
      <c r="P101" s="1757"/>
      <c r="Q101" s="1758"/>
    </row>
    <row r="102" spans="2:17" s="767" customFormat="1" ht="13" x14ac:dyDescent="0.3">
      <c r="B102" s="794">
        <v>6</v>
      </c>
      <c r="C102" s="810"/>
      <c r="D102" s="825"/>
      <c r="E102" s="823"/>
      <c r="F102" s="826"/>
      <c r="G102" s="823"/>
      <c r="H102" s="823"/>
      <c r="I102" s="820"/>
      <c r="J102" s="820"/>
      <c r="K102" s="820"/>
      <c r="L102" s="820"/>
      <c r="M102" s="820"/>
      <c r="N102" s="820"/>
      <c r="O102" s="1745"/>
      <c r="P102" s="1746"/>
      <c r="Q102" s="1747"/>
    </row>
    <row r="103" spans="2:17" s="767" customFormat="1" ht="13" x14ac:dyDescent="0.3">
      <c r="B103" s="794">
        <v>7</v>
      </c>
      <c r="C103" s="810"/>
      <c r="D103" s="825"/>
      <c r="E103" s="823"/>
      <c r="F103" s="820"/>
      <c r="G103" s="820"/>
      <c r="H103" s="823"/>
      <c r="I103" s="820"/>
      <c r="J103" s="820"/>
      <c r="K103" s="820"/>
      <c r="L103" s="820"/>
      <c r="M103" s="820"/>
      <c r="N103" s="820"/>
      <c r="O103" s="1745"/>
      <c r="P103" s="1746"/>
      <c r="Q103" s="1747"/>
    </row>
    <row r="104" spans="2:17" s="767" customFormat="1" ht="13" x14ac:dyDescent="0.3">
      <c r="B104" s="794">
        <v>8</v>
      </c>
      <c r="C104" s="810"/>
      <c r="D104" s="825"/>
      <c r="E104" s="823"/>
      <c r="F104" s="820"/>
      <c r="G104" s="820"/>
      <c r="H104" s="820"/>
      <c r="I104" s="820"/>
      <c r="J104" s="820"/>
      <c r="K104" s="820"/>
      <c r="L104" s="820"/>
      <c r="M104" s="820"/>
      <c r="N104" s="820"/>
      <c r="O104" s="1745"/>
      <c r="P104" s="1746"/>
      <c r="Q104" s="1747"/>
    </row>
    <row r="105" spans="2:17" s="767" customFormat="1" ht="13" x14ac:dyDescent="0.3">
      <c r="B105" s="794">
        <v>9</v>
      </c>
      <c r="C105" s="810"/>
      <c r="D105" s="825"/>
      <c r="E105" s="823"/>
      <c r="F105" s="827"/>
      <c r="G105" s="827"/>
      <c r="H105" s="827"/>
      <c r="I105" s="828"/>
      <c r="J105" s="828"/>
      <c r="K105" s="828"/>
      <c r="L105" s="828"/>
      <c r="M105" s="828"/>
      <c r="N105" s="828"/>
      <c r="O105" s="1772"/>
      <c r="P105" s="1773"/>
      <c r="Q105" s="1774"/>
    </row>
    <row r="106" spans="2:17" s="767" customFormat="1" ht="13" x14ac:dyDescent="0.3">
      <c r="B106" s="794">
        <v>10</v>
      </c>
      <c r="C106" s="810"/>
      <c r="D106" s="825"/>
      <c r="E106" s="827"/>
      <c r="F106" s="827"/>
      <c r="G106" s="827"/>
      <c r="H106" s="827"/>
      <c r="I106" s="828"/>
      <c r="J106" s="828"/>
      <c r="K106" s="828"/>
      <c r="L106" s="828"/>
      <c r="M106" s="828"/>
      <c r="N106" s="828"/>
      <c r="O106" s="1772"/>
      <c r="P106" s="1773"/>
      <c r="Q106" s="1774"/>
    </row>
    <row r="107" spans="2:17" s="767" customFormat="1" ht="13" x14ac:dyDescent="0.3">
      <c r="B107" s="794">
        <v>11</v>
      </c>
      <c r="C107" s="810"/>
      <c r="D107" s="825"/>
      <c r="E107" s="829"/>
      <c r="F107" s="823"/>
      <c r="G107" s="829"/>
      <c r="H107" s="829"/>
      <c r="I107" s="820"/>
      <c r="J107" s="820"/>
      <c r="K107" s="820"/>
      <c r="L107" s="820"/>
      <c r="M107" s="820"/>
      <c r="N107" s="820"/>
      <c r="O107" s="1745"/>
      <c r="P107" s="1746"/>
      <c r="Q107" s="1747"/>
    </row>
    <row r="108" spans="2:17" s="767" customFormat="1" ht="13" x14ac:dyDescent="0.3">
      <c r="B108" s="794">
        <v>12</v>
      </c>
      <c r="C108" s="810"/>
      <c r="D108" s="825"/>
      <c r="E108" s="827"/>
      <c r="F108" s="823"/>
      <c r="G108" s="827"/>
      <c r="H108" s="827"/>
      <c r="I108" s="828"/>
      <c r="J108" s="828"/>
      <c r="K108" s="828"/>
      <c r="L108" s="828"/>
      <c r="M108" s="828"/>
      <c r="N108" s="828"/>
      <c r="O108" s="1772"/>
      <c r="P108" s="1773"/>
      <c r="Q108" s="1774"/>
    </row>
    <row r="109" spans="2:17" s="767" customFormat="1" ht="13" x14ac:dyDescent="0.3">
      <c r="B109" s="794">
        <v>13</v>
      </c>
      <c r="C109" s="810"/>
      <c r="D109" s="825"/>
      <c r="E109" s="827"/>
      <c r="F109" s="827"/>
      <c r="G109" s="827"/>
      <c r="H109" s="827"/>
      <c r="I109" s="828"/>
      <c r="J109" s="828"/>
      <c r="K109" s="828"/>
      <c r="L109" s="828"/>
      <c r="M109" s="828"/>
      <c r="N109" s="828"/>
      <c r="O109" s="1772"/>
      <c r="P109" s="1773"/>
      <c r="Q109" s="1774"/>
    </row>
    <row r="110" spans="2:17" s="767" customFormat="1" ht="13" x14ac:dyDescent="0.3">
      <c r="B110" s="794">
        <v>14</v>
      </c>
      <c r="C110" s="810"/>
      <c r="D110" s="825"/>
      <c r="E110" s="830"/>
      <c r="F110" s="830"/>
      <c r="G110" s="830"/>
      <c r="H110" s="830"/>
      <c r="I110" s="820"/>
      <c r="J110" s="820"/>
      <c r="K110" s="820"/>
      <c r="L110" s="820"/>
      <c r="M110" s="820"/>
      <c r="N110" s="820"/>
      <c r="O110" s="1745"/>
      <c r="P110" s="1746"/>
      <c r="Q110" s="1747"/>
    </row>
    <row r="111" spans="2:17" s="767" customFormat="1" ht="13" x14ac:dyDescent="0.3">
      <c r="B111" s="794">
        <v>15</v>
      </c>
      <c r="C111" s="810"/>
      <c r="D111" s="825"/>
      <c r="E111" s="830"/>
      <c r="F111" s="830"/>
      <c r="G111" s="830"/>
      <c r="H111" s="830"/>
      <c r="I111" s="820"/>
      <c r="J111" s="820"/>
      <c r="K111" s="820"/>
      <c r="L111" s="820"/>
      <c r="M111" s="820"/>
      <c r="N111" s="820"/>
      <c r="O111" s="1745"/>
      <c r="P111" s="1746"/>
      <c r="Q111" s="1747"/>
    </row>
    <row r="112" spans="2:17" s="767" customFormat="1" ht="13" x14ac:dyDescent="0.3">
      <c r="B112" s="794">
        <v>16</v>
      </c>
      <c r="C112" s="810"/>
      <c r="D112" s="825"/>
      <c r="E112" s="830"/>
      <c r="F112" s="830"/>
      <c r="G112" s="830"/>
      <c r="H112" s="830"/>
      <c r="I112" s="820"/>
      <c r="J112" s="820"/>
      <c r="K112" s="820"/>
      <c r="L112" s="820"/>
      <c r="M112" s="820"/>
      <c r="N112" s="820"/>
      <c r="O112" s="1745"/>
      <c r="P112" s="1746"/>
      <c r="Q112" s="1747"/>
    </row>
    <row r="113" spans="2:17" s="767" customFormat="1" ht="13" x14ac:dyDescent="0.3">
      <c r="B113" s="794">
        <v>17</v>
      </c>
      <c r="C113" s="810"/>
      <c r="D113" s="825"/>
      <c r="E113" s="830"/>
      <c r="F113" s="830"/>
      <c r="G113" s="830"/>
      <c r="H113" s="830"/>
      <c r="I113" s="820"/>
      <c r="J113" s="820"/>
      <c r="K113" s="820"/>
      <c r="L113" s="820"/>
      <c r="M113" s="820"/>
      <c r="N113" s="820"/>
      <c r="O113" s="1745"/>
      <c r="P113" s="1746"/>
      <c r="Q113" s="1747"/>
    </row>
    <row r="114" spans="2:17" s="767" customFormat="1" ht="13" x14ac:dyDescent="0.3">
      <c r="B114" s="794">
        <v>18</v>
      </c>
      <c r="C114" s="810"/>
      <c r="D114" s="825"/>
      <c r="E114" s="830"/>
      <c r="F114" s="830"/>
      <c r="G114" s="830"/>
      <c r="H114" s="830"/>
      <c r="I114" s="820"/>
      <c r="J114" s="820"/>
      <c r="K114" s="820"/>
      <c r="L114" s="820"/>
      <c r="M114" s="820"/>
      <c r="N114" s="820"/>
      <c r="O114" s="1745"/>
      <c r="P114" s="1746"/>
      <c r="Q114" s="1747"/>
    </row>
    <row r="115" spans="2:17" s="767" customFormat="1" ht="13" x14ac:dyDescent="0.3">
      <c r="B115" s="794">
        <v>19</v>
      </c>
      <c r="C115" s="810"/>
      <c r="D115" s="825"/>
      <c r="E115" s="830"/>
      <c r="F115" s="830"/>
      <c r="G115" s="830"/>
      <c r="H115" s="830"/>
      <c r="I115" s="820"/>
      <c r="J115" s="820"/>
      <c r="K115" s="820"/>
      <c r="L115" s="820"/>
      <c r="M115" s="820"/>
      <c r="N115" s="820"/>
      <c r="O115" s="1745"/>
      <c r="P115" s="1746"/>
      <c r="Q115" s="1747"/>
    </row>
    <row r="116" spans="2:17" s="767" customFormat="1" ht="13" x14ac:dyDescent="0.3">
      <c r="B116" s="794">
        <v>20</v>
      </c>
      <c r="C116" s="810"/>
      <c r="D116" s="825"/>
      <c r="E116" s="830"/>
      <c r="F116" s="830"/>
      <c r="G116" s="830"/>
      <c r="H116" s="830"/>
      <c r="I116" s="820"/>
      <c r="J116" s="820"/>
      <c r="K116" s="820"/>
      <c r="L116" s="820"/>
      <c r="M116" s="820"/>
      <c r="N116" s="820"/>
      <c r="O116" s="1745"/>
      <c r="P116" s="1746"/>
      <c r="Q116" s="1747"/>
    </row>
  </sheetData>
  <sheetProtection algorithmName="SHA-512" hashValue="JfOCq1xYErNBpxHWVPkylwj78Qb2hz6Fg3W3N7yO77hhNAR9dE+CjvpGcpDKqD36kS+EHttFl17Uv83sOj1UtA==" saltValue="AN9Emkn51WeYIHp05G+BaA==" spinCount="100000" sheet="1" objects="1" scenarios="1" selectLockedCells="1" selectUnlockedCells="1"/>
  <mergeCells count="121">
    <mergeCell ref="C47:M47"/>
    <mergeCell ref="P47:Q47"/>
    <mergeCell ref="C2:F2"/>
    <mergeCell ref="C3:F3"/>
    <mergeCell ref="C4:F4"/>
    <mergeCell ref="C5:F5"/>
    <mergeCell ref="E35:Q35"/>
    <mergeCell ref="E36:Q36"/>
    <mergeCell ref="E37:Q37"/>
    <mergeCell ref="C41:M41"/>
    <mergeCell ref="P41:Q41"/>
    <mergeCell ref="D26:Q26"/>
    <mergeCell ref="D27:Q27"/>
    <mergeCell ref="D28:Q28"/>
    <mergeCell ref="E32:Q32"/>
    <mergeCell ref="E33:Q33"/>
    <mergeCell ref="E34:Q34"/>
    <mergeCell ref="D7:F7"/>
    <mergeCell ref="D8:F16"/>
    <mergeCell ref="D17:F17"/>
    <mergeCell ref="D18:F18"/>
    <mergeCell ref="D69:E69"/>
    <mergeCell ref="J69:Q69"/>
    <mergeCell ref="P44:Q44"/>
    <mergeCell ref="C45:M45"/>
    <mergeCell ref="P45:Q45"/>
    <mergeCell ref="B20:Q20"/>
    <mergeCell ref="C21:Q21"/>
    <mergeCell ref="C22:Q22"/>
    <mergeCell ref="C23:Q23"/>
    <mergeCell ref="D25:Q25"/>
    <mergeCell ref="C42:M42"/>
    <mergeCell ref="P42:Q42"/>
    <mergeCell ref="D29:Q29"/>
    <mergeCell ref="D30:Q30"/>
    <mergeCell ref="C43:M43"/>
    <mergeCell ref="P43:Q43"/>
    <mergeCell ref="C44:M44"/>
    <mergeCell ref="D68:E68"/>
    <mergeCell ref="J68:Q68"/>
    <mergeCell ref="D63:E63"/>
    <mergeCell ref="J63:Q63"/>
    <mergeCell ref="C57:M57"/>
    <mergeCell ref="P57:Q57"/>
    <mergeCell ref="D61:E61"/>
    <mergeCell ref="F85:Q85"/>
    <mergeCell ref="F86:Q86"/>
    <mergeCell ref="F87:Q87"/>
    <mergeCell ref="F88:Q88"/>
    <mergeCell ref="F89:Q89"/>
    <mergeCell ref="F90:Q90"/>
    <mergeCell ref="J70:Q70"/>
    <mergeCell ref="D71:E71"/>
    <mergeCell ref="J71:Q71"/>
    <mergeCell ref="D76:E76"/>
    <mergeCell ref="J76:Q76"/>
    <mergeCell ref="D73:E73"/>
    <mergeCell ref="J73:Q73"/>
    <mergeCell ref="D74:E74"/>
    <mergeCell ref="J74:Q74"/>
    <mergeCell ref="D75:E75"/>
    <mergeCell ref="J75:Q75"/>
    <mergeCell ref="F80:Q80"/>
    <mergeCell ref="O116:Q116"/>
    <mergeCell ref="O107:Q107"/>
    <mergeCell ref="O108:Q108"/>
    <mergeCell ref="O109:Q109"/>
    <mergeCell ref="O110:Q110"/>
    <mergeCell ref="O111:Q111"/>
    <mergeCell ref="O112:Q112"/>
    <mergeCell ref="O101:Q101"/>
    <mergeCell ref="O102:Q102"/>
    <mergeCell ref="O103:Q103"/>
    <mergeCell ref="O104:Q104"/>
    <mergeCell ref="O105:Q105"/>
    <mergeCell ref="O106:Q106"/>
    <mergeCell ref="D67:E67"/>
    <mergeCell ref="J67:Q67"/>
    <mergeCell ref="C50:M50"/>
    <mergeCell ref="P50:Q50"/>
    <mergeCell ref="C51:M51"/>
    <mergeCell ref="P51:Q51"/>
    <mergeCell ref="O113:Q113"/>
    <mergeCell ref="O114:Q114"/>
    <mergeCell ref="O115:Q115"/>
    <mergeCell ref="B95:D95"/>
    <mergeCell ref="C96:D96"/>
    <mergeCell ref="O97:Q97"/>
    <mergeCell ref="O98:Q98"/>
    <mergeCell ref="O99:Q99"/>
    <mergeCell ref="O100:Q100"/>
    <mergeCell ref="D72:E72"/>
    <mergeCell ref="J72:Q72"/>
    <mergeCell ref="D70:E70"/>
    <mergeCell ref="E94:N94"/>
    <mergeCell ref="O94:Q96"/>
    <mergeCell ref="F81:Q81"/>
    <mergeCell ref="F82:Q82"/>
    <mergeCell ref="F83:Q83"/>
    <mergeCell ref="F84:Q84"/>
    <mergeCell ref="C48:M48"/>
    <mergeCell ref="P48:Q48"/>
    <mergeCell ref="C49:M49"/>
    <mergeCell ref="P49:Q49"/>
    <mergeCell ref="D66:E66"/>
    <mergeCell ref="J66:Q66"/>
    <mergeCell ref="C53:M53"/>
    <mergeCell ref="P53:Q53"/>
    <mergeCell ref="J64:Q64"/>
    <mergeCell ref="J65:Q65"/>
    <mergeCell ref="D64:E64"/>
    <mergeCell ref="D65:E65"/>
    <mergeCell ref="C54:M54"/>
    <mergeCell ref="P54:Q54"/>
    <mergeCell ref="C55:M55"/>
    <mergeCell ref="P55:Q55"/>
    <mergeCell ref="C56:M56"/>
    <mergeCell ref="P56:Q56"/>
    <mergeCell ref="J61:Q61"/>
    <mergeCell ref="D62:E62"/>
    <mergeCell ref="J62:Q62"/>
  </mergeCells>
  <conditionalFormatting sqref="H71:H76">
    <cfRule type="expression" dxfId="3365" priority="35">
      <formula>IF(OR(#REF!="L",#REF!="C"),TRUE,FALSE)</formula>
    </cfRule>
  </conditionalFormatting>
  <conditionalFormatting sqref="E110:E116">
    <cfRule type="expression" dxfId="3364" priority="33">
      <formula>IF(OR(#REF!="L",#REF!="C"),TRUE,FALSE)</formula>
    </cfRule>
  </conditionalFormatting>
  <conditionalFormatting sqref="E107">
    <cfRule type="expression" dxfId="3363" priority="32">
      <formula>IF(OR(#REF!="L",#REF!="C"),TRUE,FALSE)</formula>
    </cfRule>
  </conditionalFormatting>
  <conditionalFormatting sqref="E108">
    <cfRule type="expression" dxfId="3362" priority="31">
      <formula>IF(OR(#REF!="L",#REF!="C"),TRUE,FALSE)</formula>
    </cfRule>
  </conditionalFormatting>
  <conditionalFormatting sqref="E109">
    <cfRule type="expression" dxfId="3361" priority="30">
      <formula>IF(OR(#REF!="L",#REF!="C"),TRUE,FALSE)</formula>
    </cfRule>
  </conditionalFormatting>
  <conditionalFormatting sqref="F109:F116 G102:G116 H104:H116">
    <cfRule type="expression" dxfId="3360" priority="34">
      <formula>IF(OR(#REF!="L",#REF!="C"),TRUE,FALSE)</formula>
    </cfRule>
  </conditionalFormatting>
  <conditionalFormatting sqref="E106">
    <cfRule type="expression" dxfId="3359" priority="29">
      <formula>IF(OR(#REF!="L",#REF!="C"),TRUE,FALSE)</formula>
    </cfRule>
  </conditionalFormatting>
  <conditionalFormatting sqref="E95 G95 I95 K95 M95">
    <cfRule type="duplicateValues" dxfId="3358" priority="28"/>
  </conditionalFormatting>
  <conditionalFormatting sqref="M104:M116">
    <cfRule type="expression" dxfId="3357" priority="18">
      <formula>IF(OR(#REF!="L",#REF!="C"),TRUE,FALSE)</formula>
    </cfRule>
  </conditionalFormatting>
  <conditionalFormatting sqref="F102:F106">
    <cfRule type="expression" dxfId="3356" priority="27">
      <formula>IF(OR(#REF!="L",#REF!="C"),TRUE,FALSE)</formula>
    </cfRule>
  </conditionalFormatting>
  <conditionalFormatting sqref="I102:I103">
    <cfRule type="expression" dxfId="3355" priority="25">
      <formula>IF(OR(#REF!="L",#REF!="C"),TRUE,FALSE)</formula>
    </cfRule>
  </conditionalFormatting>
  <conditionalFormatting sqref="N102:N103">
    <cfRule type="expression" dxfId="3354" priority="15">
      <formula>IF(OR(#REF!="L",#REF!="C"),TRUE,FALSE)</formula>
    </cfRule>
  </conditionalFormatting>
  <conditionalFormatting sqref="I104:I116">
    <cfRule type="expression" dxfId="3353" priority="26">
      <formula>IF(OR(#REF!="L",#REF!="C"),TRUE,FALSE)</formula>
    </cfRule>
  </conditionalFormatting>
  <conditionalFormatting sqref="J102:J103">
    <cfRule type="expression" dxfId="3352" priority="23">
      <formula>IF(OR(#REF!="L",#REF!="C"),TRUE,FALSE)</formula>
    </cfRule>
  </conditionalFormatting>
  <conditionalFormatting sqref="J104:J116">
    <cfRule type="expression" dxfId="3351" priority="24">
      <formula>IF(OR(#REF!="L",#REF!="C"),TRUE,FALSE)</formula>
    </cfRule>
  </conditionalFormatting>
  <conditionalFormatting sqref="K102:K103">
    <cfRule type="expression" dxfId="3350" priority="21">
      <formula>IF(OR(#REF!="L",#REF!="C"),TRUE,FALSE)</formula>
    </cfRule>
  </conditionalFormatting>
  <conditionalFormatting sqref="K104:K116">
    <cfRule type="expression" dxfId="3349" priority="22">
      <formula>IF(OR(#REF!="L",#REF!="C"),TRUE,FALSE)</formula>
    </cfRule>
  </conditionalFormatting>
  <conditionalFormatting sqref="L102:L103">
    <cfRule type="expression" dxfId="3348" priority="19">
      <formula>IF(OR(#REF!="L",#REF!="C"),TRUE,FALSE)</formula>
    </cfRule>
  </conditionalFormatting>
  <conditionalFormatting sqref="L104:L116">
    <cfRule type="expression" dxfId="3347" priority="20">
      <formula>IF(OR(#REF!="L",#REF!="C"),TRUE,FALSE)</formula>
    </cfRule>
  </conditionalFormatting>
  <conditionalFormatting sqref="M102:M103">
    <cfRule type="expression" dxfId="3346" priority="17">
      <formula>IF(OR(#REF!="L",#REF!="C"),TRUE,FALSE)</formula>
    </cfRule>
  </conditionalFormatting>
  <conditionalFormatting sqref="N104:N116">
    <cfRule type="expression" dxfId="3345" priority="16">
      <formula>IF(OR(#REF!="L",#REF!="C"),TRUE,FALSE)</formula>
    </cfRule>
  </conditionalFormatting>
  <conditionalFormatting sqref="H64">
    <cfRule type="expression" dxfId="3344" priority="13">
      <formula>IF(OR(#REF!="L",#REF!="C"),TRUE,FALSE)</formula>
    </cfRule>
  </conditionalFormatting>
  <conditionalFormatting sqref="O102:O103">
    <cfRule type="expression" dxfId="3343" priority="11">
      <formula>IF(OR(#REF!="L",#REF!="C"),TRUE,FALSE)</formula>
    </cfRule>
  </conditionalFormatting>
  <conditionalFormatting sqref="O104:O116">
    <cfRule type="expression" dxfId="3342" priority="12">
      <formula>IF(OR(#REF!="L",#REF!="C"),TRUE,FALSE)</formula>
    </cfRule>
  </conditionalFormatting>
  <conditionalFormatting sqref="E96:N96">
    <cfRule type="duplicateValues" dxfId="3341" priority="10"/>
  </conditionalFormatting>
  <conditionalFormatting sqref="H63">
    <cfRule type="expression" dxfId="3340" priority="7">
      <formula>IF(OR(#REF!="L",#REF!="C"),TRUE,FALSE)</formula>
    </cfRule>
  </conditionalFormatting>
  <conditionalFormatting sqref="H62">
    <cfRule type="expression" dxfId="3339" priority="6">
      <formula>IF(OR(#REF!="L",#REF!="C"),TRUE,FALSE)</formula>
    </cfRule>
  </conditionalFormatting>
  <conditionalFormatting sqref="H65:H66">
    <cfRule type="expression" dxfId="3338" priority="4">
      <formula>IF(OR(#REF!="L",#REF!="C"),TRUE,FALSE)</formula>
    </cfRule>
  </conditionalFormatting>
  <conditionalFormatting sqref="G70">
    <cfRule type="expression" dxfId="3337" priority="3">
      <formula>IF(OR(#REF!="L",#REF!="C"),TRUE,FALSE)</formula>
    </cfRule>
  </conditionalFormatting>
  <conditionalFormatting sqref="G68">
    <cfRule type="expression" dxfId="3336" priority="2">
      <formula>IF(OR(#REF!="L",#REF!="C"),TRUE,FALSE)</formula>
    </cfRule>
  </conditionalFormatting>
  <conditionalFormatting sqref="G69">
    <cfRule type="expression" dxfId="3335" priority="1">
      <formula>IF(OR(#REF!="L",#REF!="C"),TRUE,FALSE)</formula>
    </cfRule>
  </conditionalFormatting>
  <dataValidations count="7">
    <dataValidation type="list" allowBlank="1" showInputMessage="1" showErrorMessage="1" sqref="C4" xr:uid="{B996E3F6-DFBB-4A29-82AD-30CA19F17CB5}">
      <formula1>"COM,RES"</formula1>
    </dataValidation>
    <dataValidation type="list" allowBlank="1" showInputMessage="1" showErrorMessage="1" sqref="F64:F66" xr:uid="{48DF160D-7CC4-4E6B-97B6-1E8D3E3403F1}">
      <formula1>#REF!</formula1>
    </dataValidation>
    <dataValidation type="list" allowBlank="1" showInputMessage="1" showErrorMessage="1" sqref="C9" xr:uid="{888F9D42-3B8E-4805-891B-2132E43F2BD4}">
      <formula1>INDIRECT("MeasureTypeList[Index]")</formula1>
    </dataValidation>
    <dataValidation type="list" allowBlank="1" showInputMessage="1" showErrorMessage="1" sqref="C26" xr:uid="{C1FE9094-5534-4DE7-B017-A2DA930312E4}">
      <formula1>INDIRECT("RegionList[Index]")</formula1>
    </dataValidation>
    <dataValidation type="list" allowBlank="1" showInputMessage="1" showErrorMessage="1" sqref="C27" xr:uid="{DCEA32E2-A677-4C83-B8C8-525739583EB6}">
      <formula1>INDIRECT("ReplacementTypeList[Index]")</formula1>
    </dataValidation>
    <dataValidation type="list" allowBlank="1" showInputMessage="1" showErrorMessage="1" sqref="C28" xr:uid="{FC48B062-AEE7-4C3C-8877-B5E199CDE3C7}">
      <formula1>INDIRECT("BuildingType[Building]")</formula1>
    </dataValidation>
    <dataValidation type="list" allowBlank="1" showInputMessage="1" showErrorMessage="1" sqref="C29 C30" xr:uid="{8EAE2CCB-B8F2-4CE7-B219-38CB48F291FA}">
      <formula1>INDIRECT("FuelTypeList[Index]")</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9BC8CB4-E7DB-4551-9AFB-1C6D3D1F527F}">
          <x14:formula1>
            <xm:f>Validation!$B$6:$B$16</xm:f>
          </x14:formula1>
          <xm:sqref>H67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38A32-C5CC-44F4-A290-B82742552847}">
  <sheetPr codeName="Sheet28"/>
  <dimension ref="A1:R116"/>
  <sheetViews>
    <sheetView workbookViewId="0"/>
  </sheetViews>
  <sheetFormatPr defaultColWidth="9.08984375" defaultRowHeight="18.75" customHeight="1" x14ac:dyDescent="0.3"/>
  <cols>
    <col min="1" max="1" width="2.36328125" style="767" customWidth="1"/>
    <col min="2" max="2" width="44.36328125" style="767" bestFit="1" customWidth="1"/>
    <col min="3" max="3" width="21.08984375" style="767" customWidth="1"/>
    <col min="4" max="4" width="21.6328125" style="767" customWidth="1"/>
    <col min="5" max="5" width="14.36328125" style="767" customWidth="1"/>
    <col min="6" max="6" width="15.6328125" style="767" customWidth="1"/>
    <col min="7" max="7" width="19.6328125" style="767" customWidth="1"/>
    <col min="8" max="8" width="16" style="767" customWidth="1"/>
    <col min="9" max="9" width="10.26953125" style="767" customWidth="1"/>
    <col min="10" max="10" width="14.6328125" style="767" customWidth="1"/>
    <col min="11" max="12" width="9.08984375" style="767"/>
    <col min="13" max="13" width="11" style="767" customWidth="1"/>
    <col min="14" max="14" width="12.26953125" style="767" customWidth="1"/>
    <col min="15" max="15" width="10.7265625" style="767" customWidth="1"/>
    <col min="16" max="17" width="9.08984375" style="767"/>
    <col min="18" max="18" width="9.7265625" style="768" customWidth="1"/>
    <col min="19" max="19" width="9.08984375" style="767"/>
    <col min="20" max="20" width="8.6328125" style="767" customWidth="1"/>
    <col min="21" max="16384" width="9.08984375" style="767"/>
  </cols>
  <sheetData>
    <row r="1" spans="1:18" ht="18.75" customHeight="1" x14ac:dyDescent="0.3">
      <c r="A1" s="766"/>
    </row>
    <row r="2" spans="1:18" ht="18.75" customHeight="1" x14ac:dyDescent="0.3">
      <c r="B2" s="1193" t="s">
        <v>506</v>
      </c>
      <c r="C2" s="1366" t="s">
        <v>406</v>
      </c>
      <c r="D2" s="1366"/>
      <c r="E2" s="1366"/>
      <c r="F2" s="1366"/>
      <c r="R2" s="767"/>
    </row>
    <row r="3" spans="1:18" ht="18.75" customHeight="1" x14ac:dyDescent="0.3">
      <c r="B3" s="490" t="s">
        <v>407</v>
      </c>
      <c r="C3" s="1367" t="str">
        <f>IF(ISBLANK(C8)+ISBLANK(C10),C8,C8&amp;"_"&amp;C10)</f>
        <v>C-K-002</v>
      </c>
      <c r="D3" s="1367"/>
      <c r="E3" s="1367"/>
      <c r="F3" s="1367"/>
      <c r="R3" s="767"/>
    </row>
    <row r="4" spans="1:18" ht="23.25" customHeight="1" x14ac:dyDescent="0.3">
      <c r="B4" s="490" t="s">
        <v>11</v>
      </c>
      <c r="C4" s="1367" t="str" cm="1">
        <f t="array" ref="C4">_xlfn.SWITCH(LEFT(C8,1),"R","Residential","C","Commercial","ERROR")</f>
        <v>Commercial</v>
      </c>
      <c r="D4" s="1367"/>
      <c r="E4" s="1367"/>
      <c r="F4" s="1367"/>
      <c r="R4" s="767"/>
    </row>
    <row r="5" spans="1:18" ht="18.75" customHeight="1" x14ac:dyDescent="0.3">
      <c r="B5" s="490" t="s">
        <v>408</v>
      </c>
      <c r="C5" s="1530" t="s">
        <v>245</v>
      </c>
      <c r="D5" s="1531"/>
      <c r="E5" s="1531"/>
      <c r="F5" s="1532"/>
      <c r="R5" s="767"/>
    </row>
    <row r="6" spans="1:18" ht="18.75" customHeight="1" x14ac:dyDescent="0.3">
      <c r="R6" s="767"/>
    </row>
    <row r="7" spans="1:18" ht="18.75" customHeight="1" x14ac:dyDescent="0.3">
      <c r="B7" s="1226" t="s">
        <v>507</v>
      </c>
      <c r="C7" s="769" t="s">
        <v>406</v>
      </c>
      <c r="D7" s="1790" t="s">
        <v>410</v>
      </c>
      <c r="E7" s="1791"/>
      <c r="F7" s="1792"/>
      <c r="R7" s="767"/>
    </row>
    <row r="8" spans="1:18" ht="18.75" customHeight="1" x14ac:dyDescent="0.3">
      <c r="B8" s="770" t="s">
        <v>411</v>
      </c>
      <c r="C8" s="801" t="s">
        <v>104</v>
      </c>
      <c r="D8" s="1457"/>
      <c r="E8" s="1457"/>
      <c r="F8" s="1457"/>
      <c r="R8" s="767"/>
    </row>
    <row r="9" spans="1:18" ht="26" x14ac:dyDescent="0.3">
      <c r="B9" s="770" t="s">
        <v>49</v>
      </c>
      <c r="C9" s="801" t="s">
        <v>1037</v>
      </c>
      <c r="D9" s="1457"/>
      <c r="E9" s="1457"/>
      <c r="F9" s="1457"/>
      <c r="R9" s="767"/>
    </row>
    <row r="10" spans="1:18" ht="18.75" customHeight="1" x14ac:dyDescent="0.3">
      <c r="B10" s="770" t="s">
        <v>412</v>
      </c>
      <c r="C10" s="801"/>
      <c r="D10" s="1457"/>
      <c r="E10" s="1457"/>
      <c r="F10" s="1457"/>
      <c r="R10" s="767"/>
    </row>
    <row r="11" spans="1:18" ht="18.75" customHeight="1" x14ac:dyDescent="0.3">
      <c r="B11" s="770" t="s">
        <v>413</v>
      </c>
      <c r="C11" s="801"/>
      <c r="D11" s="1457"/>
      <c r="E11" s="1457"/>
      <c r="F11" s="1457"/>
      <c r="R11" s="767"/>
    </row>
    <row r="12" spans="1:18" ht="18.75" customHeight="1" x14ac:dyDescent="0.3">
      <c r="B12" s="770" t="s">
        <v>414</v>
      </c>
      <c r="C12" s="802"/>
      <c r="D12" s="1457"/>
      <c r="E12" s="1457"/>
      <c r="F12" s="1457"/>
      <c r="R12" s="767"/>
    </row>
    <row r="13" spans="1:18" ht="18.75" customHeight="1" x14ac:dyDescent="0.3">
      <c r="B13" s="771" t="s">
        <v>415</v>
      </c>
      <c r="C13" s="772">
        <f>N43</f>
        <v>0</v>
      </c>
      <c r="D13" s="1457"/>
      <c r="E13" s="1457"/>
      <c r="F13" s="1457"/>
      <c r="R13" s="767"/>
    </row>
    <row r="14" spans="1:18" ht="18.75" customHeight="1" x14ac:dyDescent="0.3">
      <c r="B14" s="771" t="s">
        <v>416</v>
      </c>
      <c r="C14" s="772">
        <f>N42</f>
        <v>0</v>
      </c>
      <c r="D14" s="1457"/>
      <c r="E14" s="1457"/>
      <c r="F14" s="1457"/>
      <c r="R14" s="767"/>
    </row>
    <row r="15" spans="1:18" ht="18.75" customHeight="1" x14ac:dyDescent="0.3">
      <c r="B15" s="771" t="s">
        <v>417</v>
      </c>
      <c r="C15" s="772">
        <f>N44</f>
        <v>31.484516926909102</v>
      </c>
      <c r="D15" s="1457"/>
      <c r="E15" s="1457"/>
      <c r="F15" s="1457"/>
      <c r="R15" s="767"/>
    </row>
    <row r="16" spans="1:18" ht="18.75" customHeight="1" x14ac:dyDescent="0.3">
      <c r="B16" s="771" t="s">
        <v>418</v>
      </c>
      <c r="C16" s="773">
        <f>C35</f>
        <v>0</v>
      </c>
      <c r="D16" s="1457"/>
      <c r="E16" s="1457"/>
      <c r="F16" s="1457"/>
      <c r="R16" s="767"/>
    </row>
    <row r="17" spans="2:18" ht="18.75" customHeight="1" x14ac:dyDescent="0.3">
      <c r="B17" s="770" t="s">
        <v>48</v>
      </c>
      <c r="C17" s="803" t="s">
        <v>1038</v>
      </c>
      <c r="D17" s="1790" t="s">
        <v>419</v>
      </c>
      <c r="E17" s="1791"/>
      <c r="F17" s="1792"/>
      <c r="R17" s="767"/>
    </row>
    <row r="18" spans="2:18" ht="43.5" customHeight="1" x14ac:dyDescent="0.3">
      <c r="B18" s="770" t="s">
        <v>420</v>
      </c>
      <c r="C18" s="804">
        <v>5</v>
      </c>
      <c r="D18" s="1454" t="s">
        <v>1039</v>
      </c>
      <c r="E18" s="1455"/>
      <c r="F18" s="1456"/>
      <c r="R18" s="767"/>
    </row>
    <row r="19" spans="2:18" ht="18.75" customHeight="1" x14ac:dyDescent="0.3">
      <c r="B19" s="774"/>
      <c r="C19" s="775"/>
      <c r="F19" s="768"/>
      <c r="R19" s="767"/>
    </row>
    <row r="20" spans="2:18" ht="18.75" customHeight="1" x14ac:dyDescent="0.3">
      <c r="B20" s="1778" t="s">
        <v>421</v>
      </c>
      <c r="C20" s="1778"/>
      <c r="D20" s="1778"/>
      <c r="E20" s="1778"/>
      <c r="F20" s="1778"/>
      <c r="G20" s="1778"/>
      <c r="H20" s="1778"/>
      <c r="I20" s="1778"/>
      <c r="J20" s="1778"/>
      <c r="K20" s="1778"/>
      <c r="L20" s="1778"/>
      <c r="M20" s="1778"/>
      <c r="N20" s="1778"/>
      <c r="O20" s="1778"/>
      <c r="P20" s="1778"/>
      <c r="Q20" s="1778"/>
      <c r="R20" s="767"/>
    </row>
    <row r="21" spans="2:18" ht="32.25" customHeight="1" x14ac:dyDescent="0.3">
      <c r="B21" s="776" t="s">
        <v>422</v>
      </c>
      <c r="C21" s="1779" t="s">
        <v>246</v>
      </c>
      <c r="D21" s="1779"/>
      <c r="E21" s="1779"/>
      <c r="F21" s="1779"/>
      <c r="G21" s="1779"/>
      <c r="H21" s="1779"/>
      <c r="I21" s="1779"/>
      <c r="J21" s="1779"/>
      <c r="K21" s="1779"/>
      <c r="L21" s="1779"/>
      <c r="M21" s="1779"/>
      <c r="N21" s="1779"/>
      <c r="O21" s="1779"/>
      <c r="P21" s="1779"/>
      <c r="Q21" s="1779"/>
      <c r="R21" s="767"/>
    </row>
    <row r="22" spans="2:18" ht="34.5" customHeight="1" x14ac:dyDescent="0.3">
      <c r="B22" s="777" t="s">
        <v>423</v>
      </c>
      <c r="C22" s="1780" t="s">
        <v>247</v>
      </c>
      <c r="D22" s="1780"/>
      <c r="E22" s="1780"/>
      <c r="F22" s="1780"/>
      <c r="G22" s="1780"/>
      <c r="H22" s="1780"/>
      <c r="I22" s="1780"/>
      <c r="J22" s="1780"/>
      <c r="K22" s="1780"/>
      <c r="L22" s="1780"/>
      <c r="M22" s="1780"/>
      <c r="N22" s="1780"/>
      <c r="O22" s="1780"/>
      <c r="P22" s="1780"/>
      <c r="Q22" s="1780"/>
      <c r="R22" s="767"/>
    </row>
    <row r="23" spans="2:18" ht="35.25" customHeight="1" x14ac:dyDescent="0.3">
      <c r="B23" s="777" t="s">
        <v>424</v>
      </c>
      <c r="C23" s="1780"/>
      <c r="D23" s="1780"/>
      <c r="E23" s="1780"/>
      <c r="F23" s="1780"/>
      <c r="G23" s="1780"/>
      <c r="H23" s="1780"/>
      <c r="I23" s="1780"/>
      <c r="J23" s="1780"/>
      <c r="K23" s="1780"/>
      <c r="L23" s="1780"/>
      <c r="M23" s="1780"/>
      <c r="N23" s="1780"/>
      <c r="O23" s="1780"/>
      <c r="P23" s="1780"/>
      <c r="Q23" s="1780"/>
      <c r="R23" s="767"/>
    </row>
    <row r="25" spans="2:18" ht="18.75" customHeight="1" x14ac:dyDescent="0.3">
      <c r="B25" s="1226" t="s">
        <v>425</v>
      </c>
      <c r="C25" s="778" t="s">
        <v>406</v>
      </c>
      <c r="D25" s="1781" t="s">
        <v>421</v>
      </c>
      <c r="E25" s="1781"/>
      <c r="F25" s="1781"/>
      <c r="G25" s="1781"/>
      <c r="H25" s="1781"/>
      <c r="I25" s="1781"/>
      <c r="J25" s="1781"/>
      <c r="K25" s="1781"/>
      <c r="L25" s="1781"/>
      <c r="M25" s="1781"/>
      <c r="N25" s="1781"/>
      <c r="O25" s="1781"/>
      <c r="P25" s="1781"/>
      <c r="Q25" s="1781"/>
      <c r="R25" s="767"/>
    </row>
    <row r="26" spans="2:18" ht="18.75" customHeight="1" x14ac:dyDescent="0.3">
      <c r="B26" s="770" t="s">
        <v>9</v>
      </c>
      <c r="C26" s="800" t="str">
        <f>Default.Region</f>
        <v>Average</v>
      </c>
      <c r="D26" s="1782"/>
      <c r="E26" s="1782"/>
      <c r="F26" s="1782"/>
      <c r="G26" s="1782"/>
      <c r="H26" s="1782"/>
      <c r="I26" s="1782"/>
      <c r="J26" s="1782"/>
      <c r="K26" s="1782"/>
      <c r="L26" s="1782"/>
      <c r="M26" s="1782"/>
      <c r="N26" s="1782"/>
      <c r="O26" s="1782"/>
      <c r="P26" s="1782"/>
      <c r="Q26" s="1782"/>
      <c r="R26" s="767"/>
    </row>
    <row r="27" spans="2:18" ht="18.75" customHeight="1" x14ac:dyDescent="0.3">
      <c r="B27" s="770" t="s">
        <v>27</v>
      </c>
      <c r="C27" s="800" t="str">
        <f>Default.ReplacementType</f>
        <v>RET</v>
      </c>
      <c r="D27" s="1788" t="s">
        <v>426</v>
      </c>
      <c r="E27" s="1788"/>
      <c r="F27" s="1788"/>
      <c r="G27" s="1788"/>
      <c r="H27" s="1788"/>
      <c r="I27" s="1788"/>
      <c r="J27" s="1788"/>
      <c r="K27" s="1788"/>
      <c r="L27" s="1788"/>
      <c r="M27" s="1788"/>
      <c r="N27" s="1788"/>
      <c r="O27" s="1788"/>
      <c r="P27" s="1788"/>
      <c r="Q27" s="1788"/>
      <c r="R27" s="767"/>
    </row>
    <row r="28" spans="2:18" ht="18.75" customHeight="1" x14ac:dyDescent="0.3">
      <c r="B28" s="770" t="s">
        <v>54</v>
      </c>
      <c r="C28" s="539" t="str">
        <f>Default.BuildingType.C</f>
        <v>Other</v>
      </c>
      <c r="D28" s="1789"/>
      <c r="E28" s="1789"/>
      <c r="F28" s="1789"/>
      <c r="G28" s="1789"/>
      <c r="H28" s="1789"/>
      <c r="I28" s="1789"/>
      <c r="J28" s="1789"/>
      <c r="K28" s="1789"/>
      <c r="L28" s="1789"/>
      <c r="M28" s="1789"/>
      <c r="N28" s="1789"/>
      <c r="O28" s="1789"/>
      <c r="P28" s="1789"/>
      <c r="Q28" s="1789"/>
      <c r="R28" s="767"/>
    </row>
    <row r="29" spans="2:18" ht="18.75" customHeight="1" x14ac:dyDescent="0.3">
      <c r="B29" s="770" t="s">
        <v>33</v>
      </c>
      <c r="C29" s="800" t="str">
        <f>Default.SpaceHeatingFuel</f>
        <v>Natural gas</v>
      </c>
      <c r="D29" s="1782"/>
      <c r="E29" s="1782"/>
      <c r="F29" s="1782"/>
      <c r="G29" s="1782"/>
      <c r="H29" s="1782"/>
      <c r="I29" s="1782"/>
      <c r="J29" s="1782"/>
      <c r="K29" s="1782"/>
      <c r="L29" s="1782"/>
      <c r="M29" s="1782"/>
      <c r="N29" s="1782"/>
      <c r="O29" s="1782"/>
      <c r="P29" s="1782"/>
      <c r="Q29" s="1782"/>
      <c r="R29" s="767"/>
    </row>
    <row r="30" spans="2:18" ht="18.75" customHeight="1" x14ac:dyDescent="0.3">
      <c r="B30" s="770" t="s">
        <v>35</v>
      </c>
      <c r="C30" s="800" t="str">
        <f>Default.WaterHeatingFuel</f>
        <v>Natural gas</v>
      </c>
      <c r="D30" s="1782"/>
      <c r="E30" s="1782"/>
      <c r="F30" s="1782"/>
      <c r="G30" s="1782"/>
      <c r="H30" s="1782"/>
      <c r="I30" s="1782"/>
      <c r="J30" s="1782"/>
      <c r="K30" s="1782"/>
      <c r="L30" s="1782"/>
      <c r="M30" s="1782"/>
      <c r="N30" s="1782"/>
      <c r="O30" s="1782"/>
      <c r="P30" s="1782"/>
      <c r="Q30" s="1782"/>
      <c r="R30" s="767"/>
    </row>
    <row r="31" spans="2:18" ht="18.75" customHeight="1" x14ac:dyDescent="0.3">
      <c r="B31" s="779"/>
      <c r="C31" s="780"/>
      <c r="D31" s="780"/>
      <c r="E31" s="780"/>
      <c r="F31" s="780"/>
      <c r="G31" s="780"/>
      <c r="H31" s="780"/>
      <c r="I31" s="780"/>
      <c r="J31" s="780"/>
      <c r="K31" s="780"/>
      <c r="L31" s="780"/>
      <c r="M31" s="780"/>
      <c r="N31" s="780"/>
    </row>
    <row r="32" spans="2:18" ht="18.75" customHeight="1" x14ac:dyDescent="0.3">
      <c r="B32" s="1226" t="s">
        <v>427</v>
      </c>
      <c r="C32" s="769" t="s">
        <v>406</v>
      </c>
      <c r="D32" s="778" t="s">
        <v>428</v>
      </c>
      <c r="E32" s="1781" t="s">
        <v>419</v>
      </c>
      <c r="F32" s="1781"/>
      <c r="G32" s="1781"/>
      <c r="H32" s="1781"/>
      <c r="I32" s="1781"/>
      <c r="J32" s="1781"/>
      <c r="K32" s="1781"/>
      <c r="L32" s="1781"/>
      <c r="M32" s="1781"/>
      <c r="N32" s="1781"/>
      <c r="O32" s="1781"/>
      <c r="P32" s="1781"/>
      <c r="Q32" s="1781"/>
    </row>
    <row r="33" spans="2:18" ht="18.75" customHeight="1" x14ac:dyDescent="0.3">
      <c r="B33" s="770" t="s">
        <v>429</v>
      </c>
      <c r="C33" s="542"/>
      <c r="D33" s="799" t="s">
        <v>430</v>
      </c>
      <c r="E33" s="1786"/>
      <c r="F33" s="1786"/>
      <c r="G33" s="1786"/>
      <c r="H33" s="1786"/>
      <c r="I33" s="1786"/>
      <c r="J33" s="1786"/>
      <c r="K33" s="1786"/>
      <c r="L33" s="1786"/>
      <c r="M33" s="1786"/>
      <c r="N33" s="1786"/>
      <c r="O33" s="1786"/>
      <c r="P33" s="1786"/>
      <c r="Q33" s="1786"/>
      <c r="R33" s="767"/>
    </row>
    <row r="34" spans="2:18" ht="18.75" customHeight="1" x14ac:dyDescent="0.3">
      <c r="B34" s="771" t="s">
        <v>431</v>
      </c>
      <c r="C34" s="542"/>
      <c r="D34" s="799" t="s">
        <v>430</v>
      </c>
      <c r="E34" s="1787"/>
      <c r="F34" s="1787"/>
      <c r="G34" s="1787"/>
      <c r="H34" s="1787"/>
      <c r="I34" s="1787"/>
      <c r="J34" s="1787"/>
      <c r="K34" s="1787"/>
      <c r="L34" s="1787"/>
      <c r="M34" s="1787"/>
      <c r="N34" s="1787"/>
      <c r="O34" s="1787"/>
      <c r="P34" s="1787"/>
      <c r="Q34" s="1787"/>
    </row>
    <row r="35" spans="2:18" ht="18.75" customHeight="1" x14ac:dyDescent="0.3">
      <c r="B35" s="770" t="s">
        <v>432</v>
      </c>
      <c r="C35" s="542"/>
      <c r="D35" s="799" t="s">
        <v>430</v>
      </c>
      <c r="E35" s="1786"/>
      <c r="F35" s="1786"/>
      <c r="G35" s="1786"/>
      <c r="H35" s="1786"/>
      <c r="I35" s="1786"/>
      <c r="J35" s="1786"/>
      <c r="K35" s="1786"/>
      <c r="L35" s="1786"/>
      <c r="M35" s="1786"/>
      <c r="N35" s="1786"/>
      <c r="O35" s="1786"/>
      <c r="P35" s="1786"/>
      <c r="Q35" s="1786"/>
    </row>
    <row r="36" spans="2:18" ht="18.75" customHeight="1" x14ac:dyDescent="0.3">
      <c r="B36" s="771" t="s">
        <v>433</v>
      </c>
      <c r="C36" s="504">
        <f>SUM(C33:C34)</f>
        <v>0</v>
      </c>
      <c r="D36" s="799" t="s">
        <v>430</v>
      </c>
      <c r="E36" s="1787"/>
      <c r="F36" s="1787"/>
      <c r="G36" s="1787"/>
      <c r="H36" s="1787"/>
      <c r="I36" s="1787"/>
      <c r="J36" s="1787"/>
      <c r="K36" s="1787"/>
      <c r="L36" s="1787"/>
      <c r="M36" s="1787"/>
      <c r="N36" s="1787"/>
      <c r="O36" s="1787"/>
      <c r="P36" s="1787"/>
      <c r="Q36" s="1787"/>
    </row>
    <row r="37" spans="2:18" ht="18.75" customHeight="1" x14ac:dyDescent="0.3">
      <c r="B37" s="771" t="s">
        <v>434</v>
      </c>
      <c r="C37" s="504">
        <f>IF(C27="RET",C33+(C34-C35),C34-C35)</f>
        <v>0</v>
      </c>
      <c r="D37" s="799" t="s">
        <v>430</v>
      </c>
      <c r="E37" s="1787"/>
      <c r="F37" s="1787"/>
      <c r="G37" s="1787"/>
      <c r="H37" s="1787"/>
      <c r="I37" s="1787"/>
      <c r="J37" s="1787"/>
      <c r="K37" s="1787"/>
      <c r="L37" s="1787"/>
      <c r="M37" s="1787"/>
      <c r="N37" s="1787"/>
      <c r="O37" s="1787"/>
      <c r="P37" s="1787"/>
      <c r="Q37" s="1787"/>
    </row>
    <row r="38" spans="2:18" ht="18.75" customHeight="1" x14ac:dyDescent="0.3">
      <c r="B38" s="779"/>
      <c r="C38" s="780"/>
      <c r="D38" s="781"/>
      <c r="E38" s="780"/>
      <c r="F38" s="780"/>
      <c r="G38" s="780"/>
      <c r="H38" s="780"/>
      <c r="I38" s="780"/>
      <c r="J38" s="780"/>
      <c r="K38" s="780"/>
      <c r="L38" s="780"/>
      <c r="M38" s="780"/>
      <c r="N38" s="780"/>
    </row>
    <row r="39" spans="2:18" ht="18.75" customHeight="1" x14ac:dyDescent="0.3">
      <c r="B39" s="782" t="s">
        <v>435</v>
      </c>
      <c r="C39" s="783"/>
      <c r="D39" s="783"/>
      <c r="E39" s="783"/>
      <c r="F39" s="783"/>
      <c r="G39" s="783"/>
      <c r="H39" s="784"/>
      <c r="I39" s="784"/>
      <c r="J39" s="784"/>
      <c r="K39" s="784"/>
      <c r="L39" s="784"/>
      <c r="M39" s="784"/>
      <c r="N39" s="784"/>
      <c r="O39" s="784"/>
      <c r="P39" s="784"/>
      <c r="Q39" s="785"/>
    </row>
    <row r="41" spans="2:18" ht="18.75" customHeight="1" x14ac:dyDescent="0.3">
      <c r="B41" s="786" t="s">
        <v>436</v>
      </c>
      <c r="C41" s="1731" t="s">
        <v>437</v>
      </c>
      <c r="D41" s="1732"/>
      <c r="E41" s="1732"/>
      <c r="F41" s="1732"/>
      <c r="G41" s="1732"/>
      <c r="H41" s="1732"/>
      <c r="I41" s="1732"/>
      <c r="J41" s="1732"/>
      <c r="K41" s="1732"/>
      <c r="L41" s="1732"/>
      <c r="M41" s="1733"/>
      <c r="N41" s="1223" t="s">
        <v>406</v>
      </c>
      <c r="O41" s="1223" t="s">
        <v>428</v>
      </c>
      <c r="P41" s="1734" t="s">
        <v>419</v>
      </c>
      <c r="Q41" s="1734"/>
    </row>
    <row r="42" spans="2:18" ht="18.75" customHeight="1" x14ac:dyDescent="0.3">
      <c r="B42" s="792" t="s">
        <v>438</v>
      </c>
      <c r="C42" s="1775" t="s">
        <v>439</v>
      </c>
      <c r="D42" s="1776"/>
      <c r="E42" s="1776"/>
      <c r="F42" s="1776"/>
      <c r="G42" s="1776"/>
      <c r="H42" s="1776"/>
      <c r="I42" s="1776"/>
      <c r="J42" s="1776"/>
      <c r="K42" s="1776"/>
      <c r="L42" s="1776"/>
      <c r="M42" s="1777"/>
      <c r="N42" s="797">
        <f>N48+N54</f>
        <v>0</v>
      </c>
      <c r="O42" s="787" t="s">
        <v>440</v>
      </c>
      <c r="P42" s="1729"/>
      <c r="Q42" s="1729"/>
      <c r="R42" s="767"/>
    </row>
    <row r="43" spans="2:18" ht="18.75" customHeight="1" x14ac:dyDescent="0.3">
      <c r="B43" s="792" t="s">
        <v>441</v>
      </c>
      <c r="C43" s="1775" t="s">
        <v>442</v>
      </c>
      <c r="D43" s="1776"/>
      <c r="E43" s="1776"/>
      <c r="F43" s="1776"/>
      <c r="G43" s="1776"/>
      <c r="H43" s="1776"/>
      <c r="I43" s="1776"/>
      <c r="J43" s="1776"/>
      <c r="K43" s="1776"/>
      <c r="L43" s="1776"/>
      <c r="M43" s="1777"/>
      <c r="N43" s="798">
        <f>N49+N55</f>
        <v>0</v>
      </c>
      <c r="O43" s="787" t="s">
        <v>443</v>
      </c>
      <c r="P43" s="1729"/>
      <c r="Q43" s="1729"/>
      <c r="R43" s="767"/>
    </row>
    <row r="44" spans="2:18" ht="18.75" customHeight="1" x14ac:dyDescent="0.3">
      <c r="B44" s="792" t="s">
        <v>444</v>
      </c>
      <c r="C44" s="1775" t="s">
        <v>445</v>
      </c>
      <c r="D44" s="1776"/>
      <c r="E44" s="1776"/>
      <c r="F44" s="1776"/>
      <c r="G44" s="1776"/>
      <c r="H44" s="1776"/>
      <c r="I44" s="1776"/>
      <c r="J44" s="1776"/>
      <c r="K44" s="1776"/>
      <c r="L44" s="1776"/>
      <c r="M44" s="1777"/>
      <c r="N44" s="797">
        <f>N50+N56</f>
        <v>31.484516926909102</v>
      </c>
      <c r="O44" s="787" t="s">
        <v>446</v>
      </c>
      <c r="P44" s="1729"/>
      <c r="Q44" s="1729"/>
      <c r="R44" s="767"/>
    </row>
    <row r="45" spans="2:18" ht="18.75" customHeight="1" x14ac:dyDescent="0.3">
      <c r="B45" s="792" t="s">
        <v>447</v>
      </c>
      <c r="C45" s="1775" t="s">
        <v>448</v>
      </c>
      <c r="D45" s="1776"/>
      <c r="E45" s="1776"/>
      <c r="F45" s="1776"/>
      <c r="G45" s="1776"/>
      <c r="H45" s="1776"/>
      <c r="I45" s="1776"/>
      <c r="J45" s="1776"/>
      <c r="K45" s="1776"/>
      <c r="L45" s="1776"/>
      <c r="M45" s="1777"/>
      <c r="N45" s="797">
        <f>N51+N57</f>
        <v>123.30140284800004</v>
      </c>
      <c r="O45" s="787" t="s">
        <v>449</v>
      </c>
      <c r="P45" s="1729"/>
      <c r="Q45" s="1729"/>
      <c r="R45" s="767"/>
    </row>
    <row r="46" spans="2:18" ht="18.75" customHeight="1" x14ac:dyDescent="0.3">
      <c r="B46" s="793"/>
      <c r="C46" s="780"/>
      <c r="D46" s="780"/>
      <c r="E46" s="780"/>
      <c r="F46" s="780"/>
      <c r="G46" s="780"/>
      <c r="H46" s="780"/>
      <c r="I46" s="780"/>
      <c r="J46" s="780"/>
      <c r="K46" s="780"/>
      <c r="L46" s="780"/>
      <c r="M46" s="780"/>
      <c r="Q46" s="768"/>
      <c r="R46" s="767"/>
    </row>
    <row r="47" spans="2:18" ht="18.75" customHeight="1" x14ac:dyDescent="0.3">
      <c r="B47" s="786" t="s">
        <v>450</v>
      </c>
      <c r="C47" s="1731" t="s">
        <v>451</v>
      </c>
      <c r="D47" s="1732"/>
      <c r="E47" s="1732"/>
      <c r="F47" s="1732"/>
      <c r="G47" s="1732"/>
      <c r="H47" s="1732"/>
      <c r="I47" s="1732"/>
      <c r="J47" s="1732"/>
      <c r="K47" s="1732"/>
      <c r="L47" s="1732"/>
      <c r="M47" s="1733"/>
      <c r="N47" s="1223" t="s">
        <v>406</v>
      </c>
      <c r="O47" s="1223" t="s">
        <v>428</v>
      </c>
      <c r="P47" s="1734" t="s">
        <v>419</v>
      </c>
      <c r="Q47" s="1734"/>
      <c r="R47" s="767"/>
    </row>
    <row r="48" spans="2:18" ht="18.75" customHeight="1" x14ac:dyDescent="0.3">
      <c r="B48" s="792" t="s">
        <v>452</v>
      </c>
      <c r="C48" s="1726" t="s">
        <v>453</v>
      </c>
      <c r="D48" s="1727"/>
      <c r="E48" s="1727"/>
      <c r="F48" s="1727"/>
      <c r="G48" s="1727"/>
      <c r="H48" s="1727"/>
      <c r="I48" s="1727"/>
      <c r="J48" s="1727"/>
      <c r="K48" s="1727"/>
      <c r="L48" s="1727"/>
      <c r="M48" s="1728"/>
      <c r="N48" s="805"/>
      <c r="O48" s="787" t="s">
        <v>440</v>
      </c>
      <c r="P48" s="1729"/>
      <c r="Q48" s="1729"/>
      <c r="R48" s="767"/>
    </row>
    <row r="49" spans="2:18" ht="18.75" customHeight="1" x14ac:dyDescent="0.3">
      <c r="B49" s="792" t="s">
        <v>454</v>
      </c>
      <c r="C49" s="1726" t="s">
        <v>1040</v>
      </c>
      <c r="D49" s="1727"/>
      <c r="E49" s="1727"/>
      <c r="F49" s="1727"/>
      <c r="G49" s="1727"/>
      <c r="H49" s="1727"/>
      <c r="I49" s="1727"/>
      <c r="J49" s="1727"/>
      <c r="K49" s="1727"/>
      <c r="L49" s="1727"/>
      <c r="M49" s="1728"/>
      <c r="N49" s="806">
        <f>N51*Water.Density.SI*Water.HeatCapacity.SI*(H67-H68)*(1/H69)*kWh_per_GJ*(1-H66)</f>
        <v>0</v>
      </c>
      <c r="O49" s="787" t="s">
        <v>443</v>
      </c>
      <c r="P49" s="1729"/>
      <c r="Q49" s="1729"/>
      <c r="R49" s="767"/>
    </row>
    <row r="50" spans="2:18" ht="18.75" customHeight="1" x14ac:dyDescent="0.3">
      <c r="B50" s="792" t="s">
        <v>456</v>
      </c>
      <c r="C50" s="1726" t="s">
        <v>1041</v>
      </c>
      <c r="D50" s="1727"/>
      <c r="E50" s="1727"/>
      <c r="F50" s="1727"/>
      <c r="G50" s="1727"/>
      <c r="H50" s="1727"/>
      <c r="I50" s="1727"/>
      <c r="J50" s="1727"/>
      <c r="K50" s="1727"/>
      <c r="L50" s="1727"/>
      <c r="M50" s="1728"/>
      <c r="N50" s="808">
        <f>N51*Water.Density.SI*Water.HeatCapacity.SI*(H67-H68)*(1/H70)*H66</f>
        <v>31.484516926909102</v>
      </c>
      <c r="O50" s="787" t="s">
        <v>446</v>
      </c>
      <c r="P50" s="1729"/>
      <c r="Q50" s="1729"/>
      <c r="R50" s="767"/>
    </row>
    <row r="51" spans="2:18" ht="18.75" customHeight="1" x14ac:dyDescent="0.3">
      <c r="B51" s="792" t="s">
        <v>458</v>
      </c>
      <c r="C51" s="1726" t="s">
        <v>1042</v>
      </c>
      <c r="D51" s="1727"/>
      <c r="E51" s="1727"/>
      <c r="F51" s="1727"/>
      <c r="G51" s="1727"/>
      <c r="H51" s="1727"/>
      <c r="I51" s="1727"/>
      <c r="J51" s="1727"/>
      <c r="K51" s="1727"/>
      <c r="L51" s="1727"/>
      <c r="M51" s="1728"/>
      <c r="N51" s="832">
        <f>H64*(H62-H63)*Minutes_per_Hour*m3_per_Gallon</f>
        <v>123.30140284800004</v>
      </c>
      <c r="O51" s="787" t="s">
        <v>449</v>
      </c>
      <c r="P51" s="1729"/>
      <c r="Q51" s="1729"/>
      <c r="R51" s="767"/>
    </row>
    <row r="52" spans="2:18" ht="18.75" customHeight="1" x14ac:dyDescent="0.3">
      <c r="B52" s="793"/>
      <c r="C52" s="780"/>
      <c r="D52" s="780"/>
      <c r="E52" s="780"/>
      <c r="F52" s="780"/>
      <c r="G52" s="780"/>
      <c r="H52" s="780"/>
      <c r="I52" s="780"/>
      <c r="J52" s="780"/>
      <c r="K52" s="780"/>
      <c r="L52" s="780"/>
      <c r="M52" s="780"/>
      <c r="Q52" s="768"/>
      <c r="R52" s="767"/>
    </row>
    <row r="53" spans="2:18" ht="18.75" customHeight="1" x14ac:dyDescent="0.3">
      <c r="B53" s="786" t="s">
        <v>460</v>
      </c>
      <c r="C53" s="1731" t="s">
        <v>461</v>
      </c>
      <c r="D53" s="1732"/>
      <c r="E53" s="1732"/>
      <c r="F53" s="1732"/>
      <c r="G53" s="1732"/>
      <c r="H53" s="1732"/>
      <c r="I53" s="1732"/>
      <c r="J53" s="1732"/>
      <c r="K53" s="1732"/>
      <c r="L53" s="1732"/>
      <c r="M53" s="1733"/>
      <c r="N53" s="1223" t="s">
        <v>406</v>
      </c>
      <c r="O53" s="1223" t="s">
        <v>428</v>
      </c>
      <c r="P53" s="1734" t="s">
        <v>419</v>
      </c>
      <c r="Q53" s="1734"/>
      <c r="R53" s="767"/>
    </row>
    <row r="54" spans="2:18" ht="18.75" customHeight="1" x14ac:dyDescent="0.3">
      <c r="B54" s="792" t="s">
        <v>462</v>
      </c>
      <c r="C54" s="1726" t="s">
        <v>463</v>
      </c>
      <c r="D54" s="1727"/>
      <c r="E54" s="1727"/>
      <c r="F54" s="1727"/>
      <c r="G54" s="1727"/>
      <c r="H54" s="1727"/>
      <c r="I54" s="1727"/>
      <c r="J54" s="1727"/>
      <c r="K54" s="1727"/>
      <c r="L54" s="1727"/>
      <c r="M54" s="1728"/>
      <c r="N54" s="805"/>
      <c r="O54" s="787" t="s">
        <v>440</v>
      </c>
      <c r="P54" s="1729"/>
      <c r="Q54" s="1729"/>
      <c r="R54" s="767"/>
    </row>
    <row r="55" spans="2:18" ht="18.75" customHeight="1" x14ac:dyDescent="0.3">
      <c r="B55" s="792" t="s">
        <v>464</v>
      </c>
      <c r="C55" s="1726" t="s">
        <v>465</v>
      </c>
      <c r="D55" s="1727"/>
      <c r="E55" s="1727"/>
      <c r="F55" s="1727"/>
      <c r="G55" s="1727"/>
      <c r="H55" s="1727"/>
      <c r="I55" s="1727"/>
      <c r="J55" s="1727"/>
      <c r="K55" s="1727"/>
      <c r="L55" s="1727"/>
      <c r="M55" s="1728"/>
      <c r="N55" s="807"/>
      <c r="O55" s="787" t="s">
        <v>443</v>
      </c>
      <c r="P55" s="1729"/>
      <c r="Q55" s="1729"/>
      <c r="R55" s="767"/>
    </row>
    <row r="56" spans="2:18" ht="18.75" customHeight="1" x14ac:dyDescent="0.3">
      <c r="B56" s="792" t="s">
        <v>466</v>
      </c>
      <c r="C56" s="1726" t="s">
        <v>1011</v>
      </c>
      <c r="D56" s="1727"/>
      <c r="E56" s="1727"/>
      <c r="F56" s="1727"/>
      <c r="G56" s="1727"/>
      <c r="H56" s="1727"/>
      <c r="I56" s="1727"/>
      <c r="J56" s="1727"/>
      <c r="K56" s="1727"/>
      <c r="L56" s="1727"/>
      <c r="M56" s="1728"/>
      <c r="N56" s="808"/>
      <c r="O56" s="787" t="s">
        <v>446</v>
      </c>
      <c r="P56" s="1729"/>
      <c r="Q56" s="1729"/>
      <c r="R56" s="767"/>
    </row>
    <row r="57" spans="2:18" ht="18.75" customHeight="1" x14ac:dyDescent="0.3">
      <c r="B57" s="792" t="s">
        <v>468</v>
      </c>
      <c r="C57" s="1726" t="s">
        <v>469</v>
      </c>
      <c r="D57" s="1727"/>
      <c r="E57" s="1727"/>
      <c r="F57" s="1727"/>
      <c r="G57" s="1727"/>
      <c r="H57" s="1727"/>
      <c r="I57" s="1727"/>
      <c r="J57" s="1727"/>
      <c r="K57" s="1727"/>
      <c r="L57" s="1727"/>
      <c r="M57" s="1728"/>
      <c r="N57" s="809"/>
      <c r="O57" s="787" t="s">
        <v>449</v>
      </c>
      <c r="P57" s="1729"/>
      <c r="Q57" s="1729"/>
      <c r="R57" s="767"/>
    </row>
    <row r="58" spans="2:18" ht="18.75" customHeight="1" x14ac:dyDescent="0.3">
      <c r="B58" s="788"/>
      <c r="C58" s="779"/>
      <c r="D58" s="780"/>
      <c r="E58" s="780"/>
      <c r="F58" s="780"/>
      <c r="G58" s="780"/>
      <c r="H58" s="780"/>
      <c r="I58" s="780"/>
      <c r="J58" s="780"/>
      <c r="K58" s="780"/>
      <c r="L58" s="780"/>
      <c r="M58" s="780"/>
      <c r="N58" s="780"/>
      <c r="O58" s="780"/>
    </row>
    <row r="59" spans="2:18" ht="18.75" customHeight="1" x14ac:dyDescent="0.3">
      <c r="B59" s="782" t="s">
        <v>470</v>
      </c>
      <c r="C59" s="783"/>
      <c r="D59" s="783"/>
      <c r="E59" s="783"/>
      <c r="F59" s="783"/>
      <c r="G59" s="783"/>
      <c r="H59" s="784"/>
      <c r="I59" s="784"/>
      <c r="J59" s="784"/>
      <c r="K59" s="784"/>
      <c r="L59" s="784"/>
      <c r="M59" s="784"/>
      <c r="N59" s="784"/>
      <c r="O59" s="784"/>
      <c r="P59" s="784"/>
      <c r="Q59" s="785"/>
    </row>
    <row r="61" spans="2:18" ht="42" customHeight="1" x14ac:dyDescent="0.3">
      <c r="B61" s="786" t="s">
        <v>471</v>
      </c>
      <c r="C61" s="786" t="s">
        <v>472</v>
      </c>
      <c r="D61" s="1785" t="s">
        <v>473</v>
      </c>
      <c r="E61" s="1785"/>
      <c r="F61" s="786" t="s">
        <v>474</v>
      </c>
      <c r="G61" s="786" t="s">
        <v>765</v>
      </c>
      <c r="H61" s="786" t="s">
        <v>406</v>
      </c>
      <c r="I61" s="786" t="s">
        <v>428</v>
      </c>
      <c r="J61" s="1741" t="s">
        <v>476</v>
      </c>
      <c r="K61" s="1742"/>
      <c r="L61" s="1742"/>
      <c r="M61" s="1742"/>
      <c r="N61" s="1742"/>
      <c r="O61" s="1742"/>
      <c r="P61" s="1742"/>
      <c r="Q61" s="1743"/>
    </row>
    <row r="62" spans="2:18" ht="48" customHeight="1" x14ac:dyDescent="0.3">
      <c r="B62" s="794">
        <v>1</v>
      </c>
      <c r="C62" s="810" t="s">
        <v>1043</v>
      </c>
      <c r="D62" s="1735" t="s">
        <v>1044</v>
      </c>
      <c r="E62" s="1737"/>
      <c r="F62" s="811"/>
      <c r="G62" s="811"/>
      <c r="H62" s="833">
        <f>_xlfn.IFS(C27="ROB",1.23,C27="RET",2.14)</f>
        <v>2.14</v>
      </c>
      <c r="I62" s="811" t="s">
        <v>1045</v>
      </c>
      <c r="J62" s="1735" t="s">
        <v>1046</v>
      </c>
      <c r="K62" s="1736"/>
      <c r="L62" s="1736"/>
      <c r="M62" s="1736"/>
      <c r="N62" s="1736"/>
      <c r="O62" s="1736"/>
      <c r="P62" s="1736"/>
      <c r="Q62" s="1737"/>
      <c r="R62" s="767"/>
    </row>
    <row r="63" spans="2:18" ht="48" customHeight="1" x14ac:dyDescent="0.3">
      <c r="B63" s="794">
        <v>2</v>
      </c>
      <c r="C63" s="810" t="s">
        <v>1047</v>
      </c>
      <c r="D63" s="1735" t="s">
        <v>1048</v>
      </c>
      <c r="E63" s="1737"/>
      <c r="F63" s="811"/>
      <c r="G63" s="811"/>
      <c r="H63" s="833">
        <v>0.98</v>
      </c>
      <c r="I63" s="811" t="s">
        <v>1045</v>
      </c>
      <c r="J63" s="1735" t="s">
        <v>1049</v>
      </c>
      <c r="K63" s="1736"/>
      <c r="L63" s="1736"/>
      <c r="M63" s="1736"/>
      <c r="N63" s="1736"/>
      <c r="O63" s="1736"/>
      <c r="P63" s="1736"/>
      <c r="Q63" s="1737"/>
      <c r="R63" s="767"/>
    </row>
    <row r="64" spans="2:18" ht="39" x14ac:dyDescent="0.3">
      <c r="B64" s="796">
        <v>3</v>
      </c>
      <c r="C64" s="816" t="s">
        <v>1050</v>
      </c>
      <c r="D64" s="1738" t="s">
        <v>1051</v>
      </c>
      <c r="E64" s="1740"/>
      <c r="F64" s="818" t="str">
        <f>H65</f>
        <v>Medium-sized casual dining restaurants</v>
      </c>
      <c r="G64" s="817" t="s">
        <v>1052</v>
      </c>
      <c r="H64" s="834">
        <f>INDEX($C$96:$N$116,MATCH(F64,$C$96:$C$116,0),MATCH(G64,$C$96:$N$96,0))</f>
        <v>468</v>
      </c>
      <c r="I64" s="817" t="s">
        <v>1053</v>
      </c>
      <c r="J64" s="1738" t="s">
        <v>1054</v>
      </c>
      <c r="K64" s="1739"/>
      <c r="L64" s="1739"/>
      <c r="M64" s="1739"/>
      <c r="N64" s="1739"/>
      <c r="O64" s="1739"/>
      <c r="P64" s="1739"/>
      <c r="Q64" s="1740"/>
      <c r="R64" s="767"/>
    </row>
    <row r="65" spans="2:18" ht="39" x14ac:dyDescent="0.3">
      <c r="B65" s="794">
        <v>4</v>
      </c>
      <c r="C65" s="810" t="s">
        <v>425</v>
      </c>
      <c r="D65" s="1744" t="s">
        <v>1055</v>
      </c>
      <c r="E65" s="1744"/>
      <c r="F65" s="811"/>
      <c r="G65" s="811"/>
      <c r="H65" s="833" t="s">
        <v>1056</v>
      </c>
      <c r="I65" s="811" t="s">
        <v>597</v>
      </c>
      <c r="J65" s="1735" t="s">
        <v>1057</v>
      </c>
      <c r="K65" s="1736"/>
      <c r="L65" s="1736"/>
      <c r="M65" s="1736"/>
      <c r="N65" s="1736"/>
      <c r="O65" s="1736"/>
      <c r="P65" s="1736"/>
      <c r="Q65" s="1737"/>
      <c r="R65" s="767"/>
    </row>
    <row r="66" spans="2:18" ht="32.25" customHeight="1" x14ac:dyDescent="0.3">
      <c r="B66" s="796">
        <v>5</v>
      </c>
      <c r="C66" s="810" t="s">
        <v>799</v>
      </c>
      <c r="D66" s="1744" t="s">
        <v>1058</v>
      </c>
      <c r="E66" s="1744"/>
      <c r="F66" s="811"/>
      <c r="G66" s="811"/>
      <c r="H66" s="554">
        <f>IF(C30="Natural gas",1,0)</f>
        <v>1</v>
      </c>
      <c r="I66" s="811" t="s">
        <v>519</v>
      </c>
      <c r="J66" s="1472" t="s">
        <v>921</v>
      </c>
      <c r="K66" s="1473"/>
      <c r="L66" s="1473"/>
      <c r="M66" s="1473"/>
      <c r="N66" s="1473"/>
      <c r="O66" s="1473"/>
      <c r="P66" s="1473"/>
      <c r="Q66" s="1474"/>
      <c r="R66" s="767"/>
    </row>
    <row r="67" spans="2:18" ht="41.25" customHeight="1" x14ac:dyDescent="0.3">
      <c r="B67" s="794">
        <v>6</v>
      </c>
      <c r="C67" s="810" t="s">
        <v>1059</v>
      </c>
      <c r="D67" s="1744" t="s">
        <v>1060</v>
      </c>
      <c r="E67" s="1744"/>
      <c r="F67" s="811"/>
      <c r="G67" s="811"/>
      <c r="H67" s="835">
        <f>Water.T.DHW.SI</f>
        <v>54.4</v>
      </c>
      <c r="I67" s="811" t="s">
        <v>781</v>
      </c>
      <c r="J67" s="1759" t="s">
        <v>826</v>
      </c>
      <c r="K67" s="1760"/>
      <c r="L67" s="1760"/>
      <c r="M67" s="1760"/>
      <c r="N67" s="1760"/>
      <c r="O67" s="1760"/>
      <c r="P67" s="1760"/>
      <c r="Q67" s="1761"/>
      <c r="R67" s="831"/>
    </row>
    <row r="68" spans="2:18" ht="15" customHeight="1" x14ac:dyDescent="0.3">
      <c r="B68" s="796">
        <v>7</v>
      </c>
      <c r="C68" s="810" t="s">
        <v>778</v>
      </c>
      <c r="D68" s="1744" t="s">
        <v>1061</v>
      </c>
      <c r="E68" s="1744"/>
      <c r="F68" s="811" t="str">
        <f>$C$26</f>
        <v>Average</v>
      </c>
      <c r="G68" s="811" t="s">
        <v>780</v>
      </c>
      <c r="H68" s="836">
        <f>INDEX(ClimateData[#All],MATCH(F68,ClimateData[[#All],[Region]],0),MATCH(G68,ClimateData[#Headers],0))</f>
        <v>5.3782145782145783</v>
      </c>
      <c r="I68" s="811" t="s">
        <v>781</v>
      </c>
      <c r="J68" s="1437" t="s">
        <v>782</v>
      </c>
      <c r="K68" s="1560"/>
      <c r="L68" s="1560"/>
      <c r="M68" s="1560"/>
      <c r="N68" s="1560"/>
      <c r="O68" s="1560"/>
      <c r="P68" s="1560"/>
      <c r="Q68" s="1561"/>
      <c r="R68" s="767"/>
    </row>
    <row r="69" spans="2:18" ht="45.75" customHeight="1" x14ac:dyDescent="0.3">
      <c r="B69" s="794">
        <v>8</v>
      </c>
      <c r="C69" s="810" t="s">
        <v>1062</v>
      </c>
      <c r="D69" s="1744" t="s">
        <v>1063</v>
      </c>
      <c r="E69" s="1744"/>
      <c r="F69" s="811"/>
      <c r="G69" s="811"/>
      <c r="H69" s="554">
        <f>WaterHeatingEfficiency.CI.E</f>
        <v>0.98</v>
      </c>
      <c r="I69" s="811" t="s">
        <v>519</v>
      </c>
      <c r="J69" s="1468" t="s">
        <v>1064</v>
      </c>
      <c r="K69" s="1478"/>
      <c r="L69" s="1478"/>
      <c r="M69" s="1478"/>
      <c r="N69" s="1478"/>
      <c r="O69" s="1478"/>
      <c r="P69" s="1478"/>
      <c r="Q69" s="1469"/>
      <c r="R69" s="767"/>
    </row>
    <row r="70" spans="2:18" ht="31.5" customHeight="1" x14ac:dyDescent="0.3">
      <c r="B70" s="796">
        <v>9</v>
      </c>
      <c r="C70" s="810" t="s">
        <v>1065</v>
      </c>
      <c r="D70" s="1744" t="s">
        <v>1066</v>
      </c>
      <c r="E70" s="1744"/>
      <c r="F70" s="811"/>
      <c r="G70" s="811"/>
      <c r="H70" s="554">
        <f>WaterHeatingEfficiency.CI.NG</f>
        <v>0.8</v>
      </c>
      <c r="I70" s="811" t="s">
        <v>519</v>
      </c>
      <c r="J70" s="1468" t="s">
        <v>1067</v>
      </c>
      <c r="K70" s="1478"/>
      <c r="L70" s="1478"/>
      <c r="M70" s="1478"/>
      <c r="N70" s="1478"/>
      <c r="O70" s="1478"/>
      <c r="P70" s="1478"/>
      <c r="Q70" s="1469"/>
      <c r="R70" s="767"/>
    </row>
    <row r="71" spans="2:18" ht="40.5" customHeight="1" x14ac:dyDescent="0.3">
      <c r="B71" s="794">
        <v>10</v>
      </c>
      <c r="C71" s="810"/>
      <c r="D71" s="1735"/>
      <c r="E71" s="1737"/>
      <c r="F71" s="811"/>
      <c r="G71" s="811"/>
      <c r="H71" s="828"/>
      <c r="I71" s="811"/>
      <c r="J71" s="1735"/>
      <c r="K71" s="1736"/>
      <c r="L71" s="1736"/>
      <c r="M71" s="1736"/>
      <c r="N71" s="1736"/>
      <c r="O71" s="1736"/>
      <c r="P71" s="1736"/>
      <c r="Q71" s="1737"/>
      <c r="R71" s="767"/>
    </row>
    <row r="72" spans="2:18" ht="13" x14ac:dyDescent="0.3">
      <c r="B72" s="796">
        <v>11</v>
      </c>
      <c r="C72" s="810"/>
      <c r="D72" s="1744"/>
      <c r="E72" s="1744"/>
      <c r="F72" s="811"/>
      <c r="G72" s="811"/>
      <c r="H72" s="820"/>
      <c r="I72" s="811"/>
      <c r="J72" s="1759"/>
      <c r="K72" s="1760"/>
      <c r="L72" s="1760"/>
      <c r="M72" s="1760"/>
      <c r="N72" s="1760"/>
      <c r="O72" s="1760"/>
      <c r="P72" s="1760"/>
      <c r="Q72" s="1761"/>
      <c r="R72" s="767"/>
    </row>
    <row r="73" spans="2:18" ht="13" x14ac:dyDescent="0.3">
      <c r="B73" s="794">
        <v>12</v>
      </c>
      <c r="C73" s="810"/>
      <c r="D73" s="1744"/>
      <c r="E73" s="1744"/>
      <c r="F73" s="811"/>
      <c r="G73" s="811"/>
      <c r="H73" s="820"/>
      <c r="I73" s="811"/>
      <c r="J73" s="1759"/>
      <c r="K73" s="1760"/>
      <c r="L73" s="1760"/>
      <c r="M73" s="1760"/>
      <c r="N73" s="1760"/>
      <c r="O73" s="1760"/>
      <c r="P73" s="1760"/>
      <c r="Q73" s="1761"/>
      <c r="R73" s="767"/>
    </row>
    <row r="74" spans="2:18" ht="13" x14ac:dyDescent="0.3">
      <c r="B74" s="796">
        <v>13</v>
      </c>
      <c r="C74" s="810"/>
      <c r="D74" s="1744"/>
      <c r="E74" s="1744"/>
      <c r="F74" s="811"/>
      <c r="G74" s="811"/>
      <c r="H74" s="820"/>
      <c r="I74" s="811"/>
      <c r="J74" s="1759"/>
      <c r="K74" s="1760"/>
      <c r="L74" s="1760"/>
      <c r="M74" s="1760"/>
      <c r="N74" s="1760"/>
      <c r="O74" s="1760"/>
      <c r="P74" s="1760"/>
      <c r="Q74" s="1761"/>
      <c r="R74" s="767"/>
    </row>
    <row r="75" spans="2:18" ht="13" x14ac:dyDescent="0.3">
      <c r="B75" s="794">
        <v>14</v>
      </c>
      <c r="C75" s="810"/>
      <c r="D75" s="1744"/>
      <c r="E75" s="1744"/>
      <c r="F75" s="811"/>
      <c r="G75" s="811"/>
      <c r="H75" s="820"/>
      <c r="I75" s="811"/>
      <c r="J75" s="1759"/>
      <c r="K75" s="1760"/>
      <c r="L75" s="1760"/>
      <c r="M75" s="1760"/>
      <c r="N75" s="1760"/>
      <c r="O75" s="1760"/>
      <c r="P75" s="1760"/>
      <c r="Q75" s="1761"/>
      <c r="R75" s="767"/>
    </row>
    <row r="76" spans="2:18" ht="13" x14ac:dyDescent="0.3">
      <c r="B76" s="794">
        <v>15</v>
      </c>
      <c r="C76" s="810"/>
      <c r="D76" s="1744"/>
      <c r="E76" s="1744"/>
      <c r="F76" s="811"/>
      <c r="G76" s="811"/>
      <c r="H76" s="820"/>
      <c r="I76" s="811"/>
      <c r="J76" s="1759"/>
      <c r="K76" s="1760"/>
      <c r="L76" s="1760"/>
      <c r="M76" s="1760"/>
      <c r="N76" s="1760"/>
      <c r="O76" s="1760"/>
      <c r="P76" s="1760"/>
      <c r="Q76" s="1761"/>
      <c r="R76" s="767"/>
    </row>
    <row r="77" spans="2:18" ht="18.75" customHeight="1" x14ac:dyDescent="0.3">
      <c r="R77" s="767"/>
    </row>
    <row r="78" spans="2:18" ht="18.75" customHeight="1" x14ac:dyDescent="0.3">
      <c r="B78" s="782" t="s">
        <v>1030</v>
      </c>
      <c r="C78" s="783"/>
      <c r="D78" s="783"/>
      <c r="E78" s="783"/>
      <c r="F78" s="783"/>
      <c r="G78" s="783"/>
      <c r="H78" s="784"/>
      <c r="I78" s="784"/>
      <c r="J78" s="784"/>
      <c r="K78" s="784"/>
      <c r="L78" s="784"/>
      <c r="M78" s="784"/>
      <c r="N78" s="784"/>
      <c r="O78" s="784"/>
      <c r="P78" s="784"/>
      <c r="Q78" s="785"/>
      <c r="R78" s="767"/>
    </row>
    <row r="79" spans="2:18" ht="18.75" customHeight="1" x14ac:dyDescent="0.3">
      <c r="R79" s="767"/>
    </row>
    <row r="80" spans="2:18" ht="18.75" customHeight="1" x14ac:dyDescent="0.3">
      <c r="B80" s="786" t="s">
        <v>478</v>
      </c>
      <c r="C80" s="786" t="s">
        <v>1031</v>
      </c>
      <c r="D80" s="1222" t="s">
        <v>1032</v>
      </c>
      <c r="E80" s="1796" t="s">
        <v>476</v>
      </c>
      <c r="F80" s="1796"/>
      <c r="G80" s="1796"/>
      <c r="H80" s="1796"/>
      <c r="I80" s="1796"/>
      <c r="J80" s="1796"/>
      <c r="K80" s="1796"/>
      <c r="L80" s="1796"/>
      <c r="M80" s="1796"/>
      <c r="N80" s="1796"/>
      <c r="O80" s="1796"/>
      <c r="P80" s="1796"/>
      <c r="Q80" s="1796"/>
      <c r="R80" s="767"/>
    </row>
    <row r="81" spans="2:18" ht="13" x14ac:dyDescent="0.3">
      <c r="B81" s="794">
        <v>1</v>
      </c>
      <c r="C81" s="837" t="s">
        <v>1033</v>
      </c>
      <c r="D81" s="838">
        <v>1000</v>
      </c>
      <c r="E81" s="1795"/>
      <c r="F81" s="1795"/>
      <c r="G81" s="1795"/>
      <c r="H81" s="1795"/>
      <c r="I81" s="1795"/>
      <c r="J81" s="1795"/>
      <c r="K81" s="1795"/>
      <c r="L81" s="1795"/>
      <c r="M81" s="1795"/>
      <c r="N81" s="1795"/>
      <c r="O81" s="1795"/>
      <c r="P81" s="1795"/>
      <c r="Q81" s="1795"/>
      <c r="R81" s="767"/>
    </row>
    <row r="82" spans="2:18" ht="13" x14ac:dyDescent="0.3">
      <c r="B82" s="794">
        <v>2</v>
      </c>
      <c r="C82" s="837" t="s">
        <v>1034</v>
      </c>
      <c r="D82" s="839">
        <f>0.03412*0.10548</f>
        <v>3.5989775999999999E-3</v>
      </c>
      <c r="E82" s="1794"/>
      <c r="F82" s="1794"/>
      <c r="G82" s="1794"/>
      <c r="H82" s="1794"/>
      <c r="I82" s="1794"/>
      <c r="J82" s="1794"/>
      <c r="K82" s="1794"/>
      <c r="L82" s="1794"/>
      <c r="M82" s="1794"/>
      <c r="N82" s="1794"/>
      <c r="O82" s="1794"/>
      <c r="P82" s="1794"/>
      <c r="Q82" s="1794"/>
      <c r="R82" s="767"/>
    </row>
    <row r="83" spans="2:18" ht="13" x14ac:dyDescent="0.3">
      <c r="B83" s="794">
        <v>3</v>
      </c>
      <c r="C83" s="837" t="s">
        <v>1035</v>
      </c>
      <c r="D83" s="839">
        <v>3.7854099999999999E-3</v>
      </c>
      <c r="E83" s="1795"/>
      <c r="F83" s="1795"/>
      <c r="G83" s="1795"/>
      <c r="H83" s="1795"/>
      <c r="I83" s="1795"/>
      <c r="J83" s="1795"/>
      <c r="K83" s="1795"/>
      <c r="L83" s="1795"/>
      <c r="M83" s="1795"/>
      <c r="N83" s="1795"/>
      <c r="O83" s="1795"/>
      <c r="P83" s="1795"/>
      <c r="Q83" s="1795"/>
      <c r="R83" s="767"/>
    </row>
    <row r="84" spans="2:18" ht="13" x14ac:dyDescent="0.3">
      <c r="B84" s="794">
        <v>4</v>
      </c>
      <c r="C84" s="837" t="s">
        <v>1036</v>
      </c>
      <c r="D84" s="839">
        <v>0.1055</v>
      </c>
      <c r="E84" s="1794"/>
      <c r="F84" s="1794"/>
      <c r="G84" s="1794"/>
      <c r="H84" s="1794"/>
      <c r="I84" s="1794"/>
      <c r="J84" s="1794"/>
      <c r="K84" s="1794"/>
      <c r="L84" s="1794"/>
      <c r="M84" s="1794"/>
      <c r="N84" s="1794"/>
      <c r="O84" s="1794"/>
      <c r="P84" s="1794"/>
      <c r="Q84" s="1794"/>
      <c r="R84" s="767"/>
    </row>
    <row r="85" spans="2:18" ht="13" x14ac:dyDescent="0.3">
      <c r="B85" s="794">
        <v>5</v>
      </c>
      <c r="C85" s="837"/>
      <c r="D85" s="838"/>
      <c r="E85" s="1795"/>
      <c r="F85" s="1795"/>
      <c r="G85" s="1795"/>
      <c r="H85" s="1795"/>
      <c r="I85" s="1795"/>
      <c r="J85" s="1795"/>
      <c r="K85" s="1795"/>
      <c r="L85" s="1795"/>
      <c r="M85" s="1795"/>
      <c r="N85" s="1795"/>
      <c r="O85" s="1795"/>
      <c r="P85" s="1795"/>
      <c r="Q85" s="1795"/>
      <c r="R85" s="767"/>
    </row>
    <row r="86" spans="2:18" ht="13" x14ac:dyDescent="0.3">
      <c r="B86" s="794">
        <v>6</v>
      </c>
      <c r="C86" s="837"/>
      <c r="D86" s="840"/>
      <c r="E86" s="1794"/>
      <c r="F86" s="1794"/>
      <c r="G86" s="1794"/>
      <c r="H86" s="1794"/>
      <c r="I86" s="1794"/>
      <c r="J86" s="1794"/>
      <c r="K86" s="1794"/>
      <c r="L86" s="1794"/>
      <c r="M86" s="1794"/>
      <c r="N86" s="1794"/>
      <c r="O86" s="1794"/>
      <c r="P86" s="1794"/>
      <c r="Q86" s="1794"/>
      <c r="R86" s="767"/>
    </row>
    <row r="87" spans="2:18" ht="13" x14ac:dyDescent="0.3">
      <c r="B87" s="794">
        <v>7</v>
      </c>
      <c r="C87" s="837"/>
      <c r="D87" s="838"/>
      <c r="E87" s="1795"/>
      <c r="F87" s="1795"/>
      <c r="G87" s="1795"/>
      <c r="H87" s="1795"/>
      <c r="I87" s="1795"/>
      <c r="J87" s="1795"/>
      <c r="K87" s="1795"/>
      <c r="L87" s="1795"/>
      <c r="M87" s="1795"/>
      <c r="N87" s="1795"/>
      <c r="O87" s="1795"/>
      <c r="P87" s="1795"/>
      <c r="Q87" s="1795"/>
      <c r="R87" s="767"/>
    </row>
    <row r="88" spans="2:18" ht="13" x14ac:dyDescent="0.3">
      <c r="B88" s="794">
        <v>8</v>
      </c>
      <c r="C88" s="837"/>
      <c r="D88" s="839"/>
      <c r="E88" s="1794"/>
      <c r="F88" s="1794"/>
      <c r="G88" s="1794"/>
      <c r="H88" s="1794"/>
      <c r="I88" s="1794"/>
      <c r="J88" s="1794"/>
      <c r="K88" s="1794"/>
      <c r="L88" s="1794"/>
      <c r="M88" s="1794"/>
      <c r="N88" s="1794"/>
      <c r="O88" s="1794"/>
      <c r="P88" s="1794"/>
      <c r="Q88" s="1794"/>
      <c r="R88" s="767"/>
    </row>
    <row r="89" spans="2:18" ht="13" x14ac:dyDescent="0.3">
      <c r="B89" s="794">
        <v>9</v>
      </c>
      <c r="C89" s="837"/>
      <c r="D89" s="838"/>
      <c r="E89" s="1795"/>
      <c r="F89" s="1795"/>
      <c r="G89" s="1795"/>
      <c r="H89" s="1795"/>
      <c r="I89" s="1795"/>
      <c r="J89" s="1795"/>
      <c r="K89" s="1795"/>
      <c r="L89" s="1795"/>
      <c r="M89" s="1795"/>
      <c r="N89" s="1795"/>
      <c r="O89" s="1795"/>
      <c r="P89" s="1795"/>
      <c r="Q89" s="1795"/>
      <c r="R89" s="767"/>
    </row>
    <row r="90" spans="2:18" ht="13" x14ac:dyDescent="0.3">
      <c r="B90" s="794">
        <v>10</v>
      </c>
      <c r="C90" s="837"/>
      <c r="D90" s="839"/>
      <c r="E90" s="1794"/>
      <c r="F90" s="1794"/>
      <c r="G90" s="1794"/>
      <c r="H90" s="1794"/>
      <c r="I90" s="1794"/>
      <c r="J90" s="1794"/>
      <c r="K90" s="1794"/>
      <c r="L90" s="1794"/>
      <c r="M90" s="1794"/>
      <c r="N90" s="1794"/>
      <c r="O90" s="1794"/>
      <c r="P90" s="1794"/>
      <c r="Q90" s="1794"/>
      <c r="R90" s="767"/>
    </row>
    <row r="91" spans="2:18" ht="18.75" customHeight="1" x14ac:dyDescent="0.3">
      <c r="R91" s="767"/>
    </row>
    <row r="92" spans="2:18" ht="18.75" customHeight="1" x14ac:dyDescent="0.3">
      <c r="B92" s="782" t="s">
        <v>492</v>
      </c>
      <c r="C92" s="783"/>
      <c r="D92" s="783"/>
      <c r="E92" s="783"/>
      <c r="F92" s="783"/>
      <c r="G92" s="783"/>
      <c r="H92" s="784"/>
      <c r="I92" s="784"/>
      <c r="J92" s="784"/>
      <c r="K92" s="784"/>
      <c r="L92" s="784"/>
      <c r="M92" s="784"/>
      <c r="N92" s="784"/>
      <c r="O92" s="784"/>
      <c r="P92" s="784"/>
      <c r="Q92" s="785"/>
      <c r="R92" s="767"/>
    </row>
    <row r="93" spans="2:18" ht="18.75" customHeight="1" x14ac:dyDescent="0.3">
      <c r="R93" s="767"/>
    </row>
    <row r="94" spans="2:18" ht="18.75" customHeight="1" x14ac:dyDescent="0.3">
      <c r="B94" s="789" t="s">
        <v>493</v>
      </c>
      <c r="E94" s="1751" t="s">
        <v>494</v>
      </c>
      <c r="F94" s="1762"/>
      <c r="G94" s="1762"/>
      <c r="H94" s="1762"/>
      <c r="I94" s="1762"/>
      <c r="J94" s="1762"/>
      <c r="K94" s="1762"/>
      <c r="L94" s="1762"/>
      <c r="M94" s="1762"/>
      <c r="N94" s="1762"/>
      <c r="O94" s="1763" t="s">
        <v>476</v>
      </c>
      <c r="P94" s="1764"/>
      <c r="Q94" s="1765"/>
      <c r="R94" s="767"/>
    </row>
    <row r="95" spans="2:18" ht="25.5" customHeight="1" x14ac:dyDescent="0.3">
      <c r="B95" s="1748" t="s">
        <v>1068</v>
      </c>
      <c r="C95" s="1749"/>
      <c r="D95" s="1750"/>
      <c r="E95" s="790" t="s">
        <v>495</v>
      </c>
      <c r="F95" s="790" t="s">
        <v>496</v>
      </c>
      <c r="G95" s="790" t="s">
        <v>497</v>
      </c>
      <c r="H95" s="790" t="s">
        <v>498</v>
      </c>
      <c r="I95" s="790" t="s">
        <v>499</v>
      </c>
      <c r="J95" s="790" t="s">
        <v>500</v>
      </c>
      <c r="K95" s="790" t="s">
        <v>501</v>
      </c>
      <c r="L95" s="790" t="s">
        <v>502</v>
      </c>
      <c r="M95" s="790" t="s">
        <v>503</v>
      </c>
      <c r="N95" s="1227" t="s">
        <v>504</v>
      </c>
      <c r="O95" s="1766"/>
      <c r="P95" s="1767"/>
      <c r="Q95" s="1768"/>
      <c r="R95" s="767"/>
    </row>
    <row r="96" spans="2:18" ht="25.5" customHeight="1" x14ac:dyDescent="0.3">
      <c r="B96" s="1223" t="s">
        <v>478</v>
      </c>
      <c r="C96" s="1751" t="s">
        <v>538</v>
      </c>
      <c r="D96" s="1752"/>
      <c r="E96" s="821" t="s">
        <v>1069</v>
      </c>
      <c r="F96" s="821" t="s">
        <v>1052</v>
      </c>
      <c r="G96" s="821"/>
      <c r="H96" s="821"/>
      <c r="I96" s="821"/>
      <c r="J96" s="821"/>
      <c r="K96" s="821"/>
      <c r="L96" s="821"/>
      <c r="M96" s="821"/>
      <c r="N96" s="822"/>
      <c r="O96" s="1769"/>
      <c r="P96" s="1770"/>
      <c r="Q96" s="1771"/>
      <c r="R96" s="767"/>
    </row>
    <row r="97" spans="2:18" ht="26" x14ac:dyDescent="0.3">
      <c r="B97" s="794">
        <v>1</v>
      </c>
      <c r="C97" s="810" t="s">
        <v>1070</v>
      </c>
      <c r="D97" s="1225"/>
      <c r="E97" s="823">
        <v>1</v>
      </c>
      <c r="F97" s="823">
        <f>E97*6*52</f>
        <v>312</v>
      </c>
      <c r="G97" s="823"/>
      <c r="H97" s="823"/>
      <c r="I97" s="824"/>
      <c r="J97" s="824"/>
      <c r="K97" s="824"/>
      <c r="L97" s="824"/>
      <c r="M97" s="824"/>
      <c r="N97" s="824"/>
      <c r="O97" s="1753"/>
      <c r="P97" s="1754"/>
      <c r="Q97" s="1755"/>
      <c r="R97" s="767"/>
    </row>
    <row r="98" spans="2:18" ht="26" x14ac:dyDescent="0.3">
      <c r="B98" s="794">
        <v>2</v>
      </c>
      <c r="C98" s="810" t="s">
        <v>1056</v>
      </c>
      <c r="D98" s="1225"/>
      <c r="E98" s="823">
        <v>1.5</v>
      </c>
      <c r="F98" s="823">
        <f>E98*6*52</f>
        <v>468</v>
      </c>
      <c r="G98" s="823"/>
      <c r="H98" s="823"/>
      <c r="I98" s="824"/>
      <c r="J98" s="824"/>
      <c r="K98" s="824"/>
      <c r="L98" s="824"/>
      <c r="M98" s="824"/>
      <c r="N98" s="824"/>
      <c r="O98" s="1756"/>
      <c r="P98" s="1757"/>
      <c r="Q98" s="1758"/>
      <c r="R98" s="767"/>
    </row>
    <row r="99" spans="2:18" ht="39" x14ac:dyDescent="0.3">
      <c r="B99" s="794">
        <v>3</v>
      </c>
      <c r="C99" s="810" t="s">
        <v>1071</v>
      </c>
      <c r="D99" s="1225"/>
      <c r="E99" s="823">
        <v>3</v>
      </c>
      <c r="F99" s="823">
        <f>E99*6*52</f>
        <v>936</v>
      </c>
      <c r="G99" s="823"/>
      <c r="H99" s="823"/>
      <c r="I99" s="824"/>
      <c r="J99" s="824"/>
      <c r="K99" s="824"/>
      <c r="L99" s="824"/>
      <c r="M99" s="824"/>
      <c r="N99" s="824"/>
      <c r="O99" s="1756"/>
      <c r="P99" s="1757"/>
      <c r="Q99" s="1758"/>
      <c r="R99" s="767"/>
    </row>
    <row r="100" spans="2:18" ht="13" x14ac:dyDescent="0.3">
      <c r="B100" s="794">
        <v>4</v>
      </c>
      <c r="C100" s="810"/>
      <c r="D100" s="1225"/>
      <c r="E100" s="823"/>
      <c r="F100" s="823"/>
      <c r="G100" s="823"/>
      <c r="H100" s="823"/>
      <c r="I100" s="824"/>
      <c r="J100" s="824"/>
      <c r="K100" s="824"/>
      <c r="L100" s="824"/>
      <c r="M100" s="824"/>
      <c r="N100" s="824"/>
      <c r="O100" s="1756"/>
      <c r="P100" s="1757"/>
      <c r="Q100" s="1758"/>
      <c r="R100" s="767"/>
    </row>
    <row r="101" spans="2:18" ht="13" x14ac:dyDescent="0.3">
      <c r="B101" s="794">
        <v>5</v>
      </c>
      <c r="C101" s="810"/>
      <c r="D101" s="1225"/>
      <c r="E101" s="823"/>
      <c r="F101" s="823"/>
      <c r="G101" s="823"/>
      <c r="H101" s="823"/>
      <c r="I101" s="824"/>
      <c r="J101" s="824"/>
      <c r="K101" s="824"/>
      <c r="L101" s="824"/>
      <c r="M101" s="824"/>
      <c r="N101" s="824"/>
      <c r="O101" s="1756"/>
      <c r="P101" s="1757"/>
      <c r="Q101" s="1758"/>
      <c r="R101" s="767"/>
    </row>
    <row r="102" spans="2:18" ht="13" x14ac:dyDescent="0.3">
      <c r="B102" s="794">
        <v>6</v>
      </c>
      <c r="C102" s="810"/>
      <c r="D102" s="825"/>
      <c r="E102" s="823"/>
      <c r="F102" s="826"/>
      <c r="G102" s="823"/>
      <c r="H102" s="823"/>
      <c r="I102" s="820"/>
      <c r="J102" s="820"/>
      <c r="K102" s="820"/>
      <c r="L102" s="820"/>
      <c r="M102" s="820"/>
      <c r="N102" s="820"/>
      <c r="O102" s="1745"/>
      <c r="P102" s="1746"/>
      <c r="Q102" s="1747"/>
      <c r="R102" s="767"/>
    </row>
    <row r="103" spans="2:18" ht="13" x14ac:dyDescent="0.3">
      <c r="B103" s="794">
        <v>7</v>
      </c>
      <c r="C103" s="810"/>
      <c r="D103" s="825"/>
      <c r="E103" s="823"/>
      <c r="F103" s="820"/>
      <c r="G103" s="820"/>
      <c r="H103" s="823"/>
      <c r="I103" s="820"/>
      <c r="J103" s="820"/>
      <c r="K103" s="820"/>
      <c r="L103" s="820"/>
      <c r="M103" s="820"/>
      <c r="N103" s="820"/>
      <c r="O103" s="1745"/>
      <c r="P103" s="1746"/>
      <c r="Q103" s="1747"/>
      <c r="R103" s="767"/>
    </row>
    <row r="104" spans="2:18" ht="13" x14ac:dyDescent="0.3">
      <c r="B104" s="794">
        <v>8</v>
      </c>
      <c r="C104" s="810"/>
      <c r="D104" s="825"/>
      <c r="E104" s="823"/>
      <c r="F104" s="820"/>
      <c r="G104" s="820"/>
      <c r="H104" s="820"/>
      <c r="I104" s="820"/>
      <c r="J104" s="820"/>
      <c r="K104" s="820"/>
      <c r="L104" s="820"/>
      <c r="M104" s="820"/>
      <c r="N104" s="820"/>
      <c r="O104" s="1745"/>
      <c r="P104" s="1746"/>
      <c r="Q104" s="1747"/>
      <c r="R104" s="767"/>
    </row>
    <row r="105" spans="2:18" ht="13" x14ac:dyDescent="0.3">
      <c r="B105" s="794">
        <v>9</v>
      </c>
      <c r="C105" s="810"/>
      <c r="D105" s="825"/>
      <c r="E105" s="823"/>
      <c r="F105" s="827"/>
      <c r="G105" s="827"/>
      <c r="H105" s="827"/>
      <c r="I105" s="828"/>
      <c r="J105" s="828"/>
      <c r="K105" s="828"/>
      <c r="L105" s="828"/>
      <c r="M105" s="828"/>
      <c r="N105" s="828"/>
      <c r="O105" s="1772"/>
      <c r="P105" s="1773"/>
      <c r="Q105" s="1774"/>
      <c r="R105" s="767"/>
    </row>
    <row r="106" spans="2:18" ht="13" x14ac:dyDescent="0.3">
      <c r="B106" s="794">
        <v>10</v>
      </c>
      <c r="C106" s="810"/>
      <c r="D106" s="825"/>
      <c r="E106" s="827"/>
      <c r="F106" s="827"/>
      <c r="G106" s="827"/>
      <c r="H106" s="827"/>
      <c r="I106" s="828"/>
      <c r="J106" s="828"/>
      <c r="K106" s="828"/>
      <c r="L106" s="828"/>
      <c r="M106" s="828"/>
      <c r="N106" s="828"/>
      <c r="O106" s="1772"/>
      <c r="P106" s="1773"/>
      <c r="Q106" s="1774"/>
      <c r="R106" s="767"/>
    </row>
    <row r="107" spans="2:18" ht="13" x14ac:dyDescent="0.3">
      <c r="B107" s="794">
        <v>11</v>
      </c>
      <c r="C107" s="810"/>
      <c r="D107" s="825"/>
      <c r="E107" s="829"/>
      <c r="F107" s="823"/>
      <c r="G107" s="829"/>
      <c r="H107" s="829"/>
      <c r="I107" s="820"/>
      <c r="J107" s="820"/>
      <c r="K107" s="820"/>
      <c r="L107" s="820"/>
      <c r="M107" s="820"/>
      <c r="N107" s="820"/>
      <c r="O107" s="1745"/>
      <c r="P107" s="1746"/>
      <c r="Q107" s="1747"/>
      <c r="R107" s="767"/>
    </row>
    <row r="108" spans="2:18" ht="13" x14ac:dyDescent="0.3">
      <c r="B108" s="794">
        <v>12</v>
      </c>
      <c r="C108" s="810"/>
      <c r="D108" s="825"/>
      <c r="E108" s="827"/>
      <c r="F108" s="823"/>
      <c r="G108" s="827"/>
      <c r="H108" s="827"/>
      <c r="I108" s="828"/>
      <c r="J108" s="828"/>
      <c r="K108" s="828"/>
      <c r="L108" s="828"/>
      <c r="M108" s="828"/>
      <c r="N108" s="828"/>
      <c r="O108" s="1772"/>
      <c r="P108" s="1773"/>
      <c r="Q108" s="1774"/>
      <c r="R108" s="767"/>
    </row>
    <row r="109" spans="2:18" ht="13" x14ac:dyDescent="0.3">
      <c r="B109" s="794">
        <v>13</v>
      </c>
      <c r="C109" s="810"/>
      <c r="D109" s="825"/>
      <c r="E109" s="827"/>
      <c r="F109" s="827"/>
      <c r="G109" s="827"/>
      <c r="H109" s="827"/>
      <c r="I109" s="828"/>
      <c r="J109" s="828"/>
      <c r="K109" s="828"/>
      <c r="L109" s="828"/>
      <c r="M109" s="828"/>
      <c r="N109" s="828"/>
      <c r="O109" s="1772"/>
      <c r="P109" s="1773"/>
      <c r="Q109" s="1774"/>
      <c r="R109" s="767"/>
    </row>
    <row r="110" spans="2:18" ht="13" x14ac:dyDescent="0.3">
      <c r="B110" s="794">
        <v>14</v>
      </c>
      <c r="C110" s="810"/>
      <c r="D110" s="825"/>
      <c r="E110" s="830"/>
      <c r="F110" s="830"/>
      <c r="G110" s="830"/>
      <c r="H110" s="830"/>
      <c r="I110" s="820"/>
      <c r="J110" s="820"/>
      <c r="K110" s="820"/>
      <c r="L110" s="820"/>
      <c r="M110" s="820"/>
      <c r="N110" s="820"/>
      <c r="O110" s="1745"/>
      <c r="P110" s="1746"/>
      <c r="Q110" s="1747"/>
      <c r="R110" s="767"/>
    </row>
    <row r="111" spans="2:18" ht="13" x14ac:dyDescent="0.3">
      <c r="B111" s="794">
        <v>15</v>
      </c>
      <c r="C111" s="810"/>
      <c r="D111" s="825"/>
      <c r="E111" s="830"/>
      <c r="F111" s="830"/>
      <c r="G111" s="830"/>
      <c r="H111" s="830"/>
      <c r="I111" s="820"/>
      <c r="J111" s="820"/>
      <c r="K111" s="820"/>
      <c r="L111" s="820"/>
      <c r="M111" s="820"/>
      <c r="N111" s="820"/>
      <c r="O111" s="1745"/>
      <c r="P111" s="1746"/>
      <c r="Q111" s="1747"/>
      <c r="R111" s="767"/>
    </row>
    <row r="112" spans="2:18" ht="13" x14ac:dyDescent="0.3">
      <c r="B112" s="794">
        <v>16</v>
      </c>
      <c r="C112" s="810"/>
      <c r="D112" s="825"/>
      <c r="E112" s="830"/>
      <c r="F112" s="830"/>
      <c r="G112" s="830"/>
      <c r="H112" s="830"/>
      <c r="I112" s="820"/>
      <c r="J112" s="820"/>
      <c r="K112" s="820"/>
      <c r="L112" s="820"/>
      <c r="M112" s="820"/>
      <c r="N112" s="820"/>
      <c r="O112" s="1745"/>
      <c r="P112" s="1746"/>
      <c r="Q112" s="1747"/>
      <c r="R112" s="767"/>
    </row>
    <row r="113" spans="2:18" ht="13" x14ac:dyDescent="0.3">
      <c r="B113" s="794">
        <v>17</v>
      </c>
      <c r="C113" s="810"/>
      <c r="D113" s="825"/>
      <c r="E113" s="830"/>
      <c r="F113" s="830"/>
      <c r="G113" s="830"/>
      <c r="H113" s="830"/>
      <c r="I113" s="820"/>
      <c r="J113" s="820"/>
      <c r="K113" s="820"/>
      <c r="L113" s="820"/>
      <c r="M113" s="820"/>
      <c r="N113" s="820"/>
      <c r="O113" s="1745"/>
      <c r="P113" s="1746"/>
      <c r="Q113" s="1747"/>
      <c r="R113" s="767"/>
    </row>
    <row r="114" spans="2:18" ht="13" x14ac:dyDescent="0.3">
      <c r="B114" s="794">
        <v>18</v>
      </c>
      <c r="C114" s="810"/>
      <c r="D114" s="825"/>
      <c r="E114" s="830"/>
      <c r="F114" s="830"/>
      <c r="G114" s="830"/>
      <c r="H114" s="830"/>
      <c r="I114" s="820"/>
      <c r="J114" s="820"/>
      <c r="K114" s="820"/>
      <c r="L114" s="820"/>
      <c r="M114" s="820"/>
      <c r="N114" s="820"/>
      <c r="O114" s="1745"/>
      <c r="P114" s="1746"/>
      <c r="Q114" s="1747"/>
      <c r="R114" s="767"/>
    </row>
    <row r="115" spans="2:18" ht="13" x14ac:dyDescent="0.3">
      <c r="B115" s="794">
        <v>19</v>
      </c>
      <c r="C115" s="810"/>
      <c r="D115" s="825"/>
      <c r="E115" s="830"/>
      <c r="F115" s="830"/>
      <c r="G115" s="830"/>
      <c r="H115" s="830"/>
      <c r="I115" s="820"/>
      <c r="J115" s="820"/>
      <c r="K115" s="820"/>
      <c r="L115" s="820"/>
      <c r="M115" s="820"/>
      <c r="N115" s="820"/>
      <c r="O115" s="1745"/>
      <c r="P115" s="1746"/>
      <c r="Q115" s="1747"/>
      <c r="R115" s="767"/>
    </row>
    <row r="116" spans="2:18" ht="13" x14ac:dyDescent="0.3">
      <c r="B116" s="794">
        <v>20</v>
      </c>
      <c r="C116" s="810"/>
      <c r="D116" s="825"/>
      <c r="E116" s="830"/>
      <c r="F116" s="830"/>
      <c r="G116" s="830"/>
      <c r="H116" s="830"/>
      <c r="I116" s="820"/>
      <c r="J116" s="820"/>
      <c r="K116" s="820"/>
      <c r="L116" s="820"/>
      <c r="M116" s="820"/>
      <c r="N116" s="820"/>
      <c r="O116" s="1745"/>
      <c r="P116" s="1746"/>
      <c r="Q116" s="1747"/>
      <c r="R116" s="767"/>
    </row>
  </sheetData>
  <sheetProtection algorithmName="SHA-512" hashValue="MsVP4jQx2x7DrtvLcyksXb6KnzTRpHwat9ey4SbgOqbyJ7v2Hp38+GiHMUqowAD8ZoUOUvePdjioDx7HLgjUhw==" saltValue="C3G//0yzBYIJj7oI1WXHpA==" spinCount="100000" sheet="1" objects="1" scenarios="1" selectLockedCells="1" selectUnlockedCells="1"/>
  <mergeCells count="121">
    <mergeCell ref="D17:F17"/>
    <mergeCell ref="D18:F18"/>
    <mergeCell ref="B20:Q20"/>
    <mergeCell ref="C21:Q21"/>
    <mergeCell ref="C22:Q22"/>
    <mergeCell ref="C23:Q23"/>
    <mergeCell ref="C2:F2"/>
    <mergeCell ref="C3:F3"/>
    <mergeCell ref="C4:F4"/>
    <mergeCell ref="C5:F5"/>
    <mergeCell ref="D7:F7"/>
    <mergeCell ref="D8:F16"/>
    <mergeCell ref="E34:Q34"/>
    <mergeCell ref="E35:Q35"/>
    <mergeCell ref="E36:Q36"/>
    <mergeCell ref="E37:Q37"/>
    <mergeCell ref="C41:M41"/>
    <mergeCell ref="P41:Q41"/>
    <mergeCell ref="D25:Q25"/>
    <mergeCell ref="D26:Q26"/>
    <mergeCell ref="D27:Q27"/>
    <mergeCell ref="D28:Q28"/>
    <mergeCell ref="E32:Q32"/>
    <mergeCell ref="E33:Q33"/>
    <mergeCell ref="D29:Q29"/>
    <mergeCell ref="D30:Q30"/>
    <mergeCell ref="C45:M45"/>
    <mergeCell ref="P45:Q45"/>
    <mergeCell ref="C47:M47"/>
    <mergeCell ref="P47:Q47"/>
    <mergeCell ref="C48:M48"/>
    <mergeCell ref="P48:Q48"/>
    <mergeCell ref="C42:M42"/>
    <mergeCell ref="P42:Q42"/>
    <mergeCell ref="C43:M43"/>
    <mergeCell ref="P43:Q43"/>
    <mergeCell ref="C44:M44"/>
    <mergeCell ref="P44:Q44"/>
    <mergeCell ref="C53:M53"/>
    <mergeCell ref="P53:Q53"/>
    <mergeCell ref="C54:M54"/>
    <mergeCell ref="P54:Q54"/>
    <mergeCell ref="C55:M55"/>
    <mergeCell ref="P55:Q55"/>
    <mergeCell ref="C49:M49"/>
    <mergeCell ref="P49:Q49"/>
    <mergeCell ref="C50:M50"/>
    <mergeCell ref="P50:Q50"/>
    <mergeCell ref="C51:M51"/>
    <mergeCell ref="P51:Q51"/>
    <mergeCell ref="D62:E62"/>
    <mergeCell ref="J62:Q62"/>
    <mergeCell ref="D63:E63"/>
    <mergeCell ref="J63:Q63"/>
    <mergeCell ref="D64:E64"/>
    <mergeCell ref="J64:Q64"/>
    <mergeCell ref="C56:M56"/>
    <mergeCell ref="P56:Q56"/>
    <mergeCell ref="C57:M57"/>
    <mergeCell ref="P57:Q57"/>
    <mergeCell ref="D61:E61"/>
    <mergeCell ref="J61:Q61"/>
    <mergeCell ref="D67:E67"/>
    <mergeCell ref="J67:Q67"/>
    <mergeCell ref="D68:E68"/>
    <mergeCell ref="J68:Q68"/>
    <mergeCell ref="D69:E69"/>
    <mergeCell ref="J69:Q69"/>
    <mergeCell ref="D71:E71"/>
    <mergeCell ref="J71:Q71"/>
    <mergeCell ref="D65:E65"/>
    <mergeCell ref="J65:Q65"/>
    <mergeCell ref="D66:E66"/>
    <mergeCell ref="J66:Q66"/>
    <mergeCell ref="D74:E74"/>
    <mergeCell ref="J74:Q74"/>
    <mergeCell ref="D75:E75"/>
    <mergeCell ref="J75:Q75"/>
    <mergeCell ref="D76:E76"/>
    <mergeCell ref="J76:Q76"/>
    <mergeCell ref="D70:E70"/>
    <mergeCell ref="J70:Q70"/>
    <mergeCell ref="D72:E72"/>
    <mergeCell ref="J72:Q72"/>
    <mergeCell ref="D73:E73"/>
    <mergeCell ref="J73:Q73"/>
    <mergeCell ref="E86:Q86"/>
    <mergeCell ref="E87:Q87"/>
    <mergeCell ref="E88:Q88"/>
    <mergeCell ref="E89:Q89"/>
    <mergeCell ref="E90:Q90"/>
    <mergeCell ref="E94:N94"/>
    <mergeCell ref="O94:Q96"/>
    <mergeCell ref="E80:Q80"/>
    <mergeCell ref="E81:Q81"/>
    <mergeCell ref="E82:Q82"/>
    <mergeCell ref="E83:Q83"/>
    <mergeCell ref="E84:Q84"/>
    <mergeCell ref="E85:Q85"/>
    <mergeCell ref="O101:Q101"/>
    <mergeCell ref="O102:Q102"/>
    <mergeCell ref="O103:Q103"/>
    <mergeCell ref="O104:Q104"/>
    <mergeCell ref="O105:Q105"/>
    <mergeCell ref="O106:Q106"/>
    <mergeCell ref="B95:D95"/>
    <mergeCell ref="C96:D96"/>
    <mergeCell ref="O97:Q97"/>
    <mergeCell ref="O98:Q98"/>
    <mergeCell ref="O99:Q99"/>
    <mergeCell ref="O100:Q100"/>
    <mergeCell ref="O113:Q113"/>
    <mergeCell ref="O114:Q114"/>
    <mergeCell ref="O115:Q115"/>
    <mergeCell ref="O116:Q116"/>
    <mergeCell ref="O107:Q107"/>
    <mergeCell ref="O108:Q108"/>
    <mergeCell ref="O109:Q109"/>
    <mergeCell ref="O110:Q110"/>
    <mergeCell ref="O111:Q111"/>
    <mergeCell ref="O112:Q112"/>
  </mergeCells>
  <conditionalFormatting sqref="H68">
    <cfRule type="expression" dxfId="3334" priority="34">
      <formula>IF(OR(#REF!="L",#REF!="C"),TRUE,FALSE)</formula>
    </cfRule>
  </conditionalFormatting>
  <conditionalFormatting sqref="H66:H67">
    <cfRule type="expression" dxfId="3333" priority="35">
      <formula>IF(OR(#REF!="L",#REF!="C"),TRUE,FALSE)</formula>
    </cfRule>
  </conditionalFormatting>
  <conditionalFormatting sqref="H72:H76">
    <cfRule type="expression" dxfId="3332" priority="33">
      <formula>IF(OR(#REF!="L",#REF!="C"),TRUE,FALSE)</formula>
    </cfRule>
  </conditionalFormatting>
  <conditionalFormatting sqref="E110:E116">
    <cfRule type="expression" dxfId="3331" priority="31">
      <formula>IF(OR(#REF!="L",#REF!="C"),TRUE,FALSE)</formula>
    </cfRule>
  </conditionalFormatting>
  <conditionalFormatting sqref="E107">
    <cfRule type="expression" dxfId="3330" priority="30">
      <formula>IF(OR(#REF!="L",#REF!="C"),TRUE,FALSE)</formula>
    </cfRule>
  </conditionalFormatting>
  <conditionalFormatting sqref="E108">
    <cfRule type="expression" dxfId="3329" priority="29">
      <formula>IF(OR(#REF!="L",#REF!="C"),TRUE,FALSE)</formula>
    </cfRule>
  </conditionalFormatting>
  <conditionalFormatting sqref="E109">
    <cfRule type="expression" dxfId="3328" priority="28">
      <formula>IF(OR(#REF!="L",#REF!="C"),TRUE,FALSE)</formula>
    </cfRule>
  </conditionalFormatting>
  <conditionalFormatting sqref="F109:F116 G102:G116 H104:H116">
    <cfRule type="expression" dxfId="3327" priority="32">
      <formula>IF(OR(#REF!="L",#REF!="C"),TRUE,FALSE)</formula>
    </cfRule>
  </conditionalFormatting>
  <conditionalFormatting sqref="E106">
    <cfRule type="expression" dxfId="3326" priority="27">
      <formula>IF(OR(#REF!="L",#REF!="C"),TRUE,FALSE)</formula>
    </cfRule>
  </conditionalFormatting>
  <conditionalFormatting sqref="E95 G95 I95 K95 M95">
    <cfRule type="duplicateValues" dxfId="3325" priority="26"/>
  </conditionalFormatting>
  <conditionalFormatting sqref="M104:M116">
    <cfRule type="expression" dxfId="3324" priority="16">
      <formula>IF(OR(#REF!="L",#REF!="C"),TRUE,FALSE)</formula>
    </cfRule>
  </conditionalFormatting>
  <conditionalFormatting sqref="F102:F106">
    <cfRule type="expression" dxfId="3323" priority="25">
      <formula>IF(OR(#REF!="L",#REF!="C"),TRUE,FALSE)</formula>
    </cfRule>
  </conditionalFormatting>
  <conditionalFormatting sqref="I102:I103">
    <cfRule type="expression" dxfId="3322" priority="23">
      <formula>IF(OR(#REF!="L",#REF!="C"),TRUE,FALSE)</formula>
    </cfRule>
  </conditionalFormatting>
  <conditionalFormatting sqref="N102:N103">
    <cfRule type="expression" dxfId="3321" priority="13">
      <formula>IF(OR(#REF!="L",#REF!="C"),TRUE,FALSE)</formula>
    </cfRule>
  </conditionalFormatting>
  <conditionalFormatting sqref="I104:I116">
    <cfRule type="expression" dxfId="3320" priority="24">
      <formula>IF(OR(#REF!="L",#REF!="C"),TRUE,FALSE)</formula>
    </cfRule>
  </conditionalFormatting>
  <conditionalFormatting sqref="J102:J103">
    <cfRule type="expression" dxfId="3319" priority="21">
      <formula>IF(OR(#REF!="L",#REF!="C"),TRUE,FALSE)</formula>
    </cfRule>
  </conditionalFormatting>
  <conditionalFormatting sqref="J104:J116">
    <cfRule type="expression" dxfId="3318" priority="22">
      <formula>IF(OR(#REF!="L",#REF!="C"),TRUE,FALSE)</formula>
    </cfRule>
  </conditionalFormatting>
  <conditionalFormatting sqref="K102:K103">
    <cfRule type="expression" dxfId="3317" priority="19">
      <formula>IF(OR(#REF!="L",#REF!="C"),TRUE,FALSE)</formula>
    </cfRule>
  </conditionalFormatting>
  <conditionalFormatting sqref="K104:K116">
    <cfRule type="expression" dxfId="3316" priority="20">
      <formula>IF(OR(#REF!="L",#REF!="C"),TRUE,FALSE)</formula>
    </cfRule>
  </conditionalFormatting>
  <conditionalFormatting sqref="L102:L103">
    <cfRule type="expression" dxfId="3315" priority="17">
      <formula>IF(OR(#REF!="L",#REF!="C"),TRUE,FALSE)</formula>
    </cfRule>
  </conditionalFormatting>
  <conditionalFormatting sqref="L104:L116">
    <cfRule type="expression" dxfId="3314" priority="18">
      <formula>IF(OR(#REF!="L",#REF!="C"),TRUE,FALSE)</formula>
    </cfRule>
  </conditionalFormatting>
  <conditionalFormatting sqref="M102:M103">
    <cfRule type="expression" dxfId="3313" priority="15">
      <formula>IF(OR(#REF!="L",#REF!="C"),TRUE,FALSE)</formula>
    </cfRule>
  </conditionalFormatting>
  <conditionalFormatting sqref="N104:N116">
    <cfRule type="expression" dxfId="3312" priority="14">
      <formula>IF(OR(#REF!="L",#REF!="C"),TRUE,FALSE)</formula>
    </cfRule>
  </conditionalFormatting>
  <conditionalFormatting sqref="H65">
    <cfRule type="expression" dxfId="3311" priority="11">
      <formula>IF(OR(#REF!="L",#REF!="C"),TRUE,FALSE)</formula>
    </cfRule>
  </conditionalFormatting>
  <conditionalFormatting sqref="O102:O103">
    <cfRule type="expression" dxfId="3310" priority="9">
      <formula>IF(OR(#REF!="L",#REF!="C"),TRUE,FALSE)</formula>
    </cfRule>
  </conditionalFormatting>
  <conditionalFormatting sqref="O104:O116">
    <cfRule type="expression" dxfId="3309" priority="10">
      <formula>IF(OR(#REF!="L",#REF!="C"),TRUE,FALSE)</formula>
    </cfRule>
  </conditionalFormatting>
  <conditionalFormatting sqref="E96:N96">
    <cfRule type="duplicateValues" dxfId="3308" priority="8"/>
  </conditionalFormatting>
  <conditionalFormatting sqref="H71">
    <cfRule type="expression" dxfId="3307" priority="6">
      <formula>IF(OR(#REF!="L",#REF!="C"),TRUE,FALSE)</formula>
    </cfRule>
  </conditionalFormatting>
  <conditionalFormatting sqref="H64">
    <cfRule type="expression" dxfId="3306" priority="7">
      <formula>IF(OR(#REF!="L",#REF!="C"),TRUE,FALSE)</formula>
    </cfRule>
  </conditionalFormatting>
  <conditionalFormatting sqref="H63">
    <cfRule type="expression" dxfId="3305" priority="5">
      <formula>IF(OR(#REF!="L",#REF!="C"),TRUE,FALSE)</formula>
    </cfRule>
  </conditionalFormatting>
  <conditionalFormatting sqref="H62">
    <cfRule type="expression" dxfId="3304" priority="4">
      <formula>IF(OR(#REF!="L",#REF!="C"),TRUE,FALSE)</formula>
    </cfRule>
  </conditionalFormatting>
  <conditionalFormatting sqref="H69">
    <cfRule type="expression" dxfId="3303" priority="3">
      <formula>IF(OR(#REF!="L",#REF!="C"),TRUE,FALSE)</formula>
    </cfRule>
  </conditionalFormatting>
  <conditionalFormatting sqref="H70:H71">
    <cfRule type="expression" dxfId="3302" priority="1">
      <formula>IF(OR(#REF!="L",#REF!="C"),TRUE,FALSE)</formula>
    </cfRule>
  </conditionalFormatting>
  <dataValidations count="7">
    <dataValidation type="list" allowBlank="1" showInputMessage="1" showErrorMessage="1" sqref="H65" xr:uid="{D2C44D6C-B34C-45A6-BD0D-D8C2A1B20DE3}">
      <formula1>$C$97:$C$116</formula1>
    </dataValidation>
    <dataValidation type="list" allowBlank="1" showInputMessage="1" showErrorMessage="1" sqref="C4" xr:uid="{323FFC5F-614E-4CCB-BA71-195E8CE3535C}">
      <formula1>"COM,RES"</formula1>
    </dataValidation>
    <dataValidation type="list" allowBlank="1" showInputMessage="1" showErrorMessage="1" sqref="C9" xr:uid="{53E96530-644E-4C6A-B177-99F23FBC1CDD}">
      <formula1>INDIRECT("MeasureTypeList[Index]")</formula1>
    </dataValidation>
    <dataValidation type="list" allowBlank="1" showInputMessage="1" showErrorMessage="1" sqref="C26" xr:uid="{0690A728-2A62-4DDA-AB96-5DFE1F0EE97F}">
      <formula1>INDIRECT("RegionList[Index]")</formula1>
    </dataValidation>
    <dataValidation type="list" allowBlank="1" showInputMessage="1" showErrorMessage="1" sqref="C27" xr:uid="{8945DB74-7F73-4B26-9AA0-36798F619B6E}">
      <formula1>INDIRECT("ReplacementTypeList[Index]")</formula1>
    </dataValidation>
    <dataValidation type="list" allowBlank="1" showInputMessage="1" showErrorMessage="1" sqref="C28" xr:uid="{C4C8F929-724A-4A37-98D7-058C315F7B7A}">
      <formula1>INDIRECT("BuildingType[Building]")</formula1>
    </dataValidation>
    <dataValidation type="list" allowBlank="1" showInputMessage="1" showErrorMessage="1" sqref="C29 C30" xr:uid="{5113EE7E-E4C6-416B-89DB-D2A3FAE5BDBF}">
      <formula1>INDIRECT("FuelTypeList[Index]")</formula1>
    </dataValidation>
  </dataValidation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3C74B-C9EE-4549-89A9-CD3EC172BEEA}">
  <sheetPr codeName="Sheet19"/>
  <dimension ref="A1:R116"/>
  <sheetViews>
    <sheetView workbookViewId="0"/>
  </sheetViews>
  <sheetFormatPr defaultColWidth="9.08984375" defaultRowHeight="18.75" customHeight="1" x14ac:dyDescent="0.3"/>
  <cols>
    <col min="1" max="1" width="2.36328125" style="842" customWidth="1"/>
    <col min="2" max="2" width="44.36328125" style="842" bestFit="1" customWidth="1"/>
    <col min="3" max="3" width="21.08984375" style="842" customWidth="1"/>
    <col min="4" max="4" width="21.6328125" style="842" customWidth="1"/>
    <col min="5" max="5" width="14.36328125" style="842" customWidth="1"/>
    <col min="6" max="6" width="15.6328125" style="842" customWidth="1"/>
    <col min="7" max="7" width="19.6328125" style="842" customWidth="1"/>
    <col min="8" max="8" width="16" style="842" customWidth="1"/>
    <col min="9" max="9" width="10.26953125" style="842" customWidth="1"/>
    <col min="10" max="10" width="14.6328125" style="842" customWidth="1"/>
    <col min="11" max="12" width="9.08984375" style="842" bestFit="1"/>
    <col min="13" max="13" width="11" style="842" customWidth="1"/>
    <col min="14" max="14" width="12.26953125" style="842" customWidth="1"/>
    <col min="15" max="15" width="10.7265625" style="842" customWidth="1"/>
    <col min="16" max="17" width="9.08984375" style="842" bestFit="1"/>
    <col min="18" max="18" width="9.7265625" style="843" customWidth="1"/>
    <col min="19" max="19" width="9.08984375" style="842" bestFit="1"/>
    <col min="20" max="20" width="8.6328125" style="842" customWidth="1"/>
    <col min="21" max="16384" width="9.08984375" style="842"/>
  </cols>
  <sheetData>
    <row r="1" spans="1:18" s="488" customFormat="1" ht="18.75" customHeight="1" x14ac:dyDescent="0.3">
      <c r="R1" s="623"/>
    </row>
    <row r="2" spans="1:18" s="488" customFormat="1" ht="18.75" customHeight="1" x14ac:dyDescent="0.3">
      <c r="B2" s="1203" t="s">
        <v>506</v>
      </c>
      <c r="C2" s="1608" t="s">
        <v>406</v>
      </c>
      <c r="D2" s="1608"/>
      <c r="E2" s="1608"/>
      <c r="F2" s="1608"/>
      <c r="R2" s="623"/>
    </row>
    <row r="3" spans="1:18" s="488" customFormat="1" ht="18.75" customHeight="1" x14ac:dyDescent="0.3">
      <c r="B3" s="624" t="s">
        <v>407</v>
      </c>
      <c r="C3" s="1367" t="str">
        <f>IF(ISBLANK(C8)+ISBLANK(C10),C8,C8&amp;"_"&amp;C10)</f>
        <v>C-HC-001</v>
      </c>
      <c r="D3" s="1367"/>
      <c r="E3" s="1367"/>
      <c r="F3" s="1367"/>
      <c r="R3" s="623"/>
    </row>
    <row r="4" spans="1:18" s="488" customFormat="1" ht="18.75" customHeight="1" x14ac:dyDescent="0.3">
      <c r="B4" s="624" t="s">
        <v>11</v>
      </c>
      <c r="C4" s="1367" t="str" cm="1">
        <f t="array" ref="C4">_xlfn.SWITCH(LEFT(C8,1),"R","Residential","C","Commercial","ERROR")</f>
        <v>Commercial</v>
      </c>
      <c r="D4" s="1367"/>
      <c r="E4" s="1367"/>
      <c r="F4" s="1367"/>
      <c r="R4" s="623"/>
    </row>
    <row r="5" spans="1:18" s="488" customFormat="1" ht="24" customHeight="1" x14ac:dyDescent="0.3">
      <c r="B5" s="624" t="s">
        <v>408</v>
      </c>
      <c r="C5" s="1530" t="s">
        <v>196</v>
      </c>
      <c r="D5" s="1531"/>
      <c r="E5" s="1531"/>
      <c r="F5" s="1532"/>
    </row>
    <row r="6" spans="1:18" ht="18.75" customHeight="1" x14ac:dyDescent="0.3">
      <c r="A6" s="841"/>
    </row>
    <row r="7" spans="1:18" ht="18.75" customHeight="1" x14ac:dyDescent="0.3">
      <c r="B7" s="1232" t="s">
        <v>507</v>
      </c>
      <c r="C7" s="844" t="s">
        <v>406</v>
      </c>
      <c r="D7" s="1797" t="s">
        <v>410</v>
      </c>
      <c r="E7" s="1798"/>
      <c r="F7" s="1799"/>
      <c r="R7" s="842"/>
    </row>
    <row r="8" spans="1:18" ht="18.75" customHeight="1" x14ac:dyDescent="0.3">
      <c r="B8" s="845" t="s">
        <v>411</v>
      </c>
      <c r="C8" s="874" t="s">
        <v>68</v>
      </c>
      <c r="D8" s="1457"/>
      <c r="E8" s="1457"/>
      <c r="F8" s="1457"/>
      <c r="R8" s="842"/>
    </row>
    <row r="9" spans="1:18" ht="18.75" customHeight="1" x14ac:dyDescent="0.3">
      <c r="B9" s="845" t="s">
        <v>49</v>
      </c>
      <c r="C9" s="874" t="s">
        <v>508</v>
      </c>
      <c r="D9" s="1457"/>
      <c r="E9" s="1457"/>
      <c r="F9" s="1457"/>
      <c r="R9" s="842"/>
    </row>
    <row r="10" spans="1:18" ht="18.75" customHeight="1" x14ac:dyDescent="0.3">
      <c r="B10" s="845" t="s">
        <v>412</v>
      </c>
      <c r="C10" s="874"/>
      <c r="D10" s="1457"/>
      <c r="E10" s="1457"/>
      <c r="F10" s="1457"/>
      <c r="R10" s="842"/>
    </row>
    <row r="11" spans="1:18" ht="18.75" customHeight="1" x14ac:dyDescent="0.3">
      <c r="B11" s="845" t="s">
        <v>413</v>
      </c>
      <c r="C11" s="874"/>
      <c r="D11" s="1457"/>
      <c r="E11" s="1457"/>
      <c r="F11" s="1457"/>
      <c r="R11" s="842"/>
    </row>
    <row r="12" spans="1:18" ht="18.75" customHeight="1" x14ac:dyDescent="0.3">
      <c r="B12" s="845" t="s">
        <v>414</v>
      </c>
      <c r="C12" s="875"/>
      <c r="D12" s="1457"/>
      <c r="E12" s="1457"/>
      <c r="F12" s="1457"/>
      <c r="R12" s="842"/>
    </row>
    <row r="13" spans="1:18" ht="18.75" customHeight="1" x14ac:dyDescent="0.3">
      <c r="B13" s="846" t="s">
        <v>415</v>
      </c>
      <c r="C13" s="847">
        <f>N43</f>
        <v>0.57748882985131922</v>
      </c>
      <c r="D13" s="1457"/>
      <c r="E13" s="1457"/>
      <c r="F13" s="1457"/>
      <c r="R13" s="842"/>
    </row>
    <row r="14" spans="1:18" ht="18.75" customHeight="1" x14ac:dyDescent="0.3">
      <c r="B14" s="846" t="s">
        <v>416</v>
      </c>
      <c r="C14" s="847">
        <f>N42</f>
        <v>0</v>
      </c>
      <c r="D14" s="1457"/>
      <c r="E14" s="1457"/>
      <c r="F14" s="1457"/>
      <c r="R14" s="842"/>
    </row>
    <row r="15" spans="1:18" ht="18.75" customHeight="1" x14ac:dyDescent="0.3">
      <c r="B15" s="846" t="s">
        <v>417</v>
      </c>
      <c r="C15" s="847">
        <f>N44</f>
        <v>1.2605187217099485E-2</v>
      </c>
      <c r="D15" s="1457"/>
      <c r="E15" s="1457"/>
      <c r="F15" s="1457"/>
      <c r="R15" s="842"/>
    </row>
    <row r="16" spans="1:18" ht="18.75" customHeight="1" x14ac:dyDescent="0.3">
      <c r="B16" s="846" t="s">
        <v>418</v>
      </c>
      <c r="C16" s="848">
        <f>C37</f>
        <v>0</v>
      </c>
      <c r="D16" s="1457"/>
      <c r="E16" s="1457"/>
      <c r="F16" s="1457"/>
      <c r="R16" s="842"/>
    </row>
    <row r="17" spans="2:18" ht="34.5" customHeight="1" x14ac:dyDescent="0.3">
      <c r="B17" s="845" t="s">
        <v>48</v>
      </c>
      <c r="C17" s="876" t="s">
        <v>1072</v>
      </c>
      <c r="D17" s="1797" t="s">
        <v>419</v>
      </c>
      <c r="E17" s="1798"/>
      <c r="F17" s="1799"/>
      <c r="R17" s="842"/>
    </row>
    <row r="18" spans="2:18" ht="30.65" customHeight="1" x14ac:dyDescent="0.3">
      <c r="B18" s="845" t="s">
        <v>420</v>
      </c>
      <c r="C18" s="877">
        <v>10</v>
      </c>
      <c r="D18" s="1454" t="s">
        <v>1073</v>
      </c>
      <c r="E18" s="1455"/>
      <c r="F18" s="1456"/>
      <c r="R18" s="842"/>
    </row>
    <row r="19" spans="2:18" ht="18.75" customHeight="1" x14ac:dyDescent="0.3">
      <c r="B19" s="849"/>
      <c r="C19" s="850"/>
      <c r="F19" s="843"/>
      <c r="R19" s="842"/>
    </row>
    <row r="20" spans="2:18" ht="18.75" customHeight="1" x14ac:dyDescent="0.3">
      <c r="B20" s="1805" t="s">
        <v>421</v>
      </c>
      <c r="C20" s="1805"/>
      <c r="D20" s="1805"/>
      <c r="E20" s="1805"/>
      <c r="F20" s="1805"/>
      <c r="G20" s="1805"/>
      <c r="H20" s="1805"/>
      <c r="I20" s="1805"/>
      <c r="J20" s="1805"/>
      <c r="K20" s="1805"/>
      <c r="L20" s="1805"/>
      <c r="M20" s="1805"/>
      <c r="N20" s="1805"/>
      <c r="O20" s="1805"/>
      <c r="P20" s="1805"/>
      <c r="Q20" s="1805"/>
      <c r="R20" s="842"/>
    </row>
    <row r="21" spans="2:18" ht="32.5" customHeight="1" x14ac:dyDescent="0.3">
      <c r="B21" s="851" t="s">
        <v>422</v>
      </c>
      <c r="C21" s="1806" t="e">
        <v>#N/A</v>
      </c>
      <c r="D21" s="1806"/>
      <c r="E21" s="1806"/>
      <c r="F21" s="1806"/>
      <c r="G21" s="1806"/>
      <c r="H21" s="1806"/>
      <c r="I21" s="1806"/>
      <c r="J21" s="1806"/>
      <c r="K21" s="1806"/>
      <c r="L21" s="1806"/>
      <c r="M21" s="1806"/>
      <c r="N21" s="1806"/>
      <c r="O21" s="1806"/>
      <c r="P21" s="1806"/>
      <c r="Q21" s="1806"/>
      <c r="R21" s="842"/>
    </row>
    <row r="22" spans="2:18" ht="27.65" customHeight="1" x14ac:dyDescent="0.3">
      <c r="B22" s="852" t="s">
        <v>423</v>
      </c>
      <c r="C22" s="1806" t="e">
        <v>#N/A</v>
      </c>
      <c r="D22" s="1806"/>
      <c r="E22" s="1806"/>
      <c r="F22" s="1806"/>
      <c r="G22" s="1806"/>
      <c r="H22" s="1806"/>
      <c r="I22" s="1806"/>
      <c r="J22" s="1806"/>
      <c r="K22" s="1806"/>
      <c r="L22" s="1806"/>
      <c r="M22" s="1806"/>
      <c r="N22" s="1806"/>
      <c r="O22" s="1806"/>
      <c r="P22" s="1806"/>
      <c r="Q22" s="1806"/>
      <c r="R22" s="842"/>
    </row>
    <row r="23" spans="2:18" ht="18.75" customHeight="1" x14ac:dyDescent="0.3">
      <c r="B23" s="852" t="s">
        <v>424</v>
      </c>
      <c r="C23" s="1806"/>
      <c r="D23" s="1806"/>
      <c r="E23" s="1806"/>
      <c r="F23" s="1806"/>
      <c r="G23" s="1806"/>
      <c r="H23" s="1806"/>
      <c r="I23" s="1806"/>
      <c r="J23" s="1806"/>
      <c r="K23" s="1806"/>
      <c r="L23" s="1806"/>
      <c r="M23" s="1806"/>
      <c r="N23" s="1806"/>
      <c r="O23" s="1806"/>
      <c r="P23" s="1806"/>
      <c r="Q23" s="1806"/>
      <c r="R23" s="842"/>
    </row>
    <row r="25" spans="2:18" ht="18.75" customHeight="1" x14ac:dyDescent="0.3">
      <c r="B25" s="1232" t="s">
        <v>425</v>
      </c>
      <c r="C25" s="853" t="s">
        <v>406</v>
      </c>
      <c r="D25" s="1800" t="s">
        <v>421</v>
      </c>
      <c r="E25" s="1800"/>
      <c r="F25" s="1800"/>
      <c r="G25" s="1800"/>
      <c r="H25" s="1800"/>
      <c r="I25" s="1800"/>
      <c r="J25" s="1800"/>
      <c r="K25" s="1800"/>
      <c r="L25" s="1800"/>
      <c r="M25" s="1800"/>
      <c r="N25" s="1800"/>
      <c r="O25" s="1800"/>
      <c r="P25" s="1800"/>
      <c r="Q25" s="1800"/>
      <c r="R25" s="842"/>
    </row>
    <row r="26" spans="2:18" ht="18.75" customHeight="1" x14ac:dyDescent="0.3">
      <c r="B26" s="845" t="s">
        <v>9</v>
      </c>
      <c r="C26" s="873" t="str">
        <f>Default.Region</f>
        <v>Average</v>
      </c>
      <c r="D26" s="1801"/>
      <c r="E26" s="1801"/>
      <c r="F26" s="1801"/>
      <c r="G26" s="1801"/>
      <c r="H26" s="1801"/>
      <c r="I26" s="1801"/>
      <c r="J26" s="1801"/>
      <c r="K26" s="1801"/>
      <c r="L26" s="1801"/>
      <c r="M26" s="1801"/>
      <c r="N26" s="1801"/>
      <c r="O26" s="1801"/>
      <c r="P26" s="1801"/>
      <c r="Q26" s="1801"/>
      <c r="R26" s="842"/>
    </row>
    <row r="27" spans="2:18" ht="18.75" customHeight="1" x14ac:dyDescent="0.3">
      <c r="B27" s="845" t="s">
        <v>27</v>
      </c>
      <c r="C27" s="873" t="str">
        <f>Default.ReplacementType</f>
        <v>RET</v>
      </c>
      <c r="D27" s="1802" t="s">
        <v>426</v>
      </c>
      <c r="E27" s="1802"/>
      <c r="F27" s="1802"/>
      <c r="G27" s="1802"/>
      <c r="H27" s="1802"/>
      <c r="I27" s="1802"/>
      <c r="J27" s="1802"/>
      <c r="K27" s="1802"/>
      <c r="L27" s="1802"/>
      <c r="M27" s="1802"/>
      <c r="N27" s="1802"/>
      <c r="O27" s="1802"/>
      <c r="P27" s="1802"/>
      <c r="Q27" s="1802"/>
      <c r="R27" s="842"/>
    </row>
    <row r="28" spans="2:18" ht="18.75" customHeight="1" x14ac:dyDescent="0.3">
      <c r="B28" s="845" t="s">
        <v>54</v>
      </c>
      <c r="C28" s="539" t="str">
        <f>Default.BuildingType.C</f>
        <v>Other</v>
      </c>
      <c r="D28" s="1803"/>
      <c r="E28" s="1803"/>
      <c r="F28" s="1803"/>
      <c r="G28" s="1803"/>
      <c r="H28" s="1803"/>
      <c r="I28" s="1803"/>
      <c r="J28" s="1803"/>
      <c r="K28" s="1803"/>
      <c r="L28" s="1803"/>
      <c r="M28" s="1803"/>
      <c r="N28" s="1803"/>
      <c r="O28" s="1803"/>
      <c r="P28" s="1803"/>
      <c r="Q28" s="1803"/>
      <c r="R28" s="842"/>
    </row>
    <row r="29" spans="2:18" ht="18.75" customHeight="1" x14ac:dyDescent="0.3">
      <c r="B29" s="845" t="s">
        <v>33</v>
      </c>
      <c r="C29" s="873" t="str">
        <f>Default.SpaceHeatingFuel</f>
        <v>Natural gas</v>
      </c>
      <c r="D29" s="1801"/>
      <c r="E29" s="1801"/>
      <c r="F29" s="1801"/>
      <c r="G29" s="1801"/>
      <c r="H29" s="1801"/>
      <c r="I29" s="1801"/>
      <c r="J29" s="1801"/>
      <c r="K29" s="1801"/>
      <c r="L29" s="1801"/>
      <c r="M29" s="1801"/>
      <c r="N29" s="1801"/>
      <c r="O29" s="1801"/>
      <c r="P29" s="1801"/>
      <c r="Q29" s="1801"/>
      <c r="R29" s="842"/>
    </row>
    <row r="30" spans="2:18" ht="18.75" customHeight="1" x14ac:dyDescent="0.3">
      <c r="B30" s="845" t="s">
        <v>35</v>
      </c>
      <c r="C30" s="873" t="str">
        <f>Default.WaterHeatingFuel</f>
        <v>Natural gas</v>
      </c>
      <c r="D30" s="1801"/>
      <c r="E30" s="1801"/>
      <c r="F30" s="1801"/>
      <c r="G30" s="1801"/>
      <c r="H30" s="1801"/>
      <c r="I30" s="1801"/>
      <c r="J30" s="1801"/>
      <c r="K30" s="1801"/>
      <c r="L30" s="1801"/>
      <c r="M30" s="1801"/>
      <c r="N30" s="1801"/>
      <c r="O30" s="1801"/>
      <c r="P30" s="1801"/>
      <c r="Q30" s="1801"/>
      <c r="R30" s="842"/>
    </row>
    <row r="31" spans="2:18" ht="18.75" customHeight="1" x14ac:dyDescent="0.3">
      <c r="B31" s="854"/>
      <c r="C31" s="855"/>
      <c r="D31" s="855"/>
      <c r="E31" s="855"/>
      <c r="F31" s="855"/>
      <c r="G31" s="855"/>
      <c r="H31" s="855"/>
      <c r="I31" s="855"/>
      <c r="J31" s="855"/>
      <c r="K31" s="855"/>
      <c r="L31" s="855"/>
      <c r="M31" s="855"/>
      <c r="N31" s="855"/>
    </row>
    <row r="32" spans="2:18" ht="18.75" customHeight="1" x14ac:dyDescent="0.3">
      <c r="B32" s="1232" t="s">
        <v>427</v>
      </c>
      <c r="C32" s="844" t="s">
        <v>406</v>
      </c>
      <c r="D32" s="853" t="s">
        <v>428</v>
      </c>
      <c r="E32" s="1800" t="s">
        <v>419</v>
      </c>
      <c r="F32" s="1800"/>
      <c r="G32" s="1800"/>
      <c r="H32" s="1800"/>
      <c r="I32" s="1800"/>
      <c r="J32" s="1800"/>
      <c r="K32" s="1800"/>
      <c r="L32" s="1800"/>
      <c r="M32" s="1800"/>
      <c r="N32" s="1800"/>
      <c r="O32" s="1800"/>
      <c r="P32" s="1800"/>
      <c r="Q32" s="1800"/>
    </row>
    <row r="33" spans="2:18" ht="18.75" customHeight="1" x14ac:dyDescent="0.3">
      <c r="B33" s="845" t="s">
        <v>429</v>
      </c>
      <c r="C33" s="640"/>
      <c r="D33" s="872" t="s">
        <v>430</v>
      </c>
      <c r="E33" s="1804"/>
      <c r="F33" s="1804"/>
      <c r="G33" s="1804"/>
      <c r="H33" s="1804"/>
      <c r="I33" s="1804"/>
      <c r="J33" s="1804"/>
      <c r="K33" s="1804"/>
      <c r="L33" s="1804"/>
      <c r="M33" s="1804"/>
      <c r="N33" s="1804"/>
      <c r="O33" s="1804"/>
      <c r="P33" s="1804"/>
      <c r="Q33" s="1804"/>
      <c r="R33" s="842"/>
    </row>
    <row r="34" spans="2:18" ht="18.75" customHeight="1" x14ac:dyDescent="0.3">
      <c r="B34" s="846" t="s">
        <v>431</v>
      </c>
      <c r="C34" s="640"/>
      <c r="D34" s="872" t="s">
        <v>430</v>
      </c>
      <c r="E34" s="1811"/>
      <c r="F34" s="1811"/>
      <c r="G34" s="1811"/>
      <c r="H34" s="1811"/>
      <c r="I34" s="1811"/>
      <c r="J34" s="1811"/>
      <c r="K34" s="1811"/>
      <c r="L34" s="1811"/>
      <c r="M34" s="1811"/>
      <c r="N34" s="1811"/>
      <c r="O34" s="1811"/>
      <c r="P34" s="1811"/>
      <c r="Q34" s="1811"/>
    </row>
    <row r="35" spans="2:18" ht="18.75" customHeight="1" x14ac:dyDescent="0.3">
      <c r="B35" s="845" t="s">
        <v>432</v>
      </c>
      <c r="C35" s="640"/>
      <c r="D35" s="872" t="s">
        <v>430</v>
      </c>
      <c r="E35" s="1804"/>
      <c r="F35" s="1804"/>
      <c r="G35" s="1804"/>
      <c r="H35" s="1804"/>
      <c r="I35" s="1804"/>
      <c r="J35" s="1804"/>
      <c r="K35" s="1804"/>
      <c r="L35" s="1804"/>
      <c r="M35" s="1804"/>
      <c r="N35" s="1804"/>
      <c r="O35" s="1804"/>
      <c r="P35" s="1804"/>
      <c r="Q35" s="1804"/>
    </row>
    <row r="36" spans="2:18" ht="18.75" customHeight="1" x14ac:dyDescent="0.3">
      <c r="B36" s="846" t="s">
        <v>433</v>
      </c>
      <c r="C36" s="657"/>
      <c r="D36" s="872" t="s">
        <v>430</v>
      </c>
      <c r="E36" s="1811"/>
      <c r="F36" s="1811"/>
      <c r="G36" s="1811"/>
      <c r="H36" s="1811"/>
      <c r="I36" s="1811"/>
      <c r="J36" s="1811"/>
      <c r="K36" s="1811"/>
      <c r="L36" s="1811"/>
      <c r="M36" s="1811"/>
      <c r="N36" s="1811"/>
      <c r="O36" s="1811"/>
      <c r="P36" s="1811"/>
      <c r="Q36" s="1811"/>
    </row>
    <row r="37" spans="2:18" ht="18.75" customHeight="1" x14ac:dyDescent="0.3">
      <c r="B37" s="846" t="s">
        <v>434</v>
      </c>
      <c r="C37" s="657">
        <f>IF(C27="RET",C33+(C34-C35),C34-C35)</f>
        <v>0</v>
      </c>
      <c r="D37" s="872" t="s">
        <v>430</v>
      </c>
      <c r="E37" s="1811"/>
      <c r="F37" s="1811"/>
      <c r="G37" s="1811"/>
      <c r="H37" s="1811"/>
      <c r="I37" s="1811"/>
      <c r="J37" s="1811"/>
      <c r="K37" s="1811"/>
      <c r="L37" s="1811"/>
      <c r="M37" s="1811"/>
      <c r="N37" s="1811"/>
      <c r="O37" s="1811"/>
      <c r="P37" s="1811"/>
      <c r="Q37" s="1811"/>
    </row>
    <row r="38" spans="2:18" ht="18.75" customHeight="1" x14ac:dyDescent="0.3">
      <c r="B38" s="854"/>
      <c r="C38" s="855"/>
      <c r="D38" s="856"/>
      <c r="E38" s="855"/>
      <c r="F38" s="855"/>
      <c r="G38" s="855"/>
      <c r="H38" s="855"/>
      <c r="I38" s="855"/>
      <c r="J38" s="855"/>
      <c r="K38" s="855"/>
      <c r="L38" s="855"/>
      <c r="M38" s="855"/>
      <c r="N38" s="855"/>
    </row>
    <row r="39" spans="2:18" ht="18.75" customHeight="1" x14ac:dyDescent="0.3">
      <c r="B39" s="857" t="s">
        <v>435</v>
      </c>
      <c r="C39" s="858"/>
      <c r="D39" s="858"/>
      <c r="E39" s="858"/>
      <c r="F39" s="858"/>
      <c r="G39" s="858"/>
      <c r="H39" s="859"/>
      <c r="I39" s="859"/>
      <c r="J39" s="859"/>
      <c r="K39" s="859"/>
      <c r="L39" s="859"/>
      <c r="M39" s="859"/>
      <c r="N39" s="859"/>
      <c r="O39" s="859"/>
      <c r="P39" s="859"/>
      <c r="Q39" s="860"/>
    </row>
    <row r="41" spans="2:18" ht="18.75" customHeight="1" x14ac:dyDescent="0.3">
      <c r="B41" s="861" t="s">
        <v>436</v>
      </c>
      <c r="C41" s="1812" t="s">
        <v>437</v>
      </c>
      <c r="D41" s="1813"/>
      <c r="E41" s="1813"/>
      <c r="F41" s="1813"/>
      <c r="G41" s="1813"/>
      <c r="H41" s="1813"/>
      <c r="I41" s="1813"/>
      <c r="J41" s="1813"/>
      <c r="K41" s="1813"/>
      <c r="L41" s="1813"/>
      <c r="M41" s="1814"/>
      <c r="N41" s="1231" t="s">
        <v>406</v>
      </c>
      <c r="O41" s="1231" t="s">
        <v>428</v>
      </c>
      <c r="P41" s="1815" t="s">
        <v>419</v>
      </c>
      <c r="Q41" s="1815"/>
    </row>
    <row r="42" spans="2:18" ht="18.75" customHeight="1" x14ac:dyDescent="0.3">
      <c r="B42" s="866" t="s">
        <v>438</v>
      </c>
      <c r="C42" s="1807" t="s">
        <v>439</v>
      </c>
      <c r="D42" s="1808"/>
      <c r="E42" s="1808"/>
      <c r="F42" s="1808"/>
      <c r="G42" s="1808"/>
      <c r="H42" s="1808"/>
      <c r="I42" s="1808"/>
      <c r="J42" s="1808"/>
      <c r="K42" s="1808"/>
      <c r="L42" s="1808"/>
      <c r="M42" s="1809"/>
      <c r="N42" s="870">
        <f>N48+N54</f>
        <v>0</v>
      </c>
      <c r="O42" s="862" t="s">
        <v>440</v>
      </c>
      <c r="P42" s="1810"/>
      <c r="Q42" s="1810"/>
      <c r="R42" s="842"/>
    </row>
    <row r="43" spans="2:18" ht="18.75" customHeight="1" x14ac:dyDescent="0.3">
      <c r="B43" s="866" t="s">
        <v>441</v>
      </c>
      <c r="C43" s="1807" t="s">
        <v>442</v>
      </c>
      <c r="D43" s="1808"/>
      <c r="E43" s="1808"/>
      <c r="F43" s="1808"/>
      <c r="G43" s="1808"/>
      <c r="H43" s="1808"/>
      <c r="I43" s="1808"/>
      <c r="J43" s="1808"/>
      <c r="K43" s="1808"/>
      <c r="L43" s="1808"/>
      <c r="M43" s="1809"/>
      <c r="N43" s="871">
        <f>N49+N55</f>
        <v>0.57748882985131922</v>
      </c>
      <c r="O43" s="862" t="s">
        <v>443</v>
      </c>
      <c r="P43" s="1810"/>
      <c r="Q43" s="1810"/>
      <c r="R43" s="842"/>
    </row>
    <row r="44" spans="2:18" ht="18.75" customHeight="1" x14ac:dyDescent="0.3">
      <c r="B44" s="866" t="s">
        <v>444</v>
      </c>
      <c r="C44" s="1807" t="s">
        <v>445</v>
      </c>
      <c r="D44" s="1808"/>
      <c r="E44" s="1808"/>
      <c r="F44" s="1808"/>
      <c r="G44" s="1808"/>
      <c r="H44" s="1808"/>
      <c r="I44" s="1808"/>
      <c r="J44" s="1808"/>
      <c r="K44" s="1808"/>
      <c r="L44" s="1808"/>
      <c r="M44" s="1809"/>
      <c r="N44" s="870">
        <f>N50+N56</f>
        <v>1.2605187217099485E-2</v>
      </c>
      <c r="O44" s="862" t="s">
        <v>446</v>
      </c>
      <c r="P44" s="1810"/>
      <c r="Q44" s="1810"/>
      <c r="R44" s="842"/>
    </row>
    <row r="45" spans="2:18" ht="18.75" customHeight="1" x14ac:dyDescent="0.3">
      <c r="B45" s="866" t="s">
        <v>447</v>
      </c>
      <c r="C45" s="1807" t="s">
        <v>448</v>
      </c>
      <c r="D45" s="1808"/>
      <c r="E45" s="1808"/>
      <c r="F45" s="1808"/>
      <c r="G45" s="1808"/>
      <c r="H45" s="1808"/>
      <c r="I45" s="1808"/>
      <c r="J45" s="1808"/>
      <c r="K45" s="1808"/>
      <c r="L45" s="1808"/>
      <c r="M45" s="1809"/>
      <c r="N45" s="870">
        <f>N51+N57</f>
        <v>0</v>
      </c>
      <c r="O45" s="862" t="s">
        <v>449</v>
      </c>
      <c r="P45" s="1810"/>
      <c r="Q45" s="1810"/>
      <c r="R45" s="842"/>
    </row>
    <row r="46" spans="2:18" ht="18.75" customHeight="1" x14ac:dyDescent="0.3">
      <c r="B46" s="867"/>
      <c r="C46" s="855"/>
      <c r="D46" s="855"/>
      <c r="E46" s="855"/>
      <c r="F46" s="855"/>
      <c r="G46" s="855"/>
      <c r="H46" s="855"/>
      <c r="I46" s="855"/>
      <c r="J46" s="855"/>
      <c r="K46" s="855"/>
      <c r="L46" s="855"/>
      <c r="M46" s="855"/>
      <c r="Q46" s="843"/>
      <c r="R46" s="842"/>
    </row>
    <row r="47" spans="2:18" ht="18.75" customHeight="1" x14ac:dyDescent="0.3">
      <c r="B47" s="861" t="s">
        <v>450</v>
      </c>
      <c r="C47" s="1812" t="s">
        <v>451</v>
      </c>
      <c r="D47" s="1813"/>
      <c r="E47" s="1813"/>
      <c r="F47" s="1813"/>
      <c r="G47" s="1813"/>
      <c r="H47" s="1813"/>
      <c r="I47" s="1813"/>
      <c r="J47" s="1813"/>
      <c r="K47" s="1813"/>
      <c r="L47" s="1813"/>
      <c r="M47" s="1814"/>
      <c r="N47" s="1231" t="s">
        <v>406</v>
      </c>
      <c r="O47" s="1231" t="s">
        <v>428</v>
      </c>
      <c r="P47" s="1815" t="s">
        <v>419</v>
      </c>
      <c r="Q47" s="1815"/>
      <c r="R47" s="842"/>
    </row>
    <row r="48" spans="2:18" ht="18.75" customHeight="1" x14ac:dyDescent="0.3">
      <c r="B48" s="866" t="s">
        <v>452</v>
      </c>
      <c r="C48" s="1821" t="s">
        <v>453</v>
      </c>
      <c r="D48" s="1817"/>
      <c r="E48" s="1817"/>
      <c r="F48" s="1817"/>
      <c r="G48" s="1817"/>
      <c r="H48" s="1817"/>
      <c r="I48" s="1817"/>
      <c r="J48" s="1817"/>
      <c r="K48" s="1817"/>
      <c r="L48" s="1817"/>
      <c r="M48" s="1818"/>
      <c r="N48" s="878"/>
      <c r="O48" s="862" t="s">
        <v>440</v>
      </c>
      <c r="P48" s="1810"/>
      <c r="Q48" s="1810"/>
      <c r="R48" s="842"/>
    </row>
    <row r="49" spans="2:18" ht="57" customHeight="1" x14ac:dyDescent="0.3">
      <c r="B49" s="866" t="s">
        <v>454</v>
      </c>
      <c r="C49" s="1816" t="s">
        <v>1074</v>
      </c>
      <c r="D49" s="1817"/>
      <c r="E49" s="1817"/>
      <c r="F49" s="1817"/>
      <c r="G49" s="1817"/>
      <c r="H49" s="1817"/>
      <c r="I49" s="1817"/>
      <c r="J49" s="1817"/>
      <c r="K49" s="1817"/>
      <c r="L49" s="1817"/>
      <c r="M49" s="1818"/>
      <c r="N49" s="879">
        <f>H62 / 1000 * ( H63 + (1-H67) * ( H68 * H64 + (1-H68) * H65) )</f>
        <v>0.57748882985131922</v>
      </c>
      <c r="O49" s="862" t="s">
        <v>443</v>
      </c>
      <c r="P49" s="1819"/>
      <c r="Q49" s="1820"/>
      <c r="R49" s="842"/>
    </row>
    <row r="50" spans="2:18" ht="18.75" customHeight="1" x14ac:dyDescent="0.3">
      <c r="B50" s="866" t="s">
        <v>456</v>
      </c>
      <c r="C50" s="1821" t="s">
        <v>1075</v>
      </c>
      <c r="D50" s="1817"/>
      <c r="E50" s="1817"/>
      <c r="F50" s="1817"/>
      <c r="G50" s="1817"/>
      <c r="H50" s="1817"/>
      <c r="I50" s="1817"/>
      <c r="J50" s="1817"/>
      <c r="K50" s="1817"/>
      <c r="L50" s="1817"/>
      <c r="M50" s="1818"/>
      <c r="N50" s="878">
        <f>H62/1000*H66*H67</f>
        <v>1.2605187217099485E-2</v>
      </c>
      <c r="O50" s="862" t="s">
        <v>446</v>
      </c>
      <c r="P50" s="1810"/>
      <c r="Q50" s="1810"/>
      <c r="R50" s="842"/>
    </row>
    <row r="51" spans="2:18" ht="18.75" customHeight="1" x14ac:dyDescent="0.3">
      <c r="B51" s="866" t="s">
        <v>458</v>
      </c>
      <c r="C51" s="1821" t="s">
        <v>459</v>
      </c>
      <c r="D51" s="1817"/>
      <c r="E51" s="1817"/>
      <c r="F51" s="1817"/>
      <c r="G51" s="1817"/>
      <c r="H51" s="1817"/>
      <c r="I51" s="1817"/>
      <c r="J51" s="1817"/>
      <c r="K51" s="1817"/>
      <c r="L51" s="1817"/>
      <c r="M51" s="1818"/>
      <c r="N51" s="879"/>
      <c r="O51" s="862" t="s">
        <v>449</v>
      </c>
      <c r="P51" s="1810"/>
      <c r="Q51" s="1810"/>
      <c r="R51" s="842"/>
    </row>
    <row r="52" spans="2:18" ht="18.75" customHeight="1" x14ac:dyDescent="0.3">
      <c r="B52" s="867"/>
      <c r="C52" s="855"/>
      <c r="D52" s="855"/>
      <c r="E52" s="855"/>
      <c r="F52" s="855"/>
      <c r="G52" s="855"/>
      <c r="H52" s="855"/>
      <c r="I52" s="855"/>
      <c r="J52" s="855"/>
      <c r="K52" s="855"/>
      <c r="L52" s="855"/>
      <c r="M52" s="855"/>
      <c r="Q52" s="843"/>
      <c r="R52" s="842"/>
    </row>
    <row r="53" spans="2:18" ht="18.75" customHeight="1" x14ac:dyDescent="0.3">
      <c r="B53" s="861" t="s">
        <v>460</v>
      </c>
      <c r="C53" s="1812" t="s">
        <v>461</v>
      </c>
      <c r="D53" s="1813"/>
      <c r="E53" s="1813"/>
      <c r="F53" s="1813"/>
      <c r="G53" s="1813"/>
      <c r="H53" s="1813"/>
      <c r="I53" s="1813"/>
      <c r="J53" s="1813"/>
      <c r="K53" s="1813"/>
      <c r="L53" s="1813"/>
      <c r="M53" s="1814"/>
      <c r="N53" s="1231" t="s">
        <v>406</v>
      </c>
      <c r="O53" s="1231" t="s">
        <v>428</v>
      </c>
      <c r="P53" s="1815" t="s">
        <v>419</v>
      </c>
      <c r="Q53" s="1815"/>
      <c r="R53" s="842"/>
    </row>
    <row r="54" spans="2:18" ht="18.75" customHeight="1" x14ac:dyDescent="0.3">
      <c r="B54" s="866" t="s">
        <v>462</v>
      </c>
      <c r="C54" s="1821" t="s">
        <v>463</v>
      </c>
      <c r="D54" s="1817"/>
      <c r="E54" s="1817"/>
      <c r="F54" s="1817"/>
      <c r="G54" s="1817"/>
      <c r="H54" s="1817"/>
      <c r="I54" s="1817"/>
      <c r="J54" s="1817"/>
      <c r="K54" s="1817"/>
      <c r="L54" s="1817"/>
      <c r="M54" s="1818"/>
      <c r="N54" s="878"/>
      <c r="O54" s="862" t="s">
        <v>440</v>
      </c>
      <c r="P54" s="1810"/>
      <c r="Q54" s="1810"/>
      <c r="R54" s="842"/>
    </row>
    <row r="55" spans="2:18" ht="18.75" customHeight="1" x14ac:dyDescent="0.3">
      <c r="B55" s="866" t="s">
        <v>464</v>
      </c>
      <c r="C55" s="1821" t="s">
        <v>465</v>
      </c>
      <c r="D55" s="1817"/>
      <c r="E55" s="1817"/>
      <c r="F55" s="1817"/>
      <c r="G55" s="1817"/>
      <c r="H55" s="1817"/>
      <c r="I55" s="1817"/>
      <c r="J55" s="1817"/>
      <c r="K55" s="1817"/>
      <c r="L55" s="1817"/>
      <c r="M55" s="1818"/>
      <c r="N55" s="880"/>
      <c r="O55" s="862" t="s">
        <v>443</v>
      </c>
      <c r="P55" s="1810"/>
      <c r="Q55" s="1810"/>
      <c r="R55" s="842"/>
    </row>
    <row r="56" spans="2:18" ht="18.75" customHeight="1" x14ac:dyDescent="0.3">
      <c r="B56" s="866" t="s">
        <v>466</v>
      </c>
      <c r="C56" s="1821" t="s">
        <v>516</v>
      </c>
      <c r="D56" s="1817"/>
      <c r="E56" s="1817"/>
      <c r="F56" s="1817"/>
      <c r="G56" s="1817"/>
      <c r="H56" s="1817"/>
      <c r="I56" s="1817"/>
      <c r="J56" s="1817"/>
      <c r="K56" s="1817"/>
      <c r="L56" s="1817"/>
      <c r="M56" s="1818"/>
      <c r="N56" s="881"/>
      <c r="O56" s="862" t="s">
        <v>446</v>
      </c>
      <c r="P56" s="1810"/>
      <c r="Q56" s="1810"/>
      <c r="R56" s="842"/>
    </row>
    <row r="57" spans="2:18" ht="18.75" customHeight="1" x14ac:dyDescent="0.3">
      <c r="B57" s="866" t="s">
        <v>468</v>
      </c>
      <c r="C57" s="1821" t="s">
        <v>469</v>
      </c>
      <c r="D57" s="1817"/>
      <c r="E57" s="1817"/>
      <c r="F57" s="1817"/>
      <c r="G57" s="1817"/>
      <c r="H57" s="1817"/>
      <c r="I57" s="1817"/>
      <c r="J57" s="1817"/>
      <c r="K57" s="1817"/>
      <c r="L57" s="1817"/>
      <c r="M57" s="1818"/>
      <c r="N57" s="882"/>
      <c r="O57" s="862" t="s">
        <v>449</v>
      </c>
      <c r="P57" s="1810"/>
      <c r="Q57" s="1810"/>
      <c r="R57" s="842"/>
    </row>
    <row r="58" spans="2:18" ht="18.75" customHeight="1" x14ac:dyDescent="0.3">
      <c r="B58" s="863"/>
      <c r="C58" s="854"/>
      <c r="D58" s="855"/>
      <c r="E58" s="855"/>
      <c r="F58" s="855"/>
      <c r="G58" s="855"/>
      <c r="H58" s="855"/>
      <c r="I58" s="855"/>
      <c r="J58" s="855"/>
      <c r="K58" s="855"/>
      <c r="L58" s="855"/>
      <c r="M58" s="855"/>
      <c r="N58" s="855"/>
      <c r="O58" s="855"/>
    </row>
    <row r="59" spans="2:18" ht="18.75" customHeight="1" x14ac:dyDescent="0.3">
      <c r="B59" s="857" t="s">
        <v>470</v>
      </c>
      <c r="C59" s="858"/>
      <c r="D59" s="858"/>
      <c r="E59" s="858"/>
      <c r="F59" s="858"/>
      <c r="G59" s="858"/>
      <c r="H59" s="859"/>
      <c r="I59" s="859"/>
      <c r="J59" s="859"/>
      <c r="K59" s="859"/>
      <c r="L59" s="859"/>
      <c r="M59" s="859"/>
      <c r="N59" s="859"/>
      <c r="O59" s="859"/>
      <c r="P59" s="859"/>
      <c r="Q59" s="860"/>
    </row>
    <row r="61" spans="2:18" ht="18.75" customHeight="1" x14ac:dyDescent="0.3">
      <c r="B61" s="861" t="s">
        <v>471</v>
      </c>
      <c r="C61" s="861" t="s">
        <v>472</v>
      </c>
      <c r="D61" s="1831" t="s">
        <v>473</v>
      </c>
      <c r="E61" s="1831"/>
      <c r="F61" s="861" t="s">
        <v>474</v>
      </c>
      <c r="G61" s="861" t="s">
        <v>765</v>
      </c>
      <c r="H61" s="861" t="s">
        <v>406</v>
      </c>
      <c r="I61" s="861" t="s">
        <v>428</v>
      </c>
      <c r="J61" s="1832" t="s">
        <v>476</v>
      </c>
      <c r="K61" s="1833"/>
      <c r="L61" s="1833"/>
      <c r="M61" s="1833"/>
      <c r="N61" s="1833"/>
      <c r="O61" s="1833"/>
      <c r="P61" s="1833"/>
      <c r="Q61" s="1834"/>
    </row>
    <row r="62" spans="2:18" ht="26.25" customHeight="1" x14ac:dyDescent="0.3">
      <c r="B62" s="868">
        <v>1</v>
      </c>
      <c r="C62" s="883" t="s">
        <v>1076</v>
      </c>
      <c r="D62" s="1826" t="s">
        <v>1077</v>
      </c>
      <c r="E62" s="1826"/>
      <c r="F62" s="884"/>
      <c r="G62" s="884"/>
      <c r="H62" s="885">
        <v>1</v>
      </c>
      <c r="I62" s="884" t="s">
        <v>909</v>
      </c>
      <c r="J62" s="1482" t="s">
        <v>1078</v>
      </c>
      <c r="K62" s="1544"/>
      <c r="L62" s="1544"/>
      <c r="M62" s="1544"/>
      <c r="N62" s="1544"/>
      <c r="O62" s="1544"/>
      <c r="P62" s="1544"/>
      <c r="Q62" s="1545"/>
      <c r="R62" s="842"/>
    </row>
    <row r="63" spans="2:18" ht="39.75" customHeight="1" x14ac:dyDescent="0.3">
      <c r="B63" s="869">
        <v>2</v>
      </c>
      <c r="C63" s="886" t="s">
        <v>1079</v>
      </c>
      <c r="D63" s="1822" t="s">
        <v>1080</v>
      </c>
      <c r="E63" s="1822"/>
      <c r="F63" s="887" t="str">
        <f>$C$28</f>
        <v>Other</v>
      </c>
      <c r="G63" s="888" t="str">
        <f>$C$26</f>
        <v>Average</v>
      </c>
      <c r="H63" s="670">
        <f>INDEX(DCV_Cooling_SF[#All],MATCH(F63,DCV_Cooling_SF[[#All],[DCV_Cooling_SF]],0),MATCH(G63,DCV_Cooling_SF[#Headers],0))</f>
        <v>577.48882985131922</v>
      </c>
      <c r="I63" s="889" t="s">
        <v>1081</v>
      </c>
      <c r="J63" s="1823" t="s">
        <v>1082</v>
      </c>
      <c r="K63" s="1824"/>
      <c r="L63" s="1824"/>
      <c r="M63" s="1824"/>
      <c r="N63" s="1824"/>
      <c r="O63" s="1824"/>
      <c r="P63" s="1824"/>
      <c r="Q63" s="1825"/>
      <c r="R63" s="842"/>
    </row>
    <row r="64" spans="2:18" ht="39.75" customHeight="1" x14ac:dyDescent="0.3">
      <c r="B64" s="869">
        <v>3</v>
      </c>
      <c r="C64" s="886" t="s">
        <v>1083</v>
      </c>
      <c r="D64" s="1822" t="s">
        <v>1084</v>
      </c>
      <c r="E64" s="1822"/>
      <c r="F64" s="887" t="str">
        <f>$C$28</f>
        <v>Other</v>
      </c>
      <c r="G64" s="888" t="str">
        <f>$C$26</f>
        <v>Average</v>
      </c>
      <c r="H64" s="670">
        <f>INDEX(DCV_Heating_HP_SF[#All],MATCH(F64,DCV_Heating_HP_SF[[#All],[DCV_Heating_HP_SF]],0),MATCH(G64,DCV_Heating_HP_SF[#Headers],0))</f>
        <v>928.27116946922933</v>
      </c>
      <c r="I64" s="889" t="s">
        <v>1081</v>
      </c>
      <c r="J64" s="1823" t="s">
        <v>1082</v>
      </c>
      <c r="K64" s="1824"/>
      <c r="L64" s="1824"/>
      <c r="M64" s="1824"/>
      <c r="N64" s="1824"/>
      <c r="O64" s="1824"/>
      <c r="P64" s="1824"/>
      <c r="Q64" s="1825"/>
      <c r="R64" s="842"/>
    </row>
    <row r="65" spans="2:18" ht="45" customHeight="1" x14ac:dyDescent="0.3">
      <c r="B65" s="869">
        <v>4</v>
      </c>
      <c r="C65" s="886" t="s">
        <v>1085</v>
      </c>
      <c r="D65" s="1822" t="s">
        <v>1086</v>
      </c>
      <c r="E65" s="1822"/>
      <c r="F65" s="887" t="str">
        <f>$C$28</f>
        <v>Other</v>
      </c>
      <c r="G65" s="888" t="str">
        <f>$C$26</f>
        <v>Average</v>
      </c>
      <c r="H65" s="670">
        <f>IFERROR(INDEX(DCV_Heating_ER_SF[#All],MATCH(F65,DCV_Heating_ER_SF[[#All],[DCV_Heating_ER_SF]],0),MATCH(G65,DCV_Heating_ER_SF[#Headers],0)),0)</f>
        <v>1856.5423389384587</v>
      </c>
      <c r="I65" s="889" t="s">
        <v>1081</v>
      </c>
      <c r="J65" s="1823" t="s">
        <v>1082</v>
      </c>
      <c r="K65" s="1824"/>
      <c r="L65" s="1824"/>
      <c r="M65" s="1824"/>
      <c r="N65" s="1824"/>
      <c r="O65" s="1824"/>
      <c r="P65" s="1824"/>
      <c r="Q65" s="1825"/>
      <c r="R65" s="842"/>
    </row>
    <row r="66" spans="2:18" ht="49.5" customHeight="1" x14ac:dyDescent="0.3">
      <c r="B66" s="869">
        <v>5</v>
      </c>
      <c r="C66" s="886" t="s">
        <v>1087</v>
      </c>
      <c r="D66" s="1822" t="s">
        <v>1088</v>
      </c>
      <c r="E66" s="1822"/>
      <c r="F66" s="887" t="str">
        <f>$C$28</f>
        <v>Other</v>
      </c>
      <c r="G66" s="888" t="str">
        <f>$C$26</f>
        <v>Average</v>
      </c>
      <c r="H66" s="670">
        <f>INDEX(DCV_Heating_NG_SF[#All],MATCH(F66,DCV_Heating_NG_SF[[#All],[DCV_Heating_NG_SF]],0),MATCH(G66,DCV_Heating_NG_SF[#Headers],0))</f>
        <v>12.605187217099484</v>
      </c>
      <c r="I66" s="889" t="s">
        <v>1089</v>
      </c>
      <c r="J66" s="1823" t="s">
        <v>1082</v>
      </c>
      <c r="K66" s="1824"/>
      <c r="L66" s="1824"/>
      <c r="M66" s="1824"/>
      <c r="N66" s="1824"/>
      <c r="O66" s="1824"/>
      <c r="P66" s="1824"/>
      <c r="Q66" s="1825"/>
      <c r="R66" s="842"/>
    </row>
    <row r="67" spans="2:18" ht="23.25" customHeight="1" x14ac:dyDescent="0.3">
      <c r="B67" s="869">
        <v>6</v>
      </c>
      <c r="C67" s="886" t="s">
        <v>799</v>
      </c>
      <c r="D67" s="1822" t="s">
        <v>1090</v>
      </c>
      <c r="E67" s="1822"/>
      <c r="F67" s="887"/>
      <c r="G67" s="887"/>
      <c r="H67" s="827">
        <f>IF(C29="Natural Gas",1,0)</f>
        <v>1</v>
      </c>
      <c r="I67" s="887" t="s">
        <v>519</v>
      </c>
      <c r="J67" s="1472" t="s">
        <v>921</v>
      </c>
      <c r="K67" s="1473"/>
      <c r="L67" s="1473"/>
      <c r="M67" s="1473"/>
      <c r="N67" s="1473"/>
      <c r="O67" s="1473"/>
      <c r="P67" s="1473"/>
      <c r="Q67" s="1474"/>
      <c r="R67" s="842"/>
    </row>
    <row r="68" spans="2:18" ht="30" customHeight="1" x14ac:dyDescent="0.3">
      <c r="B68" s="869">
        <v>7</v>
      </c>
      <c r="C68" s="886" t="s">
        <v>1091</v>
      </c>
      <c r="D68" s="1822" t="s">
        <v>1092</v>
      </c>
      <c r="E68" s="1822"/>
      <c r="F68" s="887"/>
      <c r="G68" s="887"/>
      <c r="H68" s="827">
        <v>1</v>
      </c>
      <c r="I68" s="887" t="s">
        <v>519</v>
      </c>
      <c r="J68" s="1827" t="s">
        <v>1093</v>
      </c>
      <c r="K68" s="1828"/>
      <c r="L68" s="1828"/>
      <c r="M68" s="1828"/>
      <c r="N68" s="1828"/>
      <c r="O68" s="1828"/>
      <c r="P68" s="1828"/>
      <c r="Q68" s="1829"/>
      <c r="R68" s="842"/>
    </row>
    <row r="69" spans="2:18" ht="27" customHeight="1" x14ac:dyDescent="0.3">
      <c r="B69" s="869">
        <v>8</v>
      </c>
      <c r="C69" s="886"/>
      <c r="D69" s="1822"/>
      <c r="E69" s="1822"/>
      <c r="F69" s="887"/>
      <c r="G69" s="887"/>
      <c r="H69" s="890"/>
      <c r="I69" s="887"/>
      <c r="J69" s="1827"/>
      <c r="K69" s="1828"/>
      <c r="L69" s="1828"/>
      <c r="M69" s="1828"/>
      <c r="N69" s="1828"/>
      <c r="O69" s="1828"/>
      <c r="P69" s="1828"/>
      <c r="Q69" s="1829"/>
      <c r="R69" s="842"/>
    </row>
    <row r="70" spans="2:18" ht="31.5" customHeight="1" x14ac:dyDescent="0.3">
      <c r="B70" s="869">
        <v>9</v>
      </c>
      <c r="C70" s="886"/>
      <c r="D70" s="1822"/>
      <c r="E70" s="1822"/>
      <c r="F70" s="887"/>
      <c r="G70" s="887"/>
      <c r="H70" s="891"/>
      <c r="I70" s="887"/>
      <c r="J70" s="1836"/>
      <c r="K70" s="1837"/>
      <c r="L70" s="1837"/>
      <c r="M70" s="1837"/>
      <c r="N70" s="1837"/>
      <c r="O70" s="1837"/>
      <c r="P70" s="1837"/>
      <c r="Q70" s="1838"/>
      <c r="R70" s="842"/>
    </row>
    <row r="71" spans="2:18" ht="13" x14ac:dyDescent="0.3">
      <c r="B71" s="869">
        <v>10</v>
      </c>
      <c r="C71" s="886"/>
      <c r="D71" s="1822"/>
      <c r="E71" s="1822"/>
      <c r="F71" s="887"/>
      <c r="G71" s="887"/>
      <c r="H71" s="827"/>
      <c r="I71" s="887"/>
      <c r="J71" s="1827"/>
      <c r="K71" s="1828"/>
      <c r="L71" s="1828"/>
      <c r="M71" s="1828"/>
      <c r="N71" s="1828"/>
      <c r="O71" s="1828"/>
      <c r="P71" s="1828"/>
      <c r="Q71" s="1829"/>
      <c r="R71" s="842"/>
    </row>
    <row r="72" spans="2:18" ht="13" x14ac:dyDescent="0.3">
      <c r="B72" s="869">
        <v>11</v>
      </c>
      <c r="C72" s="886"/>
      <c r="D72" s="1822"/>
      <c r="E72" s="1822"/>
      <c r="F72" s="887"/>
      <c r="G72" s="887"/>
      <c r="H72" s="827"/>
      <c r="I72" s="887"/>
      <c r="J72" s="1827"/>
      <c r="K72" s="1828"/>
      <c r="L72" s="1828"/>
      <c r="M72" s="1828"/>
      <c r="N72" s="1828"/>
      <c r="O72" s="1828"/>
      <c r="P72" s="1828"/>
      <c r="Q72" s="1829"/>
      <c r="R72" s="842"/>
    </row>
    <row r="73" spans="2:18" ht="13" x14ac:dyDescent="0.3">
      <c r="B73" s="869">
        <v>12</v>
      </c>
      <c r="C73" s="886"/>
      <c r="D73" s="1822"/>
      <c r="E73" s="1822"/>
      <c r="F73" s="887"/>
      <c r="G73" s="887"/>
      <c r="H73" s="827"/>
      <c r="I73" s="887"/>
      <c r="J73" s="1827"/>
      <c r="K73" s="1828"/>
      <c r="L73" s="1828"/>
      <c r="M73" s="1828"/>
      <c r="N73" s="1828"/>
      <c r="O73" s="1828"/>
      <c r="P73" s="1828"/>
      <c r="Q73" s="1829"/>
      <c r="R73" s="842"/>
    </row>
    <row r="74" spans="2:18" ht="13" x14ac:dyDescent="0.3">
      <c r="B74" s="869">
        <v>13</v>
      </c>
      <c r="C74" s="886"/>
      <c r="D74" s="1822"/>
      <c r="E74" s="1822"/>
      <c r="F74" s="887"/>
      <c r="G74" s="887"/>
      <c r="H74" s="827"/>
      <c r="I74" s="887"/>
      <c r="J74" s="1827"/>
      <c r="K74" s="1828"/>
      <c r="L74" s="1828"/>
      <c r="M74" s="1828"/>
      <c r="N74" s="1828"/>
      <c r="O74" s="1828"/>
      <c r="P74" s="1828"/>
      <c r="Q74" s="1829"/>
      <c r="R74" s="842"/>
    </row>
    <row r="75" spans="2:18" ht="13" x14ac:dyDescent="0.3">
      <c r="B75" s="869">
        <v>14</v>
      </c>
      <c r="C75" s="886"/>
      <c r="D75" s="1822"/>
      <c r="E75" s="1822"/>
      <c r="F75" s="887"/>
      <c r="G75" s="887"/>
      <c r="H75" s="827"/>
      <c r="I75" s="887"/>
      <c r="J75" s="1827"/>
      <c r="K75" s="1828"/>
      <c r="L75" s="1828"/>
      <c r="M75" s="1828"/>
      <c r="N75" s="1828"/>
      <c r="O75" s="1828"/>
      <c r="P75" s="1828"/>
      <c r="Q75" s="1829"/>
      <c r="R75" s="842"/>
    </row>
    <row r="76" spans="2:18" ht="13" x14ac:dyDescent="0.3">
      <c r="B76" s="869">
        <v>15</v>
      </c>
      <c r="C76" s="886"/>
      <c r="D76" s="1822"/>
      <c r="E76" s="1822"/>
      <c r="F76" s="887"/>
      <c r="G76" s="887"/>
      <c r="H76" s="892"/>
      <c r="I76" s="887"/>
      <c r="J76" s="1827"/>
      <c r="K76" s="1828"/>
      <c r="L76" s="1828"/>
      <c r="M76" s="1828"/>
      <c r="N76" s="1828"/>
      <c r="O76" s="1828"/>
      <c r="P76" s="1828"/>
      <c r="Q76" s="1829"/>
      <c r="R76" s="842"/>
    </row>
    <row r="77" spans="2:18" ht="18.75" customHeight="1" x14ac:dyDescent="0.3">
      <c r="R77" s="842"/>
    </row>
    <row r="78" spans="2:18" ht="18.75" customHeight="1" x14ac:dyDescent="0.3">
      <c r="B78" s="857" t="s">
        <v>1030</v>
      </c>
      <c r="C78" s="858"/>
      <c r="D78" s="858"/>
      <c r="E78" s="858"/>
      <c r="F78" s="858"/>
      <c r="G78" s="858"/>
      <c r="H78" s="859"/>
      <c r="I78" s="859"/>
      <c r="J78" s="859"/>
      <c r="K78" s="859"/>
      <c r="L78" s="859"/>
      <c r="M78" s="859"/>
      <c r="N78" s="859"/>
      <c r="O78" s="859"/>
      <c r="P78" s="859"/>
      <c r="Q78" s="860"/>
      <c r="R78" s="842"/>
    </row>
    <row r="79" spans="2:18" ht="18.75" customHeight="1" x14ac:dyDescent="0.3">
      <c r="R79" s="842"/>
    </row>
    <row r="80" spans="2:18" ht="18.75" customHeight="1" x14ac:dyDescent="0.3">
      <c r="B80" s="861" t="s">
        <v>478</v>
      </c>
      <c r="C80" s="861" t="s">
        <v>1031</v>
      </c>
      <c r="D80" s="1230" t="s">
        <v>1032</v>
      </c>
      <c r="E80" s="1830" t="s">
        <v>476</v>
      </c>
      <c r="F80" s="1830"/>
      <c r="G80" s="1830"/>
      <c r="H80" s="1830"/>
      <c r="I80" s="1830"/>
      <c r="J80" s="1830"/>
      <c r="K80" s="1830"/>
      <c r="L80" s="1830"/>
      <c r="M80" s="1830"/>
      <c r="N80" s="1830"/>
      <c r="O80" s="1830"/>
      <c r="P80" s="1830"/>
      <c r="Q80" s="1830"/>
      <c r="R80" s="842"/>
    </row>
    <row r="81" spans="2:18" ht="13" x14ac:dyDescent="0.3">
      <c r="B81" s="869">
        <v>1</v>
      </c>
      <c r="C81" s="893" t="s">
        <v>1033</v>
      </c>
      <c r="D81" s="894">
        <v>1000</v>
      </c>
      <c r="E81" s="1835"/>
      <c r="F81" s="1835"/>
      <c r="G81" s="1835"/>
      <c r="H81" s="1835"/>
      <c r="I81" s="1835"/>
      <c r="J81" s="1835"/>
      <c r="K81" s="1835"/>
      <c r="L81" s="1835"/>
      <c r="M81" s="1835"/>
      <c r="N81" s="1835"/>
      <c r="O81" s="1835"/>
      <c r="P81" s="1835"/>
      <c r="Q81" s="1835"/>
      <c r="R81" s="842"/>
    </row>
    <row r="82" spans="2:18" ht="13" x14ac:dyDescent="0.3">
      <c r="B82" s="869">
        <v>2</v>
      </c>
      <c r="C82" s="893" t="s">
        <v>1034</v>
      </c>
      <c r="D82" s="839">
        <f>0.03412*0.10548</f>
        <v>3.5989775999999999E-3</v>
      </c>
      <c r="E82" s="1794"/>
      <c r="F82" s="1794"/>
      <c r="G82" s="1794"/>
      <c r="H82" s="1794"/>
      <c r="I82" s="1794"/>
      <c r="J82" s="1794"/>
      <c r="K82" s="1794"/>
      <c r="L82" s="1794"/>
      <c r="M82" s="1794"/>
      <c r="N82" s="1794"/>
      <c r="O82" s="1794"/>
      <c r="P82" s="1794"/>
      <c r="Q82" s="1794"/>
      <c r="R82" s="842"/>
    </row>
    <row r="83" spans="2:18" ht="13" x14ac:dyDescent="0.3">
      <c r="B83" s="869">
        <v>3</v>
      </c>
      <c r="C83" s="893" t="s">
        <v>1035</v>
      </c>
      <c r="D83" s="839">
        <v>3.7854099999999999E-3</v>
      </c>
      <c r="E83" s="1835"/>
      <c r="F83" s="1835"/>
      <c r="G83" s="1835"/>
      <c r="H83" s="1835"/>
      <c r="I83" s="1835"/>
      <c r="J83" s="1835"/>
      <c r="K83" s="1835"/>
      <c r="L83" s="1835"/>
      <c r="M83" s="1835"/>
      <c r="N83" s="1835"/>
      <c r="O83" s="1835"/>
      <c r="P83" s="1835"/>
      <c r="Q83" s="1835"/>
      <c r="R83" s="842"/>
    </row>
    <row r="84" spans="2:18" ht="13" x14ac:dyDescent="0.3">
      <c r="B84" s="869">
        <v>4</v>
      </c>
      <c r="C84" s="893" t="s">
        <v>1036</v>
      </c>
      <c r="D84" s="839">
        <v>0.1055</v>
      </c>
      <c r="E84" s="1794"/>
      <c r="F84" s="1794"/>
      <c r="G84" s="1794"/>
      <c r="H84" s="1794"/>
      <c r="I84" s="1794"/>
      <c r="J84" s="1794"/>
      <c r="K84" s="1794"/>
      <c r="L84" s="1794"/>
      <c r="M84" s="1794"/>
      <c r="N84" s="1794"/>
      <c r="O84" s="1794"/>
      <c r="P84" s="1794"/>
      <c r="Q84" s="1794"/>
      <c r="R84" s="842"/>
    </row>
    <row r="85" spans="2:18" ht="13" x14ac:dyDescent="0.3">
      <c r="B85" s="869">
        <v>5</v>
      </c>
      <c r="C85" s="893"/>
      <c r="D85" s="894"/>
      <c r="E85" s="1835"/>
      <c r="F85" s="1835"/>
      <c r="G85" s="1835"/>
      <c r="H85" s="1835"/>
      <c r="I85" s="1835"/>
      <c r="J85" s="1835"/>
      <c r="K85" s="1835"/>
      <c r="L85" s="1835"/>
      <c r="M85" s="1835"/>
      <c r="N85" s="1835"/>
      <c r="O85" s="1835"/>
      <c r="P85" s="1835"/>
      <c r="Q85" s="1835"/>
      <c r="R85" s="842"/>
    </row>
    <row r="86" spans="2:18" ht="13" x14ac:dyDescent="0.3">
      <c r="B86" s="869">
        <v>6</v>
      </c>
      <c r="C86" s="893"/>
      <c r="D86" s="839"/>
      <c r="E86" s="1794"/>
      <c r="F86" s="1794"/>
      <c r="G86" s="1794"/>
      <c r="H86" s="1794"/>
      <c r="I86" s="1794"/>
      <c r="J86" s="1794"/>
      <c r="K86" s="1794"/>
      <c r="L86" s="1794"/>
      <c r="M86" s="1794"/>
      <c r="N86" s="1794"/>
      <c r="O86" s="1794"/>
      <c r="P86" s="1794"/>
      <c r="Q86" s="1794"/>
      <c r="R86" s="842"/>
    </row>
    <row r="87" spans="2:18" ht="13" x14ac:dyDescent="0.3">
      <c r="B87" s="869">
        <v>7</v>
      </c>
      <c r="C87" s="893"/>
      <c r="D87" s="894"/>
      <c r="E87" s="1835"/>
      <c r="F87" s="1835"/>
      <c r="G87" s="1835"/>
      <c r="H87" s="1835"/>
      <c r="I87" s="1835"/>
      <c r="J87" s="1835"/>
      <c r="K87" s="1835"/>
      <c r="L87" s="1835"/>
      <c r="M87" s="1835"/>
      <c r="N87" s="1835"/>
      <c r="O87" s="1835"/>
      <c r="P87" s="1835"/>
      <c r="Q87" s="1835"/>
      <c r="R87" s="842"/>
    </row>
    <row r="88" spans="2:18" ht="13" x14ac:dyDescent="0.3">
      <c r="B88" s="869">
        <v>8</v>
      </c>
      <c r="C88" s="893"/>
      <c r="D88" s="839"/>
      <c r="E88" s="1794"/>
      <c r="F88" s="1794"/>
      <c r="G88" s="1794"/>
      <c r="H88" s="1794"/>
      <c r="I88" s="1794"/>
      <c r="J88" s="1794"/>
      <c r="K88" s="1794"/>
      <c r="L88" s="1794"/>
      <c r="M88" s="1794"/>
      <c r="N88" s="1794"/>
      <c r="O88" s="1794"/>
      <c r="P88" s="1794"/>
      <c r="Q88" s="1794"/>
      <c r="R88" s="842"/>
    </row>
    <row r="89" spans="2:18" ht="13" x14ac:dyDescent="0.3">
      <c r="B89" s="869">
        <v>9</v>
      </c>
      <c r="C89" s="893"/>
      <c r="D89" s="894"/>
      <c r="E89" s="1835"/>
      <c r="F89" s="1835"/>
      <c r="G89" s="1835"/>
      <c r="H89" s="1835"/>
      <c r="I89" s="1835"/>
      <c r="J89" s="1835"/>
      <c r="K89" s="1835"/>
      <c r="L89" s="1835"/>
      <c r="M89" s="1835"/>
      <c r="N89" s="1835"/>
      <c r="O89" s="1835"/>
      <c r="P89" s="1835"/>
      <c r="Q89" s="1835"/>
      <c r="R89" s="842"/>
    </row>
    <row r="90" spans="2:18" ht="13" x14ac:dyDescent="0.3">
      <c r="B90" s="869">
        <v>10</v>
      </c>
      <c r="C90" s="893"/>
      <c r="D90" s="839"/>
      <c r="E90" s="1794"/>
      <c r="F90" s="1794"/>
      <c r="G90" s="1794"/>
      <c r="H90" s="1794"/>
      <c r="I90" s="1794"/>
      <c r="J90" s="1794"/>
      <c r="K90" s="1794"/>
      <c r="L90" s="1794"/>
      <c r="M90" s="1794"/>
      <c r="N90" s="1794"/>
      <c r="O90" s="1794"/>
      <c r="P90" s="1794"/>
      <c r="Q90" s="1794"/>
      <c r="R90" s="842"/>
    </row>
    <row r="91" spans="2:18" ht="18.75" customHeight="1" x14ac:dyDescent="0.3">
      <c r="R91" s="842"/>
    </row>
    <row r="92" spans="2:18" ht="18.75" customHeight="1" x14ac:dyDescent="0.3">
      <c r="B92" s="857" t="s">
        <v>492</v>
      </c>
      <c r="C92" s="858"/>
      <c r="D92" s="858"/>
      <c r="E92" s="858"/>
      <c r="F92" s="858"/>
      <c r="G92" s="858"/>
      <c r="H92" s="859"/>
      <c r="I92" s="859"/>
      <c r="J92" s="859"/>
      <c r="K92" s="859"/>
      <c r="L92" s="859"/>
      <c r="M92" s="859"/>
      <c r="N92" s="859"/>
      <c r="O92" s="859"/>
      <c r="P92" s="859"/>
      <c r="Q92" s="860"/>
      <c r="R92" s="842"/>
    </row>
    <row r="93" spans="2:18" ht="18.75" customHeight="1" x14ac:dyDescent="0.3">
      <c r="R93" s="842"/>
    </row>
    <row r="94" spans="2:18" ht="18.75" customHeight="1" x14ac:dyDescent="0.3">
      <c r="B94" s="864" t="s">
        <v>493</v>
      </c>
      <c r="E94" s="1839" t="s">
        <v>494</v>
      </c>
      <c r="F94" s="1850"/>
      <c r="G94" s="1850"/>
      <c r="H94" s="1850"/>
      <c r="I94" s="1850"/>
      <c r="J94" s="1850"/>
      <c r="K94" s="1850"/>
      <c r="L94" s="1850"/>
      <c r="M94" s="1850"/>
      <c r="N94" s="1850"/>
      <c r="O94" s="1851" t="s">
        <v>476</v>
      </c>
      <c r="P94" s="1852"/>
      <c r="Q94" s="1853"/>
      <c r="R94" s="842"/>
    </row>
    <row r="95" spans="2:18" ht="25.5" customHeight="1" x14ac:dyDescent="0.3">
      <c r="B95" s="902"/>
      <c r="C95" s="903"/>
      <c r="D95" s="904"/>
      <c r="E95" s="865" t="s">
        <v>495</v>
      </c>
      <c r="F95" s="865" t="s">
        <v>496</v>
      </c>
      <c r="G95" s="865" t="s">
        <v>497</v>
      </c>
      <c r="H95" s="865" t="s">
        <v>498</v>
      </c>
      <c r="I95" s="865" t="s">
        <v>499</v>
      </c>
      <c r="J95" s="865" t="s">
        <v>500</v>
      </c>
      <c r="K95" s="865" t="s">
        <v>501</v>
      </c>
      <c r="L95" s="865" t="s">
        <v>502</v>
      </c>
      <c r="M95" s="865" t="s">
        <v>503</v>
      </c>
      <c r="N95" s="1228" t="s">
        <v>504</v>
      </c>
      <c r="O95" s="1854"/>
      <c r="P95" s="1855"/>
      <c r="Q95" s="1856"/>
      <c r="R95" s="842"/>
    </row>
    <row r="96" spans="2:18" ht="25.5" customHeight="1" x14ac:dyDescent="0.3">
      <c r="B96" s="1231" t="s">
        <v>478</v>
      </c>
      <c r="C96" s="1839" t="s">
        <v>538</v>
      </c>
      <c r="D96" s="1840"/>
      <c r="E96" s="895"/>
      <c r="F96" s="895"/>
      <c r="G96" s="895"/>
      <c r="H96" s="895"/>
      <c r="I96" s="895"/>
      <c r="J96" s="895"/>
      <c r="K96" s="895"/>
      <c r="L96" s="895"/>
      <c r="M96" s="895"/>
      <c r="N96" s="896"/>
      <c r="O96" s="1857"/>
      <c r="P96" s="1858"/>
      <c r="Q96" s="1859"/>
      <c r="R96" s="842"/>
    </row>
    <row r="97" spans="2:18" ht="13" x14ac:dyDescent="0.3">
      <c r="B97" s="869">
        <v>1</v>
      </c>
      <c r="C97" s="886"/>
      <c r="D97" s="1229"/>
      <c r="E97" s="897"/>
      <c r="F97" s="897"/>
      <c r="G97" s="897"/>
      <c r="H97" s="897"/>
      <c r="I97" s="898"/>
      <c r="J97" s="898"/>
      <c r="K97" s="898"/>
      <c r="L97" s="898"/>
      <c r="M97" s="898"/>
      <c r="N97" s="898"/>
      <c r="O97" s="1841"/>
      <c r="P97" s="1842"/>
      <c r="Q97" s="1843"/>
      <c r="R97" s="842"/>
    </row>
    <row r="98" spans="2:18" ht="13" x14ac:dyDescent="0.3">
      <c r="B98" s="869">
        <v>2</v>
      </c>
      <c r="C98" s="886"/>
      <c r="D98" s="1229"/>
      <c r="E98" s="897"/>
      <c r="F98" s="897"/>
      <c r="G98" s="897"/>
      <c r="H98" s="897"/>
      <c r="I98" s="898"/>
      <c r="J98" s="898"/>
      <c r="K98" s="898"/>
      <c r="L98" s="898"/>
      <c r="M98" s="898"/>
      <c r="N98" s="898"/>
      <c r="O98" s="1844"/>
      <c r="P98" s="1845"/>
      <c r="Q98" s="1846"/>
      <c r="R98" s="842"/>
    </row>
    <row r="99" spans="2:18" ht="13" x14ac:dyDescent="0.3">
      <c r="B99" s="869">
        <v>3</v>
      </c>
      <c r="C99" s="886"/>
      <c r="D99" s="1229"/>
      <c r="E99" s="897"/>
      <c r="F99" s="897"/>
      <c r="G99" s="897"/>
      <c r="H99" s="897"/>
      <c r="I99" s="898"/>
      <c r="J99" s="898"/>
      <c r="K99" s="898"/>
      <c r="L99" s="898"/>
      <c r="M99" s="898"/>
      <c r="N99" s="898"/>
      <c r="O99" s="1844"/>
      <c r="P99" s="1845"/>
      <c r="Q99" s="1846"/>
      <c r="R99" s="842"/>
    </row>
    <row r="100" spans="2:18" ht="13" x14ac:dyDescent="0.3">
      <c r="B100" s="869">
        <v>4</v>
      </c>
      <c r="C100" s="886"/>
      <c r="D100" s="1229"/>
      <c r="E100" s="897"/>
      <c r="F100" s="897"/>
      <c r="G100" s="897"/>
      <c r="H100" s="897"/>
      <c r="I100" s="898"/>
      <c r="J100" s="898"/>
      <c r="K100" s="898"/>
      <c r="L100" s="898"/>
      <c r="M100" s="898"/>
      <c r="N100" s="898"/>
      <c r="O100" s="1844"/>
      <c r="P100" s="1845"/>
      <c r="Q100" s="1846"/>
      <c r="R100" s="842"/>
    </row>
    <row r="101" spans="2:18" ht="13" x14ac:dyDescent="0.3">
      <c r="B101" s="869">
        <v>5</v>
      </c>
      <c r="C101" s="886"/>
      <c r="D101" s="1229"/>
      <c r="E101" s="897"/>
      <c r="F101" s="897"/>
      <c r="G101" s="897"/>
      <c r="H101" s="897"/>
      <c r="I101" s="898"/>
      <c r="J101" s="898"/>
      <c r="K101" s="898"/>
      <c r="L101" s="898"/>
      <c r="M101" s="898"/>
      <c r="N101" s="898"/>
      <c r="O101" s="1844"/>
      <c r="P101" s="1845"/>
      <c r="Q101" s="1846"/>
      <c r="R101" s="842"/>
    </row>
    <row r="102" spans="2:18" ht="13" x14ac:dyDescent="0.3">
      <c r="B102" s="869">
        <v>6</v>
      </c>
      <c r="C102" s="886"/>
      <c r="D102" s="899"/>
      <c r="E102" s="897"/>
      <c r="F102" s="900"/>
      <c r="G102" s="897"/>
      <c r="H102" s="897"/>
      <c r="I102" s="888"/>
      <c r="J102" s="888"/>
      <c r="K102" s="888"/>
      <c r="L102" s="888"/>
      <c r="M102" s="888"/>
      <c r="N102" s="888"/>
      <c r="O102" s="1847"/>
      <c r="P102" s="1848"/>
      <c r="Q102" s="1849"/>
      <c r="R102" s="842"/>
    </row>
    <row r="103" spans="2:18" ht="13" x14ac:dyDescent="0.3">
      <c r="B103" s="869">
        <v>7</v>
      </c>
      <c r="C103" s="886"/>
      <c r="D103" s="899"/>
      <c r="E103" s="897"/>
      <c r="F103" s="888"/>
      <c r="G103" s="888"/>
      <c r="H103" s="897"/>
      <c r="I103" s="888"/>
      <c r="J103" s="888"/>
      <c r="K103" s="888"/>
      <c r="L103" s="888"/>
      <c r="M103" s="888"/>
      <c r="N103" s="888"/>
      <c r="O103" s="1847"/>
      <c r="P103" s="1848"/>
      <c r="Q103" s="1849"/>
      <c r="R103" s="842"/>
    </row>
    <row r="104" spans="2:18" ht="13" x14ac:dyDescent="0.3">
      <c r="B104" s="869">
        <v>8</v>
      </c>
      <c r="C104" s="886"/>
      <c r="D104" s="899"/>
      <c r="E104" s="897"/>
      <c r="F104" s="888"/>
      <c r="G104" s="888"/>
      <c r="H104" s="888"/>
      <c r="I104" s="888"/>
      <c r="J104" s="888"/>
      <c r="K104" s="888"/>
      <c r="L104" s="888"/>
      <c r="M104" s="888"/>
      <c r="N104" s="888"/>
      <c r="O104" s="1847"/>
      <c r="P104" s="1848"/>
      <c r="Q104" s="1849"/>
      <c r="R104" s="842"/>
    </row>
    <row r="105" spans="2:18" ht="13" x14ac:dyDescent="0.3">
      <c r="B105" s="869">
        <v>9</v>
      </c>
      <c r="C105" s="886"/>
      <c r="D105" s="899"/>
      <c r="E105" s="897"/>
      <c r="F105" s="827"/>
      <c r="G105" s="827"/>
      <c r="H105" s="827"/>
      <c r="I105" s="828"/>
      <c r="J105" s="828"/>
      <c r="K105" s="828"/>
      <c r="L105" s="828"/>
      <c r="M105" s="828"/>
      <c r="N105" s="828"/>
      <c r="O105" s="1772"/>
      <c r="P105" s="1773"/>
      <c r="Q105" s="1774"/>
      <c r="R105" s="842"/>
    </row>
    <row r="106" spans="2:18" ht="13" x14ac:dyDescent="0.3">
      <c r="B106" s="869">
        <v>10</v>
      </c>
      <c r="C106" s="886"/>
      <c r="D106" s="899"/>
      <c r="E106" s="827"/>
      <c r="F106" s="827"/>
      <c r="G106" s="827"/>
      <c r="H106" s="827"/>
      <c r="I106" s="828"/>
      <c r="J106" s="828"/>
      <c r="K106" s="828"/>
      <c r="L106" s="828"/>
      <c r="M106" s="828"/>
      <c r="N106" s="828"/>
      <c r="O106" s="1772"/>
      <c r="P106" s="1773"/>
      <c r="Q106" s="1774"/>
      <c r="R106" s="842"/>
    </row>
    <row r="107" spans="2:18" ht="13" x14ac:dyDescent="0.3">
      <c r="B107" s="869">
        <v>11</v>
      </c>
      <c r="C107" s="886"/>
      <c r="D107" s="899"/>
      <c r="E107" s="892"/>
      <c r="F107" s="897"/>
      <c r="G107" s="892"/>
      <c r="H107" s="892"/>
      <c r="I107" s="888"/>
      <c r="J107" s="888"/>
      <c r="K107" s="888"/>
      <c r="L107" s="888"/>
      <c r="M107" s="888"/>
      <c r="N107" s="888"/>
      <c r="O107" s="1847"/>
      <c r="P107" s="1848"/>
      <c r="Q107" s="1849"/>
      <c r="R107" s="842"/>
    </row>
    <row r="108" spans="2:18" ht="13" x14ac:dyDescent="0.3">
      <c r="B108" s="869">
        <v>12</v>
      </c>
      <c r="C108" s="886"/>
      <c r="D108" s="899"/>
      <c r="E108" s="827"/>
      <c r="F108" s="897"/>
      <c r="G108" s="827"/>
      <c r="H108" s="827"/>
      <c r="I108" s="828"/>
      <c r="J108" s="828"/>
      <c r="K108" s="828"/>
      <c r="L108" s="828"/>
      <c r="M108" s="828"/>
      <c r="N108" s="828"/>
      <c r="O108" s="1772"/>
      <c r="P108" s="1773"/>
      <c r="Q108" s="1774"/>
      <c r="R108" s="842"/>
    </row>
    <row r="109" spans="2:18" ht="13" x14ac:dyDescent="0.3">
      <c r="B109" s="869">
        <v>13</v>
      </c>
      <c r="C109" s="886"/>
      <c r="D109" s="899"/>
      <c r="E109" s="827"/>
      <c r="F109" s="827"/>
      <c r="G109" s="827"/>
      <c r="H109" s="827"/>
      <c r="I109" s="828"/>
      <c r="J109" s="828"/>
      <c r="K109" s="828"/>
      <c r="L109" s="828"/>
      <c r="M109" s="828"/>
      <c r="N109" s="828"/>
      <c r="O109" s="1772"/>
      <c r="P109" s="1773"/>
      <c r="Q109" s="1774"/>
      <c r="R109" s="842"/>
    </row>
    <row r="110" spans="2:18" ht="13" x14ac:dyDescent="0.3">
      <c r="B110" s="869">
        <v>14</v>
      </c>
      <c r="C110" s="886"/>
      <c r="D110" s="899"/>
      <c r="E110" s="901"/>
      <c r="F110" s="901"/>
      <c r="G110" s="901"/>
      <c r="H110" s="901"/>
      <c r="I110" s="888"/>
      <c r="J110" s="888"/>
      <c r="K110" s="888"/>
      <c r="L110" s="888"/>
      <c r="M110" s="888"/>
      <c r="N110" s="888"/>
      <c r="O110" s="1847"/>
      <c r="P110" s="1848"/>
      <c r="Q110" s="1849"/>
      <c r="R110" s="842"/>
    </row>
    <row r="111" spans="2:18" ht="13" x14ac:dyDescent="0.3">
      <c r="B111" s="869">
        <v>15</v>
      </c>
      <c r="C111" s="886"/>
      <c r="D111" s="899"/>
      <c r="E111" s="901"/>
      <c r="F111" s="901"/>
      <c r="G111" s="901"/>
      <c r="H111" s="901"/>
      <c r="I111" s="888"/>
      <c r="J111" s="888"/>
      <c r="K111" s="888"/>
      <c r="L111" s="888"/>
      <c r="M111" s="888"/>
      <c r="N111" s="888"/>
      <c r="O111" s="1847"/>
      <c r="P111" s="1848"/>
      <c r="Q111" s="1849"/>
      <c r="R111" s="842"/>
    </row>
    <row r="112" spans="2:18" ht="13" x14ac:dyDescent="0.3">
      <c r="B112" s="869">
        <v>16</v>
      </c>
      <c r="C112" s="886"/>
      <c r="D112" s="899"/>
      <c r="E112" s="901"/>
      <c r="F112" s="901"/>
      <c r="G112" s="901"/>
      <c r="H112" s="901"/>
      <c r="I112" s="888"/>
      <c r="J112" s="888"/>
      <c r="K112" s="888"/>
      <c r="L112" s="888"/>
      <c r="M112" s="888"/>
      <c r="N112" s="888"/>
      <c r="O112" s="1847"/>
      <c r="P112" s="1848"/>
      <c r="Q112" s="1849"/>
      <c r="R112" s="842"/>
    </row>
    <row r="113" spans="2:18" ht="13" x14ac:dyDescent="0.3">
      <c r="B113" s="869">
        <v>17</v>
      </c>
      <c r="C113" s="886"/>
      <c r="D113" s="899"/>
      <c r="E113" s="901"/>
      <c r="F113" s="901"/>
      <c r="G113" s="901"/>
      <c r="H113" s="901"/>
      <c r="I113" s="888"/>
      <c r="J113" s="888"/>
      <c r="K113" s="888"/>
      <c r="L113" s="888"/>
      <c r="M113" s="888"/>
      <c r="N113" s="888"/>
      <c r="O113" s="1847"/>
      <c r="P113" s="1848"/>
      <c r="Q113" s="1849"/>
      <c r="R113" s="842"/>
    </row>
    <row r="114" spans="2:18" ht="13" x14ac:dyDescent="0.3">
      <c r="B114" s="869">
        <v>18</v>
      </c>
      <c r="C114" s="886"/>
      <c r="D114" s="899"/>
      <c r="E114" s="901"/>
      <c r="F114" s="901"/>
      <c r="G114" s="901"/>
      <c r="H114" s="901"/>
      <c r="I114" s="888"/>
      <c r="J114" s="888"/>
      <c r="K114" s="888"/>
      <c r="L114" s="888"/>
      <c r="M114" s="888"/>
      <c r="N114" s="888"/>
      <c r="O114" s="1847"/>
      <c r="P114" s="1848"/>
      <c r="Q114" s="1849"/>
      <c r="R114" s="842"/>
    </row>
    <row r="115" spans="2:18" ht="13" x14ac:dyDescent="0.3">
      <c r="B115" s="869">
        <v>19</v>
      </c>
      <c r="C115" s="886"/>
      <c r="D115" s="899"/>
      <c r="E115" s="901"/>
      <c r="F115" s="901"/>
      <c r="G115" s="901"/>
      <c r="H115" s="901"/>
      <c r="I115" s="888"/>
      <c r="J115" s="888"/>
      <c r="K115" s="888"/>
      <c r="L115" s="888"/>
      <c r="M115" s="888"/>
      <c r="N115" s="888"/>
      <c r="O115" s="1847"/>
      <c r="P115" s="1848"/>
      <c r="Q115" s="1849"/>
      <c r="R115" s="842"/>
    </row>
    <row r="116" spans="2:18" ht="13" x14ac:dyDescent="0.3">
      <c r="B116" s="869">
        <v>20</v>
      </c>
      <c r="C116" s="886"/>
      <c r="D116" s="899"/>
      <c r="E116" s="901"/>
      <c r="F116" s="901"/>
      <c r="G116" s="901"/>
      <c r="H116" s="901"/>
      <c r="I116" s="888"/>
      <c r="J116" s="888"/>
      <c r="K116" s="888"/>
      <c r="L116" s="888"/>
      <c r="M116" s="888"/>
      <c r="N116" s="888"/>
      <c r="O116" s="1847"/>
      <c r="P116" s="1848"/>
      <c r="Q116" s="1849"/>
      <c r="R116" s="842"/>
    </row>
  </sheetData>
  <sheetProtection algorithmName="SHA-512" hashValue="gMV7DrraP/VWrNGc/FFq5B194WrS+8f7OsnYtwvNSyqDQKLRL7uWPVN6IioVfWqx/vTC2Ydt9Uz/t22Gu8TSMg==" saltValue="qhDyO3WCFlRPtZh8Fitmow==" spinCount="100000" sheet="1" objects="1" scenarios="1" selectLockedCells="1" selectUnlockedCells="1"/>
  <mergeCells count="120">
    <mergeCell ref="O99:Q99"/>
    <mergeCell ref="O100:Q100"/>
    <mergeCell ref="O101:Q101"/>
    <mergeCell ref="O102:Q102"/>
    <mergeCell ref="O103:Q103"/>
    <mergeCell ref="E90:Q90"/>
    <mergeCell ref="E94:N94"/>
    <mergeCell ref="O94:Q96"/>
    <mergeCell ref="O116:Q116"/>
    <mergeCell ref="O110:Q110"/>
    <mergeCell ref="O111:Q111"/>
    <mergeCell ref="O112:Q112"/>
    <mergeCell ref="O113:Q113"/>
    <mergeCell ref="O114:Q114"/>
    <mergeCell ref="O115:Q115"/>
    <mergeCell ref="O104:Q104"/>
    <mergeCell ref="O105:Q105"/>
    <mergeCell ref="O106:Q106"/>
    <mergeCell ref="O107:Q107"/>
    <mergeCell ref="O108:Q108"/>
    <mergeCell ref="O109:Q109"/>
    <mergeCell ref="C96:D96"/>
    <mergeCell ref="O97:Q97"/>
    <mergeCell ref="E84:Q84"/>
    <mergeCell ref="E85:Q85"/>
    <mergeCell ref="E86:Q86"/>
    <mergeCell ref="E87:Q87"/>
    <mergeCell ref="E88:Q88"/>
    <mergeCell ref="E89:Q89"/>
    <mergeCell ref="O98:Q98"/>
    <mergeCell ref="E81:Q81"/>
    <mergeCell ref="E82:Q82"/>
    <mergeCell ref="E83:Q83"/>
    <mergeCell ref="D69:E69"/>
    <mergeCell ref="J69:Q69"/>
    <mergeCell ref="D74:E74"/>
    <mergeCell ref="J74:Q74"/>
    <mergeCell ref="D75:E75"/>
    <mergeCell ref="J75:Q75"/>
    <mergeCell ref="J71:Q71"/>
    <mergeCell ref="J72:Q72"/>
    <mergeCell ref="J73:Q73"/>
    <mergeCell ref="D71:E71"/>
    <mergeCell ref="D72:E72"/>
    <mergeCell ref="D73:E73"/>
    <mergeCell ref="D76:E76"/>
    <mergeCell ref="J76:Q76"/>
    <mergeCell ref="D70:E70"/>
    <mergeCell ref="J70:Q70"/>
    <mergeCell ref="J67:Q67"/>
    <mergeCell ref="J68:Q68"/>
    <mergeCell ref="E80:Q80"/>
    <mergeCell ref="C56:M56"/>
    <mergeCell ref="P56:Q56"/>
    <mergeCell ref="C57:M57"/>
    <mergeCell ref="P57:Q57"/>
    <mergeCell ref="D61:E61"/>
    <mergeCell ref="J61:Q61"/>
    <mergeCell ref="D67:E67"/>
    <mergeCell ref="D68:E68"/>
    <mergeCell ref="D66:E66"/>
    <mergeCell ref="J66:Q66"/>
    <mergeCell ref="C53:M53"/>
    <mergeCell ref="P53:Q53"/>
    <mergeCell ref="C54:M54"/>
    <mergeCell ref="P54:Q54"/>
    <mergeCell ref="C55:M55"/>
    <mergeCell ref="P55:Q55"/>
    <mergeCell ref="D64:E64"/>
    <mergeCell ref="J64:Q64"/>
    <mergeCell ref="D65:E65"/>
    <mergeCell ref="J65:Q65"/>
    <mergeCell ref="D62:E62"/>
    <mergeCell ref="J62:Q62"/>
    <mergeCell ref="D63:E63"/>
    <mergeCell ref="J63:Q63"/>
    <mergeCell ref="C49:M49"/>
    <mergeCell ref="P49:Q49"/>
    <mergeCell ref="C50:M50"/>
    <mergeCell ref="P50:Q50"/>
    <mergeCell ref="C51:M51"/>
    <mergeCell ref="P51:Q51"/>
    <mergeCell ref="C45:M45"/>
    <mergeCell ref="P45:Q45"/>
    <mergeCell ref="C47:M47"/>
    <mergeCell ref="P47:Q47"/>
    <mergeCell ref="C48:M48"/>
    <mergeCell ref="P48:Q48"/>
    <mergeCell ref="C42:M42"/>
    <mergeCell ref="P42:Q42"/>
    <mergeCell ref="C43:M43"/>
    <mergeCell ref="P43:Q43"/>
    <mergeCell ref="C44:M44"/>
    <mergeCell ref="P44:Q44"/>
    <mergeCell ref="E34:Q34"/>
    <mergeCell ref="E35:Q35"/>
    <mergeCell ref="E36:Q36"/>
    <mergeCell ref="E37:Q37"/>
    <mergeCell ref="C41:M41"/>
    <mergeCell ref="P41:Q41"/>
    <mergeCell ref="D28:Q28"/>
    <mergeCell ref="E32:Q32"/>
    <mergeCell ref="E33:Q33"/>
    <mergeCell ref="D17:F17"/>
    <mergeCell ref="D18:F18"/>
    <mergeCell ref="B20:Q20"/>
    <mergeCell ref="C21:Q21"/>
    <mergeCell ref="C22:Q22"/>
    <mergeCell ref="C23:Q23"/>
    <mergeCell ref="D29:Q29"/>
    <mergeCell ref="D30:Q30"/>
    <mergeCell ref="C2:F2"/>
    <mergeCell ref="C3:F3"/>
    <mergeCell ref="C4:F4"/>
    <mergeCell ref="C5:F5"/>
    <mergeCell ref="D7:F7"/>
    <mergeCell ref="D8:F16"/>
    <mergeCell ref="D25:Q25"/>
    <mergeCell ref="D26:Q26"/>
    <mergeCell ref="D27:Q27"/>
  </mergeCells>
  <conditionalFormatting sqref="H76">
    <cfRule type="expression" dxfId="3301" priority="36">
      <formula>IF(OR(#REF!="L",#REF!="C"),TRUE,FALSE)</formula>
    </cfRule>
  </conditionalFormatting>
  <conditionalFormatting sqref="F109:F116 G102:G116 H104:H116">
    <cfRule type="expression" dxfId="3300" priority="32">
      <formula>IF(OR(#REF!="L",#REF!="C"),TRUE,FALSE)</formula>
    </cfRule>
  </conditionalFormatting>
  <conditionalFormatting sqref="H75">
    <cfRule type="expression" dxfId="3299" priority="33">
      <formula>IF(OR(#REF!="L",#REF!="C"),TRUE,FALSE)</formula>
    </cfRule>
  </conditionalFormatting>
  <conditionalFormatting sqref="E110:E116">
    <cfRule type="expression" dxfId="3298" priority="31">
      <formula>IF(OR(#REF!="L",#REF!="C"),TRUE,FALSE)</formula>
    </cfRule>
  </conditionalFormatting>
  <conditionalFormatting sqref="E107">
    <cfRule type="expression" dxfId="3297" priority="30">
      <formula>IF(OR(#REF!="L",#REF!="C"),TRUE,FALSE)</formula>
    </cfRule>
  </conditionalFormatting>
  <conditionalFormatting sqref="H67:H74">
    <cfRule type="expression" dxfId="3296" priority="34">
      <formula>IF(OR(#REF!="L",#REF!="C"),TRUE,FALSE)</formula>
    </cfRule>
  </conditionalFormatting>
  <conditionalFormatting sqref="E108">
    <cfRule type="expression" dxfId="3295" priority="29">
      <formula>IF(OR(#REF!="L",#REF!="C"),TRUE,FALSE)</formula>
    </cfRule>
  </conditionalFormatting>
  <conditionalFormatting sqref="E109">
    <cfRule type="expression" dxfId="3294" priority="28">
      <formula>IF(OR(#REF!="L",#REF!="C"),TRUE,FALSE)</formula>
    </cfRule>
  </conditionalFormatting>
  <conditionalFormatting sqref="E106">
    <cfRule type="expression" dxfId="3293" priority="27">
      <formula>IF(OR(#REF!="L",#REF!="C"),TRUE,FALSE)</formula>
    </cfRule>
  </conditionalFormatting>
  <conditionalFormatting sqref="E95 G95 I95 K95 M95">
    <cfRule type="duplicateValues" dxfId="3292" priority="26"/>
  </conditionalFormatting>
  <conditionalFormatting sqref="M104:M116">
    <cfRule type="expression" dxfId="3291" priority="16">
      <formula>IF(OR(#REF!="L",#REF!="C"),TRUE,FALSE)</formula>
    </cfRule>
  </conditionalFormatting>
  <conditionalFormatting sqref="F102:F106">
    <cfRule type="expression" dxfId="3290" priority="25">
      <formula>IF(OR(#REF!="L",#REF!="C"),TRUE,FALSE)</formula>
    </cfRule>
  </conditionalFormatting>
  <conditionalFormatting sqref="I102:I103">
    <cfRule type="expression" dxfId="3289" priority="23">
      <formula>IF(OR(#REF!="L",#REF!="C"),TRUE,FALSE)</formula>
    </cfRule>
  </conditionalFormatting>
  <conditionalFormatting sqref="N102:N103">
    <cfRule type="expression" dxfId="3288" priority="13">
      <formula>IF(OR(#REF!="L",#REF!="C"),TRUE,FALSE)</formula>
    </cfRule>
  </conditionalFormatting>
  <conditionalFormatting sqref="I104:I116">
    <cfRule type="expression" dxfId="3287" priority="24">
      <formula>IF(OR(#REF!="L",#REF!="C"),TRUE,FALSE)</formula>
    </cfRule>
  </conditionalFormatting>
  <conditionalFormatting sqref="J102:J103">
    <cfRule type="expression" dxfId="3286" priority="21">
      <formula>IF(OR(#REF!="L",#REF!="C"),TRUE,FALSE)</formula>
    </cfRule>
  </conditionalFormatting>
  <conditionalFormatting sqref="J104:J116">
    <cfRule type="expression" dxfId="3285" priority="22">
      <formula>IF(OR(#REF!="L",#REF!="C"),TRUE,FALSE)</formula>
    </cfRule>
  </conditionalFormatting>
  <conditionalFormatting sqref="K102:K103">
    <cfRule type="expression" dxfId="3284" priority="19">
      <formula>IF(OR(#REF!="L",#REF!="C"),TRUE,FALSE)</formula>
    </cfRule>
  </conditionalFormatting>
  <conditionalFormatting sqref="K104:K116">
    <cfRule type="expression" dxfId="3283" priority="20">
      <formula>IF(OR(#REF!="L",#REF!="C"),TRUE,FALSE)</formula>
    </cfRule>
  </conditionalFormatting>
  <conditionalFormatting sqref="L102:L103">
    <cfRule type="expression" dxfId="3282" priority="17">
      <formula>IF(OR(#REF!="L",#REF!="C"),TRUE,FALSE)</formula>
    </cfRule>
  </conditionalFormatting>
  <conditionalFormatting sqref="L104:L116">
    <cfRule type="expression" dxfId="3281" priority="18">
      <formula>IF(OR(#REF!="L",#REF!="C"),TRUE,FALSE)</formula>
    </cfRule>
  </conditionalFormatting>
  <conditionalFormatting sqref="M102:M103">
    <cfRule type="expression" dxfId="3280" priority="15">
      <formula>IF(OR(#REF!="L",#REF!="C"),TRUE,FALSE)</formula>
    </cfRule>
  </conditionalFormatting>
  <conditionalFormatting sqref="N104:N116">
    <cfRule type="expression" dxfId="3279" priority="14">
      <formula>IF(OR(#REF!="L",#REF!="C"),TRUE,FALSE)</formula>
    </cfRule>
  </conditionalFormatting>
  <conditionalFormatting sqref="O102:O103">
    <cfRule type="expression" dxfId="3278" priority="11">
      <formula>IF(OR(#REF!="L",#REF!="C"),TRUE,FALSE)</formula>
    </cfRule>
  </conditionalFormatting>
  <conditionalFormatting sqref="O104:O116">
    <cfRule type="expression" dxfId="3277" priority="12">
      <formula>IF(OR(#REF!="L",#REF!="C"),TRUE,FALSE)</formula>
    </cfRule>
  </conditionalFormatting>
  <conditionalFormatting sqref="E96:N96">
    <cfRule type="duplicateValues" dxfId="3276" priority="10"/>
  </conditionalFormatting>
  <conditionalFormatting sqref="H62">
    <cfRule type="expression" dxfId="3275" priority="6">
      <formula>IF(OR(#REF!="L",#REF!="C"),TRUE,FALSE)</formula>
    </cfRule>
  </conditionalFormatting>
  <conditionalFormatting sqref="H70">
    <cfRule type="expression" dxfId="3274" priority="5">
      <formula>IF(OR(#REF!="L",#REF!="C"),TRUE,FALSE)</formula>
    </cfRule>
  </conditionalFormatting>
  <conditionalFormatting sqref="H63:H65">
    <cfRule type="expression" dxfId="3273" priority="3">
      <formula>IF(OR(#REF!="L",#REF!="C"),TRUE,FALSE)</formula>
    </cfRule>
  </conditionalFormatting>
  <conditionalFormatting sqref="H69">
    <cfRule type="expression" dxfId="3272" priority="2">
      <formula>IF(OR(#REF!="L",#REF!="C"),TRUE,FALSE)</formula>
    </cfRule>
  </conditionalFormatting>
  <conditionalFormatting sqref="H66">
    <cfRule type="expression" dxfId="3271" priority="1">
      <formula>IF(OR(#REF!="L",#REF!="C"),TRUE,FALSE)</formula>
    </cfRule>
  </conditionalFormatting>
  <dataValidations count="6">
    <dataValidation type="list" allowBlank="1" showInputMessage="1" showErrorMessage="1" sqref="C4" xr:uid="{631A27FF-0AF3-4E10-8322-E501C2730661}">
      <formula1>"COM,RES"</formula1>
    </dataValidation>
    <dataValidation type="list" allowBlank="1" showInputMessage="1" showErrorMessage="1" sqref="C9" xr:uid="{611EC125-D588-4B08-868F-9CB8B65DA6DC}">
      <formula1>INDIRECT("MeasureTypeList[Index]")</formula1>
    </dataValidation>
    <dataValidation type="list" allowBlank="1" showInputMessage="1" showErrorMessage="1" sqref="C26" xr:uid="{71F6427C-9342-4603-9536-C856E42E5848}">
      <formula1>INDIRECT("RegionList[Index]")</formula1>
    </dataValidation>
    <dataValidation type="list" allowBlank="1" showInputMessage="1" showErrorMessage="1" sqref="C27" xr:uid="{E47EFBA8-2ADD-4CBB-9AFC-54BF7A88511D}">
      <formula1>INDIRECT("ReplacementTypeList[Index]")</formula1>
    </dataValidation>
    <dataValidation type="list" allowBlank="1" showInputMessage="1" showErrorMessage="1" sqref="C28" xr:uid="{179E0CC3-595A-45D0-8C85-A71985402E59}">
      <formula1>INDIRECT("BuildingType[Building]")</formula1>
    </dataValidation>
    <dataValidation type="list" allowBlank="1" showInputMessage="1" showErrorMessage="1" sqref="C29 C30" xr:uid="{D7B07267-A2F4-4B89-8F45-99A85933C827}">
      <formula1>INDIRECT("FuelTypeList[Index]")</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20A0BB-CAC8-4D5A-8B14-53128C246171}">
          <x14:formula1>
            <xm:f>Validation!$B$101:$B$103</xm:f>
          </x14:formula1>
          <xm:sqref>H70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19E5E-A5EE-4D42-BBCC-C17EC2DB6108}">
  <sheetPr codeName="Sheet20"/>
  <dimension ref="A1:R116"/>
  <sheetViews>
    <sheetView topLeftCell="C64" workbookViewId="0">
      <selection activeCell="I69" sqref="I69"/>
    </sheetView>
  </sheetViews>
  <sheetFormatPr defaultColWidth="9.08984375" defaultRowHeight="18.75" customHeight="1" x14ac:dyDescent="0.3"/>
  <cols>
    <col min="1" max="1" width="2.36328125" style="767" customWidth="1"/>
    <col min="2" max="2" width="44.36328125" style="767" bestFit="1" customWidth="1"/>
    <col min="3" max="3" width="21.08984375" style="767" customWidth="1"/>
    <col min="4" max="4" width="21.6328125" style="767" customWidth="1"/>
    <col min="5" max="5" width="14.36328125" style="767" customWidth="1"/>
    <col min="6" max="6" width="15.6328125" style="767" customWidth="1"/>
    <col min="7" max="7" width="19.6328125" style="767" customWidth="1"/>
    <col min="8" max="8" width="16" style="767" customWidth="1"/>
    <col min="9" max="9" width="10.26953125" style="767" customWidth="1"/>
    <col min="10" max="10" width="14.6328125" style="767" customWidth="1"/>
    <col min="11" max="12" width="9.08984375" style="767" bestFit="1"/>
    <col min="13" max="13" width="11" style="767" customWidth="1"/>
    <col min="14" max="14" width="12.26953125" style="767" customWidth="1"/>
    <col min="15" max="15" width="10.7265625" style="767" customWidth="1"/>
    <col min="16" max="17" width="9.08984375" style="767" bestFit="1"/>
    <col min="18" max="18" width="9.7265625" style="768" customWidth="1"/>
    <col min="19" max="19" width="9.08984375" style="767" bestFit="1"/>
    <col min="20" max="20" width="8.6328125" style="767" customWidth="1"/>
    <col min="21" max="16384" width="9.08984375" style="767"/>
  </cols>
  <sheetData>
    <row r="1" spans="1:18" s="488" customFormat="1" ht="18.75" customHeight="1" x14ac:dyDescent="0.3">
      <c r="R1" s="489"/>
    </row>
    <row r="2" spans="1:18" s="488" customFormat="1" ht="18.75" customHeight="1" x14ac:dyDescent="0.3">
      <c r="B2" s="1193" t="s">
        <v>506</v>
      </c>
      <c r="C2" s="1366" t="s">
        <v>406</v>
      </c>
      <c r="D2" s="1366"/>
      <c r="E2" s="1366"/>
      <c r="F2" s="1366"/>
      <c r="R2" s="489"/>
    </row>
    <row r="3" spans="1:18" s="488" customFormat="1" ht="18.75" customHeight="1" x14ac:dyDescent="0.3">
      <c r="B3" s="490" t="s">
        <v>407</v>
      </c>
      <c r="C3" s="1367" t="str">
        <f>IF(ISBLANK(C8)+ISBLANK(C10),C8,C8&amp;"_"&amp;C10)</f>
        <v>C-HC-002</v>
      </c>
      <c r="D3" s="1367"/>
      <c r="E3" s="1367"/>
      <c r="F3" s="1367"/>
      <c r="R3" s="489"/>
    </row>
    <row r="4" spans="1:18" s="488" customFormat="1" ht="18.75" customHeight="1" x14ac:dyDescent="0.3">
      <c r="B4" s="490" t="s">
        <v>11</v>
      </c>
      <c r="C4" s="1367" t="str" cm="1">
        <f t="array" ref="C4">_xlfn.SWITCH(LEFT(C8,1),"R","Residential","C","Commercial","ERROR")</f>
        <v>Commercial</v>
      </c>
      <c r="D4" s="1367"/>
      <c r="E4" s="1367"/>
      <c r="F4" s="1367"/>
      <c r="R4" s="489"/>
    </row>
    <row r="5" spans="1:18" s="488" customFormat="1" ht="24" customHeight="1" x14ac:dyDescent="0.3">
      <c r="B5" s="490" t="s">
        <v>408</v>
      </c>
      <c r="C5" s="1530" t="s">
        <v>199</v>
      </c>
      <c r="D5" s="1531"/>
      <c r="E5" s="1531"/>
      <c r="F5" s="1532"/>
    </row>
    <row r="6" spans="1:18" ht="18.75" customHeight="1" x14ac:dyDescent="0.3">
      <c r="A6" s="766"/>
    </row>
    <row r="7" spans="1:18" ht="18.75" customHeight="1" x14ac:dyDescent="0.3">
      <c r="B7" s="1226" t="s">
        <v>507</v>
      </c>
      <c r="C7" s="769" t="s">
        <v>406</v>
      </c>
      <c r="D7" s="1790" t="s">
        <v>410</v>
      </c>
      <c r="E7" s="1791"/>
      <c r="F7" s="1792"/>
      <c r="R7" s="767"/>
    </row>
    <row r="8" spans="1:18" ht="18.75" customHeight="1" x14ac:dyDescent="0.3">
      <c r="B8" s="770" t="s">
        <v>411</v>
      </c>
      <c r="C8" s="801" t="s">
        <v>71</v>
      </c>
      <c r="D8" s="1457"/>
      <c r="E8" s="1457"/>
      <c r="F8" s="1457"/>
      <c r="R8" s="767"/>
    </row>
    <row r="9" spans="1:18" ht="18.75" customHeight="1" x14ac:dyDescent="0.3">
      <c r="B9" s="770" t="s">
        <v>49</v>
      </c>
      <c r="C9" s="801" t="s">
        <v>508</v>
      </c>
      <c r="D9" s="1457"/>
      <c r="E9" s="1457"/>
      <c r="F9" s="1457"/>
      <c r="R9" s="767"/>
    </row>
    <row r="10" spans="1:18" ht="18.75" customHeight="1" x14ac:dyDescent="0.3">
      <c r="B10" s="770" t="s">
        <v>412</v>
      </c>
      <c r="C10" s="801"/>
      <c r="D10" s="1457"/>
      <c r="E10" s="1457"/>
      <c r="F10" s="1457"/>
      <c r="R10" s="767"/>
    </row>
    <row r="11" spans="1:18" ht="18.75" customHeight="1" x14ac:dyDescent="0.3">
      <c r="B11" s="770" t="s">
        <v>413</v>
      </c>
      <c r="C11" s="801"/>
      <c r="D11" s="1457"/>
      <c r="E11" s="1457"/>
      <c r="F11" s="1457"/>
      <c r="R11" s="767"/>
    </row>
    <row r="12" spans="1:18" ht="18.75" customHeight="1" x14ac:dyDescent="0.3">
      <c r="B12" s="770" t="s">
        <v>414</v>
      </c>
      <c r="C12" s="802"/>
      <c r="D12" s="1457"/>
      <c r="E12" s="1457"/>
      <c r="F12" s="1457"/>
      <c r="R12" s="767"/>
    </row>
    <row r="13" spans="1:18" ht="18.75" customHeight="1" x14ac:dyDescent="0.3">
      <c r="B13" s="771" t="s">
        <v>415</v>
      </c>
      <c r="C13" s="772">
        <f>N43</f>
        <v>1.9839378723073111</v>
      </c>
      <c r="D13" s="1457"/>
      <c r="E13" s="1457"/>
      <c r="F13" s="1457"/>
      <c r="R13" s="767"/>
    </row>
    <row r="14" spans="1:18" ht="18.75" customHeight="1" x14ac:dyDescent="0.3">
      <c r="B14" s="771" t="s">
        <v>416</v>
      </c>
      <c r="C14" s="772">
        <f>N42</f>
        <v>0</v>
      </c>
      <c r="D14" s="1457"/>
      <c r="E14" s="1457"/>
      <c r="F14" s="1457"/>
      <c r="R14" s="767"/>
    </row>
    <row r="15" spans="1:18" ht="18.75" customHeight="1" x14ac:dyDescent="0.3">
      <c r="B15" s="771" t="s">
        <v>417</v>
      </c>
      <c r="C15" s="772">
        <f>N44</f>
        <v>0.22745766326655475</v>
      </c>
      <c r="D15" s="1457"/>
      <c r="E15" s="1457"/>
      <c r="F15" s="1457"/>
      <c r="R15" s="767"/>
    </row>
    <row r="16" spans="1:18" ht="18.75" customHeight="1" x14ac:dyDescent="0.3">
      <c r="B16" s="771" t="s">
        <v>418</v>
      </c>
      <c r="C16" s="773">
        <f>C37</f>
        <v>0</v>
      </c>
      <c r="D16" s="1457"/>
      <c r="E16" s="1457"/>
      <c r="F16" s="1457"/>
      <c r="R16" s="767"/>
    </row>
    <row r="17" spans="2:18" ht="18.75" customHeight="1" x14ac:dyDescent="0.3">
      <c r="B17" s="770" t="s">
        <v>48</v>
      </c>
      <c r="C17" s="803" t="s">
        <v>1094</v>
      </c>
      <c r="D17" s="1790" t="s">
        <v>419</v>
      </c>
      <c r="E17" s="1791"/>
      <c r="F17" s="1792"/>
      <c r="R17" s="767"/>
    </row>
    <row r="18" spans="2:18" ht="30" customHeight="1" x14ac:dyDescent="0.3">
      <c r="B18" s="770" t="s">
        <v>420</v>
      </c>
      <c r="C18" s="804">
        <v>11</v>
      </c>
      <c r="D18" s="1454" t="s">
        <v>1095</v>
      </c>
      <c r="E18" s="1455"/>
      <c r="F18" s="1456"/>
      <c r="R18" s="767"/>
    </row>
    <row r="19" spans="2:18" ht="18.75" customHeight="1" x14ac:dyDescent="0.3">
      <c r="B19" s="774"/>
      <c r="C19" s="775"/>
      <c r="F19" s="768"/>
      <c r="R19" s="767"/>
    </row>
    <row r="20" spans="2:18" ht="18.75" customHeight="1" x14ac:dyDescent="0.3">
      <c r="B20" s="1778" t="s">
        <v>421</v>
      </c>
      <c r="C20" s="1778"/>
      <c r="D20" s="1778"/>
      <c r="E20" s="1778"/>
      <c r="F20" s="1778"/>
      <c r="G20" s="1778"/>
      <c r="H20" s="1778"/>
      <c r="I20" s="1778"/>
      <c r="J20" s="1778"/>
      <c r="K20" s="1778"/>
      <c r="L20" s="1778"/>
      <c r="M20" s="1778"/>
      <c r="N20" s="1778"/>
      <c r="O20" s="1778"/>
      <c r="P20" s="1778"/>
      <c r="Q20" s="1778"/>
      <c r="R20" s="767"/>
    </row>
    <row r="21" spans="2:18" ht="18.75" customHeight="1" x14ac:dyDescent="0.3">
      <c r="B21" s="776" t="s">
        <v>422</v>
      </c>
      <c r="C21" s="1779" t="s">
        <v>200</v>
      </c>
      <c r="D21" s="1779"/>
      <c r="E21" s="1779"/>
      <c r="F21" s="1779"/>
      <c r="G21" s="1779"/>
      <c r="H21" s="1779"/>
      <c r="I21" s="1779"/>
      <c r="J21" s="1779"/>
      <c r="K21" s="1779"/>
      <c r="L21" s="1779"/>
      <c r="M21" s="1779"/>
      <c r="N21" s="1779"/>
      <c r="O21" s="1779"/>
      <c r="P21" s="1779"/>
      <c r="Q21" s="1779"/>
      <c r="R21" s="767"/>
    </row>
    <row r="22" spans="2:18" ht="18.75" customHeight="1" x14ac:dyDescent="0.3">
      <c r="B22" s="777" t="s">
        <v>423</v>
      </c>
      <c r="C22" s="1779" t="s">
        <v>201</v>
      </c>
      <c r="D22" s="1779"/>
      <c r="E22" s="1779"/>
      <c r="F22" s="1779"/>
      <c r="G22" s="1779"/>
      <c r="H22" s="1779"/>
      <c r="I22" s="1779"/>
      <c r="J22" s="1779"/>
      <c r="K22" s="1779"/>
      <c r="L22" s="1779"/>
      <c r="M22" s="1779"/>
      <c r="N22" s="1779"/>
      <c r="O22" s="1779"/>
      <c r="P22" s="1779"/>
      <c r="Q22" s="1779"/>
      <c r="R22" s="767"/>
    </row>
    <row r="23" spans="2:18" ht="18.75" customHeight="1" x14ac:dyDescent="0.3">
      <c r="B23" s="777" t="s">
        <v>424</v>
      </c>
      <c r="C23" s="1779"/>
      <c r="D23" s="1779"/>
      <c r="E23" s="1779"/>
      <c r="F23" s="1779"/>
      <c r="G23" s="1779"/>
      <c r="H23" s="1779"/>
      <c r="I23" s="1779"/>
      <c r="J23" s="1779"/>
      <c r="K23" s="1779"/>
      <c r="L23" s="1779"/>
      <c r="M23" s="1779"/>
      <c r="N23" s="1779"/>
      <c r="O23" s="1779"/>
      <c r="P23" s="1779"/>
      <c r="Q23" s="1779"/>
      <c r="R23" s="767"/>
    </row>
    <row r="25" spans="2:18" ht="18.75" customHeight="1" x14ac:dyDescent="0.3">
      <c r="B25" s="1226" t="s">
        <v>425</v>
      </c>
      <c r="C25" s="778" t="s">
        <v>406</v>
      </c>
      <c r="D25" s="1781" t="s">
        <v>421</v>
      </c>
      <c r="E25" s="1781"/>
      <c r="F25" s="1781"/>
      <c r="G25" s="1781"/>
      <c r="H25" s="1781"/>
      <c r="I25" s="1781"/>
      <c r="J25" s="1781"/>
      <c r="K25" s="1781"/>
      <c r="L25" s="1781"/>
      <c r="M25" s="1781"/>
      <c r="N25" s="1781"/>
      <c r="O25" s="1781"/>
      <c r="P25" s="1781"/>
      <c r="Q25" s="1781"/>
      <c r="R25" s="767"/>
    </row>
    <row r="26" spans="2:18" ht="18.75" customHeight="1" x14ac:dyDescent="0.3">
      <c r="B26" s="770" t="s">
        <v>9</v>
      </c>
      <c r="C26" s="800" t="str">
        <f>Default.Region</f>
        <v>Average</v>
      </c>
      <c r="D26" s="1782"/>
      <c r="E26" s="1782"/>
      <c r="F26" s="1782"/>
      <c r="G26" s="1782"/>
      <c r="H26" s="1782"/>
      <c r="I26" s="1782"/>
      <c r="J26" s="1782"/>
      <c r="K26" s="1782"/>
      <c r="L26" s="1782"/>
      <c r="M26" s="1782"/>
      <c r="N26" s="1782"/>
      <c r="O26" s="1782"/>
      <c r="P26" s="1782"/>
      <c r="Q26" s="1782"/>
      <c r="R26" s="767"/>
    </row>
    <row r="27" spans="2:18" ht="18.75" customHeight="1" x14ac:dyDescent="0.3">
      <c r="B27" s="770" t="s">
        <v>27</v>
      </c>
      <c r="C27" s="800" t="str">
        <f>Default.ReplacementType</f>
        <v>RET</v>
      </c>
      <c r="D27" s="1788" t="s">
        <v>426</v>
      </c>
      <c r="E27" s="1788"/>
      <c r="F27" s="1788"/>
      <c r="G27" s="1788"/>
      <c r="H27" s="1788"/>
      <c r="I27" s="1788"/>
      <c r="J27" s="1788"/>
      <c r="K27" s="1788"/>
      <c r="L27" s="1788"/>
      <c r="M27" s="1788"/>
      <c r="N27" s="1788"/>
      <c r="O27" s="1788"/>
      <c r="P27" s="1788"/>
      <c r="Q27" s="1788"/>
      <c r="R27" s="767"/>
    </row>
    <row r="28" spans="2:18" ht="18.75" customHeight="1" x14ac:dyDescent="0.3">
      <c r="B28" s="770" t="s">
        <v>54</v>
      </c>
      <c r="C28" s="800" t="str">
        <f>Default.BuildingType.C</f>
        <v>Other</v>
      </c>
      <c r="D28" s="1789"/>
      <c r="E28" s="1789"/>
      <c r="F28" s="1789"/>
      <c r="G28" s="1789"/>
      <c r="H28" s="1789"/>
      <c r="I28" s="1789"/>
      <c r="J28" s="1789"/>
      <c r="K28" s="1789"/>
      <c r="L28" s="1789"/>
      <c r="M28" s="1789"/>
      <c r="N28" s="1789"/>
      <c r="O28" s="1789"/>
      <c r="P28" s="1789"/>
      <c r="Q28" s="1789"/>
      <c r="R28" s="767"/>
    </row>
    <row r="29" spans="2:18" ht="18.75" customHeight="1" x14ac:dyDescent="0.3">
      <c r="B29" s="770" t="s">
        <v>33</v>
      </c>
      <c r="C29" s="800" t="str">
        <f>Default.SpaceHeatingFuel</f>
        <v>Natural gas</v>
      </c>
      <c r="D29" s="1782"/>
      <c r="E29" s="1782"/>
      <c r="F29" s="1782"/>
      <c r="G29" s="1782"/>
      <c r="H29" s="1782"/>
      <c r="I29" s="1782"/>
      <c r="J29" s="1782"/>
      <c r="K29" s="1782"/>
      <c r="L29" s="1782"/>
      <c r="M29" s="1782"/>
      <c r="N29" s="1782"/>
      <c r="O29" s="1782"/>
      <c r="P29" s="1782"/>
      <c r="Q29" s="1782"/>
      <c r="R29" s="767"/>
    </row>
    <row r="30" spans="2:18" ht="18.75" customHeight="1" x14ac:dyDescent="0.3">
      <c r="B30" s="770" t="s">
        <v>35</v>
      </c>
      <c r="C30" s="800" t="str">
        <f>Default.WaterHeatingFuel</f>
        <v>Natural gas</v>
      </c>
      <c r="D30" s="1782"/>
      <c r="E30" s="1782"/>
      <c r="F30" s="1782"/>
      <c r="G30" s="1782"/>
      <c r="H30" s="1782"/>
      <c r="I30" s="1782"/>
      <c r="J30" s="1782"/>
      <c r="K30" s="1782"/>
      <c r="L30" s="1782"/>
      <c r="M30" s="1782"/>
      <c r="N30" s="1782"/>
      <c r="O30" s="1782"/>
      <c r="P30" s="1782"/>
      <c r="Q30" s="1782"/>
      <c r="R30" s="767"/>
    </row>
    <row r="31" spans="2:18" ht="18.75" customHeight="1" x14ac:dyDescent="0.3">
      <c r="B31" s="779"/>
      <c r="C31" s="780"/>
      <c r="D31" s="780"/>
      <c r="E31" s="780"/>
      <c r="F31" s="780"/>
      <c r="G31" s="780"/>
      <c r="H31" s="780"/>
      <c r="I31" s="780"/>
      <c r="J31" s="780"/>
      <c r="K31" s="780"/>
      <c r="L31" s="780"/>
      <c r="M31" s="780"/>
      <c r="N31" s="780"/>
    </row>
    <row r="32" spans="2:18" ht="18.75" customHeight="1" x14ac:dyDescent="0.3">
      <c r="B32" s="1226" t="s">
        <v>427</v>
      </c>
      <c r="C32" s="769" t="s">
        <v>406</v>
      </c>
      <c r="D32" s="778" t="s">
        <v>428</v>
      </c>
      <c r="E32" s="1781" t="s">
        <v>419</v>
      </c>
      <c r="F32" s="1781"/>
      <c r="G32" s="1781"/>
      <c r="H32" s="1781"/>
      <c r="I32" s="1781"/>
      <c r="J32" s="1781"/>
      <c r="K32" s="1781"/>
      <c r="L32" s="1781"/>
      <c r="M32" s="1781"/>
      <c r="N32" s="1781"/>
      <c r="O32" s="1781"/>
      <c r="P32" s="1781"/>
      <c r="Q32" s="1781"/>
    </row>
    <row r="33" spans="2:18" ht="18.75" customHeight="1" x14ac:dyDescent="0.3">
      <c r="B33" s="770" t="s">
        <v>429</v>
      </c>
      <c r="C33" s="542"/>
      <c r="D33" s="799" t="s">
        <v>430</v>
      </c>
      <c r="E33" s="1786"/>
      <c r="F33" s="1786"/>
      <c r="G33" s="1786"/>
      <c r="H33" s="1786"/>
      <c r="I33" s="1786"/>
      <c r="J33" s="1786"/>
      <c r="K33" s="1786"/>
      <c r="L33" s="1786"/>
      <c r="M33" s="1786"/>
      <c r="N33" s="1786"/>
      <c r="O33" s="1786"/>
      <c r="P33" s="1786"/>
      <c r="Q33" s="1786"/>
      <c r="R33" s="767"/>
    </row>
    <row r="34" spans="2:18" ht="18.75" customHeight="1" x14ac:dyDescent="0.3">
      <c r="B34" s="771" t="s">
        <v>431</v>
      </c>
      <c r="C34" s="542"/>
      <c r="D34" s="799" t="s">
        <v>430</v>
      </c>
      <c r="E34" s="1787"/>
      <c r="F34" s="1787"/>
      <c r="G34" s="1787"/>
      <c r="H34" s="1787"/>
      <c r="I34" s="1787"/>
      <c r="J34" s="1787"/>
      <c r="K34" s="1787"/>
      <c r="L34" s="1787"/>
      <c r="M34" s="1787"/>
      <c r="N34" s="1787"/>
      <c r="O34" s="1787"/>
      <c r="P34" s="1787"/>
      <c r="Q34" s="1787"/>
    </row>
    <row r="35" spans="2:18" ht="18.75" customHeight="1" x14ac:dyDescent="0.3">
      <c r="B35" s="770" t="s">
        <v>432</v>
      </c>
      <c r="C35" s="542"/>
      <c r="D35" s="799" t="s">
        <v>430</v>
      </c>
      <c r="E35" s="1786"/>
      <c r="F35" s="1786"/>
      <c r="G35" s="1786"/>
      <c r="H35" s="1786"/>
      <c r="I35" s="1786"/>
      <c r="J35" s="1786"/>
      <c r="K35" s="1786"/>
      <c r="L35" s="1786"/>
      <c r="M35" s="1786"/>
      <c r="N35" s="1786"/>
      <c r="O35" s="1786"/>
      <c r="P35" s="1786"/>
      <c r="Q35" s="1786"/>
    </row>
    <row r="36" spans="2:18" ht="18.75" customHeight="1" x14ac:dyDescent="0.3">
      <c r="B36" s="771" t="s">
        <v>433</v>
      </c>
      <c r="C36" s="905"/>
      <c r="D36" s="799" t="s">
        <v>430</v>
      </c>
      <c r="E36" s="1787"/>
      <c r="F36" s="1787"/>
      <c r="G36" s="1787"/>
      <c r="H36" s="1787"/>
      <c r="I36" s="1787"/>
      <c r="J36" s="1787"/>
      <c r="K36" s="1787"/>
      <c r="L36" s="1787"/>
      <c r="M36" s="1787"/>
      <c r="N36" s="1787"/>
      <c r="O36" s="1787"/>
      <c r="P36" s="1787"/>
      <c r="Q36" s="1787"/>
    </row>
    <row r="37" spans="2:18" ht="18.75" customHeight="1" x14ac:dyDescent="0.3">
      <c r="B37" s="771" t="s">
        <v>434</v>
      </c>
      <c r="C37" s="905">
        <f>IF(C27="RET",C33+(C34-C35),C34-C35)</f>
        <v>0</v>
      </c>
      <c r="D37" s="799" t="s">
        <v>430</v>
      </c>
      <c r="E37" s="1787"/>
      <c r="F37" s="1787"/>
      <c r="G37" s="1787"/>
      <c r="H37" s="1787"/>
      <c r="I37" s="1787"/>
      <c r="J37" s="1787"/>
      <c r="K37" s="1787"/>
      <c r="L37" s="1787"/>
      <c r="M37" s="1787"/>
      <c r="N37" s="1787"/>
      <c r="O37" s="1787"/>
      <c r="P37" s="1787"/>
      <c r="Q37" s="1787"/>
    </row>
    <row r="38" spans="2:18" ht="18.75" customHeight="1" x14ac:dyDescent="0.3">
      <c r="B38" s="779"/>
      <c r="C38" s="780"/>
      <c r="D38" s="781"/>
      <c r="E38" s="780"/>
      <c r="F38" s="780"/>
      <c r="G38" s="780"/>
      <c r="H38" s="780"/>
      <c r="I38" s="780"/>
      <c r="J38" s="780"/>
      <c r="K38" s="780"/>
      <c r="L38" s="780"/>
      <c r="M38" s="780"/>
      <c r="N38" s="780"/>
    </row>
    <row r="39" spans="2:18" ht="18.75" customHeight="1" x14ac:dyDescent="0.3">
      <c r="B39" s="782" t="s">
        <v>435</v>
      </c>
      <c r="C39" s="783"/>
      <c r="D39" s="783"/>
      <c r="E39" s="783"/>
      <c r="F39" s="783"/>
      <c r="G39" s="783"/>
      <c r="H39" s="784"/>
      <c r="I39" s="784"/>
      <c r="J39" s="784"/>
      <c r="K39" s="784"/>
      <c r="L39" s="784"/>
      <c r="M39" s="784"/>
      <c r="N39" s="784"/>
      <c r="O39" s="784"/>
      <c r="P39" s="784"/>
      <c r="Q39" s="785"/>
    </row>
    <row r="41" spans="2:18" ht="18.75" customHeight="1" x14ac:dyDescent="0.3">
      <c r="B41" s="786" t="s">
        <v>436</v>
      </c>
      <c r="C41" s="1731" t="s">
        <v>437</v>
      </c>
      <c r="D41" s="1732"/>
      <c r="E41" s="1732"/>
      <c r="F41" s="1732"/>
      <c r="G41" s="1732"/>
      <c r="H41" s="1732"/>
      <c r="I41" s="1732"/>
      <c r="J41" s="1732"/>
      <c r="K41" s="1732"/>
      <c r="L41" s="1732"/>
      <c r="M41" s="1733"/>
      <c r="N41" s="1223" t="s">
        <v>406</v>
      </c>
      <c r="O41" s="1223" t="s">
        <v>428</v>
      </c>
      <c r="P41" s="1734" t="s">
        <v>419</v>
      </c>
      <c r="Q41" s="1734"/>
    </row>
    <row r="42" spans="2:18" ht="18.75" customHeight="1" x14ac:dyDescent="0.3">
      <c r="B42" s="792" t="s">
        <v>438</v>
      </c>
      <c r="C42" s="1775" t="s">
        <v>439</v>
      </c>
      <c r="D42" s="1776"/>
      <c r="E42" s="1776"/>
      <c r="F42" s="1776"/>
      <c r="G42" s="1776"/>
      <c r="H42" s="1776"/>
      <c r="I42" s="1776"/>
      <c r="J42" s="1776"/>
      <c r="K42" s="1776"/>
      <c r="L42" s="1776"/>
      <c r="M42" s="1777"/>
      <c r="N42" s="797">
        <f>N48+N54</f>
        <v>0</v>
      </c>
      <c r="O42" s="787" t="s">
        <v>440</v>
      </c>
      <c r="P42" s="1729"/>
      <c r="Q42" s="1729"/>
      <c r="R42" s="767"/>
    </row>
    <row r="43" spans="2:18" ht="18.75" customHeight="1" x14ac:dyDescent="0.3">
      <c r="B43" s="792" t="s">
        <v>441</v>
      </c>
      <c r="C43" s="1775" t="s">
        <v>442</v>
      </c>
      <c r="D43" s="1776"/>
      <c r="E43" s="1776"/>
      <c r="F43" s="1776"/>
      <c r="G43" s="1776"/>
      <c r="H43" s="1776"/>
      <c r="I43" s="1776"/>
      <c r="J43" s="1776"/>
      <c r="K43" s="1776"/>
      <c r="L43" s="1776"/>
      <c r="M43" s="1777"/>
      <c r="N43" s="798">
        <f>N49+N55</f>
        <v>1.9839378723073111</v>
      </c>
      <c r="O43" s="787" t="s">
        <v>443</v>
      </c>
      <c r="P43" s="1729"/>
      <c r="Q43" s="1729"/>
      <c r="R43" s="767"/>
    </row>
    <row r="44" spans="2:18" ht="18.75" customHeight="1" x14ac:dyDescent="0.3">
      <c r="B44" s="792" t="s">
        <v>444</v>
      </c>
      <c r="C44" s="1775" t="s">
        <v>445</v>
      </c>
      <c r="D44" s="1776"/>
      <c r="E44" s="1776"/>
      <c r="F44" s="1776"/>
      <c r="G44" s="1776"/>
      <c r="H44" s="1776"/>
      <c r="I44" s="1776"/>
      <c r="J44" s="1776"/>
      <c r="K44" s="1776"/>
      <c r="L44" s="1776"/>
      <c r="M44" s="1777"/>
      <c r="N44" s="797">
        <f>N50+N56</f>
        <v>0.22745766326655475</v>
      </c>
      <c r="O44" s="787" t="s">
        <v>446</v>
      </c>
      <c r="P44" s="1729"/>
      <c r="Q44" s="1729"/>
      <c r="R44" s="767"/>
    </row>
    <row r="45" spans="2:18" ht="18.75" customHeight="1" x14ac:dyDescent="0.3">
      <c r="B45" s="792" t="s">
        <v>447</v>
      </c>
      <c r="C45" s="1775" t="s">
        <v>448</v>
      </c>
      <c r="D45" s="1776"/>
      <c r="E45" s="1776"/>
      <c r="F45" s="1776"/>
      <c r="G45" s="1776"/>
      <c r="H45" s="1776"/>
      <c r="I45" s="1776"/>
      <c r="J45" s="1776"/>
      <c r="K45" s="1776"/>
      <c r="L45" s="1776"/>
      <c r="M45" s="1777"/>
      <c r="N45" s="797">
        <f>N51+N57</f>
        <v>0</v>
      </c>
      <c r="O45" s="787" t="s">
        <v>449</v>
      </c>
      <c r="P45" s="1729"/>
      <c r="Q45" s="1729"/>
      <c r="R45" s="767"/>
    </row>
    <row r="46" spans="2:18" ht="18.75" customHeight="1" x14ac:dyDescent="0.3">
      <c r="B46" s="793"/>
      <c r="C46" s="780"/>
      <c r="D46" s="780"/>
      <c r="E46" s="780"/>
      <c r="F46" s="780"/>
      <c r="G46" s="780"/>
      <c r="H46" s="780"/>
      <c r="I46" s="780"/>
      <c r="J46" s="780"/>
      <c r="K46" s="780"/>
      <c r="L46" s="780"/>
      <c r="M46" s="780"/>
      <c r="Q46" s="768"/>
      <c r="R46" s="767"/>
    </row>
    <row r="47" spans="2:18" ht="18.75" customHeight="1" x14ac:dyDescent="0.3">
      <c r="B47" s="786" t="s">
        <v>450</v>
      </c>
      <c r="C47" s="1731" t="s">
        <v>451</v>
      </c>
      <c r="D47" s="1732"/>
      <c r="E47" s="1732"/>
      <c r="F47" s="1732"/>
      <c r="G47" s="1732"/>
      <c r="H47" s="1732"/>
      <c r="I47" s="1732"/>
      <c r="J47" s="1732"/>
      <c r="K47" s="1732"/>
      <c r="L47" s="1732"/>
      <c r="M47" s="1733"/>
      <c r="N47" s="1223" t="s">
        <v>406</v>
      </c>
      <c r="O47" s="1223" t="s">
        <v>428</v>
      </c>
      <c r="P47" s="1734" t="s">
        <v>419</v>
      </c>
      <c r="Q47" s="1734"/>
      <c r="R47" s="767"/>
    </row>
    <row r="48" spans="2:18" ht="18.75" customHeight="1" x14ac:dyDescent="0.3">
      <c r="B48" s="792" t="s">
        <v>452</v>
      </c>
      <c r="C48" s="1726" t="s">
        <v>453</v>
      </c>
      <c r="D48" s="1727"/>
      <c r="E48" s="1727"/>
      <c r="F48" s="1727"/>
      <c r="G48" s="1727"/>
      <c r="H48" s="1727"/>
      <c r="I48" s="1727"/>
      <c r="J48" s="1727"/>
      <c r="K48" s="1727"/>
      <c r="L48" s="1727"/>
      <c r="M48" s="1728"/>
      <c r="N48" s="805"/>
      <c r="O48" s="787" t="s">
        <v>440</v>
      </c>
      <c r="P48" s="1729"/>
      <c r="Q48" s="1729"/>
      <c r="R48" s="767"/>
    </row>
    <row r="49" spans="2:18" ht="46.5" customHeight="1" x14ac:dyDescent="0.3">
      <c r="B49" s="792" t="s">
        <v>454</v>
      </c>
      <c r="C49" s="1860" t="s">
        <v>1096</v>
      </c>
      <c r="D49" s="1861"/>
      <c r="E49" s="1861"/>
      <c r="F49" s="1861"/>
      <c r="G49" s="1861"/>
      <c r="H49" s="1861"/>
      <c r="I49" s="1861"/>
      <c r="J49" s="1861"/>
      <c r="K49" s="1861"/>
      <c r="L49" s="1861"/>
      <c r="M49" s="1862"/>
      <c r="N49" s="808">
        <f>(1-H62)*(H63/H64*H65*H66 + H68/H69*H70*H71)+H62*N50*H67*kWh_per_GJ</f>
        <v>1.9839378723073111</v>
      </c>
      <c r="O49" s="787" t="s">
        <v>443</v>
      </c>
      <c r="P49" s="1863"/>
      <c r="Q49" s="1864"/>
      <c r="R49" s="767"/>
    </row>
    <row r="50" spans="2:18" ht="18.75" customHeight="1" x14ac:dyDescent="0.3">
      <c r="B50" s="792" t="s">
        <v>456</v>
      </c>
      <c r="C50" s="1726" t="s">
        <v>1097</v>
      </c>
      <c r="D50" s="1727"/>
      <c r="E50" s="1727"/>
      <c r="F50" s="1727"/>
      <c r="G50" s="1727"/>
      <c r="H50" s="1727"/>
      <c r="I50" s="1727"/>
      <c r="J50" s="1727"/>
      <c r="K50" s="1727"/>
      <c r="L50" s="1727"/>
      <c r="M50" s="1728"/>
      <c r="N50" s="808">
        <f>H62*(H65*H72/H73*H66)*GJ_per_BTU*1000</f>
        <v>0.22745766326655475</v>
      </c>
      <c r="O50" s="787" t="s">
        <v>446</v>
      </c>
      <c r="P50" s="1863"/>
      <c r="Q50" s="1864"/>
      <c r="R50" s="767"/>
    </row>
    <row r="51" spans="2:18" ht="18.75" customHeight="1" x14ac:dyDescent="0.3">
      <c r="B51" s="792" t="s">
        <v>458</v>
      </c>
      <c r="C51" s="1726" t="s">
        <v>459</v>
      </c>
      <c r="D51" s="1727"/>
      <c r="E51" s="1727"/>
      <c r="F51" s="1727"/>
      <c r="G51" s="1727"/>
      <c r="H51" s="1727"/>
      <c r="I51" s="1727"/>
      <c r="J51" s="1727"/>
      <c r="K51" s="1727"/>
      <c r="L51" s="1727"/>
      <c r="M51" s="1728"/>
      <c r="N51" s="806"/>
      <c r="O51" s="787" t="s">
        <v>449</v>
      </c>
      <c r="P51" s="1729"/>
      <c r="Q51" s="1729"/>
      <c r="R51" s="767"/>
    </row>
    <row r="52" spans="2:18" ht="18.75" customHeight="1" x14ac:dyDescent="0.3">
      <c r="B52" s="793"/>
      <c r="C52" s="780"/>
      <c r="D52" s="780"/>
      <c r="E52" s="780"/>
      <c r="F52" s="780"/>
      <c r="G52" s="780"/>
      <c r="H52" s="780"/>
      <c r="I52" s="780"/>
      <c r="J52" s="780"/>
      <c r="K52" s="780"/>
      <c r="L52" s="780"/>
      <c r="M52" s="780"/>
      <c r="Q52" s="768"/>
      <c r="R52" s="767"/>
    </row>
    <row r="53" spans="2:18" ht="18.75" customHeight="1" x14ac:dyDescent="0.3">
      <c r="B53" s="786" t="s">
        <v>460</v>
      </c>
      <c r="C53" s="1731" t="s">
        <v>461</v>
      </c>
      <c r="D53" s="1732"/>
      <c r="E53" s="1732"/>
      <c r="F53" s="1732"/>
      <c r="G53" s="1732"/>
      <c r="H53" s="1732"/>
      <c r="I53" s="1732"/>
      <c r="J53" s="1732"/>
      <c r="K53" s="1732"/>
      <c r="L53" s="1732"/>
      <c r="M53" s="1733"/>
      <c r="N53" s="1223" t="s">
        <v>406</v>
      </c>
      <c r="O53" s="1223" t="s">
        <v>428</v>
      </c>
      <c r="P53" s="1734" t="s">
        <v>419</v>
      </c>
      <c r="Q53" s="1734"/>
      <c r="R53" s="767"/>
    </row>
    <row r="54" spans="2:18" ht="18.75" customHeight="1" x14ac:dyDescent="0.3">
      <c r="B54" s="792" t="s">
        <v>462</v>
      </c>
      <c r="C54" s="1726" t="s">
        <v>463</v>
      </c>
      <c r="D54" s="1727"/>
      <c r="E54" s="1727"/>
      <c r="F54" s="1727"/>
      <c r="G54" s="1727"/>
      <c r="H54" s="1727"/>
      <c r="I54" s="1727"/>
      <c r="J54" s="1727"/>
      <c r="K54" s="1727"/>
      <c r="L54" s="1727"/>
      <c r="M54" s="1728"/>
      <c r="N54" s="805"/>
      <c r="O54" s="787" t="s">
        <v>440</v>
      </c>
      <c r="P54" s="1729"/>
      <c r="Q54" s="1729"/>
      <c r="R54" s="767"/>
    </row>
    <row r="55" spans="2:18" ht="18.75" customHeight="1" x14ac:dyDescent="0.3">
      <c r="B55" s="792" t="s">
        <v>464</v>
      </c>
      <c r="C55" s="1726" t="s">
        <v>465</v>
      </c>
      <c r="D55" s="1727"/>
      <c r="E55" s="1727"/>
      <c r="F55" s="1727"/>
      <c r="G55" s="1727"/>
      <c r="H55" s="1727"/>
      <c r="I55" s="1727"/>
      <c r="J55" s="1727"/>
      <c r="K55" s="1727"/>
      <c r="L55" s="1727"/>
      <c r="M55" s="1728"/>
      <c r="N55" s="807"/>
      <c r="O55" s="787" t="s">
        <v>443</v>
      </c>
      <c r="P55" s="1729"/>
      <c r="Q55" s="1729"/>
      <c r="R55" s="767"/>
    </row>
    <row r="56" spans="2:18" ht="18.75" customHeight="1" x14ac:dyDescent="0.3">
      <c r="B56" s="792" t="s">
        <v>466</v>
      </c>
      <c r="C56" s="1726" t="s">
        <v>516</v>
      </c>
      <c r="D56" s="1727"/>
      <c r="E56" s="1727"/>
      <c r="F56" s="1727"/>
      <c r="G56" s="1727"/>
      <c r="H56" s="1727"/>
      <c r="I56" s="1727"/>
      <c r="J56" s="1727"/>
      <c r="K56" s="1727"/>
      <c r="L56" s="1727"/>
      <c r="M56" s="1728"/>
      <c r="N56" s="808"/>
      <c r="O56" s="787" t="s">
        <v>446</v>
      </c>
      <c r="P56" s="1729"/>
      <c r="Q56" s="1729"/>
      <c r="R56" s="767"/>
    </row>
    <row r="57" spans="2:18" ht="18.75" customHeight="1" x14ac:dyDescent="0.3">
      <c r="B57" s="792" t="s">
        <v>468</v>
      </c>
      <c r="C57" s="1726" t="s">
        <v>469</v>
      </c>
      <c r="D57" s="1727"/>
      <c r="E57" s="1727"/>
      <c r="F57" s="1727"/>
      <c r="G57" s="1727"/>
      <c r="H57" s="1727"/>
      <c r="I57" s="1727"/>
      <c r="J57" s="1727"/>
      <c r="K57" s="1727"/>
      <c r="L57" s="1727"/>
      <c r="M57" s="1728"/>
      <c r="N57" s="809"/>
      <c r="O57" s="787" t="s">
        <v>449</v>
      </c>
      <c r="P57" s="1729"/>
      <c r="Q57" s="1729"/>
      <c r="R57" s="767"/>
    </row>
    <row r="58" spans="2:18" ht="18.75" customHeight="1" x14ac:dyDescent="0.3">
      <c r="B58" s="788"/>
      <c r="C58" s="779"/>
      <c r="D58" s="780"/>
      <c r="E58" s="780"/>
      <c r="F58" s="780"/>
      <c r="G58" s="780"/>
      <c r="H58" s="780"/>
      <c r="I58" s="780"/>
      <c r="J58" s="780"/>
      <c r="K58" s="780"/>
      <c r="L58" s="780"/>
      <c r="M58" s="780"/>
      <c r="N58" s="780"/>
      <c r="O58" s="780"/>
    </row>
    <row r="59" spans="2:18" ht="18.75" customHeight="1" x14ac:dyDescent="0.3">
      <c r="B59" s="782" t="s">
        <v>470</v>
      </c>
      <c r="C59" s="783"/>
      <c r="D59" s="783"/>
      <c r="E59" s="783"/>
      <c r="F59" s="783"/>
      <c r="G59" s="783"/>
      <c r="H59" s="784"/>
      <c r="I59" s="784"/>
      <c r="J59" s="784"/>
      <c r="K59" s="784"/>
      <c r="L59" s="784"/>
      <c r="M59" s="784"/>
      <c r="N59" s="784"/>
      <c r="O59" s="784"/>
      <c r="P59" s="784"/>
      <c r="Q59" s="785"/>
    </row>
    <row r="61" spans="2:18" ht="18.75" customHeight="1" x14ac:dyDescent="0.3">
      <c r="B61" s="786" t="s">
        <v>471</v>
      </c>
      <c r="C61" s="786" t="s">
        <v>472</v>
      </c>
      <c r="D61" s="1785" t="s">
        <v>473</v>
      </c>
      <c r="E61" s="1785"/>
      <c r="F61" s="786" t="s">
        <v>474</v>
      </c>
      <c r="G61" s="786" t="s">
        <v>765</v>
      </c>
      <c r="H61" s="786" t="s">
        <v>406</v>
      </c>
      <c r="I61" s="786" t="s">
        <v>428</v>
      </c>
      <c r="J61" s="1741" t="s">
        <v>476</v>
      </c>
      <c r="K61" s="1742"/>
      <c r="L61" s="1742"/>
      <c r="M61" s="1742"/>
      <c r="N61" s="1742"/>
      <c r="O61" s="1742"/>
      <c r="P61" s="1742"/>
      <c r="Q61" s="1743"/>
    </row>
    <row r="62" spans="2:18" ht="13" x14ac:dyDescent="0.3">
      <c r="B62" s="794">
        <v>1</v>
      </c>
      <c r="C62" s="810" t="s">
        <v>799</v>
      </c>
      <c r="D62" s="1744" t="s">
        <v>1098</v>
      </c>
      <c r="E62" s="1744"/>
      <c r="F62" s="811"/>
      <c r="G62" s="811"/>
      <c r="H62" s="906">
        <v>1</v>
      </c>
      <c r="I62" s="811" t="s">
        <v>519</v>
      </c>
      <c r="J62" s="1472" t="s">
        <v>921</v>
      </c>
      <c r="K62" s="1473"/>
      <c r="L62" s="1473"/>
      <c r="M62" s="1473"/>
      <c r="N62" s="1473"/>
      <c r="O62" s="1473"/>
      <c r="P62" s="1473"/>
      <c r="Q62" s="1474"/>
      <c r="R62" s="767"/>
    </row>
    <row r="63" spans="2:18" ht="31.5" customHeight="1" x14ac:dyDescent="0.3">
      <c r="B63" s="795">
        <v>2</v>
      </c>
      <c r="C63" s="813" t="s">
        <v>1099</v>
      </c>
      <c r="D63" s="1869" t="s">
        <v>1100</v>
      </c>
      <c r="E63" s="1869"/>
      <c r="F63" s="814"/>
      <c r="G63" s="814"/>
      <c r="H63" s="885">
        <v>1</v>
      </c>
      <c r="I63" s="814" t="s">
        <v>1101</v>
      </c>
      <c r="J63" s="1482" t="s">
        <v>1102</v>
      </c>
      <c r="K63" s="1544"/>
      <c r="L63" s="1544"/>
      <c r="M63" s="1544"/>
      <c r="N63" s="1544"/>
      <c r="O63" s="1544"/>
      <c r="P63" s="1544"/>
      <c r="Q63" s="1545"/>
      <c r="R63" s="767"/>
    </row>
    <row r="64" spans="2:18" ht="28.5" customHeight="1" x14ac:dyDescent="0.3">
      <c r="B64" s="791">
        <v>3</v>
      </c>
      <c r="C64" s="907" t="s">
        <v>1103</v>
      </c>
      <c r="D64" s="1865" t="s">
        <v>1104</v>
      </c>
      <c r="E64" s="1865"/>
      <c r="F64" s="908"/>
      <c r="G64" s="908"/>
      <c r="H64" s="909">
        <f>SpaceHeatingEfficiency.CI.E*BTU_per_kWh/1000</f>
        <v>5.0495609592210746</v>
      </c>
      <c r="I64" s="908" t="s">
        <v>641</v>
      </c>
      <c r="J64" s="1866" t="s">
        <v>1105</v>
      </c>
      <c r="K64" s="1867"/>
      <c r="L64" s="1867"/>
      <c r="M64" s="1867"/>
      <c r="N64" s="1867"/>
      <c r="O64" s="1867"/>
      <c r="P64" s="1867"/>
      <c r="Q64" s="1868"/>
      <c r="R64" s="767"/>
    </row>
    <row r="65" spans="2:18" ht="36.65" customHeight="1" x14ac:dyDescent="0.3">
      <c r="B65" s="794">
        <v>4</v>
      </c>
      <c r="C65" s="810" t="s">
        <v>530</v>
      </c>
      <c r="D65" s="1744" t="s">
        <v>1106</v>
      </c>
      <c r="E65" s="1744"/>
      <c r="F65" s="811" t="str">
        <f>C28</f>
        <v>Other</v>
      </c>
      <c r="G65" s="890" t="str">
        <f>$C$26</f>
        <v>Average</v>
      </c>
      <c r="H65" s="890">
        <f>INDEX(EFLH[#All],MATCH(F65,EFLH[[#All],[EFLH]],0),MATCH(G65,EFLH[#Headers],0))</f>
        <v>2617.8472419520012</v>
      </c>
      <c r="I65" s="811" t="s">
        <v>532</v>
      </c>
      <c r="J65" s="1462" t="s">
        <v>533</v>
      </c>
      <c r="K65" s="1470"/>
      <c r="L65" s="1470"/>
      <c r="M65" s="1470"/>
      <c r="N65" s="1470"/>
      <c r="O65" s="1470"/>
      <c r="P65" s="1470"/>
      <c r="Q65" s="1471"/>
      <c r="R65" s="767"/>
    </row>
    <row r="66" spans="2:18" ht="33" customHeight="1" x14ac:dyDescent="0.3">
      <c r="B66" s="791">
        <v>5</v>
      </c>
      <c r="C66" s="810" t="s">
        <v>521</v>
      </c>
      <c r="D66" s="1744" t="s">
        <v>1107</v>
      </c>
      <c r="E66" s="1744"/>
      <c r="F66" s="811"/>
      <c r="G66" s="811"/>
      <c r="H66" s="906">
        <v>7.0000000000000007E-2</v>
      </c>
      <c r="I66" s="811" t="s">
        <v>519</v>
      </c>
      <c r="J66" s="1735" t="s">
        <v>1108</v>
      </c>
      <c r="K66" s="1736"/>
      <c r="L66" s="1736"/>
      <c r="M66" s="1736"/>
      <c r="N66" s="1736"/>
      <c r="O66" s="1736"/>
      <c r="P66" s="1736"/>
      <c r="Q66" s="1737"/>
      <c r="R66" s="767"/>
    </row>
    <row r="67" spans="2:18" ht="33" customHeight="1" x14ac:dyDescent="0.3">
      <c r="B67" s="794">
        <v>6</v>
      </c>
      <c r="C67" s="810" t="s">
        <v>1109</v>
      </c>
      <c r="D67" s="1744" t="s">
        <v>1110</v>
      </c>
      <c r="E67" s="1744"/>
      <c r="F67" s="811"/>
      <c r="G67" s="811"/>
      <c r="H67" s="906">
        <v>3.1399999999999997E-2</v>
      </c>
      <c r="I67" s="811" t="s">
        <v>519</v>
      </c>
      <c r="J67" s="1735" t="s">
        <v>1095</v>
      </c>
      <c r="K67" s="1736"/>
      <c r="L67" s="1736"/>
      <c r="M67" s="1736"/>
      <c r="N67" s="1736"/>
      <c r="O67" s="1736"/>
      <c r="P67" s="1736"/>
      <c r="Q67" s="1737"/>
      <c r="R67" s="767"/>
    </row>
    <row r="68" spans="2:18" ht="49.5" customHeight="1" x14ac:dyDescent="0.3">
      <c r="B68" s="795">
        <v>7</v>
      </c>
      <c r="C68" s="813" t="s">
        <v>1111</v>
      </c>
      <c r="D68" s="1869" t="s">
        <v>1112</v>
      </c>
      <c r="E68" s="1869"/>
      <c r="F68" s="814"/>
      <c r="G68" s="814"/>
      <c r="H68" s="910">
        <v>1</v>
      </c>
      <c r="I68" s="814" t="s">
        <v>1101</v>
      </c>
      <c r="J68" s="1482" t="s">
        <v>1102</v>
      </c>
      <c r="K68" s="1544"/>
      <c r="L68" s="1544"/>
      <c r="M68" s="1544"/>
      <c r="N68" s="1544"/>
      <c r="O68" s="1544"/>
      <c r="P68" s="1544"/>
      <c r="Q68" s="1545"/>
      <c r="R68" s="767"/>
    </row>
    <row r="69" spans="2:18" ht="29.25" customHeight="1" x14ac:dyDescent="0.3">
      <c r="B69" s="794">
        <v>8</v>
      </c>
      <c r="C69" s="907" t="s">
        <v>549</v>
      </c>
      <c r="D69" s="1865" t="s">
        <v>1113</v>
      </c>
      <c r="E69" s="1865"/>
      <c r="F69" s="1217"/>
      <c r="G69" s="1238"/>
      <c r="H69" s="911">
        <f>SpaceCoolingEfficiency.CI.SEER</f>
        <v>12</v>
      </c>
      <c r="I69" s="1238" t="s">
        <v>641</v>
      </c>
      <c r="J69" s="1468" t="s">
        <v>1114</v>
      </c>
      <c r="K69" s="1478"/>
      <c r="L69" s="1478"/>
      <c r="M69" s="1478"/>
      <c r="N69" s="1478"/>
      <c r="O69" s="1478"/>
      <c r="P69" s="1478"/>
      <c r="Q69" s="1469"/>
      <c r="R69" s="767"/>
    </row>
    <row r="70" spans="2:18" ht="33" customHeight="1" x14ac:dyDescent="0.3">
      <c r="B70" s="791">
        <v>9</v>
      </c>
      <c r="C70" s="810" t="s">
        <v>545</v>
      </c>
      <c r="D70" s="1744" t="s">
        <v>1115</v>
      </c>
      <c r="E70" s="1744"/>
      <c r="F70" s="811" t="str">
        <f>C28</f>
        <v>Other</v>
      </c>
      <c r="G70" s="890" t="str">
        <f>$C$26</f>
        <v>Average</v>
      </c>
      <c r="H70" s="912">
        <f>INDEX(EFLC[#All],MATCH(F70,EFLC[[#All],[EFLC]],0),MATCH(G70,EFLC[#Headers],0))</f>
        <v>102.21882660823093</v>
      </c>
      <c r="I70" s="811" t="s">
        <v>532</v>
      </c>
      <c r="J70" s="1462" t="s">
        <v>638</v>
      </c>
      <c r="K70" s="1470"/>
      <c r="L70" s="1470"/>
      <c r="M70" s="1470"/>
      <c r="N70" s="1470"/>
      <c r="O70" s="1470"/>
      <c r="P70" s="1470"/>
      <c r="Q70" s="1471"/>
      <c r="R70" s="767"/>
    </row>
    <row r="71" spans="2:18" ht="24.75" customHeight="1" x14ac:dyDescent="0.3">
      <c r="B71" s="794">
        <v>10</v>
      </c>
      <c r="C71" s="810" t="s">
        <v>1116</v>
      </c>
      <c r="D71" s="1744" t="s">
        <v>1117</v>
      </c>
      <c r="E71" s="1744"/>
      <c r="F71" s="811"/>
      <c r="G71" s="811"/>
      <c r="H71" s="906">
        <v>0.08</v>
      </c>
      <c r="I71" s="811" t="s">
        <v>519</v>
      </c>
      <c r="J71" s="1735" t="s">
        <v>1118</v>
      </c>
      <c r="K71" s="1736"/>
      <c r="L71" s="1736"/>
      <c r="M71" s="1736"/>
      <c r="N71" s="1736"/>
      <c r="O71" s="1736"/>
      <c r="P71" s="1736"/>
      <c r="Q71" s="1737"/>
      <c r="R71" s="767"/>
    </row>
    <row r="72" spans="2:18" ht="46.5" customHeight="1" x14ac:dyDescent="0.3">
      <c r="B72" s="795">
        <v>11</v>
      </c>
      <c r="C72" s="813" t="s">
        <v>1119</v>
      </c>
      <c r="D72" s="1869" t="s">
        <v>1120</v>
      </c>
      <c r="E72" s="1869"/>
      <c r="F72" s="814"/>
      <c r="G72" s="814"/>
      <c r="H72" s="910">
        <v>1</v>
      </c>
      <c r="I72" s="814" t="s">
        <v>1101</v>
      </c>
      <c r="J72" s="1482" t="s">
        <v>1102</v>
      </c>
      <c r="K72" s="1544"/>
      <c r="L72" s="1544"/>
      <c r="M72" s="1544"/>
      <c r="N72" s="1544"/>
      <c r="O72" s="1544"/>
      <c r="P72" s="1544"/>
      <c r="Q72" s="1545"/>
      <c r="R72" s="767"/>
    </row>
    <row r="73" spans="2:18" ht="34.5" customHeight="1" x14ac:dyDescent="0.3">
      <c r="B73" s="794">
        <v>12</v>
      </c>
      <c r="C73" s="907" t="s">
        <v>517</v>
      </c>
      <c r="D73" s="1865" t="s">
        <v>1121</v>
      </c>
      <c r="E73" s="1865"/>
      <c r="F73" s="908"/>
      <c r="G73" s="908"/>
      <c r="H73" s="913">
        <f>SpaceHeatingEfficiency.CI.NG</f>
        <v>0.85</v>
      </c>
      <c r="I73" s="908" t="s">
        <v>519</v>
      </c>
      <c r="J73" s="1468" t="s">
        <v>1029</v>
      </c>
      <c r="K73" s="1478"/>
      <c r="L73" s="1478"/>
      <c r="M73" s="1478"/>
      <c r="N73" s="1478"/>
      <c r="O73" s="1478"/>
      <c r="P73" s="1478"/>
      <c r="Q73" s="1469"/>
      <c r="R73" s="767"/>
    </row>
    <row r="74" spans="2:18" ht="13" x14ac:dyDescent="0.3">
      <c r="B74" s="791">
        <v>13</v>
      </c>
      <c r="C74" s="810"/>
      <c r="D74" s="1744"/>
      <c r="E74" s="1744"/>
      <c r="F74" s="811"/>
      <c r="G74" s="811"/>
      <c r="H74" s="890"/>
      <c r="I74" s="811"/>
      <c r="J74" s="1735"/>
      <c r="K74" s="1736"/>
      <c r="L74" s="1736"/>
      <c r="M74" s="1736"/>
      <c r="N74" s="1736"/>
      <c r="O74" s="1736"/>
      <c r="P74" s="1736"/>
      <c r="Q74" s="1737"/>
      <c r="R74" s="767"/>
    </row>
    <row r="75" spans="2:18" ht="13" x14ac:dyDescent="0.3">
      <c r="B75" s="794">
        <v>14</v>
      </c>
      <c r="C75" s="810"/>
      <c r="D75" s="1744"/>
      <c r="E75" s="1744"/>
      <c r="F75" s="811"/>
      <c r="G75" s="811"/>
      <c r="H75" s="906"/>
      <c r="I75" s="811"/>
      <c r="J75" s="1735"/>
      <c r="K75" s="1736"/>
      <c r="L75" s="1736"/>
      <c r="M75" s="1736"/>
      <c r="N75" s="1736"/>
      <c r="O75" s="1736"/>
      <c r="P75" s="1736"/>
      <c r="Q75" s="1737"/>
      <c r="R75" s="767"/>
    </row>
    <row r="76" spans="2:18" ht="13" x14ac:dyDescent="0.3">
      <c r="B76" s="791">
        <v>15</v>
      </c>
      <c r="C76" s="810"/>
      <c r="D76" s="1744"/>
      <c r="E76" s="1744"/>
      <c r="F76" s="811"/>
      <c r="G76" s="811"/>
      <c r="H76" s="906"/>
      <c r="I76" s="811"/>
      <c r="J76" s="1735"/>
      <c r="K76" s="1736"/>
      <c r="L76" s="1736"/>
      <c r="M76" s="1736"/>
      <c r="N76" s="1736"/>
      <c r="O76" s="1736"/>
      <c r="P76" s="1736"/>
      <c r="Q76" s="1737"/>
      <c r="R76" s="767"/>
    </row>
    <row r="77" spans="2:18" ht="18.75" customHeight="1" x14ac:dyDescent="0.3">
      <c r="R77" s="767"/>
    </row>
    <row r="78" spans="2:18" ht="18.75" customHeight="1" x14ac:dyDescent="0.3">
      <c r="B78" s="782" t="s">
        <v>1030</v>
      </c>
      <c r="C78" s="783"/>
      <c r="D78" s="783"/>
      <c r="E78" s="783"/>
      <c r="F78" s="783"/>
      <c r="G78" s="783"/>
      <c r="H78" s="784"/>
      <c r="I78" s="784"/>
      <c r="J78" s="784"/>
      <c r="K78" s="784"/>
      <c r="L78" s="784"/>
      <c r="M78" s="784"/>
      <c r="N78" s="784"/>
      <c r="O78" s="784"/>
      <c r="P78" s="784"/>
      <c r="Q78" s="785"/>
      <c r="R78" s="767"/>
    </row>
    <row r="79" spans="2:18" ht="18.75" customHeight="1" x14ac:dyDescent="0.3">
      <c r="R79" s="767"/>
    </row>
    <row r="80" spans="2:18" ht="18.75" customHeight="1" x14ac:dyDescent="0.3">
      <c r="B80" s="786" t="s">
        <v>478</v>
      </c>
      <c r="C80" s="786" t="s">
        <v>1031</v>
      </c>
      <c r="D80" s="1222" t="s">
        <v>1032</v>
      </c>
      <c r="E80" s="1796" t="s">
        <v>476</v>
      </c>
      <c r="F80" s="1796"/>
      <c r="G80" s="1796"/>
      <c r="H80" s="1796"/>
      <c r="I80" s="1796"/>
      <c r="J80" s="1796"/>
      <c r="K80" s="1796"/>
      <c r="L80" s="1796"/>
      <c r="M80" s="1796"/>
      <c r="N80" s="1796"/>
      <c r="O80" s="1796"/>
      <c r="P80" s="1796"/>
      <c r="Q80" s="1796"/>
      <c r="R80" s="767"/>
    </row>
    <row r="81" spans="2:18" ht="13" x14ac:dyDescent="0.3">
      <c r="B81" s="794">
        <v>1</v>
      </c>
      <c r="C81" s="837" t="s">
        <v>1033</v>
      </c>
      <c r="D81" s="838">
        <v>1000</v>
      </c>
      <c r="E81" s="1795"/>
      <c r="F81" s="1795"/>
      <c r="G81" s="1795"/>
      <c r="H81" s="1795"/>
      <c r="I81" s="1795"/>
      <c r="J81" s="1795"/>
      <c r="K81" s="1795"/>
      <c r="L81" s="1795"/>
      <c r="M81" s="1795"/>
      <c r="N81" s="1795"/>
      <c r="O81" s="1795"/>
      <c r="P81" s="1795"/>
      <c r="Q81" s="1795"/>
      <c r="R81" s="767"/>
    </row>
    <row r="82" spans="2:18" ht="13" x14ac:dyDescent="0.3">
      <c r="B82" s="794">
        <v>2</v>
      </c>
      <c r="C82" s="837" t="s">
        <v>1034</v>
      </c>
      <c r="D82" s="839">
        <f>0.03412*0.10548</f>
        <v>3.5989775999999999E-3</v>
      </c>
      <c r="E82" s="1794"/>
      <c r="F82" s="1794"/>
      <c r="G82" s="1794"/>
      <c r="H82" s="1794"/>
      <c r="I82" s="1794"/>
      <c r="J82" s="1794"/>
      <c r="K82" s="1794"/>
      <c r="L82" s="1794"/>
      <c r="M82" s="1794"/>
      <c r="N82" s="1794"/>
      <c r="O82" s="1794"/>
      <c r="P82" s="1794"/>
      <c r="Q82" s="1794"/>
      <c r="R82" s="767"/>
    </row>
    <row r="83" spans="2:18" ht="13" x14ac:dyDescent="0.3">
      <c r="B83" s="794">
        <v>3</v>
      </c>
      <c r="C83" s="837" t="s">
        <v>1035</v>
      </c>
      <c r="D83" s="839">
        <v>3.7854099999999999E-3</v>
      </c>
      <c r="E83" s="1795"/>
      <c r="F83" s="1795"/>
      <c r="G83" s="1795"/>
      <c r="H83" s="1795"/>
      <c r="I83" s="1795"/>
      <c r="J83" s="1795"/>
      <c r="K83" s="1795"/>
      <c r="L83" s="1795"/>
      <c r="M83" s="1795"/>
      <c r="N83" s="1795"/>
      <c r="O83" s="1795"/>
      <c r="P83" s="1795"/>
      <c r="Q83" s="1795"/>
      <c r="R83" s="767"/>
    </row>
    <row r="84" spans="2:18" ht="13" x14ac:dyDescent="0.3">
      <c r="B84" s="794">
        <v>4</v>
      </c>
      <c r="C84" s="837" t="s">
        <v>1036</v>
      </c>
      <c r="D84" s="839">
        <v>0.1055</v>
      </c>
      <c r="E84" s="1794"/>
      <c r="F84" s="1794"/>
      <c r="G84" s="1794"/>
      <c r="H84" s="1794"/>
      <c r="I84" s="1794"/>
      <c r="J84" s="1794"/>
      <c r="K84" s="1794"/>
      <c r="L84" s="1794"/>
      <c r="M84" s="1794"/>
      <c r="N84" s="1794"/>
      <c r="O84" s="1794"/>
      <c r="P84" s="1794"/>
      <c r="Q84" s="1794"/>
      <c r="R84" s="767"/>
    </row>
    <row r="85" spans="2:18" ht="13" x14ac:dyDescent="0.3">
      <c r="B85" s="794">
        <v>5</v>
      </c>
      <c r="C85" s="837" t="s">
        <v>1122</v>
      </c>
      <c r="D85" s="914">
        <v>1.0000000000000001E-5</v>
      </c>
      <c r="E85" s="1795"/>
      <c r="F85" s="1795"/>
      <c r="G85" s="1795"/>
      <c r="H85" s="1795"/>
      <c r="I85" s="1795"/>
      <c r="J85" s="1795"/>
      <c r="K85" s="1795"/>
      <c r="L85" s="1795"/>
      <c r="M85" s="1795"/>
      <c r="N85" s="1795"/>
      <c r="O85" s="1795"/>
      <c r="P85" s="1795"/>
      <c r="Q85" s="1795"/>
      <c r="R85" s="767"/>
    </row>
    <row r="86" spans="2:18" ht="13" x14ac:dyDescent="0.3">
      <c r="B86" s="794">
        <v>6</v>
      </c>
      <c r="C86" s="837" t="s">
        <v>1123</v>
      </c>
      <c r="D86" s="915">
        <v>29.3</v>
      </c>
      <c r="E86" s="1794"/>
      <c r="F86" s="1794"/>
      <c r="G86" s="1794"/>
      <c r="H86" s="1794"/>
      <c r="I86" s="1794"/>
      <c r="J86" s="1794"/>
      <c r="K86" s="1794"/>
      <c r="L86" s="1794"/>
      <c r="M86" s="1794"/>
      <c r="N86" s="1794"/>
      <c r="O86" s="1794"/>
      <c r="P86" s="1794"/>
      <c r="Q86" s="1794"/>
      <c r="R86" s="767"/>
    </row>
    <row r="87" spans="2:18" ht="13" x14ac:dyDescent="0.3">
      <c r="B87" s="794">
        <v>7</v>
      </c>
      <c r="C87" s="837"/>
      <c r="D87" s="838"/>
      <c r="E87" s="1795"/>
      <c r="F87" s="1795"/>
      <c r="G87" s="1795"/>
      <c r="H87" s="1795"/>
      <c r="I87" s="1795"/>
      <c r="J87" s="1795"/>
      <c r="K87" s="1795"/>
      <c r="L87" s="1795"/>
      <c r="M87" s="1795"/>
      <c r="N87" s="1795"/>
      <c r="O87" s="1795"/>
      <c r="P87" s="1795"/>
      <c r="Q87" s="1795"/>
      <c r="R87" s="767"/>
    </row>
    <row r="88" spans="2:18" ht="13" x14ac:dyDescent="0.3">
      <c r="B88" s="794">
        <v>8</v>
      </c>
      <c r="C88" s="837"/>
      <c r="D88" s="839"/>
      <c r="E88" s="1794"/>
      <c r="F88" s="1794"/>
      <c r="G88" s="1794"/>
      <c r="H88" s="1794"/>
      <c r="I88" s="1794"/>
      <c r="J88" s="1794"/>
      <c r="K88" s="1794"/>
      <c r="L88" s="1794"/>
      <c r="M88" s="1794"/>
      <c r="N88" s="1794"/>
      <c r="O88" s="1794"/>
      <c r="P88" s="1794"/>
      <c r="Q88" s="1794"/>
      <c r="R88" s="767"/>
    </row>
    <row r="89" spans="2:18" ht="13" x14ac:dyDescent="0.3">
      <c r="B89" s="794">
        <v>9</v>
      </c>
      <c r="C89" s="837"/>
      <c r="D89" s="838"/>
      <c r="E89" s="1795"/>
      <c r="F89" s="1795"/>
      <c r="G89" s="1795"/>
      <c r="H89" s="1795"/>
      <c r="I89" s="1795"/>
      <c r="J89" s="1795"/>
      <c r="K89" s="1795"/>
      <c r="L89" s="1795"/>
      <c r="M89" s="1795"/>
      <c r="N89" s="1795"/>
      <c r="O89" s="1795"/>
      <c r="P89" s="1795"/>
      <c r="Q89" s="1795"/>
      <c r="R89" s="767"/>
    </row>
    <row r="90" spans="2:18" ht="13" x14ac:dyDescent="0.3">
      <c r="B90" s="794">
        <v>10</v>
      </c>
      <c r="C90" s="837"/>
      <c r="D90" s="839"/>
      <c r="E90" s="1794"/>
      <c r="F90" s="1794"/>
      <c r="G90" s="1794"/>
      <c r="H90" s="1794"/>
      <c r="I90" s="1794"/>
      <c r="J90" s="1794"/>
      <c r="K90" s="1794"/>
      <c r="L90" s="1794"/>
      <c r="M90" s="1794"/>
      <c r="N90" s="1794"/>
      <c r="O90" s="1794"/>
      <c r="P90" s="1794"/>
      <c r="Q90" s="1794"/>
      <c r="R90" s="767"/>
    </row>
    <row r="91" spans="2:18" ht="18.75" customHeight="1" x14ac:dyDescent="0.3">
      <c r="R91" s="767"/>
    </row>
    <row r="92" spans="2:18" ht="18.75" customHeight="1" x14ac:dyDescent="0.3">
      <c r="B92" s="782" t="s">
        <v>492</v>
      </c>
      <c r="C92" s="783"/>
      <c r="D92" s="783"/>
      <c r="E92" s="783"/>
      <c r="F92" s="783"/>
      <c r="G92" s="783"/>
      <c r="H92" s="784"/>
      <c r="I92" s="784"/>
      <c r="J92" s="784"/>
      <c r="K92" s="784"/>
      <c r="L92" s="784"/>
      <c r="M92" s="784"/>
      <c r="N92" s="784"/>
      <c r="O92" s="784"/>
      <c r="P92" s="784"/>
      <c r="Q92" s="785"/>
      <c r="R92" s="767"/>
    </row>
    <row r="93" spans="2:18" ht="18.75" customHeight="1" x14ac:dyDescent="0.3">
      <c r="R93" s="767"/>
    </row>
    <row r="94" spans="2:18" s="488" customFormat="1" ht="18.75" customHeight="1" x14ac:dyDescent="0.3">
      <c r="B94" s="523" t="s">
        <v>493</v>
      </c>
      <c r="E94" s="1402" t="s">
        <v>494</v>
      </c>
      <c r="F94" s="1403"/>
      <c r="G94" s="1403"/>
      <c r="H94" s="1403"/>
      <c r="I94" s="1403"/>
      <c r="J94" s="1403"/>
      <c r="K94" s="1403"/>
      <c r="L94" s="1403"/>
      <c r="M94" s="1403"/>
      <c r="N94" s="1403"/>
      <c r="O94" s="1404" t="s">
        <v>476</v>
      </c>
      <c r="P94" s="1405"/>
      <c r="Q94" s="1406"/>
    </row>
    <row r="95" spans="2:18" s="488" customFormat="1" ht="25.5" customHeight="1" x14ac:dyDescent="0.3">
      <c r="B95" s="1498" t="s">
        <v>1124</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row>
    <row r="96" spans="2:18" s="488" customFormat="1" ht="36.75" customHeight="1" x14ac:dyDescent="0.3">
      <c r="B96" s="1188" t="s">
        <v>478</v>
      </c>
      <c r="C96" s="1402" t="s">
        <v>538</v>
      </c>
      <c r="D96" s="1431"/>
      <c r="E96" s="565" t="s">
        <v>1125</v>
      </c>
      <c r="F96" s="565" t="s">
        <v>1126</v>
      </c>
      <c r="G96" s="565"/>
      <c r="H96" s="565"/>
      <c r="I96" s="565"/>
      <c r="J96" s="565"/>
      <c r="K96" s="565"/>
      <c r="L96" s="565"/>
      <c r="M96" s="565"/>
      <c r="N96" s="566"/>
      <c r="O96" s="1410"/>
      <c r="P96" s="1411"/>
      <c r="Q96" s="1412"/>
    </row>
    <row r="97" spans="2:17" s="488" customFormat="1" ht="78" x14ac:dyDescent="0.3">
      <c r="B97" s="533">
        <v>1</v>
      </c>
      <c r="C97" s="916" t="s">
        <v>1127</v>
      </c>
      <c r="D97" s="1241" t="s">
        <v>1128</v>
      </c>
      <c r="E97" s="917">
        <v>12.9</v>
      </c>
      <c r="F97" s="918">
        <v>43101</v>
      </c>
      <c r="G97" s="919"/>
      <c r="H97" s="919"/>
      <c r="I97" s="568"/>
      <c r="J97" s="568"/>
      <c r="K97" s="568"/>
      <c r="L97" s="568"/>
      <c r="M97" s="568"/>
      <c r="N97" s="568"/>
      <c r="O97" s="1501" t="s">
        <v>1129</v>
      </c>
      <c r="P97" s="1502"/>
      <c r="Q97" s="1503"/>
    </row>
    <row r="98" spans="2:17" s="488" customFormat="1" ht="65" x14ac:dyDescent="0.3">
      <c r="B98" s="533">
        <v>2</v>
      </c>
      <c r="C98" s="916" t="s">
        <v>1130</v>
      </c>
      <c r="D98" s="1241" t="s">
        <v>1128</v>
      </c>
      <c r="E98" s="917">
        <v>12.7</v>
      </c>
      <c r="F98" s="918">
        <v>43101</v>
      </c>
      <c r="G98" s="919"/>
      <c r="H98" s="919"/>
      <c r="I98" s="568"/>
      <c r="J98" s="568"/>
      <c r="K98" s="568"/>
      <c r="L98" s="568"/>
      <c r="M98" s="568"/>
      <c r="N98" s="568"/>
      <c r="O98" s="1501" t="s">
        <v>1129</v>
      </c>
      <c r="P98" s="1502"/>
      <c r="Q98" s="1503"/>
    </row>
    <row r="99" spans="2:17" s="488" customFormat="1" ht="78" x14ac:dyDescent="0.3">
      <c r="B99" s="533">
        <v>3</v>
      </c>
      <c r="C99" s="916" t="s">
        <v>1131</v>
      </c>
      <c r="D99" s="1241" t="s">
        <v>1128</v>
      </c>
      <c r="E99" s="917">
        <v>12.4</v>
      </c>
      <c r="F99" s="918">
        <v>43101</v>
      </c>
      <c r="G99" s="919"/>
      <c r="H99" s="919"/>
      <c r="I99" s="568"/>
      <c r="J99" s="568"/>
      <c r="K99" s="568"/>
      <c r="L99" s="568"/>
      <c r="M99" s="568"/>
      <c r="N99" s="568"/>
      <c r="O99" s="1501" t="s">
        <v>1129</v>
      </c>
      <c r="P99" s="1502"/>
      <c r="Q99" s="1503"/>
    </row>
    <row r="100" spans="2:17" s="488" customFormat="1" ht="65" x14ac:dyDescent="0.3">
      <c r="B100" s="533">
        <v>4</v>
      </c>
      <c r="C100" s="916" t="s">
        <v>1132</v>
      </c>
      <c r="D100" s="1241" t="s">
        <v>1128</v>
      </c>
      <c r="E100" s="917">
        <v>12.2</v>
      </c>
      <c r="F100" s="918">
        <v>43101</v>
      </c>
      <c r="G100" s="919"/>
      <c r="H100" s="919"/>
      <c r="I100" s="568"/>
      <c r="J100" s="568"/>
      <c r="K100" s="568"/>
      <c r="L100" s="568"/>
      <c r="M100" s="568"/>
      <c r="N100" s="568"/>
      <c r="O100" s="1501" t="s">
        <v>1129</v>
      </c>
      <c r="P100" s="1502"/>
      <c r="Q100" s="1503"/>
    </row>
    <row r="101" spans="2:17" s="488" customFormat="1" ht="78" x14ac:dyDescent="0.3">
      <c r="B101" s="533">
        <v>5</v>
      </c>
      <c r="C101" s="916" t="s">
        <v>1133</v>
      </c>
      <c r="D101" s="1241" t="s">
        <v>1128</v>
      </c>
      <c r="E101" s="917">
        <v>11.6</v>
      </c>
      <c r="F101" s="918">
        <v>43101</v>
      </c>
      <c r="G101" s="919"/>
      <c r="H101" s="919"/>
      <c r="I101" s="568"/>
      <c r="J101" s="568"/>
      <c r="K101" s="568"/>
      <c r="L101" s="568"/>
      <c r="M101" s="568"/>
      <c r="N101" s="568"/>
      <c r="O101" s="1501" t="s">
        <v>1129</v>
      </c>
      <c r="P101" s="1502"/>
      <c r="Q101" s="1503"/>
    </row>
    <row r="102" spans="2:17" s="488" customFormat="1" ht="65" x14ac:dyDescent="0.3">
      <c r="B102" s="533">
        <v>6</v>
      </c>
      <c r="C102" s="916" t="s">
        <v>1134</v>
      </c>
      <c r="D102" s="1241" t="s">
        <v>1128</v>
      </c>
      <c r="E102" s="917">
        <v>11.4</v>
      </c>
      <c r="F102" s="918">
        <v>43101</v>
      </c>
      <c r="G102" s="919"/>
      <c r="H102" s="919"/>
      <c r="I102" s="569"/>
      <c r="J102" s="569"/>
      <c r="K102" s="569"/>
      <c r="L102" s="569"/>
      <c r="M102" s="569"/>
      <c r="N102" s="569"/>
      <c r="O102" s="1501" t="s">
        <v>1129</v>
      </c>
      <c r="P102" s="1502"/>
      <c r="Q102" s="1503"/>
    </row>
    <row r="103" spans="2:17" s="488" customFormat="1" ht="65" x14ac:dyDescent="0.3">
      <c r="B103" s="533">
        <v>7</v>
      </c>
      <c r="C103" s="916" t="s">
        <v>1135</v>
      </c>
      <c r="D103" s="1217" t="s">
        <v>1136</v>
      </c>
      <c r="E103" s="917">
        <v>13</v>
      </c>
      <c r="F103" s="918">
        <v>39615</v>
      </c>
      <c r="G103" s="919"/>
      <c r="H103" s="919"/>
      <c r="I103" s="569"/>
      <c r="J103" s="569"/>
      <c r="K103" s="569"/>
      <c r="L103" s="569"/>
      <c r="M103" s="569"/>
      <c r="N103" s="569"/>
      <c r="O103" s="1501" t="s">
        <v>1129</v>
      </c>
      <c r="P103" s="1502"/>
      <c r="Q103" s="1503"/>
    </row>
    <row r="104" spans="2:17" s="488" customFormat="1" ht="65" x14ac:dyDescent="0.3">
      <c r="B104" s="533">
        <v>8</v>
      </c>
      <c r="C104" s="916" t="s">
        <v>1135</v>
      </c>
      <c r="D104" s="1217" t="s">
        <v>1136</v>
      </c>
      <c r="E104" s="917">
        <v>14</v>
      </c>
      <c r="F104" s="918">
        <v>42736</v>
      </c>
      <c r="G104" s="919"/>
      <c r="H104" s="919"/>
      <c r="I104" s="569"/>
      <c r="J104" s="569"/>
      <c r="K104" s="569"/>
      <c r="L104" s="569"/>
      <c r="M104" s="569"/>
      <c r="N104" s="569"/>
      <c r="O104" s="1501" t="s">
        <v>1129</v>
      </c>
      <c r="P104" s="1502"/>
      <c r="Q104" s="1503"/>
    </row>
    <row r="105" spans="2:17" s="488" customFormat="1" ht="13" x14ac:dyDescent="0.3">
      <c r="B105" s="533">
        <v>9</v>
      </c>
      <c r="C105" s="546"/>
      <c r="D105" s="570"/>
      <c r="E105" s="1190"/>
      <c r="F105" s="920"/>
      <c r="G105" s="1217"/>
      <c r="H105" s="1217"/>
      <c r="I105" s="569"/>
      <c r="J105" s="569"/>
      <c r="K105" s="569"/>
      <c r="L105" s="569"/>
      <c r="M105" s="569"/>
      <c r="N105" s="569"/>
      <c r="O105" s="1492"/>
      <c r="P105" s="1493"/>
      <c r="Q105" s="1494"/>
    </row>
    <row r="106" spans="2:17" s="488" customFormat="1" ht="13" x14ac:dyDescent="0.3">
      <c r="B106" s="533">
        <v>10</v>
      </c>
      <c r="C106" s="546"/>
      <c r="D106" s="570"/>
      <c r="E106" s="1217"/>
      <c r="F106" s="920"/>
      <c r="G106" s="1217"/>
      <c r="H106" s="1217"/>
      <c r="I106" s="569"/>
      <c r="J106" s="569"/>
      <c r="K106" s="569"/>
      <c r="L106" s="569"/>
      <c r="M106" s="569"/>
      <c r="N106" s="569"/>
      <c r="O106" s="1492"/>
      <c r="P106" s="1493"/>
      <c r="Q106" s="1494"/>
    </row>
    <row r="107" spans="2:17" s="488" customFormat="1" ht="13" x14ac:dyDescent="0.3">
      <c r="B107" s="533">
        <v>11</v>
      </c>
      <c r="C107" s="546"/>
      <c r="D107" s="570"/>
      <c r="E107" s="571"/>
      <c r="F107" s="921"/>
      <c r="G107" s="571"/>
      <c r="H107" s="571"/>
      <c r="I107" s="569"/>
      <c r="J107" s="569"/>
      <c r="K107" s="569"/>
      <c r="L107" s="569"/>
      <c r="M107" s="569"/>
      <c r="N107" s="569"/>
      <c r="O107" s="1492"/>
      <c r="P107" s="1493"/>
      <c r="Q107" s="1494"/>
    </row>
    <row r="108" spans="2:17" s="488" customFormat="1" ht="13" x14ac:dyDescent="0.3">
      <c r="B108" s="533">
        <v>12</v>
      </c>
      <c r="C108" s="546"/>
      <c r="D108" s="570"/>
      <c r="E108" s="1217"/>
      <c r="F108" s="921"/>
      <c r="G108" s="1217"/>
      <c r="H108" s="1217"/>
      <c r="I108" s="569"/>
      <c r="J108" s="569"/>
      <c r="K108" s="569"/>
      <c r="L108" s="569"/>
      <c r="M108" s="569"/>
      <c r="N108" s="569"/>
      <c r="O108" s="1492"/>
      <c r="P108" s="1493"/>
      <c r="Q108" s="1494"/>
    </row>
    <row r="109" spans="2:17" s="488" customFormat="1" ht="13" x14ac:dyDescent="0.3">
      <c r="B109" s="533">
        <v>13</v>
      </c>
      <c r="C109" s="546"/>
      <c r="D109" s="570"/>
      <c r="E109" s="1217"/>
      <c r="F109" s="920"/>
      <c r="G109" s="1217"/>
      <c r="H109" s="1217"/>
      <c r="I109" s="569"/>
      <c r="J109" s="569"/>
      <c r="K109" s="569"/>
      <c r="L109" s="569"/>
      <c r="M109" s="569"/>
      <c r="N109" s="569"/>
      <c r="O109" s="1492"/>
      <c r="P109" s="1493"/>
      <c r="Q109" s="1494"/>
    </row>
    <row r="110" spans="2:17" s="488" customFormat="1" ht="13" x14ac:dyDescent="0.3">
      <c r="B110" s="533">
        <v>14</v>
      </c>
      <c r="C110" s="546"/>
      <c r="D110" s="570"/>
      <c r="E110" s="572"/>
      <c r="F110" s="920"/>
      <c r="G110" s="572"/>
      <c r="H110" s="572"/>
      <c r="I110" s="569"/>
      <c r="J110" s="569"/>
      <c r="K110" s="569"/>
      <c r="L110" s="569"/>
      <c r="M110" s="569"/>
      <c r="N110" s="569"/>
      <c r="O110" s="1492"/>
      <c r="P110" s="1493"/>
      <c r="Q110" s="1494"/>
    </row>
    <row r="111" spans="2:17" s="488" customFormat="1" ht="13" x14ac:dyDescent="0.3">
      <c r="B111" s="533">
        <v>15</v>
      </c>
      <c r="C111" s="546"/>
      <c r="D111" s="570"/>
      <c r="E111" s="572"/>
      <c r="F111" s="920"/>
      <c r="G111" s="572"/>
      <c r="H111" s="572"/>
      <c r="I111" s="569"/>
      <c r="J111" s="569"/>
      <c r="K111" s="569"/>
      <c r="L111" s="569"/>
      <c r="M111" s="569"/>
      <c r="N111" s="569"/>
      <c r="O111" s="1492"/>
      <c r="P111" s="1493"/>
      <c r="Q111" s="1494"/>
    </row>
    <row r="112" spans="2:17" s="488" customFormat="1" ht="13" x14ac:dyDescent="0.3">
      <c r="B112" s="533">
        <v>16</v>
      </c>
      <c r="C112" s="546"/>
      <c r="D112" s="570"/>
      <c r="E112" s="572"/>
      <c r="F112" s="920"/>
      <c r="G112" s="572"/>
      <c r="H112" s="572"/>
      <c r="I112" s="569"/>
      <c r="J112" s="569"/>
      <c r="K112" s="569"/>
      <c r="L112" s="569"/>
      <c r="M112" s="569"/>
      <c r="N112" s="569"/>
      <c r="O112" s="1492"/>
      <c r="P112" s="1493"/>
      <c r="Q112" s="1494"/>
    </row>
    <row r="113" spans="2:17" s="488" customFormat="1" ht="13" x14ac:dyDescent="0.3">
      <c r="B113" s="533">
        <v>17</v>
      </c>
      <c r="C113" s="546"/>
      <c r="D113" s="570"/>
      <c r="E113" s="572"/>
      <c r="F113" s="920"/>
      <c r="G113" s="572"/>
      <c r="H113" s="572"/>
      <c r="I113" s="569"/>
      <c r="J113" s="569"/>
      <c r="K113" s="569"/>
      <c r="L113" s="569"/>
      <c r="M113" s="569"/>
      <c r="N113" s="569"/>
      <c r="O113" s="1492"/>
      <c r="P113" s="1493"/>
      <c r="Q113" s="1494"/>
    </row>
    <row r="114" spans="2:17" s="488" customFormat="1" ht="13" x14ac:dyDescent="0.3">
      <c r="B114" s="533">
        <v>18</v>
      </c>
      <c r="C114" s="546"/>
      <c r="D114" s="570"/>
      <c r="E114" s="572"/>
      <c r="F114" s="920"/>
      <c r="G114" s="572"/>
      <c r="H114" s="572"/>
      <c r="I114" s="569"/>
      <c r="J114" s="569"/>
      <c r="K114" s="569"/>
      <c r="L114" s="569"/>
      <c r="M114" s="569"/>
      <c r="N114" s="569"/>
      <c r="O114" s="1492"/>
      <c r="P114" s="1493"/>
      <c r="Q114" s="1494"/>
    </row>
    <row r="115" spans="2:17" s="488" customFormat="1" ht="13" x14ac:dyDescent="0.3">
      <c r="B115" s="533">
        <v>19</v>
      </c>
      <c r="C115" s="546"/>
      <c r="D115" s="570"/>
      <c r="E115" s="572"/>
      <c r="F115" s="920"/>
      <c r="G115" s="572"/>
      <c r="H115" s="572"/>
      <c r="I115" s="569"/>
      <c r="J115" s="569"/>
      <c r="K115" s="569"/>
      <c r="L115" s="569"/>
      <c r="M115" s="569"/>
      <c r="N115" s="569"/>
      <c r="O115" s="1492"/>
      <c r="P115" s="1493"/>
      <c r="Q115" s="1494"/>
    </row>
    <row r="116" spans="2:17" s="488" customFormat="1" ht="13" x14ac:dyDescent="0.3">
      <c r="B116" s="533">
        <v>20</v>
      </c>
      <c r="C116" s="546"/>
      <c r="D116" s="570"/>
      <c r="E116" s="572"/>
      <c r="F116" s="920"/>
      <c r="G116" s="572"/>
      <c r="H116" s="572"/>
      <c r="I116" s="569"/>
      <c r="J116" s="569"/>
      <c r="K116" s="569"/>
      <c r="L116" s="569"/>
      <c r="M116" s="569"/>
      <c r="N116" s="569"/>
      <c r="O116" s="1492"/>
      <c r="P116" s="1493"/>
      <c r="Q116" s="1494"/>
    </row>
  </sheetData>
  <sheetProtection algorithmName="SHA-512" hashValue="rFgErjlLiqiHQP/Z5xlqN1XpXyxx2vMBLm6slwn6l9B5Mmy2+WEvwd5TO9afA+Xh2KfJg6BLldfTnXxtrFUA8g==" saltValue="y+PS63bCW5lagOWadLq8BA==" spinCount="100000" sheet="1" objects="1" scenarios="1" selectLockedCells="1" selectUnlockedCells="1"/>
  <mergeCells count="121">
    <mergeCell ref="D75:E75"/>
    <mergeCell ref="J75:Q75"/>
    <mergeCell ref="D69:E69"/>
    <mergeCell ref="J69:Q69"/>
    <mergeCell ref="D62:E62"/>
    <mergeCell ref="J62:Q62"/>
    <mergeCell ref="D70:E70"/>
    <mergeCell ref="J70:Q70"/>
    <mergeCell ref="D66:E66"/>
    <mergeCell ref="J66:Q66"/>
    <mergeCell ref="D67:E67"/>
    <mergeCell ref="J67:Q67"/>
    <mergeCell ref="D68:E68"/>
    <mergeCell ref="J68:Q68"/>
    <mergeCell ref="D63:E63"/>
    <mergeCell ref="J63:Q63"/>
    <mergeCell ref="O98:Q98"/>
    <mergeCell ref="O99:Q99"/>
    <mergeCell ref="O100:Q100"/>
    <mergeCell ref="O101:Q101"/>
    <mergeCell ref="O102:Q102"/>
    <mergeCell ref="O103:Q103"/>
    <mergeCell ref="E90:Q90"/>
    <mergeCell ref="E94:N94"/>
    <mergeCell ref="O94:Q96"/>
    <mergeCell ref="O116:Q116"/>
    <mergeCell ref="O110:Q110"/>
    <mergeCell ref="O111:Q111"/>
    <mergeCell ref="O112:Q112"/>
    <mergeCell ref="O113:Q113"/>
    <mergeCell ref="O114:Q114"/>
    <mergeCell ref="O115:Q115"/>
    <mergeCell ref="O104:Q104"/>
    <mergeCell ref="O105:Q105"/>
    <mergeCell ref="O106:Q106"/>
    <mergeCell ref="O107:Q107"/>
    <mergeCell ref="O108:Q108"/>
    <mergeCell ref="O109:Q109"/>
    <mergeCell ref="C96:D96"/>
    <mergeCell ref="O97:Q97"/>
    <mergeCell ref="B95:D95"/>
    <mergeCell ref="E84:Q84"/>
    <mergeCell ref="E85:Q85"/>
    <mergeCell ref="E86:Q86"/>
    <mergeCell ref="E87:Q87"/>
    <mergeCell ref="E88:Q88"/>
    <mergeCell ref="E89:Q89"/>
    <mergeCell ref="E80:Q80"/>
    <mergeCell ref="E81:Q81"/>
    <mergeCell ref="E82:Q82"/>
    <mergeCell ref="E83:Q83"/>
    <mergeCell ref="D64:E64"/>
    <mergeCell ref="J64:Q64"/>
    <mergeCell ref="D65:E65"/>
    <mergeCell ref="J65:Q65"/>
    <mergeCell ref="C56:M56"/>
    <mergeCell ref="P56:Q56"/>
    <mergeCell ref="C57:M57"/>
    <mergeCell ref="P57:Q57"/>
    <mergeCell ref="D61:E61"/>
    <mergeCell ref="J61:Q61"/>
    <mergeCell ref="D76:E76"/>
    <mergeCell ref="J76:Q76"/>
    <mergeCell ref="D71:E71"/>
    <mergeCell ref="J71:Q71"/>
    <mergeCell ref="D74:E74"/>
    <mergeCell ref="J74:Q74"/>
    <mergeCell ref="D72:E72"/>
    <mergeCell ref="J72:Q72"/>
    <mergeCell ref="D73:E73"/>
    <mergeCell ref="J73:Q73"/>
    <mergeCell ref="C53:M53"/>
    <mergeCell ref="P53:Q53"/>
    <mergeCell ref="C54:M54"/>
    <mergeCell ref="P54:Q54"/>
    <mergeCell ref="C55:M55"/>
    <mergeCell ref="P55:Q55"/>
    <mergeCell ref="C49:M49"/>
    <mergeCell ref="P49:Q49"/>
    <mergeCell ref="C50:M50"/>
    <mergeCell ref="P50:Q50"/>
    <mergeCell ref="C51:M51"/>
    <mergeCell ref="P51:Q51"/>
    <mergeCell ref="C45:M45"/>
    <mergeCell ref="P45:Q45"/>
    <mergeCell ref="C47:M47"/>
    <mergeCell ref="P47:Q47"/>
    <mergeCell ref="C48:M48"/>
    <mergeCell ref="P48:Q48"/>
    <mergeCell ref="C42:M42"/>
    <mergeCell ref="P42:Q42"/>
    <mergeCell ref="C43:M43"/>
    <mergeCell ref="P43:Q43"/>
    <mergeCell ref="C44:M44"/>
    <mergeCell ref="P44:Q44"/>
    <mergeCell ref="E34:Q34"/>
    <mergeCell ref="E35:Q35"/>
    <mergeCell ref="E36:Q36"/>
    <mergeCell ref="E37:Q37"/>
    <mergeCell ref="C41:M41"/>
    <mergeCell ref="P41:Q41"/>
    <mergeCell ref="D25:Q25"/>
    <mergeCell ref="D26:Q26"/>
    <mergeCell ref="D27:Q27"/>
    <mergeCell ref="D28:Q28"/>
    <mergeCell ref="E32:Q32"/>
    <mergeCell ref="E33:Q33"/>
    <mergeCell ref="D29:Q29"/>
    <mergeCell ref="D30:Q30"/>
    <mergeCell ref="D17:F17"/>
    <mergeCell ref="D18:F18"/>
    <mergeCell ref="B20:Q20"/>
    <mergeCell ref="C21:Q21"/>
    <mergeCell ref="C22:Q22"/>
    <mergeCell ref="C23:Q23"/>
    <mergeCell ref="C2:F2"/>
    <mergeCell ref="C3:F3"/>
    <mergeCell ref="C4:F4"/>
    <mergeCell ref="C5:F5"/>
    <mergeCell ref="D7:F7"/>
    <mergeCell ref="D8:F16"/>
  </mergeCells>
  <conditionalFormatting sqref="H64:H68 H70:H76">
    <cfRule type="expression" dxfId="3270" priority="32">
      <formula>IF(OR(#REF!="L",#REF!="C"),TRUE,FALSE)</formula>
    </cfRule>
  </conditionalFormatting>
  <conditionalFormatting sqref="H63">
    <cfRule type="expression" dxfId="3269" priority="28">
      <formula>IF(OR(#REF!="L",#REF!="C"),TRUE,FALSE)</formula>
    </cfRule>
  </conditionalFormatting>
  <conditionalFormatting sqref="H74">
    <cfRule type="expression" dxfId="3268" priority="27">
      <formula>IF(OR(#REF!="L",#REF!="C"),TRUE,FALSE)</formula>
    </cfRule>
  </conditionalFormatting>
  <conditionalFormatting sqref="H62">
    <cfRule type="expression" dxfId="3267" priority="26">
      <formula>IF(OR(#REF!="L",#REF!="C"),TRUE,FALSE)</formula>
    </cfRule>
  </conditionalFormatting>
  <conditionalFormatting sqref="F109:F116 G105:H116">
    <cfRule type="expression" dxfId="3266" priority="25">
      <formula>IF(OR(#REF!="L",#REF!="C"),TRUE,FALSE)</formula>
    </cfRule>
  </conditionalFormatting>
  <conditionalFormatting sqref="E110:E116">
    <cfRule type="expression" dxfId="3265" priority="24">
      <formula>IF(OR(#REF!="L",#REF!="C"),TRUE,FALSE)</formula>
    </cfRule>
  </conditionalFormatting>
  <conditionalFormatting sqref="E107">
    <cfRule type="expression" dxfId="3264" priority="23">
      <formula>IF(OR(#REF!="L",#REF!="C"),TRUE,FALSE)</formula>
    </cfRule>
  </conditionalFormatting>
  <conditionalFormatting sqref="E108">
    <cfRule type="expression" dxfId="3263" priority="22">
      <formula>IF(OR(#REF!="L",#REF!="C"),TRUE,FALSE)</formula>
    </cfRule>
  </conditionalFormatting>
  <conditionalFormatting sqref="E109">
    <cfRule type="expression" dxfId="3262" priority="21">
      <formula>IF(OR(#REF!="L",#REF!="C"),TRUE,FALSE)</formula>
    </cfRule>
  </conditionalFormatting>
  <conditionalFormatting sqref="E106">
    <cfRule type="expression" dxfId="3261" priority="20">
      <formula>IF(OR(#REF!="L",#REF!="C"),TRUE,FALSE)</formula>
    </cfRule>
  </conditionalFormatting>
  <conditionalFormatting sqref="E95 G95 I95 K95 M95">
    <cfRule type="duplicateValues" dxfId="3260" priority="19"/>
  </conditionalFormatting>
  <conditionalFormatting sqref="M104:M116">
    <cfRule type="expression" dxfId="3259" priority="9">
      <formula>IF(OR(#REF!="L",#REF!="C"),TRUE,FALSE)</formula>
    </cfRule>
  </conditionalFormatting>
  <conditionalFormatting sqref="F105:F106">
    <cfRule type="expression" dxfId="3258" priority="18">
      <formula>IF(OR(#REF!="L",#REF!="C"),TRUE,FALSE)</formula>
    </cfRule>
  </conditionalFormatting>
  <conditionalFormatting sqref="I102:I103">
    <cfRule type="expression" dxfId="3257" priority="16">
      <formula>IF(OR(#REF!="L",#REF!="C"),TRUE,FALSE)</formula>
    </cfRule>
  </conditionalFormatting>
  <conditionalFormatting sqref="N102:N103">
    <cfRule type="expression" dxfId="3256" priority="6">
      <formula>IF(OR(#REF!="L",#REF!="C"),TRUE,FALSE)</formula>
    </cfRule>
  </conditionalFormatting>
  <conditionalFormatting sqref="I104:I116">
    <cfRule type="expression" dxfId="3255" priority="17">
      <formula>IF(OR(#REF!="L",#REF!="C"),TRUE,FALSE)</formula>
    </cfRule>
  </conditionalFormatting>
  <conditionalFormatting sqref="J102:J103">
    <cfRule type="expression" dxfId="3254" priority="14">
      <formula>IF(OR(#REF!="L",#REF!="C"),TRUE,FALSE)</formula>
    </cfRule>
  </conditionalFormatting>
  <conditionalFormatting sqref="J104:J116">
    <cfRule type="expression" dxfId="3253" priority="15">
      <formula>IF(OR(#REF!="L",#REF!="C"),TRUE,FALSE)</formula>
    </cfRule>
  </conditionalFormatting>
  <conditionalFormatting sqref="K102:K103">
    <cfRule type="expression" dxfId="3252" priority="12">
      <formula>IF(OR(#REF!="L",#REF!="C"),TRUE,FALSE)</formula>
    </cfRule>
  </conditionalFormatting>
  <conditionalFormatting sqref="K104:K116">
    <cfRule type="expression" dxfId="3251" priority="13">
      <formula>IF(OR(#REF!="L",#REF!="C"),TRUE,FALSE)</formula>
    </cfRule>
  </conditionalFormatting>
  <conditionalFormatting sqref="L102:L103">
    <cfRule type="expression" dxfId="3250" priority="10">
      <formula>IF(OR(#REF!="L",#REF!="C"),TRUE,FALSE)</formula>
    </cfRule>
  </conditionalFormatting>
  <conditionalFormatting sqref="L104:L116">
    <cfRule type="expression" dxfId="3249" priority="11">
      <formula>IF(OR(#REF!="L",#REF!="C"),TRUE,FALSE)</formula>
    </cfRule>
  </conditionalFormatting>
  <conditionalFormatting sqref="M102:M103">
    <cfRule type="expression" dxfId="3248" priority="8">
      <formula>IF(OR(#REF!="L",#REF!="C"),TRUE,FALSE)</formula>
    </cfRule>
  </conditionalFormatting>
  <conditionalFormatting sqref="N104:N116">
    <cfRule type="expression" dxfId="3247" priority="7">
      <formula>IF(OR(#REF!="L",#REF!="C"),TRUE,FALSE)</formula>
    </cfRule>
  </conditionalFormatting>
  <conditionalFormatting sqref="O105:O116">
    <cfRule type="expression" dxfId="3246" priority="5">
      <formula>IF(OR(#REF!="L",#REF!="C"),TRUE,FALSE)</formula>
    </cfRule>
  </conditionalFormatting>
  <conditionalFormatting sqref="G96:N96">
    <cfRule type="duplicateValues" dxfId="3245" priority="4"/>
  </conditionalFormatting>
  <conditionalFormatting sqref="E96:F96">
    <cfRule type="duplicateValues" dxfId="3244" priority="3"/>
  </conditionalFormatting>
  <conditionalFormatting sqref="G65">
    <cfRule type="expression" dxfId="3243" priority="2">
      <formula>IF(OR(#REF!="L",#REF!="C"),TRUE,FALSE)</formula>
    </cfRule>
  </conditionalFormatting>
  <conditionalFormatting sqref="G70">
    <cfRule type="expression" dxfId="3242" priority="1">
      <formula>IF(OR(#REF!="L",#REF!="C"),TRUE,FALSE)</formula>
    </cfRule>
  </conditionalFormatting>
  <dataValidations count="7">
    <dataValidation type="list" allowBlank="1" showInputMessage="1" showErrorMessage="1" sqref="C4" xr:uid="{7E8433A3-6658-4393-BE95-4BE69AE5D9F0}">
      <formula1>"COM,RES"</formula1>
    </dataValidation>
    <dataValidation type="list" allowBlank="1" showInputMessage="1" showErrorMessage="1" sqref="F69" xr:uid="{1349E9C8-062B-49B9-814A-B8F88BEF3563}">
      <formula1>$C$97:$C$116</formula1>
    </dataValidation>
    <dataValidation type="list" allowBlank="1" showInputMessage="1" showErrorMessage="1" sqref="C9" xr:uid="{50BE8025-4ECA-4C87-B1C5-3CB9CEE1FC11}">
      <formula1>INDIRECT("MeasureTypeList[Index]")</formula1>
    </dataValidation>
    <dataValidation type="list" allowBlank="1" showInputMessage="1" showErrorMessage="1" sqref="C26" xr:uid="{5BDFB433-D3FA-47C0-98F1-BCC4E8851E63}">
      <formula1>INDIRECT("RegionList[Index]")</formula1>
    </dataValidation>
    <dataValidation type="list" allowBlank="1" showInputMessage="1" showErrorMessage="1" sqref="C27" xr:uid="{93D4C5E3-1C05-4430-8E62-C184EE2ED5CC}">
      <formula1>INDIRECT("ReplacementTypeList[Index]")</formula1>
    </dataValidation>
    <dataValidation type="list" allowBlank="1" showInputMessage="1" showErrorMessage="1" sqref="C28" xr:uid="{E5615E75-B444-4C8B-8B6A-2CF9D361C905}">
      <formula1>INDIRECT("BuildingType[Building]")</formula1>
    </dataValidation>
    <dataValidation type="list" allowBlank="1" showInputMessage="1" showErrorMessage="1" sqref="C29 C30" xr:uid="{86E42E9D-25DE-4432-8E81-58C0F2E810B5}">
      <formula1>INDIRECT("FuelTypeList[Index]")</formula1>
    </dataValidation>
  </dataValidation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6630A-3495-4FCF-A736-B8BDC338434D}">
  <sheetPr codeName="Sheet34"/>
  <dimension ref="A2:R116"/>
  <sheetViews>
    <sheetView workbookViewId="0"/>
  </sheetViews>
  <sheetFormatPr defaultColWidth="9.08984375" defaultRowHeight="18.75" customHeight="1" x14ac:dyDescent="0.3"/>
  <cols>
    <col min="1" max="1" width="2.36328125" style="488" customWidth="1"/>
    <col min="2" max="2" width="38.36328125" style="488" customWidth="1"/>
    <col min="3" max="3" width="19.81640625" style="488" customWidth="1"/>
    <col min="4" max="4" width="21.6328125" style="488" customWidth="1"/>
    <col min="5" max="5" width="21.08984375" style="488" customWidth="1"/>
    <col min="6" max="6" width="15.6328125" style="488" customWidth="1"/>
    <col min="7" max="7" width="19.6328125" style="488" customWidth="1"/>
    <col min="8" max="8" width="16"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C-HC-003</v>
      </c>
      <c r="D3" s="1367"/>
      <c r="E3" s="1367"/>
      <c r="F3" s="1367"/>
    </row>
    <row r="4" spans="1:18" ht="18.75" customHeight="1" x14ac:dyDescent="0.3">
      <c r="B4" s="490" t="s">
        <v>11</v>
      </c>
      <c r="C4" s="1367" t="str" cm="1">
        <f t="array" ref="C4">_xlfn.SWITCH(LEFT(C8,1),"R","Residential","C","Commercial","ERROR")</f>
        <v>Commercial</v>
      </c>
      <c r="D4" s="1367"/>
      <c r="E4" s="1367"/>
      <c r="F4" s="1367"/>
    </row>
    <row r="5" spans="1:18" ht="19.5" customHeight="1" x14ac:dyDescent="0.3">
      <c r="B5" s="490" t="s">
        <v>408</v>
      </c>
      <c r="C5" s="1530" t="s">
        <v>202</v>
      </c>
      <c r="D5" s="1531"/>
      <c r="E5" s="1531"/>
      <c r="F5" s="1532"/>
      <c r="R5" s="488"/>
    </row>
    <row r="6" spans="1:18" ht="18.75" customHeight="1" x14ac:dyDescent="0.3">
      <c r="A6" s="573"/>
    </row>
    <row r="7" spans="1:18" ht="18.75" customHeight="1" x14ac:dyDescent="0.3">
      <c r="B7" s="1193" t="s">
        <v>409</v>
      </c>
      <c r="C7" s="1192" t="s">
        <v>406</v>
      </c>
      <c r="D7" s="1363" t="s">
        <v>410</v>
      </c>
      <c r="E7" s="1363"/>
      <c r="F7" s="1363"/>
      <c r="R7" s="488"/>
    </row>
    <row r="8" spans="1:18" ht="18.75" customHeight="1" x14ac:dyDescent="0.3">
      <c r="B8" s="490" t="s">
        <v>411</v>
      </c>
      <c r="C8" s="1218" t="s">
        <v>75</v>
      </c>
      <c r="D8" s="1457"/>
      <c r="E8" s="1457"/>
      <c r="F8" s="1457"/>
      <c r="R8" s="488"/>
    </row>
    <row r="9" spans="1:18" ht="18.75" customHeight="1" x14ac:dyDescent="0.3">
      <c r="B9" s="490" t="s">
        <v>49</v>
      </c>
      <c r="C9" s="1218" t="s">
        <v>539</v>
      </c>
      <c r="D9" s="1457"/>
      <c r="E9" s="1457"/>
      <c r="F9" s="1457"/>
      <c r="R9" s="488"/>
    </row>
    <row r="10" spans="1:18" ht="18.75" customHeight="1" x14ac:dyDescent="0.3">
      <c r="B10" s="490" t="s">
        <v>412</v>
      </c>
      <c r="C10" s="1218"/>
      <c r="D10" s="1457"/>
      <c r="E10" s="1457"/>
      <c r="F10" s="1457"/>
      <c r="R10" s="488"/>
    </row>
    <row r="11" spans="1:18" ht="18.75" customHeight="1" x14ac:dyDescent="0.3">
      <c r="B11" s="490" t="s">
        <v>413</v>
      </c>
      <c r="C11" s="1218"/>
      <c r="D11" s="1457"/>
      <c r="E11" s="1457"/>
      <c r="F11" s="1457"/>
      <c r="R11" s="488"/>
    </row>
    <row r="12" spans="1:18" ht="18.75" customHeight="1" x14ac:dyDescent="0.3">
      <c r="B12" s="490" t="s">
        <v>414</v>
      </c>
      <c r="C12" s="665"/>
      <c r="D12" s="1457"/>
      <c r="E12" s="1457"/>
      <c r="F12" s="1457"/>
      <c r="R12" s="488"/>
    </row>
    <row r="13" spans="1:18" ht="18.75" customHeight="1" x14ac:dyDescent="0.3">
      <c r="B13" s="494" t="s">
        <v>415</v>
      </c>
      <c r="C13" s="658">
        <f>N43</f>
        <v>61.331295964938519</v>
      </c>
      <c r="D13" s="1457"/>
      <c r="E13" s="1457"/>
      <c r="F13" s="1457"/>
      <c r="R13" s="488"/>
    </row>
    <row r="14" spans="1:18" ht="18.75" customHeight="1" x14ac:dyDescent="0.3">
      <c r="B14" s="494" t="s">
        <v>416</v>
      </c>
      <c r="C14" s="658">
        <f>N42</f>
        <v>0</v>
      </c>
      <c r="D14" s="1457"/>
      <c r="E14" s="1457"/>
      <c r="F14" s="1457"/>
      <c r="R14" s="488"/>
    </row>
    <row r="15" spans="1:18" ht="18.75" customHeight="1" x14ac:dyDescent="0.3">
      <c r="B15" s="494" t="s">
        <v>417</v>
      </c>
      <c r="C15" s="658">
        <f>N44</f>
        <v>0</v>
      </c>
      <c r="D15" s="1457"/>
      <c r="E15" s="1457"/>
      <c r="F15" s="1457"/>
      <c r="R15" s="488"/>
    </row>
    <row r="16" spans="1:18" ht="18.75" customHeight="1" x14ac:dyDescent="0.3">
      <c r="B16" s="494" t="s">
        <v>418</v>
      </c>
      <c r="C16" s="659">
        <f>C37</f>
        <v>0</v>
      </c>
      <c r="D16" s="1457"/>
      <c r="E16" s="1457"/>
      <c r="F16" s="1457"/>
      <c r="R16" s="488"/>
    </row>
    <row r="17" spans="2:18" ht="18.75" customHeight="1" x14ac:dyDescent="0.3">
      <c r="B17" s="490" t="s">
        <v>48</v>
      </c>
      <c r="C17" s="1218" t="s">
        <v>1137</v>
      </c>
      <c r="D17" s="1363" t="s">
        <v>419</v>
      </c>
      <c r="E17" s="1363"/>
      <c r="F17" s="1363"/>
      <c r="R17" s="488"/>
    </row>
    <row r="18" spans="2:18" ht="18.75" customHeight="1" x14ac:dyDescent="0.3">
      <c r="B18" s="490" t="s">
        <v>420</v>
      </c>
      <c r="C18" s="666">
        <v>23</v>
      </c>
      <c r="D18" s="1513" t="s">
        <v>1138</v>
      </c>
      <c r="E18" s="1513"/>
      <c r="F18" s="1513"/>
      <c r="R18" s="488"/>
    </row>
    <row r="19" spans="2:18" ht="18.75" customHeight="1" x14ac:dyDescent="0.3">
      <c r="B19" s="497"/>
      <c r="C19" s="576"/>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44.25" customHeight="1" x14ac:dyDescent="0.3">
      <c r="B21" s="499" t="s">
        <v>422</v>
      </c>
      <c r="C21" s="1870" t="s">
        <v>203</v>
      </c>
      <c r="D21" s="1871"/>
      <c r="E21" s="1871"/>
      <c r="F21" s="1871"/>
      <c r="G21" s="1871"/>
      <c r="H21" s="1871"/>
      <c r="I21" s="1871"/>
      <c r="J21" s="1871"/>
      <c r="K21" s="1871"/>
      <c r="L21" s="1871"/>
      <c r="M21" s="1871"/>
      <c r="N21" s="1871"/>
      <c r="O21" s="1871"/>
      <c r="P21" s="1871"/>
      <c r="Q21" s="1872"/>
      <c r="R21" s="488" t="s">
        <v>835</v>
      </c>
    </row>
    <row r="22" spans="2:18" ht="33.65" customHeight="1" x14ac:dyDescent="0.3">
      <c r="B22" s="500" t="s">
        <v>423</v>
      </c>
      <c r="C22" s="1873" t="s">
        <v>204</v>
      </c>
      <c r="D22" s="1874"/>
      <c r="E22" s="1874"/>
      <c r="F22" s="1874"/>
      <c r="G22" s="1874"/>
      <c r="H22" s="1874"/>
      <c r="I22" s="1874"/>
      <c r="J22" s="1874"/>
      <c r="K22" s="1874"/>
      <c r="L22" s="1874"/>
      <c r="M22" s="1874"/>
      <c r="N22" s="1874"/>
      <c r="O22" s="1874"/>
      <c r="P22" s="1874"/>
      <c r="Q22" s="1875"/>
      <c r="R22" s="488" t="s">
        <v>835</v>
      </c>
    </row>
    <row r="23" spans="2:18" ht="18.75" customHeight="1"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800"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512"/>
      <c r="F33" s="1512"/>
      <c r="G33" s="1512"/>
      <c r="H33" s="1512"/>
      <c r="I33" s="1512"/>
      <c r="J33" s="1512"/>
      <c r="K33" s="1512"/>
      <c r="L33" s="1512"/>
      <c r="M33" s="1512"/>
      <c r="N33" s="1512"/>
      <c r="O33" s="1512"/>
      <c r="P33" s="1512"/>
      <c r="Q33" s="1512"/>
      <c r="R33" s="488"/>
    </row>
    <row r="34" spans="2:18" ht="18.75" customHeight="1" x14ac:dyDescent="0.3">
      <c r="B34" s="494" t="s">
        <v>431</v>
      </c>
      <c r="C34" s="542"/>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905"/>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905">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61.331295964938519</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1139</v>
      </c>
      <c r="D49" s="1505"/>
      <c r="E49" s="1505"/>
      <c r="F49" s="1505"/>
      <c r="G49" s="1505"/>
      <c r="H49" s="1505"/>
      <c r="I49" s="1505"/>
      <c r="J49" s="1505"/>
      <c r="K49" s="1505"/>
      <c r="L49" s="1505"/>
      <c r="M49" s="1506"/>
      <c r="N49" s="592">
        <f>H63 * (H64 - H65) * H62</f>
        <v>61.331295964938519</v>
      </c>
      <c r="O49" s="1243" t="s">
        <v>443</v>
      </c>
      <c r="P49" s="1511"/>
      <c r="Q49" s="1511"/>
      <c r="R49" s="488"/>
    </row>
    <row r="50" spans="2:18" ht="18.75" customHeight="1" x14ac:dyDescent="0.3">
      <c r="B50" s="582" t="s">
        <v>456</v>
      </c>
      <c r="C50" s="1504" t="s">
        <v>457</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467</v>
      </c>
      <c r="D56" s="1505"/>
      <c r="E56" s="1505"/>
      <c r="F56" s="1505"/>
      <c r="G56" s="1505"/>
      <c r="H56" s="1505"/>
      <c r="I56" s="1505"/>
      <c r="J56" s="1505"/>
      <c r="K56" s="1505"/>
      <c r="L56" s="1505"/>
      <c r="M56" s="1506"/>
      <c r="N56" s="594"/>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1188" t="s">
        <v>406</v>
      </c>
      <c r="I61" s="1188" t="s">
        <v>428</v>
      </c>
      <c r="J61" s="1396" t="s">
        <v>476</v>
      </c>
      <c r="K61" s="1397"/>
      <c r="L61" s="1397"/>
      <c r="M61" s="1397"/>
      <c r="N61" s="1397"/>
      <c r="O61" s="1397"/>
      <c r="P61" s="1397"/>
      <c r="Q61" s="1398"/>
    </row>
    <row r="62" spans="2:18" ht="15" customHeight="1" x14ac:dyDescent="0.3">
      <c r="B62" s="533">
        <v>1</v>
      </c>
      <c r="C62" s="546" t="s">
        <v>545</v>
      </c>
      <c r="D62" s="1539" t="s">
        <v>546</v>
      </c>
      <c r="E62" s="1539"/>
      <c r="F62" s="609" t="str">
        <f>C28</f>
        <v>Other</v>
      </c>
      <c r="G62" s="571" t="str">
        <f>$C$26</f>
        <v>Average</v>
      </c>
      <c r="H62" s="922">
        <f>INDEX(EFLC[#All],MATCH(F62,EFLC[[#All],[EFLC]],0),MATCH(G62,EFLC[#Headers],0))</f>
        <v>102.21882660823093</v>
      </c>
      <c r="I62" s="1217" t="s">
        <v>532</v>
      </c>
      <c r="J62" s="1462" t="s">
        <v>533</v>
      </c>
      <c r="K62" s="1470"/>
      <c r="L62" s="1470"/>
      <c r="M62" s="1470"/>
      <c r="N62" s="1470"/>
      <c r="O62" s="1470"/>
      <c r="P62" s="1470"/>
      <c r="Q62" s="1471"/>
      <c r="R62" s="488"/>
    </row>
    <row r="63" spans="2:18" ht="32.25" customHeight="1" x14ac:dyDescent="0.3">
      <c r="B63" s="535">
        <v>2</v>
      </c>
      <c r="C63" s="551" t="s">
        <v>534</v>
      </c>
      <c r="D63" s="1543" t="s">
        <v>547</v>
      </c>
      <c r="E63" s="1543"/>
      <c r="F63" s="758" t="str">
        <f>$H$66</f>
        <v>150 ton, 9.9 EER</v>
      </c>
      <c r="G63" s="552" t="s">
        <v>534</v>
      </c>
      <c r="H63" s="597">
        <v>1</v>
      </c>
      <c r="I63" s="552" t="s">
        <v>612</v>
      </c>
      <c r="J63" s="1482" t="s">
        <v>1140</v>
      </c>
      <c r="K63" s="1544"/>
      <c r="L63" s="1544"/>
      <c r="M63" s="1544"/>
      <c r="N63" s="1544"/>
      <c r="O63" s="1544"/>
      <c r="P63" s="1544"/>
      <c r="Q63" s="1545"/>
      <c r="R63" s="488"/>
    </row>
    <row r="64" spans="2:18" ht="15" customHeight="1" x14ac:dyDescent="0.3">
      <c r="B64" s="533">
        <v>3</v>
      </c>
      <c r="C64" s="546" t="s">
        <v>1141</v>
      </c>
      <c r="D64" s="1539" t="s">
        <v>1142</v>
      </c>
      <c r="E64" s="1539"/>
      <c r="F64" s="569" t="str">
        <f>$H$66</f>
        <v>150 ton, 9.9 EER</v>
      </c>
      <c r="G64" s="1217" t="s">
        <v>1143</v>
      </c>
      <c r="H64" s="567">
        <f>INDEX($B$96:$N$116,MATCH(F64,$C$96:$C$116,0),MATCH(G64,$B$96:$N$96,0))</f>
        <v>9.9</v>
      </c>
      <c r="I64" s="1217" t="s">
        <v>551</v>
      </c>
      <c r="J64" s="1468" t="s">
        <v>1138</v>
      </c>
      <c r="K64" s="1478"/>
      <c r="L64" s="1478"/>
      <c r="M64" s="1478"/>
      <c r="N64" s="1478"/>
      <c r="O64" s="1478"/>
      <c r="P64" s="1478"/>
      <c r="Q64" s="1469"/>
      <c r="R64" s="488"/>
    </row>
    <row r="65" spans="2:18" ht="15" customHeight="1" x14ac:dyDescent="0.3">
      <c r="B65" s="533">
        <v>4</v>
      </c>
      <c r="C65" s="546" t="s">
        <v>1144</v>
      </c>
      <c r="D65" s="1539" t="s">
        <v>1145</v>
      </c>
      <c r="E65" s="1539"/>
      <c r="F65" s="1217"/>
      <c r="G65" s="1217"/>
      <c r="H65" s="569">
        <v>9.3000000000000007</v>
      </c>
      <c r="I65" s="1217" t="s">
        <v>551</v>
      </c>
      <c r="J65" s="1468" t="s">
        <v>1138</v>
      </c>
      <c r="K65" s="1478"/>
      <c r="L65" s="1478"/>
      <c r="M65" s="1478"/>
      <c r="N65" s="1478"/>
      <c r="O65" s="1478"/>
      <c r="P65" s="1478"/>
      <c r="Q65" s="1469"/>
      <c r="R65" s="488"/>
    </row>
    <row r="66" spans="2:18" ht="37.9" customHeight="1" x14ac:dyDescent="0.3">
      <c r="B66" s="533">
        <v>5</v>
      </c>
      <c r="C66" s="546" t="s">
        <v>1146</v>
      </c>
      <c r="D66" s="1539" t="s">
        <v>1147</v>
      </c>
      <c r="E66" s="1539"/>
      <c r="F66" s="1217"/>
      <c r="G66" s="1217"/>
      <c r="H66" s="569" t="s">
        <v>1148</v>
      </c>
      <c r="I66" s="1217" t="s">
        <v>597</v>
      </c>
      <c r="J66" s="1468" t="s">
        <v>1138</v>
      </c>
      <c r="K66" s="1478"/>
      <c r="L66" s="1478"/>
      <c r="M66" s="1478"/>
      <c r="N66" s="1478"/>
      <c r="O66" s="1478"/>
      <c r="P66" s="1478"/>
      <c r="Q66" s="1469"/>
      <c r="R66" s="488"/>
    </row>
    <row r="67" spans="2:18" ht="13" x14ac:dyDescent="0.3">
      <c r="B67" s="533">
        <v>6</v>
      </c>
      <c r="C67" s="546"/>
      <c r="D67" s="1539"/>
      <c r="E67" s="1539"/>
      <c r="F67" s="1217"/>
      <c r="G67" s="1217"/>
      <c r="H67" s="890"/>
      <c r="I67" s="811"/>
      <c r="J67" s="1468"/>
      <c r="K67" s="1478"/>
      <c r="L67" s="1478"/>
      <c r="M67" s="1478"/>
      <c r="N67" s="1478"/>
      <c r="O67" s="1478"/>
      <c r="P67" s="1478"/>
      <c r="Q67" s="1469"/>
      <c r="R67" s="488"/>
    </row>
    <row r="68" spans="2:18" ht="13" x14ac:dyDescent="0.3">
      <c r="B68" s="533">
        <v>7</v>
      </c>
      <c r="C68" s="546"/>
      <c r="D68" s="1539"/>
      <c r="E68" s="1539"/>
      <c r="F68" s="1217"/>
      <c r="G68" s="1217"/>
      <c r="H68" s="554"/>
      <c r="I68" s="1217"/>
      <c r="J68" s="1468"/>
      <c r="K68" s="1478"/>
      <c r="L68" s="1478"/>
      <c r="M68" s="1478"/>
      <c r="N68" s="1478"/>
      <c r="O68" s="1478"/>
      <c r="P68" s="1478"/>
      <c r="Q68" s="1469"/>
      <c r="R68" s="488"/>
    </row>
    <row r="69" spans="2:18" ht="38.5" customHeight="1" x14ac:dyDescent="0.3">
      <c r="B69" s="533">
        <v>8</v>
      </c>
      <c r="C69" s="546"/>
      <c r="D69" s="1539"/>
      <c r="E69" s="1539"/>
      <c r="F69" s="1217"/>
      <c r="G69" s="1217"/>
      <c r="H69" s="554"/>
      <c r="I69" s="1217"/>
      <c r="J69" s="1468"/>
      <c r="K69" s="1478"/>
      <c r="L69" s="1478"/>
      <c r="M69" s="1478"/>
      <c r="N69" s="1478"/>
      <c r="O69" s="1478"/>
      <c r="P69" s="1478"/>
      <c r="Q69" s="1469"/>
      <c r="R69" s="488"/>
    </row>
    <row r="70" spans="2:18" ht="32.5" customHeight="1" x14ac:dyDescent="0.3">
      <c r="B70" s="533">
        <v>9</v>
      </c>
      <c r="C70" s="546"/>
      <c r="D70" s="1539"/>
      <c r="E70" s="1539"/>
      <c r="F70" s="1217"/>
      <c r="G70" s="1217"/>
      <c r="H70" s="1217"/>
      <c r="I70" s="1217"/>
      <c r="J70" s="1468"/>
      <c r="K70" s="1478"/>
      <c r="L70" s="1478"/>
      <c r="M70" s="1478"/>
      <c r="N70" s="1478"/>
      <c r="O70" s="1478"/>
      <c r="P70" s="1478"/>
      <c r="Q70" s="1469"/>
      <c r="R70" s="488"/>
    </row>
    <row r="71" spans="2:18" ht="13" x14ac:dyDescent="0.3">
      <c r="B71" s="533">
        <v>10</v>
      </c>
      <c r="C71" s="546"/>
      <c r="D71" s="1539"/>
      <c r="E71" s="1539"/>
      <c r="F71" s="1217"/>
      <c r="G71" s="1217"/>
      <c r="H71" s="571"/>
      <c r="I71" s="1217"/>
      <c r="J71" s="1468"/>
      <c r="K71" s="1478"/>
      <c r="L71" s="1478"/>
      <c r="M71" s="1478"/>
      <c r="N71" s="1478"/>
      <c r="O71" s="1478"/>
      <c r="P71" s="1478"/>
      <c r="Q71" s="1469"/>
      <c r="R71" s="488"/>
    </row>
    <row r="72" spans="2:18" s="491" customFormat="1" ht="13" x14ac:dyDescent="0.3">
      <c r="B72" s="536">
        <v>11</v>
      </c>
      <c r="C72" s="555"/>
      <c r="D72" s="1437"/>
      <c r="E72" s="1438"/>
      <c r="F72" s="556"/>
      <c r="G72" s="557"/>
      <c r="H72" s="556"/>
      <c r="I72" s="557"/>
      <c r="J72" s="1437"/>
      <c r="K72" s="1448"/>
      <c r="L72" s="1448"/>
      <c r="M72" s="1448"/>
      <c r="N72" s="1448"/>
      <c r="O72" s="1448"/>
      <c r="P72" s="1448"/>
      <c r="Q72" s="1438"/>
    </row>
    <row r="73" spans="2:18" s="491" customFormat="1" ht="13" x14ac:dyDescent="0.3">
      <c r="B73" s="536">
        <v>12</v>
      </c>
      <c r="C73" s="555"/>
      <c r="D73" s="1437"/>
      <c r="E73" s="1438"/>
      <c r="F73" s="556"/>
      <c r="G73" s="557"/>
      <c r="H73" s="558"/>
      <c r="I73" s="557"/>
      <c r="J73" s="1472"/>
      <c r="K73" s="1473"/>
      <c r="L73" s="1473"/>
      <c r="M73" s="1473"/>
      <c r="N73" s="1473"/>
      <c r="O73" s="1473"/>
      <c r="P73" s="1473"/>
      <c r="Q73" s="1474"/>
    </row>
    <row r="74" spans="2:18" s="491" customFormat="1" ht="13" x14ac:dyDescent="0.3">
      <c r="B74" s="536">
        <v>13</v>
      </c>
      <c r="C74" s="555"/>
      <c r="D74" s="1437"/>
      <c r="E74" s="1438"/>
      <c r="F74" s="556"/>
      <c r="G74" s="557"/>
      <c r="H74" s="556"/>
      <c r="I74" s="557"/>
      <c r="J74" s="1472"/>
      <c r="K74" s="1473"/>
      <c r="L74" s="1473"/>
      <c r="M74" s="1473"/>
      <c r="N74" s="1473"/>
      <c r="O74" s="1473"/>
      <c r="P74" s="1473"/>
      <c r="Q74" s="1474"/>
    </row>
    <row r="75" spans="2:18" s="489" customFormat="1" ht="13.15" customHeight="1" x14ac:dyDescent="0.3">
      <c r="B75" s="536">
        <v>14</v>
      </c>
      <c r="C75" s="555"/>
      <c r="D75" s="1437"/>
      <c r="E75" s="1438"/>
      <c r="F75" s="556"/>
      <c r="G75" s="557"/>
      <c r="H75" s="556"/>
      <c r="I75" s="557"/>
      <c r="J75" s="1472"/>
      <c r="K75" s="1473"/>
      <c r="L75" s="1473"/>
      <c r="M75" s="1473"/>
      <c r="N75" s="1473"/>
      <c r="O75" s="1473"/>
      <c r="P75" s="1473"/>
      <c r="Q75" s="1474"/>
    </row>
    <row r="76" spans="2:18" s="489" customFormat="1" ht="13" x14ac:dyDescent="0.3">
      <c r="B76" s="536">
        <v>15</v>
      </c>
      <c r="C76" s="555"/>
      <c r="D76" s="1437"/>
      <c r="E76" s="1438"/>
      <c r="F76" s="556"/>
      <c r="G76" s="557"/>
      <c r="H76" s="559"/>
      <c r="I76" s="557"/>
      <c r="J76" s="1472"/>
      <c r="K76" s="1473"/>
      <c r="L76" s="1473"/>
      <c r="M76" s="1473"/>
      <c r="N76" s="1473"/>
      <c r="O76" s="1473"/>
      <c r="P76" s="1473"/>
      <c r="Q76" s="1474"/>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233"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233"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233"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233"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233" t="s">
        <v>491</v>
      </c>
      <c r="F85" s="1489" t="s">
        <v>485</v>
      </c>
      <c r="G85" s="1490"/>
      <c r="H85" s="1490"/>
      <c r="I85" s="1490"/>
      <c r="J85" s="1490"/>
      <c r="K85" s="1490"/>
      <c r="L85" s="1490"/>
      <c r="M85" s="1490"/>
      <c r="N85" s="1490"/>
      <c r="O85" s="1490"/>
      <c r="P85" s="1490"/>
      <c r="Q85" s="1491"/>
      <c r="R85" s="488"/>
    </row>
    <row r="86" spans="2:18" ht="13" x14ac:dyDescent="0.3">
      <c r="B86" s="533">
        <v>6</v>
      </c>
      <c r="C86" s="563" t="s">
        <v>1149</v>
      </c>
      <c r="D86" s="562">
        <v>3.41</v>
      </c>
      <c r="E86" s="1233" t="s">
        <v>1150</v>
      </c>
      <c r="F86" s="1489"/>
      <c r="G86" s="1490"/>
      <c r="H86" s="1490"/>
      <c r="I86" s="1490"/>
      <c r="J86" s="1490"/>
      <c r="K86" s="1490"/>
      <c r="L86" s="1490"/>
      <c r="M86" s="1490"/>
      <c r="N86" s="1490"/>
      <c r="O86" s="1490"/>
      <c r="P86" s="1490"/>
      <c r="Q86" s="1491"/>
      <c r="R86" s="488"/>
    </row>
    <row r="87" spans="2:18" ht="13" x14ac:dyDescent="0.3">
      <c r="B87" s="533">
        <v>7</v>
      </c>
      <c r="C87" s="563"/>
      <c r="D87" s="1233"/>
      <c r="E87" s="1233"/>
      <c r="F87" s="1489"/>
      <c r="G87" s="1490"/>
      <c r="H87" s="1490"/>
      <c r="I87" s="1490"/>
      <c r="J87" s="1490"/>
      <c r="K87" s="1490"/>
      <c r="L87" s="1490"/>
      <c r="M87" s="1490"/>
      <c r="N87" s="1490"/>
      <c r="O87" s="1490"/>
      <c r="P87" s="1490"/>
      <c r="Q87" s="1491"/>
      <c r="R87" s="488"/>
    </row>
    <row r="88" spans="2:18" ht="13" x14ac:dyDescent="0.3">
      <c r="B88" s="533">
        <v>8</v>
      </c>
      <c r="C88" s="563"/>
      <c r="D88" s="564"/>
      <c r="E88" s="1233"/>
      <c r="F88" s="1489"/>
      <c r="G88" s="1490"/>
      <c r="H88" s="1490"/>
      <c r="I88" s="1490"/>
      <c r="J88" s="1490"/>
      <c r="K88" s="1490"/>
      <c r="L88" s="1490"/>
      <c r="M88" s="1490"/>
      <c r="N88" s="1490"/>
      <c r="O88" s="1490"/>
      <c r="P88" s="1490"/>
      <c r="Q88" s="1491"/>
      <c r="R88" s="488"/>
    </row>
    <row r="89" spans="2:18" ht="13" x14ac:dyDescent="0.3">
      <c r="B89" s="533">
        <v>9</v>
      </c>
      <c r="C89" s="563"/>
      <c r="D89" s="1233"/>
      <c r="E89" s="1233"/>
      <c r="F89" s="1489"/>
      <c r="G89" s="1490"/>
      <c r="H89" s="1490"/>
      <c r="I89" s="1490"/>
      <c r="J89" s="1490"/>
      <c r="K89" s="1490"/>
      <c r="L89" s="1490"/>
      <c r="M89" s="1490"/>
      <c r="N89" s="1490"/>
      <c r="O89" s="1490"/>
      <c r="P89" s="1490"/>
      <c r="Q89" s="1491"/>
      <c r="R89" s="488"/>
    </row>
    <row r="90" spans="2:18" ht="13" x14ac:dyDescent="0.3">
      <c r="B90" s="533">
        <v>10</v>
      </c>
      <c r="C90" s="563"/>
      <c r="D90" s="564"/>
      <c r="E90" s="1233"/>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18.75" customHeight="1" x14ac:dyDescent="0.3">
      <c r="B95" s="1498" t="s">
        <v>1151</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c r="R95" s="488"/>
    </row>
    <row r="96" spans="2:18" ht="18.75" customHeight="1" x14ac:dyDescent="0.3">
      <c r="B96" s="1188" t="s">
        <v>478</v>
      </c>
      <c r="C96" s="1402" t="s">
        <v>505</v>
      </c>
      <c r="D96" s="1431"/>
      <c r="E96" s="565" t="s">
        <v>534</v>
      </c>
      <c r="F96" s="565" t="s">
        <v>1143</v>
      </c>
      <c r="G96" s="565" t="s">
        <v>434</v>
      </c>
      <c r="H96" s="565"/>
      <c r="I96" s="565"/>
      <c r="J96" s="565"/>
      <c r="K96" s="565"/>
      <c r="L96" s="565"/>
      <c r="M96" s="565"/>
      <c r="N96" s="566"/>
      <c r="O96" s="1410"/>
      <c r="P96" s="1411"/>
      <c r="Q96" s="1412"/>
      <c r="R96" s="488"/>
    </row>
    <row r="97" spans="2:18" ht="18.75" customHeight="1" x14ac:dyDescent="0.3">
      <c r="B97" s="533">
        <v>1</v>
      </c>
      <c r="C97" s="546" t="s">
        <v>1152</v>
      </c>
      <c r="D97" s="546"/>
      <c r="E97" s="923">
        <v>50</v>
      </c>
      <c r="F97" s="923">
        <v>9.9</v>
      </c>
      <c r="G97" s="612">
        <v>226</v>
      </c>
      <c r="H97" s="1190"/>
      <c r="I97" s="568"/>
      <c r="J97" s="568"/>
      <c r="K97" s="568"/>
      <c r="L97" s="568"/>
      <c r="M97" s="568"/>
      <c r="N97" s="568"/>
      <c r="O97" s="1501"/>
      <c r="P97" s="1502"/>
      <c r="Q97" s="1503"/>
      <c r="R97" s="488"/>
    </row>
    <row r="98" spans="2:18" ht="18.75" customHeight="1" x14ac:dyDescent="0.3">
      <c r="B98" s="533">
        <v>2</v>
      </c>
      <c r="C98" s="546" t="s">
        <v>1153</v>
      </c>
      <c r="D98" s="546"/>
      <c r="E98" s="923">
        <v>100</v>
      </c>
      <c r="F98" s="923">
        <v>9.9</v>
      </c>
      <c r="G98" s="612">
        <v>113</v>
      </c>
      <c r="H98" s="1190"/>
      <c r="I98" s="568"/>
      <c r="J98" s="568"/>
      <c r="K98" s="568"/>
      <c r="L98" s="568"/>
      <c r="M98" s="568"/>
      <c r="N98" s="568"/>
      <c r="O98" s="1495"/>
      <c r="P98" s="1496"/>
      <c r="Q98" s="1497"/>
      <c r="R98" s="488"/>
    </row>
    <row r="99" spans="2:18" ht="18.75" customHeight="1" x14ac:dyDescent="0.3">
      <c r="B99" s="533">
        <v>3</v>
      </c>
      <c r="C99" s="546" t="s">
        <v>1148</v>
      </c>
      <c r="D99" s="546"/>
      <c r="E99" s="923">
        <v>150</v>
      </c>
      <c r="F99" s="923">
        <v>9.9</v>
      </c>
      <c r="G99" s="612">
        <v>75</v>
      </c>
      <c r="H99" s="1190"/>
      <c r="I99" s="568"/>
      <c r="J99" s="568"/>
      <c r="K99" s="568"/>
      <c r="L99" s="568"/>
      <c r="M99" s="568"/>
      <c r="N99" s="568"/>
      <c r="O99" s="1495"/>
      <c r="P99" s="1496"/>
      <c r="Q99" s="1497"/>
      <c r="R99" s="488"/>
    </row>
    <row r="100" spans="2:18" ht="18.75" customHeight="1" x14ac:dyDescent="0.3">
      <c r="B100" s="533">
        <v>4</v>
      </c>
      <c r="C100" s="546" t="s">
        <v>1154</v>
      </c>
      <c r="D100" s="546"/>
      <c r="E100" s="923">
        <v>200</v>
      </c>
      <c r="F100" s="923">
        <v>9.9</v>
      </c>
      <c r="G100" s="612">
        <v>46</v>
      </c>
      <c r="H100" s="1190"/>
      <c r="I100" s="568"/>
      <c r="J100" s="568"/>
      <c r="K100" s="568"/>
      <c r="L100" s="568"/>
      <c r="M100" s="568"/>
      <c r="N100" s="568"/>
      <c r="O100" s="1495"/>
      <c r="P100" s="1496"/>
      <c r="Q100" s="1497"/>
      <c r="R100" s="488"/>
    </row>
    <row r="101" spans="2:18" ht="18.75" customHeight="1" x14ac:dyDescent="0.3">
      <c r="B101" s="533">
        <v>5</v>
      </c>
      <c r="C101" s="546" t="s">
        <v>1155</v>
      </c>
      <c r="D101" s="546"/>
      <c r="E101" s="923">
        <v>400</v>
      </c>
      <c r="F101" s="923">
        <v>9.9</v>
      </c>
      <c r="G101" s="612">
        <v>23</v>
      </c>
      <c r="H101" s="1190"/>
      <c r="I101" s="568"/>
      <c r="J101" s="568"/>
      <c r="K101" s="568"/>
      <c r="L101" s="568"/>
      <c r="M101" s="568"/>
      <c r="N101" s="568"/>
      <c r="O101" s="1495"/>
      <c r="P101" s="1496"/>
      <c r="Q101" s="1497"/>
      <c r="R101" s="488"/>
    </row>
    <row r="102" spans="2:18" ht="18.75" customHeight="1" x14ac:dyDescent="0.3">
      <c r="B102" s="533">
        <v>6</v>
      </c>
      <c r="C102" s="546" t="s">
        <v>1156</v>
      </c>
      <c r="D102" s="546"/>
      <c r="E102" s="923">
        <v>50</v>
      </c>
      <c r="F102" s="923">
        <v>10.199999999999999</v>
      </c>
      <c r="G102" s="612">
        <v>453</v>
      </c>
      <c r="H102" s="1190"/>
      <c r="I102" s="569"/>
      <c r="J102" s="569"/>
      <c r="K102" s="569"/>
      <c r="L102" s="569"/>
      <c r="M102" s="569"/>
      <c r="N102" s="569"/>
      <c r="O102" s="1492"/>
      <c r="P102" s="1493"/>
      <c r="Q102" s="1494"/>
      <c r="R102" s="488"/>
    </row>
    <row r="103" spans="2:18" ht="18.75" customHeight="1" x14ac:dyDescent="0.3">
      <c r="B103" s="533">
        <v>7</v>
      </c>
      <c r="C103" s="546" t="s">
        <v>1157</v>
      </c>
      <c r="D103" s="570"/>
      <c r="E103" s="923">
        <v>100</v>
      </c>
      <c r="F103" s="923">
        <v>10.199999999999999</v>
      </c>
      <c r="G103" s="612">
        <v>226</v>
      </c>
      <c r="H103" s="1190"/>
      <c r="I103" s="569"/>
      <c r="J103" s="569"/>
      <c r="K103" s="569"/>
      <c r="L103" s="569"/>
      <c r="M103" s="569"/>
      <c r="N103" s="569"/>
      <c r="O103" s="1492"/>
      <c r="P103" s="1493"/>
      <c r="Q103" s="1494"/>
      <c r="R103" s="488"/>
    </row>
    <row r="104" spans="2:18" ht="18.75" customHeight="1" x14ac:dyDescent="0.3">
      <c r="B104" s="533">
        <v>8</v>
      </c>
      <c r="C104" s="546" t="s">
        <v>1158</v>
      </c>
      <c r="D104" s="570"/>
      <c r="E104" s="923">
        <v>150</v>
      </c>
      <c r="F104" s="923">
        <v>10.199999999999999</v>
      </c>
      <c r="G104" s="612">
        <v>151</v>
      </c>
      <c r="H104" s="569"/>
      <c r="I104" s="569"/>
      <c r="J104" s="569"/>
      <c r="K104" s="569"/>
      <c r="L104" s="569"/>
      <c r="M104" s="569"/>
      <c r="N104" s="569"/>
      <c r="O104" s="1492"/>
      <c r="P104" s="1493"/>
      <c r="Q104" s="1494"/>
      <c r="R104" s="488"/>
    </row>
    <row r="105" spans="2:18" ht="18.75" customHeight="1" x14ac:dyDescent="0.3">
      <c r="B105" s="533">
        <v>9</v>
      </c>
      <c r="C105" s="546" t="s">
        <v>1159</v>
      </c>
      <c r="D105" s="570"/>
      <c r="E105" s="923">
        <v>200</v>
      </c>
      <c r="F105" s="923">
        <v>10.199999999999999</v>
      </c>
      <c r="G105" s="612">
        <v>92</v>
      </c>
      <c r="H105" s="1217"/>
      <c r="I105" s="569"/>
      <c r="J105" s="569"/>
      <c r="K105" s="569"/>
      <c r="L105" s="569"/>
      <c r="M105" s="569"/>
      <c r="N105" s="569"/>
      <c r="O105" s="1492"/>
      <c r="P105" s="1493"/>
      <c r="Q105" s="1494"/>
      <c r="R105" s="488"/>
    </row>
    <row r="106" spans="2:18" ht="18.75" customHeight="1" x14ac:dyDescent="0.3">
      <c r="B106" s="533">
        <v>10</v>
      </c>
      <c r="C106" s="546" t="s">
        <v>1160</v>
      </c>
      <c r="D106" s="570"/>
      <c r="E106" s="923">
        <v>400</v>
      </c>
      <c r="F106" s="923">
        <v>10.199999999999999</v>
      </c>
      <c r="G106" s="612">
        <v>46</v>
      </c>
      <c r="H106" s="1217"/>
      <c r="I106" s="569"/>
      <c r="J106" s="569"/>
      <c r="K106" s="569"/>
      <c r="L106" s="569"/>
      <c r="M106" s="569"/>
      <c r="N106" s="569"/>
      <c r="O106" s="1492"/>
      <c r="P106" s="1493"/>
      <c r="Q106" s="1494"/>
      <c r="R106" s="488"/>
    </row>
    <row r="107" spans="2:18" ht="18.75" customHeight="1" x14ac:dyDescent="0.3">
      <c r="B107" s="533">
        <v>11</v>
      </c>
      <c r="C107" s="546" t="s">
        <v>1161</v>
      </c>
      <c r="D107" s="570"/>
      <c r="E107" s="923">
        <v>50</v>
      </c>
      <c r="F107" s="923">
        <v>10.52</v>
      </c>
      <c r="G107" s="612">
        <v>694</v>
      </c>
      <c r="H107" s="571"/>
      <c r="I107" s="569"/>
      <c r="J107" s="569"/>
      <c r="K107" s="569"/>
      <c r="L107" s="569"/>
      <c r="M107" s="569"/>
      <c r="N107" s="569"/>
      <c r="O107" s="1492"/>
      <c r="P107" s="1493"/>
      <c r="Q107" s="1494"/>
      <c r="R107" s="488"/>
    </row>
    <row r="108" spans="2:18" ht="18.75" customHeight="1" x14ac:dyDescent="0.3">
      <c r="B108" s="533">
        <v>12</v>
      </c>
      <c r="C108" s="546" t="s">
        <v>1162</v>
      </c>
      <c r="D108" s="570"/>
      <c r="E108" s="923">
        <v>100</v>
      </c>
      <c r="F108" s="923">
        <v>10.52</v>
      </c>
      <c r="G108" s="612">
        <v>347</v>
      </c>
      <c r="H108" s="1217"/>
      <c r="I108" s="569"/>
      <c r="J108" s="569"/>
      <c r="K108" s="569"/>
      <c r="L108" s="569"/>
      <c r="M108" s="569"/>
      <c r="N108" s="569"/>
      <c r="O108" s="1492"/>
      <c r="P108" s="1493"/>
      <c r="Q108" s="1494"/>
      <c r="R108" s="488"/>
    </row>
    <row r="109" spans="2:18" ht="18.75" customHeight="1" x14ac:dyDescent="0.3">
      <c r="B109" s="533">
        <v>13</v>
      </c>
      <c r="C109" s="546" t="s">
        <v>1163</v>
      </c>
      <c r="D109" s="570"/>
      <c r="E109" s="923">
        <v>150</v>
      </c>
      <c r="F109" s="923">
        <v>10.52</v>
      </c>
      <c r="G109" s="612">
        <v>231</v>
      </c>
      <c r="H109" s="1217"/>
      <c r="I109" s="569"/>
      <c r="J109" s="569"/>
      <c r="K109" s="569"/>
      <c r="L109" s="569"/>
      <c r="M109" s="569"/>
      <c r="N109" s="569"/>
      <c r="O109" s="1492"/>
      <c r="P109" s="1493"/>
      <c r="Q109" s="1494"/>
      <c r="R109" s="488"/>
    </row>
    <row r="110" spans="2:18" ht="18.75" customHeight="1" x14ac:dyDescent="0.3">
      <c r="B110" s="533">
        <v>14</v>
      </c>
      <c r="C110" s="546" t="s">
        <v>1164</v>
      </c>
      <c r="D110" s="570"/>
      <c r="E110" s="923">
        <v>200</v>
      </c>
      <c r="F110" s="923">
        <v>10.52</v>
      </c>
      <c r="G110" s="612">
        <v>141</v>
      </c>
      <c r="H110" s="572"/>
      <c r="I110" s="569"/>
      <c r="J110" s="569"/>
      <c r="K110" s="569"/>
      <c r="L110" s="569"/>
      <c r="M110" s="569"/>
      <c r="N110" s="569"/>
      <c r="O110" s="1492"/>
      <c r="P110" s="1493"/>
      <c r="Q110" s="1494"/>
      <c r="R110" s="488"/>
    </row>
    <row r="111" spans="2:18" ht="18.75" customHeight="1" x14ac:dyDescent="0.3">
      <c r="B111" s="533">
        <v>15</v>
      </c>
      <c r="C111" s="546" t="s">
        <v>1165</v>
      </c>
      <c r="D111" s="570"/>
      <c r="E111" s="923">
        <v>400</v>
      </c>
      <c r="F111" s="923">
        <v>10.52</v>
      </c>
      <c r="G111" s="612">
        <v>71</v>
      </c>
      <c r="H111" s="572"/>
      <c r="I111" s="569"/>
      <c r="J111" s="569"/>
      <c r="K111" s="569"/>
      <c r="L111" s="569"/>
      <c r="M111" s="569"/>
      <c r="N111" s="569"/>
      <c r="O111" s="1492"/>
      <c r="P111" s="1493"/>
      <c r="Q111" s="1494"/>
      <c r="R111" s="488"/>
    </row>
    <row r="112" spans="2:18" ht="18.75" customHeight="1" x14ac:dyDescent="0.3">
      <c r="B112" s="533">
        <v>16</v>
      </c>
      <c r="C112" s="546" t="s">
        <v>1166</v>
      </c>
      <c r="D112" s="570"/>
      <c r="E112" s="923">
        <v>50</v>
      </c>
      <c r="F112" s="923">
        <v>10.7</v>
      </c>
      <c r="G112" s="612">
        <v>830</v>
      </c>
      <c r="H112" s="572"/>
      <c r="I112" s="569"/>
      <c r="J112" s="569"/>
      <c r="K112" s="569"/>
      <c r="L112" s="569"/>
      <c r="M112" s="569"/>
      <c r="N112" s="569"/>
      <c r="O112" s="1492"/>
      <c r="P112" s="1493"/>
      <c r="Q112" s="1494"/>
      <c r="R112" s="488"/>
    </row>
    <row r="113" spans="2:18" ht="18.75" customHeight="1" x14ac:dyDescent="0.3">
      <c r="B113" s="533">
        <v>17</v>
      </c>
      <c r="C113" s="546" t="s">
        <v>1167</v>
      </c>
      <c r="D113" s="570"/>
      <c r="E113" s="923">
        <v>100</v>
      </c>
      <c r="F113" s="923">
        <v>10.7</v>
      </c>
      <c r="G113" s="612">
        <v>415</v>
      </c>
      <c r="H113" s="572"/>
      <c r="I113" s="569"/>
      <c r="J113" s="569"/>
      <c r="K113" s="569"/>
      <c r="L113" s="569"/>
      <c r="M113" s="569"/>
      <c r="N113" s="569"/>
      <c r="O113" s="1492"/>
      <c r="P113" s="1493"/>
      <c r="Q113" s="1494"/>
      <c r="R113" s="488"/>
    </row>
    <row r="114" spans="2:18" ht="18.75" customHeight="1" x14ac:dyDescent="0.3">
      <c r="B114" s="533">
        <v>18</v>
      </c>
      <c r="C114" s="546" t="s">
        <v>1168</v>
      </c>
      <c r="D114" s="570"/>
      <c r="E114" s="923">
        <v>150</v>
      </c>
      <c r="F114" s="923">
        <v>10.7</v>
      </c>
      <c r="G114" s="612">
        <v>277</v>
      </c>
      <c r="H114" s="572"/>
      <c r="I114" s="569"/>
      <c r="J114" s="569"/>
      <c r="K114" s="569"/>
      <c r="L114" s="569"/>
      <c r="M114" s="569"/>
      <c r="N114" s="569"/>
      <c r="O114" s="1492"/>
      <c r="P114" s="1493"/>
      <c r="Q114" s="1494"/>
      <c r="R114" s="488"/>
    </row>
    <row r="115" spans="2:18" ht="18.75" customHeight="1" x14ac:dyDescent="0.3">
      <c r="B115" s="533">
        <v>19</v>
      </c>
      <c r="C115" s="546" t="s">
        <v>1169</v>
      </c>
      <c r="D115" s="570"/>
      <c r="E115" s="923">
        <v>200</v>
      </c>
      <c r="F115" s="923">
        <v>10.7</v>
      </c>
      <c r="G115" s="612">
        <v>169</v>
      </c>
      <c r="H115" s="572"/>
      <c r="I115" s="569"/>
      <c r="J115" s="569"/>
      <c r="K115" s="569"/>
      <c r="L115" s="569"/>
      <c r="M115" s="569"/>
      <c r="N115" s="569"/>
      <c r="O115" s="1492"/>
      <c r="P115" s="1493"/>
      <c r="Q115" s="1494"/>
      <c r="R115" s="488"/>
    </row>
    <row r="116" spans="2:18" ht="18.75" customHeight="1" x14ac:dyDescent="0.3">
      <c r="B116" s="533">
        <v>20</v>
      </c>
      <c r="C116" s="546" t="s">
        <v>1170</v>
      </c>
      <c r="D116" s="570"/>
      <c r="E116" s="923">
        <v>400</v>
      </c>
      <c r="F116" s="923">
        <v>10.7</v>
      </c>
      <c r="G116" s="612">
        <v>85</v>
      </c>
      <c r="H116" s="572"/>
      <c r="I116" s="569"/>
      <c r="J116" s="569"/>
      <c r="K116" s="569"/>
      <c r="L116" s="569"/>
      <c r="M116" s="569"/>
      <c r="N116" s="569"/>
      <c r="O116" s="1492"/>
      <c r="P116" s="1493"/>
      <c r="Q116" s="1494"/>
      <c r="R116" s="488"/>
    </row>
  </sheetData>
  <sheetProtection algorithmName="SHA-512" hashValue="76RvhzqH55dcnoz+Yct4Vnx7BXhUGGYtygO/SK4/zg8IwT448F6YVVUBC/AHsni5htTHNtGHwnWiA1knDPos7g==" saltValue="eDXsBEE0GaHlWIYxUi+Fsg==" spinCount="100000" sheet="1" objects="1" scenarios="1" selectLockedCells="1" selectUnlockedCells="1"/>
  <mergeCells count="121">
    <mergeCell ref="D17:F17"/>
    <mergeCell ref="D18:F18"/>
    <mergeCell ref="B20:Q20"/>
    <mergeCell ref="C21:Q21"/>
    <mergeCell ref="C22:Q22"/>
    <mergeCell ref="C23:Q23"/>
    <mergeCell ref="C2:F2"/>
    <mergeCell ref="C3:F3"/>
    <mergeCell ref="C4:F4"/>
    <mergeCell ref="C5:F5"/>
    <mergeCell ref="D7:F7"/>
    <mergeCell ref="D8:F16"/>
    <mergeCell ref="E34:Q34"/>
    <mergeCell ref="E35:Q35"/>
    <mergeCell ref="E36:Q36"/>
    <mergeCell ref="E37:Q37"/>
    <mergeCell ref="C41:M41"/>
    <mergeCell ref="P41:Q41"/>
    <mergeCell ref="D25:Q25"/>
    <mergeCell ref="D26:Q26"/>
    <mergeCell ref="D27:Q27"/>
    <mergeCell ref="D28:Q28"/>
    <mergeCell ref="E32:Q32"/>
    <mergeCell ref="E33:Q33"/>
    <mergeCell ref="D29:Q29"/>
    <mergeCell ref="D30:Q30"/>
    <mergeCell ref="C45:M45"/>
    <mergeCell ref="P45:Q45"/>
    <mergeCell ref="C47:M47"/>
    <mergeCell ref="P47:Q47"/>
    <mergeCell ref="C48:M48"/>
    <mergeCell ref="P48:Q48"/>
    <mergeCell ref="C42:M42"/>
    <mergeCell ref="P42:Q42"/>
    <mergeCell ref="C43:M43"/>
    <mergeCell ref="P43:Q43"/>
    <mergeCell ref="C44:M44"/>
    <mergeCell ref="P44:Q44"/>
    <mergeCell ref="C53:M53"/>
    <mergeCell ref="P53:Q53"/>
    <mergeCell ref="C54:M54"/>
    <mergeCell ref="P54:Q54"/>
    <mergeCell ref="C55:M55"/>
    <mergeCell ref="P55:Q55"/>
    <mergeCell ref="C49:M49"/>
    <mergeCell ref="P49:Q49"/>
    <mergeCell ref="C50:M50"/>
    <mergeCell ref="P50:Q50"/>
    <mergeCell ref="C51:M51"/>
    <mergeCell ref="P51:Q51"/>
    <mergeCell ref="D62:E62"/>
    <mergeCell ref="J62:Q62"/>
    <mergeCell ref="D63:E63"/>
    <mergeCell ref="J63:Q63"/>
    <mergeCell ref="D64:E64"/>
    <mergeCell ref="J64:Q64"/>
    <mergeCell ref="C56:M56"/>
    <mergeCell ref="P56:Q56"/>
    <mergeCell ref="C57:M57"/>
    <mergeCell ref="P57:Q57"/>
    <mergeCell ref="D61:E61"/>
    <mergeCell ref="J61:Q61"/>
    <mergeCell ref="D68:E68"/>
    <mergeCell ref="J68:Q68"/>
    <mergeCell ref="D69:E69"/>
    <mergeCell ref="J69:Q69"/>
    <mergeCell ref="D70:E70"/>
    <mergeCell ref="J70:Q70"/>
    <mergeCell ref="D65:E65"/>
    <mergeCell ref="J65:Q65"/>
    <mergeCell ref="D66:E66"/>
    <mergeCell ref="J66:Q66"/>
    <mergeCell ref="D67:E67"/>
    <mergeCell ref="J67:Q67"/>
    <mergeCell ref="D74:E74"/>
    <mergeCell ref="J74:Q74"/>
    <mergeCell ref="D75:E75"/>
    <mergeCell ref="J75:Q75"/>
    <mergeCell ref="D76:E76"/>
    <mergeCell ref="J76:Q76"/>
    <mergeCell ref="D71:E71"/>
    <mergeCell ref="J71:Q71"/>
    <mergeCell ref="D72:E72"/>
    <mergeCell ref="J72:Q72"/>
    <mergeCell ref="D73:E73"/>
    <mergeCell ref="J73:Q73"/>
    <mergeCell ref="F86:Q86"/>
    <mergeCell ref="F87:Q87"/>
    <mergeCell ref="F88:Q88"/>
    <mergeCell ref="F89:Q89"/>
    <mergeCell ref="F90:Q90"/>
    <mergeCell ref="E94:N94"/>
    <mergeCell ref="O94:Q96"/>
    <mergeCell ref="F80:Q80"/>
    <mergeCell ref="F81:Q81"/>
    <mergeCell ref="F82:Q82"/>
    <mergeCell ref="F83:Q83"/>
    <mergeCell ref="F84:Q84"/>
    <mergeCell ref="F85:Q85"/>
    <mergeCell ref="O101:Q101"/>
    <mergeCell ref="O102:Q102"/>
    <mergeCell ref="O103:Q103"/>
    <mergeCell ref="O104:Q104"/>
    <mergeCell ref="O105:Q105"/>
    <mergeCell ref="O106:Q106"/>
    <mergeCell ref="B95:D95"/>
    <mergeCell ref="C96:D96"/>
    <mergeCell ref="O97:Q97"/>
    <mergeCell ref="O98:Q98"/>
    <mergeCell ref="O99:Q99"/>
    <mergeCell ref="O100:Q100"/>
    <mergeCell ref="O113:Q113"/>
    <mergeCell ref="O114:Q114"/>
    <mergeCell ref="O115:Q115"/>
    <mergeCell ref="O116:Q116"/>
    <mergeCell ref="O107:Q107"/>
    <mergeCell ref="O108:Q108"/>
    <mergeCell ref="O109:Q109"/>
    <mergeCell ref="O110:Q110"/>
    <mergeCell ref="O111:Q111"/>
    <mergeCell ref="O112:Q112"/>
  </mergeCells>
  <conditionalFormatting sqref="H71">
    <cfRule type="expression" dxfId="3241" priority="41">
      <formula>IF(OR(#REF!="L",#REF!="C"),TRUE,FALSE)</formula>
    </cfRule>
  </conditionalFormatting>
  <conditionalFormatting sqref="H70">
    <cfRule type="expression" dxfId="3240" priority="40">
      <formula>IF(OR(#REF!="L",#REF!="C"),TRUE,FALSE)</formula>
    </cfRule>
  </conditionalFormatting>
  <conditionalFormatting sqref="G95 I95 K95 M95">
    <cfRule type="duplicateValues" dxfId="3239" priority="39"/>
  </conditionalFormatting>
  <conditionalFormatting sqref="E96">
    <cfRule type="duplicateValues" dxfId="3238" priority="38"/>
  </conditionalFormatting>
  <conditionalFormatting sqref="H62">
    <cfRule type="expression" dxfId="3237" priority="37">
      <formula>IF(OR(#REF!="L",#REF!="C"),TRUE,FALSE)</formula>
    </cfRule>
  </conditionalFormatting>
  <conditionalFormatting sqref="H72">
    <cfRule type="expression" dxfId="3236" priority="36">
      <formula>IF(OR(#REF!="L",#REF!="C"),TRUE,FALSE)</formula>
    </cfRule>
  </conditionalFormatting>
  <conditionalFormatting sqref="H73">
    <cfRule type="expression" dxfId="3235" priority="35">
      <formula>IF(OR(#REF!="L",#REF!="C"),TRUE,FALSE)</formula>
    </cfRule>
  </conditionalFormatting>
  <conditionalFormatting sqref="H74">
    <cfRule type="expression" dxfId="3234" priority="34">
      <formula>IF(OR(#REF!="L",#REF!="C"),TRUE,FALSE)</formula>
    </cfRule>
  </conditionalFormatting>
  <conditionalFormatting sqref="H75">
    <cfRule type="expression" dxfId="3233" priority="33">
      <formula>IF(OR(#REF!="L",#REF!="C"),TRUE,FALSE)</formula>
    </cfRule>
  </conditionalFormatting>
  <conditionalFormatting sqref="H76">
    <cfRule type="expression" dxfId="3232" priority="32">
      <formula>IF(OR(#REF!="L",#REF!="C"),TRUE,FALSE)</formula>
    </cfRule>
  </conditionalFormatting>
  <conditionalFormatting sqref="H65">
    <cfRule type="expression" dxfId="3231" priority="31">
      <formula>IF(OR(#REF!="L",#REF!="C"),TRUE,FALSE)</formula>
    </cfRule>
  </conditionalFormatting>
  <conditionalFormatting sqref="H66 H68:H69">
    <cfRule type="expression" dxfId="3230" priority="30">
      <formula>IF(OR(#REF!="L",#REF!="C"),TRUE,FALSE)</formula>
    </cfRule>
  </conditionalFormatting>
  <conditionalFormatting sqref="G104:G116">
    <cfRule type="expression" dxfId="3229" priority="29">
      <formula>IF(OR(#REF!="L",#REF!="C"),TRUE,FALSE)</formula>
    </cfRule>
  </conditionalFormatting>
  <conditionalFormatting sqref="F109:F116 H104:H116">
    <cfRule type="expression" dxfId="3228" priority="28">
      <formula>IF(OR(#REF!="L",#REF!="C"),TRUE,FALSE)</formula>
    </cfRule>
  </conditionalFormatting>
  <conditionalFormatting sqref="E110:E116">
    <cfRule type="expression" dxfId="3227" priority="27">
      <formula>IF(OR(#REF!="L",#REF!="C"),TRUE,FALSE)</formula>
    </cfRule>
  </conditionalFormatting>
  <conditionalFormatting sqref="E107">
    <cfRule type="expression" dxfId="3226" priority="26">
      <formula>IF(OR(#REF!="L",#REF!="C"),TRUE,FALSE)</formula>
    </cfRule>
  </conditionalFormatting>
  <conditionalFormatting sqref="E108">
    <cfRule type="expression" dxfId="3225" priority="25">
      <formula>IF(OR(#REF!="L",#REF!="C"),TRUE,FALSE)</formula>
    </cfRule>
  </conditionalFormatting>
  <conditionalFormatting sqref="E109">
    <cfRule type="expression" dxfId="3224" priority="24">
      <formula>IF(OR(#REF!="L",#REF!="C"),TRUE,FALSE)</formula>
    </cfRule>
  </conditionalFormatting>
  <conditionalFormatting sqref="E106">
    <cfRule type="expression" dxfId="3223" priority="23">
      <formula>IF(OR(#REF!="L",#REF!="C"),TRUE,FALSE)</formula>
    </cfRule>
  </conditionalFormatting>
  <conditionalFormatting sqref="E95">
    <cfRule type="duplicateValues" dxfId="3222" priority="22"/>
  </conditionalFormatting>
  <conditionalFormatting sqref="M104:M116 F104:F106">
    <cfRule type="expression" dxfId="3221" priority="13">
      <formula>IF(OR(#REF!="L",#REF!="C"),TRUE,FALSE)</formula>
    </cfRule>
  </conditionalFormatting>
  <conditionalFormatting sqref="I102:I103">
    <cfRule type="expression" dxfId="3220" priority="20">
      <formula>IF(OR(#REF!="L",#REF!="C"),TRUE,FALSE)</formula>
    </cfRule>
  </conditionalFormatting>
  <conditionalFormatting sqref="N102:N103">
    <cfRule type="expression" dxfId="3219" priority="10">
      <formula>IF(OR(#REF!="L",#REF!="C"),TRUE,FALSE)</formula>
    </cfRule>
  </conditionalFormatting>
  <conditionalFormatting sqref="I104:I116">
    <cfRule type="expression" dxfId="3218" priority="21">
      <formula>IF(OR(#REF!="L",#REF!="C"),TRUE,FALSE)</formula>
    </cfRule>
  </conditionalFormatting>
  <conditionalFormatting sqref="J102:J103">
    <cfRule type="expression" dxfId="3217" priority="18">
      <formula>IF(OR(#REF!="L",#REF!="C"),TRUE,FALSE)</formula>
    </cfRule>
  </conditionalFormatting>
  <conditionalFormatting sqref="J104:J116">
    <cfRule type="expression" dxfId="3216" priority="19">
      <formula>IF(OR(#REF!="L",#REF!="C"),TRUE,FALSE)</formula>
    </cfRule>
  </conditionalFormatting>
  <conditionalFormatting sqref="K102:K103">
    <cfRule type="expression" dxfId="3215" priority="16">
      <formula>IF(OR(#REF!="L",#REF!="C"),TRUE,FALSE)</formula>
    </cfRule>
  </conditionalFormatting>
  <conditionalFormatting sqref="K104:K116">
    <cfRule type="expression" dxfId="3214" priority="17">
      <formula>IF(OR(#REF!="L",#REF!="C"),TRUE,FALSE)</formula>
    </cfRule>
  </conditionalFormatting>
  <conditionalFormatting sqref="L102:L103">
    <cfRule type="expression" dxfId="3213" priority="14">
      <formula>IF(OR(#REF!="L",#REF!="C"),TRUE,FALSE)</formula>
    </cfRule>
  </conditionalFormatting>
  <conditionalFormatting sqref="L104:L116">
    <cfRule type="expression" dxfId="3212" priority="15">
      <formula>IF(OR(#REF!="L",#REF!="C"),TRUE,FALSE)</formula>
    </cfRule>
  </conditionalFormatting>
  <conditionalFormatting sqref="M102:M103">
    <cfRule type="expression" dxfId="3211" priority="12">
      <formula>IF(OR(#REF!="L",#REF!="C"),TRUE,FALSE)</formula>
    </cfRule>
  </conditionalFormatting>
  <conditionalFormatting sqref="N104:N116">
    <cfRule type="expression" dxfId="3210" priority="11">
      <formula>IF(OR(#REF!="L",#REF!="C"),TRUE,FALSE)</formula>
    </cfRule>
  </conditionalFormatting>
  <conditionalFormatting sqref="O102:O103">
    <cfRule type="expression" dxfId="3209" priority="8">
      <formula>IF(OR(#REF!="L",#REF!="C"),TRUE,FALSE)</formula>
    </cfRule>
  </conditionalFormatting>
  <conditionalFormatting sqref="O104:O116">
    <cfRule type="expression" dxfId="3208" priority="9">
      <formula>IF(OR(#REF!="L",#REF!="C"),TRUE,FALSE)</formula>
    </cfRule>
  </conditionalFormatting>
  <conditionalFormatting sqref="G96:N96">
    <cfRule type="duplicateValues" dxfId="3207" priority="7"/>
  </conditionalFormatting>
  <conditionalFormatting sqref="F96">
    <cfRule type="duplicateValues" dxfId="3206" priority="6"/>
  </conditionalFormatting>
  <conditionalFormatting sqref="F96">
    <cfRule type="duplicateValues" dxfId="3205" priority="5"/>
  </conditionalFormatting>
  <conditionalFormatting sqref="E96">
    <cfRule type="duplicateValues" dxfId="3204" priority="4"/>
  </conditionalFormatting>
  <conditionalFormatting sqref="H63">
    <cfRule type="expression" dxfId="3203" priority="3">
      <formula>IF(OR(#REF!="L",#REF!="C"),TRUE,FALSE)</formula>
    </cfRule>
  </conditionalFormatting>
  <conditionalFormatting sqref="H64">
    <cfRule type="expression" dxfId="3202" priority="2">
      <formula>IF(OR(#REF!="L",#REF!="C"),TRUE,FALSE)</formula>
    </cfRule>
  </conditionalFormatting>
  <conditionalFormatting sqref="H67">
    <cfRule type="expression" dxfId="3201" priority="1">
      <formula>IF(OR(#REF!="L",#REF!="C"),TRUE,FALSE)</formula>
    </cfRule>
  </conditionalFormatting>
  <dataValidations count="7">
    <dataValidation type="list" allowBlank="1" showInputMessage="1" showErrorMessage="1" sqref="C4" xr:uid="{2946B11F-33B0-4C8D-B0AF-58308DE12A31}">
      <formula1>"COM,RES"</formula1>
    </dataValidation>
    <dataValidation type="list" allowBlank="1" showInputMessage="1" showErrorMessage="1" sqref="H66" xr:uid="{4676037B-37C0-4CBB-BD5C-5713477DC8F4}">
      <formula1>$C$97:$C$116</formula1>
    </dataValidation>
    <dataValidation type="list" allowBlank="1" showInputMessage="1" showErrorMessage="1" sqref="C9" xr:uid="{DFBE4D3E-9CDF-4661-966E-23B05BF0FF23}">
      <formula1>INDIRECT("MeasureTypeList[Index]")</formula1>
    </dataValidation>
    <dataValidation type="list" allowBlank="1" showInputMessage="1" showErrorMessage="1" sqref="C26" xr:uid="{86FCB0F0-F024-4F2F-B002-1F5D472A7B7C}">
      <formula1>INDIRECT("RegionList[Index]")</formula1>
    </dataValidation>
    <dataValidation type="list" allowBlank="1" showInputMessage="1" showErrorMessage="1" sqref="C27" xr:uid="{65C7C398-0CBB-419D-9E2A-4DE2CC1B2ABE}">
      <formula1>INDIRECT("ReplacementTypeList[Index]")</formula1>
    </dataValidation>
    <dataValidation type="list" allowBlank="1" showInputMessage="1" showErrorMessage="1" sqref="C28" xr:uid="{DF02703F-98D2-459F-912D-EF75C9E077B8}">
      <formula1>INDIRECT("BuildingType[Building]")</formula1>
    </dataValidation>
    <dataValidation type="list" allowBlank="1" showInputMessage="1" showErrorMessage="1" sqref="C29 C30" xr:uid="{2A1FA0DD-3F7D-4F4A-A66E-AA3DD664CF12}">
      <formula1>INDIRECT("FuelTypeList[Index]")</formula1>
    </dataValidation>
  </dataValidations>
  <hyperlinks>
    <hyperlink ref="F83" r:id="rId1" xr:uid="{21FD660E-23F9-4F10-AB1C-5B205E1A5F9E}"/>
    <hyperlink ref="F85" r:id="rId2" xr:uid="{D7E09B3A-D5FF-44DF-8E90-53C3F35A517D}"/>
    <hyperlink ref="F84" r:id="rId3" xr:uid="{C068F4C3-C3C1-49BF-857D-FC5EFEE90941}"/>
    <hyperlink ref="F82" r:id="rId4" xr:uid="{A063E044-C321-4BFB-8955-AFD3005BEDFE}"/>
  </hyperlinks>
  <pageMargins left="0.7" right="0.7" top="0.75" bottom="0.75" header="0.3" footer="0.3"/>
  <pageSetup orientation="portrait" r:id="rId5"/>
  <legacyDrawing r:id="rId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72659-81D6-4E8A-8FF7-5A7C7DAD5B22}">
  <sheetPr codeName="Sheet44"/>
  <dimension ref="A2:R116"/>
  <sheetViews>
    <sheetView workbookViewId="0"/>
  </sheetViews>
  <sheetFormatPr defaultColWidth="9.08984375" defaultRowHeight="18.75" customHeight="1" x14ac:dyDescent="0.3"/>
  <cols>
    <col min="1" max="1" width="2.36328125" style="488" customWidth="1"/>
    <col min="2" max="2" width="44.36328125" style="488" bestFit="1" customWidth="1"/>
    <col min="3" max="3" width="21.08984375" style="488" customWidth="1"/>
    <col min="4" max="4" width="21.6328125" style="488" customWidth="1"/>
    <col min="5" max="5" width="17.7265625" style="488" customWidth="1"/>
    <col min="6" max="6" width="19.26953125" style="488" customWidth="1"/>
    <col min="7" max="7" width="14" style="488" customWidth="1"/>
    <col min="8" max="8" width="21.36328125"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876" t="str">
        <f>IF(ISBLANK(C8)+ISBLANK(C10),C8,C8&amp;"_"&amp;C10)</f>
        <v>C-HC-004</v>
      </c>
      <c r="D3" s="1876"/>
      <c r="E3" s="1876"/>
      <c r="F3" s="1876"/>
    </row>
    <row r="4" spans="1:18" ht="18.75" customHeight="1" x14ac:dyDescent="0.3">
      <c r="B4" s="490" t="s">
        <v>11</v>
      </c>
      <c r="C4" s="1367" t="str" cm="1">
        <f t="array" ref="C4">_xlfn.SWITCH(LEFT(C8,1),"R","Residential","C","Commercial","ERROR")</f>
        <v>Commercial</v>
      </c>
      <c r="D4" s="1367"/>
      <c r="E4" s="1367"/>
      <c r="F4" s="1367"/>
    </row>
    <row r="5" spans="1:18" ht="44.25" customHeight="1" x14ac:dyDescent="0.3">
      <c r="B5" s="490" t="s">
        <v>408</v>
      </c>
      <c r="C5" s="1530" t="s">
        <v>205</v>
      </c>
      <c r="D5" s="1531"/>
      <c r="E5" s="1531"/>
      <c r="F5" s="1532"/>
      <c r="R5" s="488"/>
    </row>
    <row r="6" spans="1:18" ht="18.75" customHeight="1" x14ac:dyDescent="0.3">
      <c r="A6" s="573"/>
    </row>
    <row r="7" spans="1:18" ht="18.75" customHeight="1" x14ac:dyDescent="0.3">
      <c r="B7" s="1193" t="s">
        <v>507</v>
      </c>
      <c r="C7" s="493" t="s">
        <v>406</v>
      </c>
      <c r="D7" s="1366" t="s">
        <v>410</v>
      </c>
      <c r="E7" s="1366"/>
      <c r="F7" s="1366"/>
      <c r="R7" s="488"/>
    </row>
    <row r="8" spans="1:18" ht="18.75" customHeight="1" x14ac:dyDescent="0.3">
      <c r="B8" s="490" t="s">
        <v>411</v>
      </c>
      <c r="C8" s="1194" t="s">
        <v>76</v>
      </c>
      <c r="D8" s="1521"/>
      <c r="E8" s="1522"/>
      <c r="F8" s="1523"/>
      <c r="R8" s="488"/>
    </row>
    <row r="9" spans="1:18" ht="18.75" customHeight="1" x14ac:dyDescent="0.3">
      <c r="B9" s="490" t="s">
        <v>49</v>
      </c>
      <c r="C9" s="1194" t="s">
        <v>539</v>
      </c>
      <c r="D9" s="1524"/>
      <c r="E9" s="1877"/>
      <c r="F9" s="1526"/>
      <c r="R9" s="488"/>
    </row>
    <row r="10" spans="1:18" ht="18.75" customHeight="1" x14ac:dyDescent="0.3">
      <c r="B10" s="490" t="s">
        <v>412</v>
      </c>
      <c r="C10" s="1194"/>
      <c r="D10" s="1524"/>
      <c r="E10" s="1877"/>
      <c r="F10" s="1526"/>
      <c r="R10" s="488"/>
    </row>
    <row r="11" spans="1:18" ht="18.75" customHeight="1" x14ac:dyDescent="0.3">
      <c r="B11" s="490" t="s">
        <v>413</v>
      </c>
      <c r="C11" s="1194"/>
      <c r="D11" s="1524"/>
      <c r="E11" s="1877"/>
      <c r="F11" s="1526"/>
      <c r="R11" s="488"/>
    </row>
    <row r="12" spans="1:18" ht="18.75" customHeight="1" x14ac:dyDescent="0.3">
      <c r="B12" s="490" t="s">
        <v>414</v>
      </c>
      <c r="C12" s="602"/>
      <c r="D12" s="1524"/>
      <c r="E12" s="1877"/>
      <c r="F12" s="1526"/>
      <c r="R12" s="488"/>
    </row>
    <row r="13" spans="1:18" ht="18.75" customHeight="1" x14ac:dyDescent="0.3">
      <c r="B13" s="494" t="s">
        <v>415</v>
      </c>
      <c r="C13" s="495">
        <f>N43</f>
        <v>18.768046852658802</v>
      </c>
      <c r="D13" s="1524"/>
      <c r="E13" s="1877"/>
      <c r="F13" s="1526"/>
      <c r="R13" s="488"/>
    </row>
    <row r="14" spans="1:18" ht="18.75" customHeight="1" x14ac:dyDescent="0.3">
      <c r="B14" s="494" t="s">
        <v>416</v>
      </c>
      <c r="C14" s="495">
        <f>N42</f>
        <v>0</v>
      </c>
      <c r="D14" s="1524"/>
      <c r="E14" s="1877"/>
      <c r="F14" s="1526"/>
      <c r="R14" s="488"/>
    </row>
    <row r="15" spans="1:18" ht="18.75" customHeight="1" x14ac:dyDescent="0.3">
      <c r="B15" s="494" t="s">
        <v>417</v>
      </c>
      <c r="C15" s="495">
        <f>N44</f>
        <v>0</v>
      </c>
      <c r="D15" s="1524"/>
      <c r="E15" s="1877"/>
      <c r="F15" s="1526"/>
      <c r="R15" s="488"/>
    </row>
    <row r="16" spans="1:18" ht="18.75" customHeight="1" x14ac:dyDescent="0.3">
      <c r="B16" s="494" t="s">
        <v>418</v>
      </c>
      <c r="C16" s="496">
        <f>C37</f>
        <v>0</v>
      </c>
      <c r="D16" s="1527"/>
      <c r="E16" s="1528"/>
      <c r="F16" s="1529"/>
      <c r="R16" s="488"/>
    </row>
    <row r="17" spans="2:18" ht="18.75" customHeight="1" x14ac:dyDescent="0.3">
      <c r="B17" s="490" t="s">
        <v>48</v>
      </c>
      <c r="C17" s="1194" t="s">
        <v>540</v>
      </c>
      <c r="D17" s="1366" t="s">
        <v>419</v>
      </c>
      <c r="E17" s="1366"/>
      <c r="F17" s="1366"/>
      <c r="R17" s="488"/>
    </row>
    <row r="18" spans="2:18" ht="32.5" customHeight="1" x14ac:dyDescent="0.3">
      <c r="B18" s="490" t="s">
        <v>420</v>
      </c>
      <c r="C18" s="541">
        <v>15</v>
      </c>
      <c r="D18" s="1878" t="s">
        <v>1129</v>
      </c>
      <c r="E18" s="1878"/>
      <c r="F18" s="1878"/>
      <c r="R18" s="488"/>
    </row>
    <row r="19" spans="2:18" ht="18.75" customHeight="1" x14ac:dyDescent="0.3">
      <c r="B19" s="497"/>
      <c r="C19" s="576"/>
      <c r="F19" s="489"/>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34.9" customHeight="1" x14ac:dyDescent="0.3">
      <c r="B21" s="499" t="s">
        <v>422</v>
      </c>
      <c r="C21" s="1879" t="s">
        <v>206</v>
      </c>
      <c r="D21" s="1879"/>
      <c r="E21" s="1879"/>
      <c r="F21" s="1879"/>
      <c r="G21" s="1879"/>
      <c r="H21" s="1879"/>
      <c r="I21" s="1879"/>
      <c r="J21" s="1879"/>
      <c r="K21" s="1879"/>
      <c r="L21" s="1879"/>
      <c r="M21" s="1879"/>
      <c r="N21" s="1879"/>
      <c r="O21" s="1879"/>
      <c r="P21" s="1879"/>
      <c r="Q21" s="1879"/>
      <c r="R21" s="488"/>
    </row>
    <row r="22" spans="2:18" ht="13" x14ac:dyDescent="0.3">
      <c r="B22" s="500" t="s">
        <v>423</v>
      </c>
      <c r="C22" s="1536" t="s">
        <v>207</v>
      </c>
      <c r="D22" s="1536"/>
      <c r="E22" s="1536"/>
      <c r="F22" s="1536"/>
      <c r="G22" s="1536"/>
      <c r="H22" s="1536"/>
      <c r="I22" s="1536"/>
      <c r="J22" s="1536"/>
      <c r="K22" s="1536"/>
      <c r="L22" s="1536"/>
      <c r="M22" s="1536"/>
      <c r="N22" s="1536"/>
      <c r="O22" s="1536"/>
      <c r="P22" s="1536"/>
      <c r="Q22" s="1536"/>
      <c r="R22" s="488"/>
    </row>
    <row r="23" spans="2:18" ht="18.75" customHeight="1" x14ac:dyDescent="0.3">
      <c r="B23" s="500" t="s">
        <v>424</v>
      </c>
      <c r="C23" s="1880"/>
      <c r="D23" s="1880"/>
      <c r="E23" s="1880"/>
      <c r="F23" s="1880"/>
      <c r="G23" s="1880"/>
      <c r="H23" s="1880"/>
      <c r="I23" s="1880"/>
      <c r="J23" s="1880"/>
      <c r="K23" s="1880"/>
      <c r="L23" s="1880"/>
      <c r="M23" s="1880"/>
      <c r="N23" s="1880"/>
      <c r="O23" s="1880"/>
      <c r="P23" s="1880"/>
      <c r="Q23" s="1880"/>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475"/>
      <c r="F33" s="1476"/>
      <c r="G33" s="1476"/>
      <c r="H33" s="1476"/>
      <c r="I33" s="1476"/>
      <c r="J33" s="1476"/>
      <c r="K33" s="1476"/>
      <c r="L33" s="1476"/>
      <c r="M33" s="1476"/>
      <c r="N33" s="1476"/>
      <c r="O33" s="1476"/>
      <c r="P33" s="1476"/>
      <c r="Q33" s="1477"/>
      <c r="R33" s="488"/>
    </row>
    <row r="34" spans="2:18" ht="18.75" customHeight="1" x14ac:dyDescent="0.3">
      <c r="B34" s="490" t="s">
        <v>431</v>
      </c>
      <c r="C34" s="542"/>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586" t="s">
        <v>430</v>
      </c>
      <c r="E35" s="1442"/>
      <c r="F35" s="1442"/>
      <c r="G35" s="1442"/>
      <c r="H35" s="1442"/>
      <c r="I35" s="1442"/>
      <c r="J35" s="1442"/>
      <c r="K35" s="1442"/>
      <c r="L35" s="1442"/>
      <c r="M35" s="1442"/>
      <c r="N35" s="1442"/>
      <c r="O35" s="1442"/>
      <c r="P35" s="1442"/>
      <c r="Q35" s="1442"/>
    </row>
    <row r="36" spans="2:18" ht="18.75" customHeight="1" x14ac:dyDescent="0.3">
      <c r="B36" s="494" t="s">
        <v>433</v>
      </c>
      <c r="C36" s="504">
        <f>SUM(C33:C34)</f>
        <v>0</v>
      </c>
      <c r="D36" s="586" t="s">
        <v>430</v>
      </c>
      <c r="E36" s="1442"/>
      <c r="F36" s="1442"/>
      <c r="G36" s="1442"/>
      <c r="H36" s="1442"/>
      <c r="I36" s="1442"/>
      <c r="J36" s="1442"/>
      <c r="K36" s="1442"/>
      <c r="L36" s="1442"/>
      <c r="M36" s="1442"/>
      <c r="N36" s="1442"/>
      <c r="O36" s="1442"/>
      <c r="P36" s="1442"/>
      <c r="Q36" s="1442"/>
    </row>
    <row r="37" spans="2:18" ht="33.75" customHeight="1" x14ac:dyDescent="0.3">
      <c r="B37" s="494" t="s">
        <v>434</v>
      </c>
      <c r="C37" s="504">
        <f>IF(C27="RET",C33+(C34-C35),C34-C35)</f>
        <v>0</v>
      </c>
      <c r="D37" s="586" t="s">
        <v>430</v>
      </c>
      <c r="E37" s="1539"/>
      <c r="F37" s="1625"/>
      <c r="G37" s="1625"/>
      <c r="H37" s="1625"/>
      <c r="I37" s="1625"/>
      <c r="J37" s="1625"/>
      <c r="K37" s="1625"/>
      <c r="L37" s="1625"/>
      <c r="M37" s="1625"/>
      <c r="N37" s="1625"/>
      <c r="O37" s="1625"/>
      <c r="P37" s="1625"/>
      <c r="Q37" s="1625"/>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5">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18.768046852658802</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5">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5">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1171</v>
      </c>
      <c r="D49" s="1505"/>
      <c r="E49" s="1505"/>
      <c r="F49" s="1505"/>
      <c r="G49" s="1505"/>
      <c r="H49" s="1505"/>
      <c r="I49" s="1505"/>
      <c r="J49" s="1505"/>
      <c r="K49" s="1505"/>
      <c r="L49" s="1505"/>
      <c r="M49" s="1506"/>
      <c r="N49" s="543">
        <f>(H62*D86)*((1/H63)-(1/H64))*H65</f>
        <v>18.768046852658802</v>
      </c>
      <c r="O49" s="695" t="s">
        <v>443</v>
      </c>
      <c r="P49" s="1881"/>
      <c r="Q49" s="1881"/>
      <c r="R49" s="488"/>
    </row>
    <row r="50" spans="2:18" ht="18.75" customHeight="1" x14ac:dyDescent="0.3">
      <c r="B50" s="582" t="s">
        <v>456</v>
      </c>
      <c r="C50" s="1504" t="s">
        <v>636</v>
      </c>
      <c r="D50" s="1505"/>
      <c r="E50" s="1505"/>
      <c r="F50" s="1505"/>
      <c r="G50" s="1505"/>
      <c r="H50" s="1505"/>
      <c r="I50" s="1505"/>
      <c r="J50" s="1505"/>
      <c r="K50" s="1505"/>
      <c r="L50" s="1505"/>
      <c r="M50" s="1506"/>
      <c r="N50" s="620"/>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c r="R53" s="488"/>
    </row>
    <row r="54" spans="2:18" ht="18.75" customHeight="1" x14ac:dyDescent="0.3">
      <c r="B54" s="582" t="s">
        <v>462</v>
      </c>
      <c r="C54" s="1504" t="s">
        <v>463</v>
      </c>
      <c r="D54" s="1505"/>
      <c r="E54" s="1505"/>
      <c r="F54" s="1505"/>
      <c r="G54" s="1505"/>
      <c r="H54" s="1505"/>
      <c r="I54" s="1505"/>
      <c r="J54" s="1505"/>
      <c r="K54" s="1505"/>
      <c r="L54" s="1505"/>
      <c r="M54" s="1506"/>
      <c r="N54" s="592"/>
      <c r="O54" s="1243" t="s">
        <v>440</v>
      </c>
      <c r="P54" s="1511"/>
      <c r="Q54" s="1511"/>
      <c r="R54" s="488"/>
    </row>
    <row r="55" spans="2:18" ht="18.75" customHeight="1" x14ac:dyDescent="0.3">
      <c r="B55" s="582" t="s">
        <v>464</v>
      </c>
      <c r="C55" s="1504" t="s">
        <v>465</v>
      </c>
      <c r="D55" s="1505"/>
      <c r="E55" s="1505"/>
      <c r="F55" s="1505"/>
      <c r="G55" s="1505"/>
      <c r="H55" s="1505"/>
      <c r="I55" s="1505"/>
      <c r="J55" s="1505"/>
      <c r="K55" s="1505"/>
      <c r="L55" s="1505"/>
      <c r="M55" s="1506"/>
      <c r="N55" s="592"/>
      <c r="O55" s="1243" t="s">
        <v>443</v>
      </c>
      <c r="P55" s="1537"/>
      <c r="Q55" s="1538"/>
      <c r="R55" s="488"/>
    </row>
    <row r="56" spans="2:18" ht="18.75" customHeight="1" x14ac:dyDescent="0.3">
      <c r="B56" s="582" t="s">
        <v>466</v>
      </c>
      <c r="C56" s="1504" t="s">
        <v>516</v>
      </c>
      <c r="D56" s="1505"/>
      <c r="E56" s="1505"/>
      <c r="F56" s="1505"/>
      <c r="G56" s="1505"/>
      <c r="H56" s="1505"/>
      <c r="I56" s="1505"/>
      <c r="J56" s="1505"/>
      <c r="K56" s="1505"/>
      <c r="L56" s="1505"/>
      <c r="M56" s="1506"/>
      <c r="N56" s="592"/>
      <c r="O56" s="1243" t="s">
        <v>446</v>
      </c>
      <c r="P56" s="1537"/>
      <c r="Q56" s="1538"/>
      <c r="R56" s="488"/>
    </row>
    <row r="57" spans="2:18" ht="18.75" customHeight="1" x14ac:dyDescent="0.3">
      <c r="B57" s="582" t="s">
        <v>468</v>
      </c>
      <c r="C57" s="1504" t="s">
        <v>469</v>
      </c>
      <c r="D57" s="1505"/>
      <c r="E57" s="1505"/>
      <c r="F57" s="1505"/>
      <c r="G57" s="1505"/>
      <c r="H57" s="1505"/>
      <c r="I57" s="1505"/>
      <c r="J57" s="1505"/>
      <c r="K57" s="1505"/>
      <c r="L57" s="1505"/>
      <c r="M57" s="1506"/>
      <c r="N57" s="592"/>
      <c r="O57" s="1243" t="s">
        <v>449</v>
      </c>
      <c r="P57" s="1511"/>
      <c r="Q57" s="1511"/>
      <c r="R57" s="488"/>
    </row>
    <row r="58" spans="2:18" ht="18.75" customHeight="1" x14ac:dyDescent="0.3">
      <c r="B58" s="599"/>
      <c r="C58" s="577"/>
      <c r="D58" s="578"/>
      <c r="E58" s="578"/>
      <c r="F58" s="578"/>
      <c r="G58" s="578"/>
      <c r="H58" s="578"/>
      <c r="I58" s="578"/>
      <c r="J58" s="578"/>
      <c r="K58" s="578"/>
      <c r="L58" s="578"/>
      <c r="M58" s="578"/>
      <c r="N58" s="578"/>
      <c r="O58" s="578"/>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506" t="s">
        <v>406</v>
      </c>
      <c r="I61" s="506" t="s">
        <v>428</v>
      </c>
      <c r="J61" s="1396" t="s">
        <v>476</v>
      </c>
      <c r="K61" s="1397"/>
      <c r="L61" s="1397"/>
      <c r="M61" s="1397"/>
      <c r="N61" s="1397"/>
      <c r="O61" s="1397"/>
      <c r="P61" s="1397"/>
      <c r="Q61" s="1398"/>
    </row>
    <row r="62" spans="2:18" ht="37.5" customHeight="1" x14ac:dyDescent="0.3">
      <c r="B62" s="535">
        <v>1</v>
      </c>
      <c r="C62" s="551" t="s">
        <v>534</v>
      </c>
      <c r="D62" s="1543" t="s">
        <v>1172</v>
      </c>
      <c r="E62" s="1543"/>
      <c r="F62" s="551"/>
      <c r="G62" s="552"/>
      <c r="H62" s="552">
        <v>1</v>
      </c>
      <c r="I62" s="552" t="s">
        <v>612</v>
      </c>
      <c r="J62" s="1482" t="s">
        <v>1140</v>
      </c>
      <c r="K62" s="1544"/>
      <c r="L62" s="1544"/>
      <c r="M62" s="1544"/>
      <c r="N62" s="1544"/>
      <c r="O62" s="1544"/>
      <c r="P62" s="1544"/>
      <c r="Q62" s="1545"/>
      <c r="R62" s="488"/>
    </row>
    <row r="63" spans="2:18" ht="165" customHeight="1" x14ac:dyDescent="0.3">
      <c r="B63" s="534">
        <v>2</v>
      </c>
      <c r="C63" s="549" t="s">
        <v>1125</v>
      </c>
      <c r="D63" s="1556" t="s">
        <v>1173</v>
      </c>
      <c r="E63" s="1556"/>
      <c r="F63" s="1201" t="str">
        <f>H66</f>
        <v>Large Commercial Packaged Air Conditioning and Heating Equipment (Air-Cooled), All Other Types of Heating</v>
      </c>
      <c r="G63" s="1238" t="str">
        <f>C63</f>
        <v>EER_Base</v>
      </c>
      <c r="H63" s="911">
        <f>INDEX($C$96:$N$116,MATCH(F63,$C$96:$C$116,0),MATCH(G63,$C$96:$N$96,0))</f>
        <v>12.2</v>
      </c>
      <c r="I63" s="1238" t="s">
        <v>482</v>
      </c>
      <c r="J63" s="1462" t="s">
        <v>1174</v>
      </c>
      <c r="K63" s="1464"/>
      <c r="L63" s="1464"/>
      <c r="M63" s="1464"/>
      <c r="N63" s="1464"/>
      <c r="O63" s="1464"/>
      <c r="P63" s="1464"/>
      <c r="Q63" s="1463"/>
      <c r="R63" s="488"/>
    </row>
    <row r="64" spans="2:18" ht="56.25" customHeight="1" x14ac:dyDescent="0.3">
      <c r="B64" s="534">
        <v>3</v>
      </c>
      <c r="C64" s="549" t="s">
        <v>1175</v>
      </c>
      <c r="D64" s="1556" t="s">
        <v>1176</v>
      </c>
      <c r="E64" s="1556"/>
      <c r="F64" s="549"/>
      <c r="G64" s="1238"/>
      <c r="H64" s="911">
        <v>15</v>
      </c>
      <c r="I64" s="1238" t="s">
        <v>482</v>
      </c>
      <c r="J64" s="1462" t="s">
        <v>1177</v>
      </c>
      <c r="K64" s="1464"/>
      <c r="L64" s="1464"/>
      <c r="M64" s="1464"/>
      <c r="N64" s="1464"/>
      <c r="O64" s="1464"/>
      <c r="P64" s="1464"/>
      <c r="Q64" s="1463"/>
      <c r="R64" s="488"/>
    </row>
    <row r="65" spans="2:18" ht="37.5" customHeight="1" x14ac:dyDescent="0.3">
      <c r="B65" s="533">
        <v>4</v>
      </c>
      <c r="C65" s="546" t="s">
        <v>545</v>
      </c>
      <c r="D65" s="1539" t="s">
        <v>1178</v>
      </c>
      <c r="E65" s="1539"/>
      <c r="F65" s="811" t="str">
        <f>$C$28</f>
        <v>Other</v>
      </c>
      <c r="G65" s="924" t="str">
        <f>$C$26</f>
        <v>Average</v>
      </c>
      <c r="H65" s="925">
        <f>INDEX(EFLC[#All],MATCH(F65,EFLC[[#All],[EFLC]],0),MATCH(G65,EFLC[#Headers],0))</f>
        <v>102.21882660823093</v>
      </c>
      <c r="I65" s="1217" t="s">
        <v>532</v>
      </c>
      <c r="J65" s="1462" t="s">
        <v>638</v>
      </c>
      <c r="K65" s="1470"/>
      <c r="L65" s="1470"/>
      <c r="M65" s="1470"/>
      <c r="N65" s="1470"/>
      <c r="O65" s="1470"/>
      <c r="P65" s="1470"/>
      <c r="Q65" s="1471"/>
      <c r="R65" s="488"/>
    </row>
    <row r="66" spans="2:18" ht="106.5" customHeight="1" x14ac:dyDescent="0.3">
      <c r="B66" s="533">
        <v>5</v>
      </c>
      <c r="C66" s="546" t="s">
        <v>1146</v>
      </c>
      <c r="D66" s="1539" t="s">
        <v>1179</v>
      </c>
      <c r="E66" s="1539"/>
      <c r="F66" s="546"/>
      <c r="G66" s="1217"/>
      <c r="H66" s="1217" t="s">
        <v>1132</v>
      </c>
      <c r="I66" s="1217" t="s">
        <v>597</v>
      </c>
      <c r="J66" s="1468" t="s">
        <v>1180</v>
      </c>
      <c r="K66" s="1541"/>
      <c r="L66" s="1541"/>
      <c r="M66" s="1541"/>
      <c r="N66" s="1541"/>
      <c r="O66" s="1541"/>
      <c r="P66" s="1541"/>
      <c r="Q66" s="1542"/>
      <c r="R66" s="488"/>
    </row>
    <row r="67" spans="2:18" ht="14.5" customHeight="1" x14ac:dyDescent="0.3">
      <c r="B67" s="533">
        <v>6</v>
      </c>
      <c r="C67" s="546"/>
      <c r="D67" s="1539"/>
      <c r="E67" s="1539"/>
      <c r="F67" s="546"/>
      <c r="G67" s="1217"/>
      <c r="H67" s="1217"/>
      <c r="I67" s="1217"/>
      <c r="J67" s="1468"/>
      <c r="K67" s="1541"/>
      <c r="L67" s="1541"/>
      <c r="M67" s="1541"/>
      <c r="N67" s="1541"/>
      <c r="O67" s="1541"/>
      <c r="P67" s="1541"/>
      <c r="Q67" s="1542"/>
      <c r="R67" s="488"/>
    </row>
    <row r="68" spans="2:18" ht="15" customHeight="1" x14ac:dyDescent="0.3">
      <c r="B68" s="533">
        <v>7</v>
      </c>
      <c r="C68" s="546"/>
      <c r="D68" s="1539"/>
      <c r="E68" s="1539"/>
      <c r="F68" s="546"/>
      <c r="G68" s="1217"/>
      <c r="H68" s="1217"/>
      <c r="I68" s="1217"/>
      <c r="J68" s="1468"/>
      <c r="K68" s="1541"/>
      <c r="L68" s="1541"/>
      <c r="M68" s="1541"/>
      <c r="N68" s="1541"/>
      <c r="O68" s="1541"/>
      <c r="P68" s="1541"/>
      <c r="Q68" s="1542"/>
      <c r="R68" s="488"/>
    </row>
    <row r="69" spans="2:18" ht="15" customHeight="1" x14ac:dyDescent="0.3">
      <c r="B69" s="533">
        <v>8</v>
      </c>
      <c r="C69" s="546"/>
      <c r="D69" s="1539"/>
      <c r="E69" s="1539"/>
      <c r="F69" s="546"/>
      <c r="G69" s="1217"/>
      <c r="H69" s="1217"/>
      <c r="I69" s="1217"/>
      <c r="J69" s="1468"/>
      <c r="K69" s="1541"/>
      <c r="L69" s="1541"/>
      <c r="M69" s="1541"/>
      <c r="N69" s="1541"/>
      <c r="O69" s="1541"/>
      <c r="P69" s="1541"/>
      <c r="Q69" s="1542"/>
      <c r="R69" s="488"/>
    </row>
    <row r="70" spans="2:18" ht="13" x14ac:dyDescent="0.3">
      <c r="B70" s="533">
        <v>9</v>
      </c>
      <c r="C70" s="546"/>
      <c r="D70" s="1539"/>
      <c r="E70" s="1539"/>
      <c r="F70" s="546"/>
      <c r="G70" s="1217"/>
      <c r="H70" s="1217"/>
      <c r="I70" s="1217"/>
      <c r="J70" s="1468"/>
      <c r="K70" s="1541"/>
      <c r="L70" s="1541"/>
      <c r="M70" s="1541"/>
      <c r="N70" s="1541"/>
      <c r="O70" s="1541"/>
      <c r="P70" s="1541"/>
      <c r="Q70" s="1542"/>
      <c r="R70" s="488"/>
    </row>
    <row r="71" spans="2:18" ht="15" customHeight="1" x14ac:dyDescent="0.3">
      <c r="B71" s="533">
        <v>10</v>
      </c>
      <c r="C71" s="546"/>
      <c r="D71" s="1539"/>
      <c r="E71" s="1539"/>
      <c r="F71" s="546"/>
      <c r="G71" s="1217"/>
      <c r="H71" s="1217"/>
      <c r="I71" s="1217"/>
      <c r="J71" s="1468"/>
      <c r="K71" s="1541"/>
      <c r="L71" s="1541"/>
      <c r="M71" s="1541"/>
      <c r="N71" s="1541"/>
      <c r="O71" s="1541"/>
      <c r="P71" s="1541"/>
      <c r="Q71" s="1542"/>
      <c r="R71" s="488"/>
    </row>
    <row r="72" spans="2:18" s="491" customFormat="1" ht="15" customHeight="1" x14ac:dyDescent="0.3">
      <c r="B72" s="536">
        <v>11</v>
      </c>
      <c r="C72" s="546"/>
      <c r="D72" s="1539"/>
      <c r="E72" s="1539"/>
      <c r="F72" s="546"/>
      <c r="G72" s="1217"/>
      <c r="H72" s="721"/>
      <c r="I72" s="1217"/>
      <c r="J72" s="1468"/>
      <c r="K72" s="1541"/>
      <c r="L72" s="1541"/>
      <c r="M72" s="1541"/>
      <c r="N72" s="1541"/>
      <c r="O72" s="1541"/>
      <c r="P72" s="1541"/>
      <c r="Q72" s="1542"/>
    </row>
    <row r="73" spans="2:18" s="491" customFormat="1" ht="15" customHeight="1" x14ac:dyDescent="0.3">
      <c r="B73" s="536">
        <v>12</v>
      </c>
      <c r="C73" s="546"/>
      <c r="D73" s="1539"/>
      <c r="E73" s="1539"/>
      <c r="F73" s="546"/>
      <c r="G73" s="1217"/>
      <c r="H73" s="1217"/>
      <c r="I73" s="1217"/>
      <c r="J73" s="1468"/>
      <c r="K73" s="1541"/>
      <c r="L73" s="1541"/>
      <c r="M73" s="1541"/>
      <c r="N73" s="1541"/>
      <c r="O73" s="1541"/>
      <c r="P73" s="1541"/>
      <c r="Q73" s="1542"/>
    </row>
    <row r="74" spans="2:18" s="491" customFormat="1" ht="15" customHeight="1" x14ac:dyDescent="0.3">
      <c r="B74" s="536">
        <v>13</v>
      </c>
      <c r="C74" s="546"/>
      <c r="D74" s="1539"/>
      <c r="E74" s="1539"/>
      <c r="F74" s="546"/>
      <c r="G74" s="1217"/>
      <c r="H74" s="1217"/>
      <c r="I74" s="1217"/>
      <c r="J74" s="1468"/>
      <c r="K74" s="1541"/>
      <c r="L74" s="1541"/>
      <c r="M74" s="1541"/>
      <c r="N74" s="1541"/>
      <c r="O74" s="1541"/>
      <c r="P74" s="1541"/>
      <c r="Q74" s="1542"/>
    </row>
    <row r="75" spans="2:18" s="489" customFormat="1" ht="13.15" customHeight="1" x14ac:dyDescent="0.3">
      <c r="B75" s="536">
        <v>14</v>
      </c>
      <c r="C75" s="546"/>
      <c r="D75" s="1539"/>
      <c r="E75" s="1539"/>
      <c r="F75" s="546"/>
      <c r="G75" s="1217"/>
      <c r="H75" s="721"/>
      <c r="I75" s="1217"/>
      <c r="J75" s="1468"/>
      <c r="K75" s="1541"/>
      <c r="L75" s="1541"/>
      <c r="M75" s="1541"/>
      <c r="N75" s="1541"/>
      <c r="O75" s="1541"/>
      <c r="P75" s="1541"/>
      <c r="Q75" s="1542"/>
    </row>
    <row r="76" spans="2:18" s="489" customFormat="1" ht="14.5" customHeight="1" x14ac:dyDescent="0.3">
      <c r="B76" s="536">
        <v>15</v>
      </c>
      <c r="C76" s="555"/>
      <c r="D76" s="1539"/>
      <c r="E76" s="1539"/>
      <c r="F76" s="1217"/>
      <c r="G76" s="1217"/>
      <c r="H76" s="1217"/>
      <c r="I76" s="1217"/>
      <c r="J76" s="1468"/>
      <c r="K76" s="1541"/>
      <c r="L76" s="1541"/>
      <c r="M76" s="1541"/>
      <c r="N76" s="1541"/>
      <c r="O76" s="1541"/>
      <c r="P76" s="1541"/>
      <c r="Q76" s="1542"/>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233"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233"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233"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233"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233" t="s">
        <v>491</v>
      </c>
      <c r="F85" s="1489" t="s">
        <v>485</v>
      </c>
      <c r="G85" s="1490"/>
      <c r="H85" s="1490"/>
      <c r="I85" s="1490"/>
      <c r="J85" s="1490"/>
      <c r="K85" s="1490"/>
      <c r="L85" s="1490"/>
      <c r="M85" s="1490"/>
      <c r="N85" s="1490"/>
      <c r="O85" s="1490"/>
      <c r="P85" s="1490"/>
      <c r="Q85" s="1491"/>
      <c r="R85" s="488"/>
    </row>
    <row r="86" spans="2:18" ht="13" x14ac:dyDescent="0.3">
      <c r="B86" s="533">
        <v>6</v>
      </c>
      <c r="C86" s="563" t="s">
        <v>1181</v>
      </c>
      <c r="D86" s="1233">
        <v>12</v>
      </c>
      <c r="E86" s="1233" t="s">
        <v>1182</v>
      </c>
      <c r="F86" s="1486" t="s">
        <v>1183</v>
      </c>
      <c r="G86" s="1487"/>
      <c r="H86" s="1487"/>
      <c r="I86" s="1487"/>
      <c r="J86" s="1487"/>
      <c r="K86" s="1487"/>
      <c r="L86" s="1487"/>
      <c r="M86" s="1487"/>
      <c r="N86" s="1487"/>
      <c r="O86" s="1487"/>
      <c r="P86" s="1487"/>
      <c r="Q86" s="1488"/>
      <c r="R86" s="488"/>
    </row>
    <row r="87" spans="2:18" ht="13" x14ac:dyDescent="0.3">
      <c r="B87" s="533">
        <v>7</v>
      </c>
      <c r="C87" s="560"/>
      <c r="D87" s="734"/>
      <c r="E87" s="1233"/>
      <c r="F87" s="1486"/>
      <c r="G87" s="1487"/>
      <c r="H87" s="1487"/>
      <c r="I87" s="1487"/>
      <c r="J87" s="1487"/>
      <c r="K87" s="1487"/>
      <c r="L87" s="1487"/>
      <c r="M87" s="1487"/>
      <c r="N87" s="1487"/>
      <c r="O87" s="1487"/>
      <c r="P87" s="1487"/>
      <c r="Q87" s="1488"/>
      <c r="R87" s="488"/>
    </row>
    <row r="88" spans="2:18" ht="13" x14ac:dyDescent="0.3">
      <c r="B88" s="533">
        <v>8</v>
      </c>
      <c r="C88" s="563"/>
      <c r="D88" s="564"/>
      <c r="E88" s="1233"/>
      <c r="F88" s="1489"/>
      <c r="G88" s="1490"/>
      <c r="H88" s="1490"/>
      <c r="I88" s="1490"/>
      <c r="J88" s="1490"/>
      <c r="K88" s="1490"/>
      <c r="L88" s="1490"/>
      <c r="M88" s="1490"/>
      <c r="N88" s="1490"/>
      <c r="O88" s="1490"/>
      <c r="P88" s="1490"/>
      <c r="Q88" s="1491"/>
      <c r="R88" s="488"/>
    </row>
    <row r="89" spans="2:18" ht="13" x14ac:dyDescent="0.3">
      <c r="B89" s="533">
        <v>9</v>
      </c>
      <c r="C89" s="563"/>
      <c r="D89" s="564"/>
      <c r="E89" s="1233"/>
      <c r="F89" s="1489"/>
      <c r="G89" s="1490"/>
      <c r="H89" s="1490"/>
      <c r="I89" s="1490"/>
      <c r="J89" s="1490"/>
      <c r="K89" s="1490"/>
      <c r="L89" s="1490"/>
      <c r="M89" s="1490"/>
      <c r="N89" s="1490"/>
      <c r="O89" s="1490"/>
      <c r="P89" s="1490"/>
      <c r="Q89" s="1491"/>
      <c r="R89" s="488"/>
    </row>
    <row r="90" spans="2:18" ht="13" x14ac:dyDescent="0.3">
      <c r="B90" s="533">
        <v>10</v>
      </c>
      <c r="C90" s="563"/>
      <c r="D90" s="564"/>
      <c r="E90" s="1233"/>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t="s">
        <v>1124</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c r="R95" s="488"/>
    </row>
    <row r="96" spans="2:18" ht="36.75" customHeight="1" x14ac:dyDescent="0.3">
      <c r="B96" s="1188" t="s">
        <v>478</v>
      </c>
      <c r="C96" s="1402" t="s">
        <v>538</v>
      </c>
      <c r="D96" s="1431"/>
      <c r="E96" s="565" t="s">
        <v>1125</v>
      </c>
      <c r="F96" s="565" t="s">
        <v>1126</v>
      </c>
      <c r="G96" s="565"/>
      <c r="H96" s="565"/>
      <c r="I96" s="565"/>
      <c r="J96" s="565"/>
      <c r="K96" s="565"/>
      <c r="L96" s="565"/>
      <c r="M96" s="565"/>
      <c r="N96" s="566"/>
      <c r="O96" s="1410"/>
      <c r="P96" s="1411"/>
      <c r="Q96" s="1412"/>
      <c r="R96" s="488"/>
    </row>
    <row r="97" spans="2:18" ht="78" x14ac:dyDescent="0.3">
      <c r="B97" s="533">
        <v>1</v>
      </c>
      <c r="C97" s="916" t="s">
        <v>1127</v>
      </c>
      <c r="D97" s="1241" t="s">
        <v>1128</v>
      </c>
      <c r="E97" s="917">
        <v>12.9</v>
      </c>
      <c r="F97" s="918">
        <v>43101</v>
      </c>
      <c r="G97" s="919"/>
      <c r="H97" s="919"/>
      <c r="I97" s="568"/>
      <c r="J97" s="568"/>
      <c r="K97" s="568"/>
      <c r="L97" s="568"/>
      <c r="M97" s="568"/>
      <c r="N97" s="568"/>
      <c r="O97" s="1501" t="s">
        <v>1129</v>
      </c>
      <c r="P97" s="1502"/>
      <c r="Q97" s="1503"/>
      <c r="R97" s="488"/>
    </row>
    <row r="98" spans="2:18" ht="65" x14ac:dyDescent="0.3">
      <c r="B98" s="533">
        <v>2</v>
      </c>
      <c r="C98" s="916" t="s">
        <v>1130</v>
      </c>
      <c r="D98" s="1241" t="s">
        <v>1128</v>
      </c>
      <c r="E98" s="917">
        <v>12.7</v>
      </c>
      <c r="F98" s="918">
        <v>43101</v>
      </c>
      <c r="G98" s="919"/>
      <c r="H98" s="919"/>
      <c r="I98" s="568"/>
      <c r="J98" s="568"/>
      <c r="K98" s="568"/>
      <c r="L98" s="568"/>
      <c r="M98" s="568"/>
      <c r="N98" s="568"/>
      <c r="O98" s="1501" t="s">
        <v>1129</v>
      </c>
      <c r="P98" s="1502"/>
      <c r="Q98" s="1503"/>
      <c r="R98" s="488"/>
    </row>
    <row r="99" spans="2:18" ht="78" x14ac:dyDescent="0.3">
      <c r="B99" s="533">
        <v>3</v>
      </c>
      <c r="C99" s="916" t="s">
        <v>1131</v>
      </c>
      <c r="D99" s="1241" t="s">
        <v>1128</v>
      </c>
      <c r="E99" s="917">
        <v>12.4</v>
      </c>
      <c r="F99" s="918">
        <v>43101</v>
      </c>
      <c r="G99" s="919"/>
      <c r="H99" s="919"/>
      <c r="I99" s="568"/>
      <c r="J99" s="568"/>
      <c r="K99" s="568"/>
      <c r="L99" s="568"/>
      <c r="M99" s="568"/>
      <c r="N99" s="568"/>
      <c r="O99" s="1501" t="s">
        <v>1129</v>
      </c>
      <c r="P99" s="1502"/>
      <c r="Q99" s="1503"/>
      <c r="R99" s="488"/>
    </row>
    <row r="100" spans="2:18" ht="65" x14ac:dyDescent="0.3">
      <c r="B100" s="533">
        <v>4</v>
      </c>
      <c r="C100" s="916" t="s">
        <v>1132</v>
      </c>
      <c r="D100" s="1241" t="s">
        <v>1128</v>
      </c>
      <c r="E100" s="917">
        <v>12.2</v>
      </c>
      <c r="F100" s="918">
        <v>43101</v>
      </c>
      <c r="G100" s="919"/>
      <c r="H100" s="919"/>
      <c r="I100" s="568"/>
      <c r="J100" s="568"/>
      <c r="K100" s="568"/>
      <c r="L100" s="568"/>
      <c r="M100" s="568"/>
      <c r="N100" s="568"/>
      <c r="O100" s="1501" t="s">
        <v>1129</v>
      </c>
      <c r="P100" s="1502"/>
      <c r="Q100" s="1503"/>
      <c r="R100" s="488"/>
    </row>
    <row r="101" spans="2:18" ht="78" x14ac:dyDescent="0.3">
      <c r="B101" s="533">
        <v>5</v>
      </c>
      <c r="C101" s="916" t="s">
        <v>1133</v>
      </c>
      <c r="D101" s="1241" t="s">
        <v>1128</v>
      </c>
      <c r="E101" s="917">
        <v>11.6</v>
      </c>
      <c r="F101" s="918">
        <v>43101</v>
      </c>
      <c r="G101" s="919"/>
      <c r="H101" s="919"/>
      <c r="I101" s="568"/>
      <c r="J101" s="568"/>
      <c r="K101" s="568"/>
      <c r="L101" s="568"/>
      <c r="M101" s="568"/>
      <c r="N101" s="568"/>
      <c r="O101" s="1501" t="s">
        <v>1129</v>
      </c>
      <c r="P101" s="1502"/>
      <c r="Q101" s="1503"/>
      <c r="R101" s="488"/>
    </row>
    <row r="102" spans="2:18" ht="65" x14ac:dyDescent="0.3">
      <c r="B102" s="533">
        <v>6</v>
      </c>
      <c r="C102" s="916" t="s">
        <v>1134</v>
      </c>
      <c r="D102" s="1241" t="s">
        <v>1128</v>
      </c>
      <c r="E102" s="917">
        <v>11.4</v>
      </c>
      <c r="F102" s="918">
        <v>43101</v>
      </c>
      <c r="G102" s="919"/>
      <c r="H102" s="919"/>
      <c r="I102" s="569"/>
      <c r="J102" s="569"/>
      <c r="K102" s="569"/>
      <c r="L102" s="569"/>
      <c r="M102" s="569"/>
      <c r="N102" s="569"/>
      <c r="O102" s="1501" t="s">
        <v>1129</v>
      </c>
      <c r="P102" s="1502"/>
      <c r="Q102" s="1503"/>
      <c r="R102" s="488"/>
    </row>
    <row r="103" spans="2:18" ht="65" x14ac:dyDescent="0.3">
      <c r="B103" s="533">
        <v>7</v>
      </c>
      <c r="C103" s="916" t="s">
        <v>1135</v>
      </c>
      <c r="D103" s="1217" t="s">
        <v>1136</v>
      </c>
      <c r="E103" s="917">
        <v>13</v>
      </c>
      <c r="F103" s="918">
        <v>39615</v>
      </c>
      <c r="G103" s="919"/>
      <c r="H103" s="919"/>
      <c r="I103" s="569"/>
      <c r="J103" s="569"/>
      <c r="K103" s="569"/>
      <c r="L103" s="569"/>
      <c r="M103" s="569"/>
      <c r="N103" s="569"/>
      <c r="O103" s="1501" t="s">
        <v>1129</v>
      </c>
      <c r="P103" s="1502"/>
      <c r="Q103" s="1503"/>
      <c r="R103" s="488"/>
    </row>
    <row r="104" spans="2:18" ht="65" x14ac:dyDescent="0.3">
      <c r="B104" s="533">
        <v>8</v>
      </c>
      <c r="C104" s="916" t="s">
        <v>1135</v>
      </c>
      <c r="D104" s="1217" t="s">
        <v>1136</v>
      </c>
      <c r="E104" s="917">
        <v>14</v>
      </c>
      <c r="F104" s="918">
        <v>42736</v>
      </c>
      <c r="G104" s="919"/>
      <c r="H104" s="919"/>
      <c r="I104" s="569"/>
      <c r="J104" s="569"/>
      <c r="K104" s="569"/>
      <c r="L104" s="569"/>
      <c r="M104" s="569"/>
      <c r="N104" s="569"/>
      <c r="O104" s="1501" t="s">
        <v>1129</v>
      </c>
      <c r="P104" s="1502"/>
      <c r="Q104" s="1503"/>
      <c r="R104" s="488"/>
    </row>
    <row r="105" spans="2:18" ht="13" x14ac:dyDescent="0.3">
      <c r="B105" s="533">
        <v>9</v>
      </c>
      <c r="C105" s="546"/>
      <c r="D105" s="570"/>
      <c r="E105" s="1190"/>
      <c r="F105" s="920"/>
      <c r="G105" s="1217"/>
      <c r="H105" s="1217"/>
      <c r="I105" s="569"/>
      <c r="J105" s="569"/>
      <c r="K105" s="569"/>
      <c r="L105" s="569"/>
      <c r="M105" s="569"/>
      <c r="N105" s="569"/>
      <c r="O105" s="1492"/>
      <c r="P105" s="1493"/>
      <c r="Q105" s="1494"/>
      <c r="R105" s="488"/>
    </row>
    <row r="106" spans="2:18" ht="13" x14ac:dyDescent="0.3">
      <c r="B106" s="533">
        <v>10</v>
      </c>
      <c r="C106" s="546"/>
      <c r="D106" s="570"/>
      <c r="E106" s="1217"/>
      <c r="F106" s="920"/>
      <c r="G106" s="1217"/>
      <c r="H106" s="1217"/>
      <c r="I106" s="569"/>
      <c r="J106" s="569"/>
      <c r="K106" s="569"/>
      <c r="L106" s="569"/>
      <c r="M106" s="569"/>
      <c r="N106" s="569"/>
      <c r="O106" s="1492"/>
      <c r="P106" s="1493"/>
      <c r="Q106" s="1494"/>
      <c r="R106" s="488"/>
    </row>
    <row r="107" spans="2:18" ht="13" x14ac:dyDescent="0.3">
      <c r="B107" s="533">
        <v>11</v>
      </c>
      <c r="C107" s="546"/>
      <c r="D107" s="570"/>
      <c r="E107" s="571"/>
      <c r="F107" s="921"/>
      <c r="G107" s="571"/>
      <c r="H107" s="571"/>
      <c r="I107" s="569"/>
      <c r="J107" s="569"/>
      <c r="K107" s="569"/>
      <c r="L107" s="569"/>
      <c r="M107" s="569"/>
      <c r="N107" s="569"/>
      <c r="O107" s="1492"/>
      <c r="P107" s="1493"/>
      <c r="Q107" s="1494"/>
      <c r="R107" s="488"/>
    </row>
    <row r="108" spans="2:18" ht="13" x14ac:dyDescent="0.3">
      <c r="B108" s="533">
        <v>12</v>
      </c>
      <c r="C108" s="546"/>
      <c r="D108" s="570"/>
      <c r="E108" s="1217"/>
      <c r="F108" s="921"/>
      <c r="G108" s="1217"/>
      <c r="H108" s="1217"/>
      <c r="I108" s="569"/>
      <c r="J108" s="569"/>
      <c r="K108" s="569"/>
      <c r="L108" s="569"/>
      <c r="M108" s="569"/>
      <c r="N108" s="569"/>
      <c r="O108" s="1492"/>
      <c r="P108" s="1493"/>
      <c r="Q108" s="1494"/>
      <c r="R108" s="488"/>
    </row>
    <row r="109" spans="2:18" ht="13" x14ac:dyDescent="0.3">
      <c r="B109" s="533">
        <v>13</v>
      </c>
      <c r="C109" s="546"/>
      <c r="D109" s="570"/>
      <c r="E109" s="1217"/>
      <c r="F109" s="920"/>
      <c r="G109" s="1217"/>
      <c r="H109" s="1217"/>
      <c r="I109" s="569"/>
      <c r="J109" s="569"/>
      <c r="K109" s="569"/>
      <c r="L109" s="569"/>
      <c r="M109" s="569"/>
      <c r="N109" s="569"/>
      <c r="O109" s="1492"/>
      <c r="P109" s="1493"/>
      <c r="Q109" s="1494"/>
      <c r="R109" s="488"/>
    </row>
    <row r="110" spans="2:18" ht="13" x14ac:dyDescent="0.3">
      <c r="B110" s="533">
        <v>14</v>
      </c>
      <c r="C110" s="546"/>
      <c r="D110" s="570"/>
      <c r="E110" s="572"/>
      <c r="F110" s="920"/>
      <c r="G110" s="572"/>
      <c r="H110" s="572"/>
      <c r="I110" s="569"/>
      <c r="J110" s="569"/>
      <c r="K110" s="569"/>
      <c r="L110" s="569"/>
      <c r="M110" s="569"/>
      <c r="N110" s="569"/>
      <c r="O110" s="1492"/>
      <c r="P110" s="1493"/>
      <c r="Q110" s="1494"/>
      <c r="R110" s="488"/>
    </row>
    <row r="111" spans="2:18" ht="13" x14ac:dyDescent="0.3">
      <c r="B111" s="533">
        <v>15</v>
      </c>
      <c r="C111" s="546"/>
      <c r="D111" s="570"/>
      <c r="E111" s="572"/>
      <c r="F111" s="920"/>
      <c r="G111" s="572"/>
      <c r="H111" s="572"/>
      <c r="I111" s="569"/>
      <c r="J111" s="569"/>
      <c r="K111" s="569"/>
      <c r="L111" s="569"/>
      <c r="M111" s="569"/>
      <c r="N111" s="569"/>
      <c r="O111" s="1492"/>
      <c r="P111" s="1493"/>
      <c r="Q111" s="1494"/>
      <c r="R111" s="488"/>
    </row>
    <row r="112" spans="2:18" ht="13" x14ac:dyDescent="0.3">
      <c r="B112" s="533">
        <v>16</v>
      </c>
      <c r="C112" s="546"/>
      <c r="D112" s="570"/>
      <c r="E112" s="572"/>
      <c r="F112" s="920"/>
      <c r="G112" s="572"/>
      <c r="H112" s="572"/>
      <c r="I112" s="569"/>
      <c r="J112" s="569"/>
      <c r="K112" s="569"/>
      <c r="L112" s="569"/>
      <c r="M112" s="569"/>
      <c r="N112" s="569"/>
      <c r="O112" s="1492"/>
      <c r="P112" s="1493"/>
      <c r="Q112" s="1494"/>
      <c r="R112" s="488"/>
    </row>
    <row r="113" spans="2:18" ht="13" x14ac:dyDescent="0.3">
      <c r="B113" s="533">
        <v>17</v>
      </c>
      <c r="C113" s="546"/>
      <c r="D113" s="570"/>
      <c r="E113" s="572"/>
      <c r="F113" s="920"/>
      <c r="G113" s="572"/>
      <c r="H113" s="572"/>
      <c r="I113" s="569"/>
      <c r="J113" s="569"/>
      <c r="K113" s="569"/>
      <c r="L113" s="569"/>
      <c r="M113" s="569"/>
      <c r="N113" s="569"/>
      <c r="O113" s="1492"/>
      <c r="P113" s="1493"/>
      <c r="Q113" s="1494"/>
      <c r="R113" s="488"/>
    </row>
    <row r="114" spans="2:18" ht="13" x14ac:dyDescent="0.3">
      <c r="B114" s="533">
        <v>18</v>
      </c>
      <c r="C114" s="546"/>
      <c r="D114" s="570"/>
      <c r="E114" s="572"/>
      <c r="F114" s="920"/>
      <c r="G114" s="572"/>
      <c r="H114" s="572"/>
      <c r="I114" s="569"/>
      <c r="J114" s="569"/>
      <c r="K114" s="569"/>
      <c r="L114" s="569"/>
      <c r="M114" s="569"/>
      <c r="N114" s="569"/>
      <c r="O114" s="1492"/>
      <c r="P114" s="1493"/>
      <c r="Q114" s="1494"/>
      <c r="R114" s="488"/>
    </row>
    <row r="115" spans="2:18" ht="13" x14ac:dyDescent="0.3">
      <c r="B115" s="533">
        <v>19</v>
      </c>
      <c r="C115" s="546"/>
      <c r="D115" s="570"/>
      <c r="E115" s="572"/>
      <c r="F115" s="920"/>
      <c r="G115" s="572"/>
      <c r="H115" s="572"/>
      <c r="I115" s="569"/>
      <c r="J115" s="569"/>
      <c r="K115" s="569"/>
      <c r="L115" s="569"/>
      <c r="M115" s="569"/>
      <c r="N115" s="569"/>
      <c r="O115" s="1492"/>
      <c r="P115" s="1493"/>
      <c r="Q115" s="1494"/>
      <c r="R115" s="488"/>
    </row>
    <row r="116" spans="2:18" ht="13" x14ac:dyDescent="0.3">
      <c r="B116" s="533">
        <v>20</v>
      </c>
      <c r="C116" s="546"/>
      <c r="D116" s="570"/>
      <c r="E116" s="572"/>
      <c r="F116" s="920"/>
      <c r="G116" s="572"/>
      <c r="H116" s="572"/>
      <c r="I116" s="569"/>
      <c r="J116" s="569"/>
      <c r="K116" s="569"/>
      <c r="L116" s="569"/>
      <c r="M116" s="569"/>
      <c r="N116" s="569"/>
      <c r="O116" s="1492"/>
      <c r="P116" s="1493"/>
      <c r="Q116" s="1494"/>
      <c r="R116" s="488"/>
    </row>
  </sheetData>
  <sheetProtection algorithmName="SHA-512" hashValue="4wScLIHG1Ix8JKX2145MqJUOSFGbNq+6XW3PZ0M2L5SzxAGjuYcXUY/3Dw+R+xZNPTt1CUOAldZhjIbPnJTCTg==" saltValue="SmDc5gQccvSGRuIF8D6jtA==" spinCount="100000" sheet="1" objects="1" scenarios="1" selectLockedCells="1" selectUnlockedCells="1"/>
  <mergeCells count="121">
    <mergeCell ref="O111:Q111"/>
    <mergeCell ref="O112:Q112"/>
    <mergeCell ref="O113:Q113"/>
    <mergeCell ref="O114:Q114"/>
    <mergeCell ref="O115:Q115"/>
    <mergeCell ref="O116:Q116"/>
    <mergeCell ref="O105:Q105"/>
    <mergeCell ref="O106:Q106"/>
    <mergeCell ref="O107:Q107"/>
    <mergeCell ref="O108:Q108"/>
    <mergeCell ref="O109:Q109"/>
    <mergeCell ref="O110:Q110"/>
    <mergeCell ref="O99:Q99"/>
    <mergeCell ref="O100:Q100"/>
    <mergeCell ref="O101:Q101"/>
    <mergeCell ref="O102:Q102"/>
    <mergeCell ref="O103:Q103"/>
    <mergeCell ref="O104:Q104"/>
    <mergeCell ref="F90:Q90"/>
    <mergeCell ref="E94:N94"/>
    <mergeCell ref="O94:Q96"/>
    <mergeCell ref="C96:D96"/>
    <mergeCell ref="O97:Q97"/>
    <mergeCell ref="O98:Q98"/>
    <mergeCell ref="F84:Q84"/>
    <mergeCell ref="F85:Q85"/>
    <mergeCell ref="F86:Q86"/>
    <mergeCell ref="F87:Q87"/>
    <mergeCell ref="F88:Q88"/>
    <mergeCell ref="F89:Q89"/>
    <mergeCell ref="B95:D95"/>
    <mergeCell ref="D76:E76"/>
    <mergeCell ref="J76:Q76"/>
    <mergeCell ref="F80:Q80"/>
    <mergeCell ref="F81:Q81"/>
    <mergeCell ref="F82:Q82"/>
    <mergeCell ref="F83:Q83"/>
    <mergeCell ref="D73:E73"/>
    <mergeCell ref="J73:Q73"/>
    <mergeCell ref="D74:E74"/>
    <mergeCell ref="J74:Q74"/>
    <mergeCell ref="D75:E75"/>
    <mergeCell ref="J75:Q75"/>
    <mergeCell ref="D70:E70"/>
    <mergeCell ref="J70:Q70"/>
    <mergeCell ref="D71:E71"/>
    <mergeCell ref="J71:Q71"/>
    <mergeCell ref="D72:E72"/>
    <mergeCell ref="J72:Q72"/>
    <mergeCell ref="D67:E67"/>
    <mergeCell ref="J67:Q67"/>
    <mergeCell ref="D68:E68"/>
    <mergeCell ref="J68:Q68"/>
    <mergeCell ref="D69:E69"/>
    <mergeCell ref="J69:Q69"/>
    <mergeCell ref="D64:E64"/>
    <mergeCell ref="J64:Q64"/>
    <mergeCell ref="D65:E65"/>
    <mergeCell ref="J65:Q65"/>
    <mergeCell ref="D66:E66"/>
    <mergeCell ref="J66:Q66"/>
    <mergeCell ref="D61:E61"/>
    <mergeCell ref="J61:Q61"/>
    <mergeCell ref="D62:E62"/>
    <mergeCell ref="J62:Q62"/>
    <mergeCell ref="D63:E63"/>
    <mergeCell ref="J63:Q63"/>
    <mergeCell ref="C55:M55"/>
    <mergeCell ref="P55:Q55"/>
    <mergeCell ref="C56:M56"/>
    <mergeCell ref="P56:Q56"/>
    <mergeCell ref="C57:M57"/>
    <mergeCell ref="P57:Q57"/>
    <mergeCell ref="C51:M51"/>
    <mergeCell ref="P51:Q51"/>
    <mergeCell ref="C53:M53"/>
    <mergeCell ref="P53:Q53"/>
    <mergeCell ref="C54:M54"/>
    <mergeCell ref="P54:Q54"/>
    <mergeCell ref="C48:M48"/>
    <mergeCell ref="P48:Q48"/>
    <mergeCell ref="C49:M49"/>
    <mergeCell ref="P49:Q49"/>
    <mergeCell ref="C50:M50"/>
    <mergeCell ref="P50:Q50"/>
    <mergeCell ref="C44:M44"/>
    <mergeCell ref="P44:Q44"/>
    <mergeCell ref="C45:M45"/>
    <mergeCell ref="P45:Q45"/>
    <mergeCell ref="C47:M47"/>
    <mergeCell ref="P47:Q47"/>
    <mergeCell ref="C41:M41"/>
    <mergeCell ref="P41:Q41"/>
    <mergeCell ref="C42:M42"/>
    <mergeCell ref="P42:Q42"/>
    <mergeCell ref="C43:M43"/>
    <mergeCell ref="P43:Q43"/>
    <mergeCell ref="E32:Q32"/>
    <mergeCell ref="E33:Q33"/>
    <mergeCell ref="E34:Q34"/>
    <mergeCell ref="E35:Q35"/>
    <mergeCell ref="E36:Q36"/>
    <mergeCell ref="E37:Q37"/>
    <mergeCell ref="D28:Q28"/>
    <mergeCell ref="D29:Q29"/>
    <mergeCell ref="D30:Q30"/>
    <mergeCell ref="D17:F17"/>
    <mergeCell ref="D18:F18"/>
    <mergeCell ref="B20:Q20"/>
    <mergeCell ref="C21:Q21"/>
    <mergeCell ref="C22:Q22"/>
    <mergeCell ref="C23:Q23"/>
    <mergeCell ref="C2:F2"/>
    <mergeCell ref="C3:F3"/>
    <mergeCell ref="C4:F4"/>
    <mergeCell ref="C5:F5"/>
    <mergeCell ref="D7:F7"/>
    <mergeCell ref="D8:F16"/>
    <mergeCell ref="D25:Q25"/>
    <mergeCell ref="D26:Q26"/>
    <mergeCell ref="D27:Q27"/>
  </mergeCells>
  <conditionalFormatting sqref="F109:F116 G105:H116">
    <cfRule type="expression" dxfId="3200" priority="25">
      <formula>IF(OR(#REF!="L",#REF!="C"),TRUE,FALSE)</formula>
    </cfRule>
  </conditionalFormatting>
  <conditionalFormatting sqref="E110:E116">
    <cfRule type="expression" dxfId="3199" priority="24">
      <formula>IF(OR(#REF!="L",#REF!="C"),TRUE,FALSE)</formula>
    </cfRule>
  </conditionalFormatting>
  <conditionalFormatting sqref="E107">
    <cfRule type="expression" dxfId="3198" priority="23">
      <formula>IF(OR(#REF!="L",#REF!="C"),TRUE,FALSE)</formula>
    </cfRule>
  </conditionalFormatting>
  <conditionalFormatting sqref="E108">
    <cfRule type="expression" dxfId="3197" priority="22">
      <formula>IF(OR(#REF!="L",#REF!="C"),TRUE,FALSE)</formula>
    </cfRule>
  </conditionalFormatting>
  <conditionalFormatting sqref="E109">
    <cfRule type="expression" dxfId="3196" priority="21">
      <formula>IF(OR(#REF!="L",#REF!="C"),TRUE,FALSE)</formula>
    </cfRule>
  </conditionalFormatting>
  <conditionalFormatting sqref="E106">
    <cfRule type="expression" dxfId="3195" priority="20">
      <formula>IF(OR(#REF!="L",#REF!="C"),TRUE,FALSE)</formula>
    </cfRule>
  </conditionalFormatting>
  <conditionalFormatting sqref="E95 G95 I95 K95 M95">
    <cfRule type="duplicateValues" dxfId="3194" priority="19"/>
  </conditionalFormatting>
  <conditionalFormatting sqref="M104:M116">
    <cfRule type="expression" dxfId="3193" priority="9">
      <formula>IF(OR(#REF!="L",#REF!="C"),TRUE,FALSE)</formula>
    </cfRule>
  </conditionalFormatting>
  <conditionalFormatting sqref="F105:F106">
    <cfRule type="expression" dxfId="3192" priority="18">
      <formula>IF(OR(#REF!="L",#REF!="C"),TRUE,FALSE)</formula>
    </cfRule>
  </conditionalFormatting>
  <conditionalFormatting sqref="I102:I103">
    <cfRule type="expression" dxfId="3191" priority="16">
      <formula>IF(OR(#REF!="L",#REF!="C"),TRUE,FALSE)</formula>
    </cfRule>
  </conditionalFormatting>
  <conditionalFormatting sqref="N102:N103">
    <cfRule type="expression" dxfId="3190" priority="6">
      <formula>IF(OR(#REF!="L",#REF!="C"),TRUE,FALSE)</formula>
    </cfRule>
  </conditionalFormatting>
  <conditionalFormatting sqref="I104:I116">
    <cfRule type="expression" dxfId="3189" priority="17">
      <formula>IF(OR(#REF!="L",#REF!="C"),TRUE,FALSE)</formula>
    </cfRule>
  </conditionalFormatting>
  <conditionalFormatting sqref="J102:J103">
    <cfRule type="expression" dxfId="3188" priority="14">
      <formula>IF(OR(#REF!="L",#REF!="C"),TRUE,FALSE)</formula>
    </cfRule>
  </conditionalFormatting>
  <conditionalFormatting sqref="J104:J116">
    <cfRule type="expression" dxfId="3187" priority="15">
      <formula>IF(OR(#REF!="L",#REF!="C"),TRUE,FALSE)</formula>
    </cfRule>
  </conditionalFormatting>
  <conditionalFormatting sqref="K102:K103">
    <cfRule type="expression" dxfId="3186" priority="12">
      <formula>IF(OR(#REF!="L",#REF!="C"),TRUE,FALSE)</formula>
    </cfRule>
  </conditionalFormatting>
  <conditionalFormatting sqref="K104:K116">
    <cfRule type="expression" dxfId="3185" priority="13">
      <formula>IF(OR(#REF!="L",#REF!="C"),TRUE,FALSE)</formula>
    </cfRule>
  </conditionalFormatting>
  <conditionalFormatting sqref="L102:L103">
    <cfRule type="expression" dxfId="3184" priority="10">
      <formula>IF(OR(#REF!="L",#REF!="C"),TRUE,FALSE)</formula>
    </cfRule>
  </conditionalFormatting>
  <conditionalFormatting sqref="L104:L116">
    <cfRule type="expression" dxfId="3183" priority="11">
      <formula>IF(OR(#REF!="L",#REF!="C"),TRUE,FALSE)</formula>
    </cfRule>
  </conditionalFormatting>
  <conditionalFormatting sqref="M102:M103">
    <cfRule type="expression" dxfId="3182" priority="8">
      <formula>IF(OR(#REF!="L",#REF!="C"),TRUE,FALSE)</formula>
    </cfRule>
  </conditionalFormatting>
  <conditionalFormatting sqref="N104:N116">
    <cfRule type="expression" dxfId="3181" priority="7">
      <formula>IF(OR(#REF!="L",#REF!="C"),TRUE,FALSE)</formula>
    </cfRule>
  </conditionalFormatting>
  <conditionalFormatting sqref="O105:O116">
    <cfRule type="expression" dxfId="3180" priority="5">
      <formula>IF(OR(#REF!="L",#REF!="C"),TRUE,FALSE)</formula>
    </cfRule>
  </conditionalFormatting>
  <conditionalFormatting sqref="G96:N96">
    <cfRule type="duplicateValues" dxfId="3179" priority="3"/>
  </conditionalFormatting>
  <conditionalFormatting sqref="E96:F96">
    <cfRule type="duplicateValues" dxfId="3178" priority="2"/>
  </conditionalFormatting>
  <conditionalFormatting sqref="H65">
    <cfRule type="expression" dxfId="3177" priority="1">
      <formula>IF(OR(#REF!="L",#REF!="C"),TRUE,FALSE)</formula>
    </cfRule>
  </conditionalFormatting>
  <dataValidations count="9">
    <dataValidation type="list" allowBlank="1" showInputMessage="1" showErrorMessage="1" sqref="H66" xr:uid="{6BF499F5-53AB-42EE-8B32-BC15DA7C605E}">
      <formula1>$C$97:$C$116</formula1>
    </dataValidation>
    <dataValidation type="list" allowBlank="1" showInputMessage="1" showErrorMessage="1" sqref="F72:F74" xr:uid="{106D4EBF-3E98-4628-B55E-27A991BD80B3}">
      <formula1>$C$102:$C$107</formula1>
    </dataValidation>
    <dataValidation type="list" allowBlank="1" showInputMessage="1" showErrorMessage="1" sqref="C4" xr:uid="{446DCB17-9A01-4E28-953B-FA8027A83633}">
      <formula1>"COM,RES"</formula1>
    </dataValidation>
    <dataValidation type="list" allowBlank="1" showInputMessage="1" showErrorMessage="1" sqref="H67:H71" xr:uid="{4151ABEB-4756-4FCA-9333-136861A42F53}">
      <formula1>#N/A</formula1>
    </dataValidation>
    <dataValidation type="list" allowBlank="1" showInputMessage="1" showErrorMessage="1" sqref="C9" xr:uid="{AFA6A9FE-4D43-4586-8165-EEE81FEC4BFD}">
      <formula1>INDIRECT("MeasureTypeList[Index]")</formula1>
    </dataValidation>
    <dataValidation type="list" allowBlank="1" showInputMessage="1" showErrorMessage="1" sqref="C26" xr:uid="{68B163F9-809A-4AFC-BE5F-F624296CC81A}">
      <formula1>INDIRECT("RegionList[Index]")</formula1>
    </dataValidation>
    <dataValidation type="list" allowBlank="1" showInputMessage="1" showErrorMessage="1" sqref="C27" xr:uid="{2D57F7F4-4B93-4B2B-8D42-E37B53B4DC6C}">
      <formula1>INDIRECT("ReplacementTypeList[Index]")</formula1>
    </dataValidation>
    <dataValidation type="list" allowBlank="1" showInputMessage="1" showErrorMessage="1" sqref="C28" xr:uid="{3ED7F2EA-7924-4CFC-B370-D5576FEAC946}">
      <formula1>INDIRECT("BuildingType[Building]")</formula1>
    </dataValidation>
    <dataValidation type="list" allowBlank="1" showInputMessage="1" showErrorMessage="1" sqref="C29 C30" xr:uid="{9D8212BB-B6D5-498B-B920-F225005CD329}">
      <formula1>INDIRECT("FuelTypeList[Index]")</formula1>
    </dataValidation>
  </dataValidations>
  <hyperlinks>
    <hyperlink ref="F82" r:id="rId1" xr:uid="{4E8BB87B-9BC6-416C-9010-1E042AA5FFEA}"/>
    <hyperlink ref="F83" r:id="rId2" xr:uid="{29777A8E-FBF1-4E0E-9A43-13C9CBA565C7}"/>
    <hyperlink ref="F85" r:id="rId3" xr:uid="{24C33C5C-FCD4-46F4-9A28-D4D3FAA926CC}"/>
    <hyperlink ref="F84" r:id="rId4" xr:uid="{51F995DD-E1C2-4CA8-8DE6-D89CAE66816F}"/>
  </hyperlinks>
  <pageMargins left="0.7" right="0.7" top="0.75" bottom="0.75" header="0.3" footer="0.3"/>
  <pageSetup orientation="portrait"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44DEB-71AC-4AF3-B756-7B301DB0D7A8}">
  <sheetPr codeName="Sheet391"/>
  <dimension ref="A2:R116"/>
  <sheetViews>
    <sheetView workbookViewId="0"/>
  </sheetViews>
  <sheetFormatPr defaultColWidth="9.08984375" defaultRowHeight="18.75" customHeight="1" x14ac:dyDescent="0.3"/>
  <cols>
    <col min="1" max="1" width="2.36328125" style="488" customWidth="1"/>
    <col min="2" max="2" width="44.36328125" style="488" bestFit="1" customWidth="1"/>
    <col min="3" max="3" width="24.08984375" style="488" customWidth="1"/>
    <col min="4" max="4" width="21.6328125" style="488" customWidth="1"/>
    <col min="5" max="5" width="14.36328125" style="488" customWidth="1"/>
    <col min="6" max="6" width="15.6328125" style="488" customWidth="1"/>
    <col min="7" max="7" width="19.6328125" style="488" customWidth="1"/>
    <col min="8" max="8" width="16"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C-HC-005</v>
      </c>
      <c r="D3" s="1367"/>
      <c r="E3" s="1367"/>
      <c r="F3" s="1367"/>
    </row>
    <row r="4" spans="1:18" ht="18.75" customHeight="1" x14ac:dyDescent="0.3">
      <c r="B4" s="490" t="s">
        <v>11</v>
      </c>
      <c r="C4" s="1367" t="str" cm="1">
        <f t="array" ref="C4">_xlfn.SWITCH(LEFT(C8,1),"R","Residential","C","Commercial","ERROR")</f>
        <v>Commercial</v>
      </c>
      <c r="D4" s="1367"/>
      <c r="E4" s="1367"/>
      <c r="F4" s="1367"/>
    </row>
    <row r="5" spans="1:18" ht="21.75" customHeight="1" x14ac:dyDescent="0.3">
      <c r="B5" s="490" t="s">
        <v>408</v>
      </c>
      <c r="C5" s="1530" t="s">
        <v>208</v>
      </c>
      <c r="D5" s="1531"/>
      <c r="E5" s="1531"/>
      <c r="F5" s="1532"/>
      <c r="R5" s="488"/>
    </row>
    <row r="6" spans="1:18" ht="18.75" customHeight="1" x14ac:dyDescent="0.3">
      <c r="A6" s="573"/>
    </row>
    <row r="7" spans="1:18" ht="18.75" customHeight="1" x14ac:dyDescent="0.3">
      <c r="B7" s="1193" t="s">
        <v>507</v>
      </c>
      <c r="C7" s="493" t="s">
        <v>406</v>
      </c>
      <c r="D7" s="1366" t="s">
        <v>410</v>
      </c>
      <c r="E7" s="1366"/>
      <c r="F7" s="1366"/>
      <c r="R7" s="488"/>
    </row>
    <row r="8" spans="1:18" ht="18.75" customHeight="1" x14ac:dyDescent="0.3">
      <c r="B8" s="490" t="s">
        <v>411</v>
      </c>
      <c r="C8" s="1194" t="s">
        <v>79</v>
      </c>
      <c r="D8" s="1681"/>
      <c r="E8" s="1682"/>
      <c r="F8" s="1683"/>
      <c r="R8" s="488"/>
    </row>
    <row r="9" spans="1:18" ht="18.75" customHeight="1" x14ac:dyDescent="0.3">
      <c r="B9" s="490" t="s">
        <v>49</v>
      </c>
      <c r="C9" s="1194" t="s">
        <v>579</v>
      </c>
      <c r="D9" s="1684"/>
      <c r="E9" s="1685"/>
      <c r="F9" s="1686"/>
      <c r="R9" s="488"/>
    </row>
    <row r="10" spans="1:18" ht="18.75" customHeight="1" x14ac:dyDescent="0.3">
      <c r="B10" s="490" t="s">
        <v>412</v>
      </c>
      <c r="C10" s="1194"/>
      <c r="D10" s="1684"/>
      <c r="E10" s="1685"/>
      <c r="F10" s="1686"/>
      <c r="R10" s="488"/>
    </row>
    <row r="11" spans="1:18" ht="18.75" customHeight="1" x14ac:dyDescent="0.3">
      <c r="B11" s="490" t="s">
        <v>413</v>
      </c>
      <c r="C11" s="1194"/>
      <c r="D11" s="1684"/>
      <c r="E11" s="1685"/>
      <c r="F11" s="1686"/>
      <c r="R11" s="488"/>
    </row>
    <row r="12" spans="1:18" ht="18.75" customHeight="1" x14ac:dyDescent="0.3">
      <c r="B12" s="490" t="s">
        <v>414</v>
      </c>
      <c r="C12" s="602"/>
      <c r="D12" s="1684"/>
      <c r="E12" s="1685"/>
      <c r="F12" s="1686"/>
      <c r="G12" s="926"/>
      <c r="R12" s="488"/>
    </row>
    <row r="13" spans="1:18" ht="18.75" customHeight="1" x14ac:dyDescent="0.3">
      <c r="B13" s="494" t="s">
        <v>415</v>
      </c>
      <c r="C13" s="495">
        <f>N43</f>
        <v>0</v>
      </c>
      <c r="D13" s="1684"/>
      <c r="E13" s="1685"/>
      <c r="F13" s="1686"/>
      <c r="R13" s="488"/>
    </row>
    <row r="14" spans="1:18" ht="18.75" customHeight="1" x14ac:dyDescent="0.3">
      <c r="B14" s="494" t="s">
        <v>416</v>
      </c>
      <c r="C14" s="495">
        <f>N42</f>
        <v>0</v>
      </c>
      <c r="D14" s="1684"/>
      <c r="E14" s="1685"/>
      <c r="F14" s="1686"/>
      <c r="R14" s="488"/>
    </row>
    <row r="15" spans="1:18" ht="18.75" customHeight="1" x14ac:dyDescent="0.3">
      <c r="B15" s="494" t="s">
        <v>417</v>
      </c>
      <c r="C15" s="495">
        <f>N44</f>
        <v>17.262411944336716</v>
      </c>
      <c r="D15" s="1684"/>
      <c r="E15" s="1685"/>
      <c r="F15" s="1686"/>
      <c r="R15" s="488"/>
    </row>
    <row r="16" spans="1:18" ht="18.75" customHeight="1" x14ac:dyDescent="0.3">
      <c r="B16" s="494" t="s">
        <v>418</v>
      </c>
      <c r="C16" s="496">
        <f>C37</f>
        <v>0</v>
      </c>
      <c r="D16" s="1687"/>
      <c r="E16" s="1688"/>
      <c r="F16" s="1689"/>
      <c r="R16" s="488"/>
    </row>
    <row r="17" spans="2:18" ht="18.75" customHeight="1" x14ac:dyDescent="0.3">
      <c r="B17" s="490" t="s">
        <v>48</v>
      </c>
      <c r="C17" s="1194" t="s">
        <v>509</v>
      </c>
      <c r="D17" s="1366" t="s">
        <v>419</v>
      </c>
      <c r="E17" s="1366"/>
      <c r="F17" s="1366"/>
      <c r="R17" s="488"/>
    </row>
    <row r="18" spans="2:18" ht="18.75" customHeight="1" x14ac:dyDescent="0.3">
      <c r="B18" s="490" t="s">
        <v>420</v>
      </c>
      <c r="C18" s="541">
        <v>25</v>
      </c>
      <c r="D18" s="1648" t="s">
        <v>1184</v>
      </c>
      <c r="E18" s="1648"/>
      <c r="F18" s="1648"/>
      <c r="R18" s="488"/>
    </row>
    <row r="19" spans="2:18" ht="18.75" customHeight="1" x14ac:dyDescent="0.3">
      <c r="B19" s="613"/>
      <c r="C19" s="614"/>
      <c r="F19" s="489"/>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35.25" customHeight="1" x14ac:dyDescent="0.3">
      <c r="B21" s="499" t="s">
        <v>422</v>
      </c>
      <c r="C21" s="1546" t="s">
        <v>209</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36" t="s">
        <v>210</v>
      </c>
      <c r="D22" s="1536"/>
      <c r="E22" s="1536"/>
      <c r="F22" s="1536"/>
      <c r="G22" s="1536"/>
      <c r="H22" s="1536"/>
      <c r="I22" s="1536"/>
      <c r="J22" s="1536"/>
      <c r="K22" s="1536"/>
      <c r="L22" s="1536"/>
      <c r="M22" s="1536"/>
      <c r="N22" s="1536"/>
      <c r="O22" s="1536"/>
      <c r="P22" s="1536"/>
      <c r="Q22" s="1536"/>
      <c r="R22" s="488"/>
    </row>
    <row r="23" spans="2:18" ht="18.75" customHeight="1"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475"/>
      <c r="F33" s="1476"/>
      <c r="G33" s="1476"/>
      <c r="H33" s="1476"/>
      <c r="I33" s="1476"/>
      <c r="J33" s="1476"/>
      <c r="K33" s="1476"/>
      <c r="L33" s="1476"/>
      <c r="M33" s="1476"/>
      <c r="N33" s="1476"/>
      <c r="O33" s="1476"/>
      <c r="P33" s="1476"/>
      <c r="Q33" s="1477"/>
      <c r="R33" s="488"/>
    </row>
    <row r="34" spans="2:18" ht="18.75" customHeight="1" x14ac:dyDescent="0.3">
      <c r="B34" s="494" t="s">
        <v>431</v>
      </c>
      <c r="C34" s="542"/>
      <c r="D34" s="586" t="s">
        <v>430</v>
      </c>
      <c r="E34" s="1475"/>
      <c r="F34" s="1476"/>
      <c r="G34" s="1476"/>
      <c r="H34" s="1476"/>
      <c r="I34" s="1476"/>
      <c r="J34" s="1476"/>
      <c r="K34" s="1476"/>
      <c r="L34" s="1476"/>
      <c r="M34" s="1476"/>
      <c r="N34" s="1476"/>
      <c r="O34" s="1476"/>
      <c r="P34" s="1476"/>
      <c r="Q34" s="1477"/>
    </row>
    <row r="35" spans="2:18" ht="18.75" customHeight="1" x14ac:dyDescent="0.3">
      <c r="B35" s="490" t="s">
        <v>432</v>
      </c>
      <c r="C35" s="542"/>
      <c r="D35" s="586" t="s">
        <v>430</v>
      </c>
      <c r="E35" s="1475"/>
      <c r="F35" s="1476"/>
      <c r="G35" s="1476"/>
      <c r="H35" s="1476"/>
      <c r="I35" s="1476"/>
      <c r="J35" s="1476"/>
      <c r="K35" s="1476"/>
      <c r="L35" s="1476"/>
      <c r="M35" s="1476"/>
      <c r="N35" s="1476"/>
      <c r="O35" s="1476"/>
      <c r="P35" s="1476"/>
      <c r="Q35" s="1477"/>
    </row>
    <row r="36" spans="2:18" ht="18.75" customHeight="1" x14ac:dyDescent="0.3">
      <c r="B36" s="494" t="s">
        <v>433</v>
      </c>
      <c r="C36" s="905"/>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905">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0</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17.262411944336716</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817</v>
      </c>
      <c r="D49" s="1505"/>
      <c r="E49" s="1505"/>
      <c r="F49" s="1505"/>
      <c r="G49" s="1505"/>
      <c r="H49" s="1505"/>
      <c r="I49" s="1505"/>
      <c r="J49" s="1505"/>
      <c r="K49" s="1505"/>
      <c r="L49" s="1505"/>
      <c r="M49" s="1506"/>
      <c r="N49" s="592"/>
      <c r="O49" s="1243" t="s">
        <v>443</v>
      </c>
      <c r="P49" s="1511"/>
      <c r="Q49" s="1511"/>
      <c r="R49" s="488"/>
    </row>
    <row r="50" spans="2:18" ht="18.75" customHeight="1" x14ac:dyDescent="0.3">
      <c r="B50" s="582" t="s">
        <v>456</v>
      </c>
      <c r="C50" s="1504" t="s">
        <v>1185</v>
      </c>
      <c r="D50" s="1505"/>
      <c r="E50" s="1505"/>
      <c r="F50" s="1505"/>
      <c r="G50" s="1505"/>
      <c r="H50" s="1505"/>
      <c r="I50" s="1505"/>
      <c r="J50" s="1505"/>
      <c r="K50" s="1505"/>
      <c r="L50" s="1505"/>
      <c r="M50" s="1506"/>
      <c r="N50" s="592">
        <f>H63*H62*(H65-H64)/H64*GJ_per_BTU</f>
        <v>17.262411944336716</v>
      </c>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516</v>
      </c>
      <c r="D56" s="1505"/>
      <c r="E56" s="1505"/>
      <c r="F56" s="1505"/>
      <c r="G56" s="1505"/>
      <c r="H56" s="1505"/>
      <c r="I56" s="1505"/>
      <c r="J56" s="1505"/>
      <c r="K56" s="1505"/>
      <c r="L56" s="1505"/>
      <c r="M56" s="1506"/>
      <c r="N56" s="593"/>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506" t="s">
        <v>406</v>
      </c>
      <c r="I61" s="506" t="s">
        <v>428</v>
      </c>
      <c r="J61" s="1396" t="s">
        <v>476</v>
      </c>
      <c r="K61" s="1397"/>
      <c r="L61" s="1397"/>
      <c r="M61" s="1397"/>
      <c r="N61" s="1397"/>
      <c r="O61" s="1397"/>
      <c r="P61" s="1397"/>
      <c r="Q61" s="1398"/>
    </row>
    <row r="62" spans="2:18" ht="27" customHeight="1" x14ac:dyDescent="0.3">
      <c r="B62" s="535">
        <v>1</v>
      </c>
      <c r="C62" s="551" t="s">
        <v>534</v>
      </c>
      <c r="D62" s="1543" t="s">
        <v>1186</v>
      </c>
      <c r="E62" s="1543"/>
      <c r="F62" s="552"/>
      <c r="G62" s="552"/>
      <c r="H62" s="644">
        <v>100000</v>
      </c>
      <c r="I62" s="552" t="s">
        <v>536</v>
      </c>
      <c r="J62" s="1482" t="s">
        <v>537</v>
      </c>
      <c r="K62" s="1544"/>
      <c r="L62" s="1544"/>
      <c r="M62" s="1544"/>
      <c r="N62" s="1544"/>
      <c r="O62" s="1544"/>
      <c r="P62" s="1544"/>
      <c r="Q62" s="1545"/>
      <c r="R62" s="488"/>
    </row>
    <row r="63" spans="2:18" ht="15" customHeight="1" x14ac:dyDescent="0.3">
      <c r="B63" s="533">
        <v>2</v>
      </c>
      <c r="C63" s="546" t="s">
        <v>530</v>
      </c>
      <c r="D63" s="1539" t="s">
        <v>1187</v>
      </c>
      <c r="E63" s="1539"/>
      <c r="F63" s="1217" t="str">
        <f>$C$28</f>
        <v>Other</v>
      </c>
      <c r="G63" s="554" t="str">
        <f>C26</f>
        <v>Average</v>
      </c>
      <c r="H63" s="670">
        <f>INDEX(EFLH[#All],MATCH(F63,EFLH[[#All],[EFLH]],0),MATCH(G63,EFLH[#Headers],0))</f>
        <v>2617.8472419520012</v>
      </c>
      <c r="I63" s="1217" t="s">
        <v>532</v>
      </c>
      <c r="J63" s="1462" t="s">
        <v>533</v>
      </c>
      <c r="K63" s="1470"/>
      <c r="L63" s="1470"/>
      <c r="M63" s="1470"/>
      <c r="N63" s="1470"/>
      <c r="O63" s="1470"/>
      <c r="P63" s="1470"/>
      <c r="Q63" s="1471"/>
      <c r="R63" s="488"/>
    </row>
    <row r="64" spans="2:18" ht="41.25" customHeight="1" x14ac:dyDescent="0.3">
      <c r="B64" s="719">
        <v>3</v>
      </c>
      <c r="C64" s="720" t="s">
        <v>828</v>
      </c>
      <c r="D64" s="1885" t="s">
        <v>1188</v>
      </c>
      <c r="E64" s="1885"/>
      <c r="F64" s="1224" t="str">
        <f>H66</f>
        <v>Steam (except natural draft) &gt; 2,500 MBH</v>
      </c>
      <c r="G64" s="1224" t="s">
        <v>1189</v>
      </c>
      <c r="H64" s="721">
        <f>INDEX($B$96:$N$116,MATCH(F64,$C$96:$C$116,0),MATCH($G64,$B$96:$N$96,0))</f>
        <v>0.8</v>
      </c>
      <c r="I64" s="1224" t="s">
        <v>519</v>
      </c>
      <c r="J64" s="1479" t="s">
        <v>1190</v>
      </c>
      <c r="K64" s="1480"/>
      <c r="L64" s="1480"/>
      <c r="M64" s="1480"/>
      <c r="N64" s="1480"/>
      <c r="O64" s="1480"/>
      <c r="P64" s="1480"/>
      <c r="Q64" s="1481"/>
      <c r="R64" s="488"/>
    </row>
    <row r="65" spans="2:18" ht="39" x14ac:dyDescent="0.3">
      <c r="B65" s="534">
        <v>4</v>
      </c>
      <c r="C65" s="549" t="s">
        <v>831</v>
      </c>
      <c r="D65" s="1556" t="s">
        <v>1191</v>
      </c>
      <c r="E65" s="1556"/>
      <c r="F65" s="1238" t="str">
        <f>H66</f>
        <v>Steam (except natural draft) &gt; 2,500 MBH</v>
      </c>
      <c r="G65" s="1238" t="s">
        <v>1192</v>
      </c>
      <c r="H65" s="548">
        <f>INDEX($B$96:$N$116,MATCH(F65,$C$96:$C$116,0),MATCH($G65,$B$96:$N$96,0))</f>
        <v>0.85</v>
      </c>
      <c r="I65" s="1238" t="s">
        <v>519</v>
      </c>
      <c r="J65" s="1882" t="s">
        <v>1193</v>
      </c>
      <c r="K65" s="1883"/>
      <c r="L65" s="1883"/>
      <c r="M65" s="1883"/>
      <c r="N65" s="1883"/>
      <c r="O65" s="1883"/>
      <c r="P65" s="1883"/>
      <c r="Q65" s="1884"/>
      <c r="R65" s="488"/>
    </row>
    <row r="66" spans="2:18" ht="39" x14ac:dyDescent="0.3">
      <c r="B66" s="533">
        <v>5</v>
      </c>
      <c r="C66" s="720" t="s">
        <v>1194</v>
      </c>
      <c r="D66" s="1885" t="s">
        <v>1195</v>
      </c>
      <c r="E66" s="1885"/>
      <c r="F66" s="927"/>
      <c r="G66" s="1224"/>
      <c r="H66" s="1224" t="s">
        <v>1196</v>
      </c>
      <c r="I66" s="1224" t="s">
        <v>597</v>
      </c>
      <c r="J66" s="1886" t="s">
        <v>1197</v>
      </c>
      <c r="K66" s="1887"/>
      <c r="L66" s="1887"/>
      <c r="M66" s="1887"/>
      <c r="N66" s="1887"/>
      <c r="O66" s="1887"/>
      <c r="P66" s="1887"/>
      <c r="Q66" s="1888"/>
      <c r="R66" s="488"/>
    </row>
    <row r="67" spans="2:18" ht="13" x14ac:dyDescent="0.3">
      <c r="B67" s="534">
        <v>6</v>
      </c>
      <c r="C67" s="546"/>
      <c r="D67" s="1539"/>
      <c r="E67" s="1539"/>
      <c r="F67" s="1217"/>
      <c r="G67" s="1217"/>
      <c r="H67" s="1217"/>
      <c r="I67" s="1217"/>
      <c r="J67" s="1507"/>
      <c r="K67" s="1514"/>
      <c r="L67" s="1514"/>
      <c r="M67" s="1514"/>
      <c r="N67" s="1514"/>
      <c r="O67" s="1514"/>
      <c r="P67" s="1514"/>
      <c r="Q67" s="1515"/>
      <c r="R67" s="488"/>
    </row>
    <row r="68" spans="2:18" ht="13" x14ac:dyDescent="0.3">
      <c r="B68" s="533">
        <v>7</v>
      </c>
      <c r="C68" s="546"/>
      <c r="D68" s="1539"/>
      <c r="E68" s="1539"/>
      <c r="F68" s="1217"/>
      <c r="G68" s="1217"/>
      <c r="H68" s="1217"/>
      <c r="I68" s="1217"/>
      <c r="J68" s="1507"/>
      <c r="K68" s="1514"/>
      <c r="L68" s="1514"/>
      <c r="M68" s="1514"/>
      <c r="N68" s="1514"/>
      <c r="O68" s="1514"/>
      <c r="P68" s="1514"/>
      <c r="Q68" s="1515"/>
      <c r="R68" s="488"/>
    </row>
    <row r="69" spans="2:18" ht="13" x14ac:dyDescent="0.3">
      <c r="B69" s="534">
        <v>8</v>
      </c>
      <c r="C69" s="546"/>
      <c r="D69" s="1539"/>
      <c r="E69" s="1539"/>
      <c r="F69" s="1217"/>
      <c r="G69" s="1217"/>
      <c r="H69" s="1217"/>
      <c r="I69" s="1217"/>
      <c r="J69" s="1507"/>
      <c r="K69" s="1514"/>
      <c r="L69" s="1514"/>
      <c r="M69" s="1514"/>
      <c r="N69" s="1514"/>
      <c r="O69" s="1514"/>
      <c r="P69" s="1514"/>
      <c r="Q69" s="1515"/>
      <c r="R69" s="488"/>
    </row>
    <row r="70" spans="2:18" ht="13" x14ac:dyDescent="0.3">
      <c r="B70" s="533">
        <v>9</v>
      </c>
      <c r="C70" s="546"/>
      <c r="D70" s="1539"/>
      <c r="E70" s="1539"/>
      <c r="F70" s="1217"/>
      <c r="G70" s="1217"/>
      <c r="H70" s="1217"/>
      <c r="I70" s="1217"/>
      <c r="J70" s="1507"/>
      <c r="K70" s="1514"/>
      <c r="L70" s="1514"/>
      <c r="M70" s="1514"/>
      <c r="N70" s="1514"/>
      <c r="O70" s="1514"/>
      <c r="P70" s="1514"/>
      <c r="Q70" s="1515"/>
      <c r="R70" s="488"/>
    </row>
    <row r="71" spans="2:18" ht="13" x14ac:dyDescent="0.3">
      <c r="B71" s="534">
        <v>10</v>
      </c>
      <c r="C71" s="546"/>
      <c r="D71" s="1539"/>
      <c r="E71" s="1539"/>
      <c r="F71" s="1217"/>
      <c r="G71" s="1217"/>
      <c r="H71" s="1217"/>
      <c r="I71" s="1217"/>
      <c r="J71" s="1507"/>
      <c r="K71" s="1514"/>
      <c r="L71" s="1514"/>
      <c r="M71" s="1514"/>
      <c r="N71" s="1514"/>
      <c r="O71" s="1514"/>
      <c r="P71" s="1514"/>
      <c r="Q71" s="1515"/>
      <c r="R71" s="488"/>
    </row>
    <row r="72" spans="2:18" s="491" customFormat="1" ht="13" x14ac:dyDescent="0.3">
      <c r="B72" s="533">
        <v>11</v>
      </c>
      <c r="C72" s="546"/>
      <c r="D72" s="1539"/>
      <c r="E72" s="1539"/>
      <c r="F72" s="1217"/>
      <c r="G72" s="1217"/>
      <c r="H72" s="1217"/>
      <c r="I72" s="1217"/>
      <c r="J72" s="1507"/>
      <c r="K72" s="1514"/>
      <c r="L72" s="1514"/>
      <c r="M72" s="1514"/>
      <c r="N72" s="1514"/>
      <c r="O72" s="1514"/>
      <c r="P72" s="1514"/>
      <c r="Q72" s="1515"/>
    </row>
    <row r="73" spans="2:18" s="491" customFormat="1" ht="13" x14ac:dyDescent="0.3">
      <c r="B73" s="534">
        <v>12</v>
      </c>
      <c r="C73" s="546"/>
      <c r="D73" s="1539"/>
      <c r="E73" s="1539"/>
      <c r="F73" s="1217"/>
      <c r="G73" s="1217"/>
      <c r="H73" s="1217"/>
      <c r="I73" s="1217"/>
      <c r="J73" s="1507"/>
      <c r="K73" s="1514"/>
      <c r="L73" s="1514"/>
      <c r="M73" s="1514"/>
      <c r="N73" s="1514"/>
      <c r="O73" s="1514"/>
      <c r="P73" s="1514"/>
      <c r="Q73" s="1515"/>
    </row>
    <row r="74" spans="2:18" s="491" customFormat="1" ht="13" x14ac:dyDescent="0.3">
      <c r="B74" s="533">
        <v>13</v>
      </c>
      <c r="C74" s="555"/>
      <c r="D74" s="1437"/>
      <c r="E74" s="1438"/>
      <c r="F74" s="556"/>
      <c r="G74" s="557"/>
      <c r="H74" s="556"/>
      <c r="I74" s="557"/>
      <c r="J74" s="1472"/>
      <c r="K74" s="1473"/>
      <c r="L74" s="1473"/>
      <c r="M74" s="1473"/>
      <c r="N74" s="1473"/>
      <c r="O74" s="1473"/>
      <c r="P74" s="1473"/>
      <c r="Q74" s="1474"/>
    </row>
    <row r="75" spans="2:18" s="489" customFormat="1" ht="13.15" customHeight="1" x14ac:dyDescent="0.3">
      <c r="B75" s="534">
        <v>14</v>
      </c>
      <c r="C75" s="555"/>
      <c r="D75" s="1437"/>
      <c r="E75" s="1438"/>
      <c r="F75" s="556"/>
      <c r="G75" s="557"/>
      <c r="H75" s="556"/>
      <c r="I75" s="557"/>
      <c r="J75" s="1472"/>
      <c r="K75" s="1473"/>
      <c r="L75" s="1473"/>
      <c r="M75" s="1473"/>
      <c r="N75" s="1473"/>
      <c r="O75" s="1473"/>
      <c r="P75" s="1473"/>
      <c r="Q75" s="1474"/>
    </row>
    <row r="76" spans="2:18" s="489" customFormat="1" ht="13" x14ac:dyDescent="0.3">
      <c r="B76" s="533">
        <v>15</v>
      </c>
      <c r="C76" s="555"/>
      <c r="D76" s="1437"/>
      <c r="E76" s="1438"/>
      <c r="F76" s="556"/>
      <c r="G76" s="557"/>
      <c r="H76" s="559"/>
      <c r="I76" s="557"/>
      <c r="J76" s="1472"/>
      <c r="K76" s="1473"/>
      <c r="L76" s="1473"/>
      <c r="M76" s="1473"/>
      <c r="N76" s="1473"/>
      <c r="O76" s="1473"/>
      <c r="P76" s="1473"/>
      <c r="Q76" s="1474"/>
    </row>
    <row r="77" spans="2:18" ht="18.75" customHeight="1" x14ac:dyDescent="0.3">
      <c r="R77" s="488"/>
    </row>
    <row r="78" spans="2:18" ht="18.75" customHeight="1" x14ac:dyDescent="0.3">
      <c r="B78" s="782" t="s">
        <v>477</v>
      </c>
      <c r="C78" s="783"/>
      <c r="D78" s="783"/>
      <c r="E78" s="783"/>
      <c r="F78" s="783"/>
      <c r="G78" s="783"/>
      <c r="H78" s="784"/>
      <c r="I78" s="784"/>
      <c r="J78" s="784"/>
      <c r="K78" s="784"/>
      <c r="L78" s="784"/>
      <c r="M78" s="784"/>
      <c r="N78" s="784"/>
      <c r="O78" s="784"/>
      <c r="P78" s="784"/>
      <c r="Q78" s="785"/>
      <c r="R78" s="488"/>
    </row>
    <row r="79" spans="2:18" ht="18.75" customHeight="1" x14ac:dyDescent="0.3">
      <c r="B79" s="767"/>
      <c r="C79" s="767"/>
      <c r="D79" s="767"/>
      <c r="E79" s="767"/>
      <c r="F79" s="767"/>
      <c r="G79" s="767"/>
      <c r="H79" s="767"/>
      <c r="I79" s="767"/>
      <c r="J79" s="767"/>
      <c r="K79" s="767"/>
      <c r="L79" s="767"/>
      <c r="M79" s="767"/>
      <c r="N79" s="767"/>
      <c r="O79" s="767"/>
      <c r="P79" s="767"/>
      <c r="Q79" s="767"/>
      <c r="R79" s="488"/>
    </row>
    <row r="80" spans="2:18" ht="18.75" customHeight="1" x14ac:dyDescent="0.3">
      <c r="B80" s="786" t="s">
        <v>478</v>
      </c>
      <c r="C80" s="786" t="s">
        <v>479</v>
      </c>
      <c r="D80" s="1222" t="s">
        <v>406</v>
      </c>
      <c r="E80" s="1796" t="s">
        <v>428</v>
      </c>
      <c r="F80" s="1796" t="s">
        <v>476</v>
      </c>
      <c r="G80" s="1796"/>
      <c r="H80" s="1796"/>
      <c r="I80" s="1796"/>
      <c r="J80" s="1796"/>
      <c r="K80" s="1796"/>
      <c r="L80" s="1796"/>
      <c r="M80" s="1796"/>
      <c r="N80" s="1796"/>
      <c r="O80" s="1796"/>
      <c r="P80" s="1796"/>
      <c r="Q80" s="1796"/>
      <c r="R80" s="488"/>
    </row>
    <row r="81" spans="2:18" ht="13" x14ac:dyDescent="0.3">
      <c r="B81" s="794">
        <v>1</v>
      </c>
      <c r="C81" s="837" t="s">
        <v>480</v>
      </c>
      <c r="D81" s="838">
        <v>1000</v>
      </c>
      <c r="E81" s="1795" t="s">
        <v>481</v>
      </c>
      <c r="F81" s="1795" t="s">
        <v>482</v>
      </c>
      <c r="G81" s="1795"/>
      <c r="H81" s="1795"/>
      <c r="I81" s="1795"/>
      <c r="J81" s="1795"/>
      <c r="K81" s="1795"/>
      <c r="L81" s="1795"/>
      <c r="M81" s="1795"/>
      <c r="N81" s="1795"/>
      <c r="O81" s="1795"/>
      <c r="P81" s="1795"/>
      <c r="Q81" s="1795"/>
      <c r="R81" s="488"/>
    </row>
    <row r="82" spans="2:18" ht="13" x14ac:dyDescent="0.3">
      <c r="B82" s="794">
        <v>2</v>
      </c>
      <c r="C82" s="837" t="s">
        <v>483</v>
      </c>
      <c r="D82" s="839">
        <f>0.03412*0.10548</f>
        <v>3.5989775999999999E-3</v>
      </c>
      <c r="E82" s="1794" t="s">
        <v>484</v>
      </c>
      <c r="F82" s="1794" t="s">
        <v>485</v>
      </c>
      <c r="G82" s="1794"/>
      <c r="H82" s="1794"/>
      <c r="I82" s="1794"/>
      <c r="J82" s="1794"/>
      <c r="K82" s="1794"/>
      <c r="L82" s="1794"/>
      <c r="M82" s="1794"/>
      <c r="N82" s="1794"/>
      <c r="O82" s="1794"/>
      <c r="P82" s="1794"/>
      <c r="Q82" s="1794"/>
      <c r="R82" s="488"/>
    </row>
    <row r="83" spans="2:18" ht="13" x14ac:dyDescent="0.3">
      <c r="B83" s="794">
        <v>3</v>
      </c>
      <c r="C83" s="837" t="s">
        <v>486</v>
      </c>
      <c r="D83" s="839">
        <v>3.7854099999999999E-3</v>
      </c>
      <c r="E83" s="1795" t="s">
        <v>487</v>
      </c>
      <c r="F83" s="1795" t="s">
        <v>485</v>
      </c>
      <c r="G83" s="1795"/>
      <c r="H83" s="1795"/>
      <c r="I83" s="1795"/>
      <c r="J83" s="1795"/>
      <c r="K83" s="1795"/>
      <c r="L83" s="1795"/>
      <c r="M83" s="1795"/>
      <c r="N83" s="1795"/>
      <c r="O83" s="1795"/>
      <c r="P83" s="1795"/>
      <c r="Q83" s="1795"/>
      <c r="R83" s="488"/>
    </row>
    <row r="84" spans="2:18" ht="13" x14ac:dyDescent="0.3">
      <c r="B84" s="794">
        <v>4</v>
      </c>
      <c r="C84" s="837" t="s">
        <v>488</v>
      </c>
      <c r="D84" s="839">
        <v>0.1055</v>
      </c>
      <c r="E84" s="1794" t="s">
        <v>489</v>
      </c>
      <c r="F84" s="1794" t="s">
        <v>485</v>
      </c>
      <c r="G84" s="1794"/>
      <c r="H84" s="1794"/>
      <c r="I84" s="1794"/>
      <c r="J84" s="1794"/>
      <c r="K84" s="1794"/>
      <c r="L84" s="1794"/>
      <c r="M84" s="1794"/>
      <c r="N84" s="1794"/>
      <c r="O84" s="1794"/>
      <c r="P84" s="1794"/>
      <c r="Q84" s="1794"/>
      <c r="R84" s="488"/>
    </row>
    <row r="85" spans="2:18" ht="13" x14ac:dyDescent="0.3">
      <c r="B85" s="794">
        <v>5</v>
      </c>
      <c r="C85" s="837" t="s">
        <v>490</v>
      </c>
      <c r="D85" s="914">
        <v>1.0000000000000001E-5</v>
      </c>
      <c r="E85" s="1795" t="s">
        <v>491</v>
      </c>
      <c r="F85" s="1795" t="s">
        <v>485</v>
      </c>
      <c r="G85" s="1795"/>
      <c r="H85" s="1795"/>
      <c r="I85" s="1795"/>
      <c r="J85" s="1795"/>
      <c r="K85" s="1795"/>
      <c r="L85" s="1795"/>
      <c r="M85" s="1795"/>
      <c r="N85" s="1795"/>
      <c r="O85" s="1795"/>
      <c r="P85" s="1795"/>
      <c r="Q85" s="1795"/>
      <c r="R85" s="488"/>
    </row>
    <row r="86" spans="2:18" ht="13" x14ac:dyDescent="0.3">
      <c r="B86" s="794">
        <v>6</v>
      </c>
      <c r="C86" s="837"/>
      <c r="D86" s="840"/>
      <c r="E86" s="1794"/>
      <c r="F86" s="1794"/>
      <c r="G86" s="1794"/>
      <c r="H86" s="1794"/>
      <c r="I86" s="1794"/>
      <c r="J86" s="1794"/>
      <c r="K86" s="1794"/>
      <c r="L86" s="1794"/>
      <c r="M86" s="1794"/>
      <c r="N86" s="1794"/>
      <c r="O86" s="1794"/>
      <c r="P86" s="1794"/>
      <c r="Q86" s="1794"/>
      <c r="R86" s="488"/>
    </row>
    <row r="87" spans="2:18" ht="13" x14ac:dyDescent="0.3">
      <c r="B87" s="794">
        <v>7</v>
      </c>
      <c r="C87" s="837"/>
      <c r="D87" s="838"/>
      <c r="E87" s="1795"/>
      <c r="F87" s="1795"/>
      <c r="G87" s="1795"/>
      <c r="H87" s="1795"/>
      <c r="I87" s="1795"/>
      <c r="J87" s="1795"/>
      <c r="K87" s="1795"/>
      <c r="L87" s="1795"/>
      <c r="M87" s="1795"/>
      <c r="N87" s="1795"/>
      <c r="O87" s="1795"/>
      <c r="P87" s="1795"/>
      <c r="Q87" s="1795"/>
      <c r="R87" s="488"/>
    </row>
    <row r="88" spans="2:18" ht="13" x14ac:dyDescent="0.3">
      <c r="B88" s="794">
        <v>8</v>
      </c>
      <c r="C88" s="837"/>
      <c r="D88" s="839"/>
      <c r="E88" s="1794"/>
      <c r="F88" s="1794"/>
      <c r="G88" s="1794"/>
      <c r="H88" s="1794"/>
      <c r="I88" s="1794"/>
      <c r="J88" s="1794"/>
      <c r="K88" s="1794"/>
      <c r="L88" s="1794"/>
      <c r="M88" s="1794"/>
      <c r="N88" s="1794"/>
      <c r="O88" s="1794"/>
      <c r="P88" s="1794"/>
      <c r="Q88" s="1794"/>
      <c r="R88" s="488"/>
    </row>
    <row r="89" spans="2:18" ht="13" x14ac:dyDescent="0.3">
      <c r="B89" s="794">
        <v>9</v>
      </c>
      <c r="C89" s="837"/>
      <c r="D89" s="838"/>
      <c r="E89" s="1795"/>
      <c r="F89" s="1795"/>
      <c r="G89" s="1795"/>
      <c r="H89" s="1795"/>
      <c r="I89" s="1795"/>
      <c r="J89" s="1795"/>
      <c r="K89" s="1795"/>
      <c r="L89" s="1795"/>
      <c r="M89" s="1795"/>
      <c r="N89" s="1795"/>
      <c r="O89" s="1795"/>
      <c r="P89" s="1795"/>
      <c r="Q89" s="1795"/>
      <c r="R89" s="488"/>
    </row>
    <row r="90" spans="2:18" ht="13" x14ac:dyDescent="0.3">
      <c r="B90" s="794">
        <v>10</v>
      </c>
      <c r="C90" s="837"/>
      <c r="D90" s="839"/>
      <c r="E90" s="1794"/>
      <c r="F90" s="1794"/>
      <c r="G90" s="1794"/>
      <c r="H90" s="1794"/>
      <c r="I90" s="1794"/>
      <c r="J90" s="1794"/>
      <c r="K90" s="1794"/>
      <c r="L90" s="1794"/>
      <c r="M90" s="1794"/>
      <c r="N90" s="1794"/>
      <c r="O90" s="1794"/>
      <c r="P90" s="1794"/>
      <c r="Q90" s="1794"/>
      <c r="R90" s="488"/>
    </row>
    <row r="91" spans="2:18" ht="18.75" customHeight="1" x14ac:dyDescent="0.3">
      <c r="B91" s="767"/>
      <c r="C91" s="767"/>
      <c r="D91" s="767"/>
      <c r="E91" s="767"/>
      <c r="F91" s="767"/>
      <c r="G91" s="767"/>
      <c r="H91" s="767"/>
      <c r="I91" s="767"/>
      <c r="J91" s="767"/>
      <c r="K91" s="767"/>
      <c r="L91" s="767"/>
      <c r="M91" s="767"/>
      <c r="N91" s="767"/>
      <c r="O91" s="767"/>
      <c r="P91" s="767"/>
      <c r="Q91" s="767"/>
      <c r="R91" s="488"/>
    </row>
    <row r="92" spans="2:18" ht="18.75" customHeight="1" x14ac:dyDescent="0.3">
      <c r="B92" s="782" t="s">
        <v>492</v>
      </c>
      <c r="C92" s="783"/>
      <c r="D92" s="783"/>
      <c r="E92" s="783"/>
      <c r="F92" s="783"/>
      <c r="G92" s="783"/>
      <c r="H92" s="784"/>
      <c r="I92" s="784"/>
      <c r="J92" s="784"/>
      <c r="K92" s="784"/>
      <c r="L92" s="784"/>
      <c r="M92" s="784"/>
      <c r="N92" s="784"/>
      <c r="O92" s="784"/>
      <c r="P92" s="784"/>
      <c r="Q92" s="785"/>
      <c r="R92" s="488"/>
    </row>
    <row r="93" spans="2:18" ht="18.75" customHeight="1" x14ac:dyDescent="0.3">
      <c r="B93" s="767"/>
      <c r="C93" s="767"/>
      <c r="D93" s="767"/>
      <c r="E93" s="767"/>
      <c r="F93" s="767"/>
      <c r="G93" s="767"/>
      <c r="H93" s="767"/>
      <c r="I93" s="767"/>
      <c r="J93" s="767"/>
      <c r="K93" s="767"/>
      <c r="L93" s="767"/>
      <c r="M93" s="767"/>
      <c r="N93" s="767"/>
      <c r="O93" s="767"/>
      <c r="P93" s="767"/>
      <c r="Q93" s="767"/>
      <c r="R93" s="488"/>
    </row>
    <row r="94" spans="2:18" ht="18.75" customHeight="1" x14ac:dyDescent="0.3">
      <c r="B94" s="789" t="s">
        <v>493</v>
      </c>
      <c r="C94" s="767"/>
      <c r="D94" s="767"/>
      <c r="E94" s="1751" t="s">
        <v>494</v>
      </c>
      <c r="F94" s="1762"/>
      <c r="G94" s="1762"/>
      <c r="H94" s="1762"/>
      <c r="I94" s="1762"/>
      <c r="J94" s="1762"/>
      <c r="K94" s="1762"/>
      <c r="L94" s="1762"/>
      <c r="M94" s="1762"/>
      <c r="N94" s="1762"/>
      <c r="O94" s="1763" t="s">
        <v>476</v>
      </c>
      <c r="P94" s="1764"/>
      <c r="Q94" s="1765"/>
      <c r="R94" s="488"/>
    </row>
    <row r="95" spans="2:18" ht="25.5" customHeight="1" x14ac:dyDescent="0.3">
      <c r="B95" s="1748"/>
      <c r="C95" s="1749"/>
      <c r="D95" s="1750"/>
      <c r="E95" s="790" t="s">
        <v>495</v>
      </c>
      <c r="F95" s="790" t="s">
        <v>496</v>
      </c>
      <c r="G95" s="790" t="s">
        <v>497</v>
      </c>
      <c r="H95" s="790" t="s">
        <v>498</v>
      </c>
      <c r="I95" s="790" t="s">
        <v>499</v>
      </c>
      <c r="J95" s="790" t="s">
        <v>500</v>
      </c>
      <c r="K95" s="790" t="s">
        <v>501</v>
      </c>
      <c r="L95" s="790" t="s">
        <v>502</v>
      </c>
      <c r="M95" s="790" t="s">
        <v>503</v>
      </c>
      <c r="N95" s="1227" t="s">
        <v>504</v>
      </c>
      <c r="O95" s="1766"/>
      <c r="P95" s="1767"/>
      <c r="Q95" s="1768"/>
      <c r="R95" s="488"/>
    </row>
    <row r="96" spans="2:18" ht="26" x14ac:dyDescent="0.3">
      <c r="B96" s="1223" t="s">
        <v>478</v>
      </c>
      <c r="C96" s="1751" t="s">
        <v>538</v>
      </c>
      <c r="D96" s="1752"/>
      <c r="E96" s="821" t="s">
        <v>1192</v>
      </c>
      <c r="F96" s="821" t="s">
        <v>1189</v>
      </c>
      <c r="G96" s="821" t="s">
        <v>432</v>
      </c>
      <c r="H96" s="821" t="s">
        <v>431</v>
      </c>
      <c r="I96" s="821" t="s">
        <v>429</v>
      </c>
      <c r="J96" s="821"/>
      <c r="K96" s="821"/>
      <c r="L96" s="821"/>
      <c r="M96" s="821"/>
      <c r="N96" s="822"/>
      <c r="O96" s="1769"/>
      <c r="P96" s="1770"/>
      <c r="Q96" s="1771"/>
      <c r="R96" s="488"/>
    </row>
    <row r="97" spans="2:18" ht="60" customHeight="1" x14ac:dyDescent="0.3">
      <c r="B97" s="794">
        <v>1</v>
      </c>
      <c r="C97" s="810" t="s">
        <v>1198</v>
      </c>
      <c r="D97" s="1225"/>
      <c r="E97" s="924">
        <v>0.82</v>
      </c>
      <c r="F97" s="924">
        <v>0.75</v>
      </c>
      <c r="G97" s="823"/>
      <c r="H97" s="823"/>
      <c r="I97" s="824"/>
      <c r="J97" s="824"/>
      <c r="K97" s="824"/>
      <c r="L97" s="824"/>
      <c r="M97" s="824"/>
      <c r="N97" s="824"/>
      <c r="O97" s="1753"/>
      <c r="P97" s="1754"/>
      <c r="Q97" s="1755"/>
      <c r="R97" s="488"/>
    </row>
    <row r="98" spans="2:18" ht="26" x14ac:dyDescent="0.3">
      <c r="B98" s="794">
        <v>2</v>
      </c>
      <c r="C98" s="810" t="s">
        <v>1199</v>
      </c>
      <c r="D98" s="1225"/>
      <c r="E98" s="924">
        <v>0.85</v>
      </c>
      <c r="F98" s="924">
        <v>0.79</v>
      </c>
      <c r="G98" s="823"/>
      <c r="H98" s="823"/>
      <c r="I98" s="824"/>
      <c r="J98" s="824"/>
      <c r="K98" s="824"/>
      <c r="L98" s="824"/>
      <c r="M98" s="824"/>
      <c r="N98" s="824"/>
      <c r="O98" s="1756"/>
      <c r="P98" s="1757"/>
      <c r="Q98" s="1758"/>
      <c r="R98" s="488"/>
    </row>
    <row r="99" spans="2:18" ht="26" x14ac:dyDescent="0.3">
      <c r="B99" s="794">
        <v>3</v>
      </c>
      <c r="C99" s="810" t="s">
        <v>1200</v>
      </c>
      <c r="D99" s="1225"/>
      <c r="E99" s="924">
        <v>0.85</v>
      </c>
      <c r="F99" s="924">
        <v>0.77</v>
      </c>
      <c r="G99" s="823"/>
      <c r="H99" s="823"/>
      <c r="I99" s="824"/>
      <c r="J99" s="824"/>
      <c r="K99" s="824"/>
      <c r="L99" s="824"/>
      <c r="M99" s="824"/>
      <c r="N99" s="824"/>
      <c r="O99" s="1756"/>
      <c r="P99" s="1757"/>
      <c r="Q99" s="1758"/>
      <c r="R99" s="488"/>
    </row>
    <row r="100" spans="2:18" ht="26" x14ac:dyDescent="0.3">
      <c r="B100" s="794">
        <v>4</v>
      </c>
      <c r="C100" s="810" t="s">
        <v>1196</v>
      </c>
      <c r="D100" s="1225"/>
      <c r="E100" s="924">
        <v>0.85</v>
      </c>
      <c r="F100" s="924">
        <v>0.8</v>
      </c>
      <c r="G100" s="823"/>
      <c r="H100" s="823"/>
      <c r="I100" s="824"/>
      <c r="J100" s="824"/>
      <c r="K100" s="824"/>
      <c r="L100" s="824"/>
      <c r="M100" s="824"/>
      <c r="N100" s="824"/>
      <c r="O100" s="1756"/>
      <c r="P100" s="1757"/>
      <c r="Q100" s="1758"/>
      <c r="R100" s="488"/>
    </row>
    <row r="101" spans="2:18" ht="26" x14ac:dyDescent="0.3">
      <c r="B101" s="794">
        <v>5</v>
      </c>
      <c r="C101" s="810" t="s">
        <v>1201</v>
      </c>
      <c r="D101" s="1225"/>
      <c r="E101" s="924">
        <v>0.85</v>
      </c>
      <c r="F101" s="924">
        <v>0.8</v>
      </c>
      <c r="G101" s="823"/>
      <c r="H101" s="823"/>
      <c r="I101" s="824"/>
      <c r="J101" s="824"/>
      <c r="K101" s="824"/>
      <c r="L101" s="824"/>
      <c r="M101" s="824"/>
      <c r="N101" s="824"/>
      <c r="O101" s="1756"/>
      <c r="P101" s="1757"/>
      <c r="Q101" s="1758"/>
      <c r="R101" s="488"/>
    </row>
    <row r="102" spans="2:18" ht="30" customHeight="1" x14ac:dyDescent="0.3">
      <c r="B102" s="794">
        <v>6</v>
      </c>
      <c r="C102" s="810" t="s">
        <v>1202</v>
      </c>
      <c r="D102" s="825"/>
      <c r="E102" s="924">
        <v>0.88</v>
      </c>
      <c r="F102" s="924">
        <v>0.8</v>
      </c>
      <c r="G102" s="820">
        <f>((4000/250))</f>
        <v>16</v>
      </c>
      <c r="H102" s="820">
        <f>G102+9.14</f>
        <v>25.14</v>
      </c>
      <c r="I102" s="820">
        <f>30%*H102</f>
        <v>7.5419999999999998</v>
      </c>
      <c r="J102" s="820"/>
      <c r="K102" s="820"/>
      <c r="L102" s="820"/>
      <c r="M102" s="820"/>
      <c r="N102" s="820"/>
      <c r="O102" s="1745" t="s">
        <v>1203</v>
      </c>
      <c r="P102" s="1746"/>
      <c r="Q102" s="1747"/>
      <c r="R102" s="488"/>
    </row>
    <row r="103" spans="2:18" ht="25.5" customHeight="1" x14ac:dyDescent="0.3">
      <c r="B103" s="794">
        <v>7</v>
      </c>
      <c r="C103" s="810" t="s">
        <v>1204</v>
      </c>
      <c r="D103" s="825"/>
      <c r="E103" s="924">
        <v>0.88</v>
      </c>
      <c r="F103" s="924">
        <v>0.8</v>
      </c>
      <c r="G103" s="820">
        <f>((4000/250))</f>
        <v>16</v>
      </c>
      <c r="H103" s="820">
        <f>G103+9.12</f>
        <v>25.119999999999997</v>
      </c>
      <c r="I103" s="820">
        <f>30%*H103</f>
        <v>7.5359999999999987</v>
      </c>
      <c r="J103" s="820"/>
      <c r="K103" s="820"/>
      <c r="L103" s="820"/>
      <c r="M103" s="820"/>
      <c r="N103" s="820"/>
      <c r="O103" s="1745" t="s">
        <v>1203</v>
      </c>
      <c r="P103" s="1746"/>
      <c r="Q103" s="1747"/>
      <c r="R103" s="488"/>
    </row>
    <row r="104" spans="2:18" ht="25.5" customHeight="1" x14ac:dyDescent="0.3">
      <c r="B104" s="794">
        <v>8</v>
      </c>
      <c r="C104" s="810" t="s">
        <v>1205</v>
      </c>
      <c r="D104" s="825"/>
      <c r="E104" s="924">
        <v>0.88</v>
      </c>
      <c r="F104" s="924">
        <v>0.82</v>
      </c>
      <c r="G104" s="820">
        <f>((4000/250))</f>
        <v>16</v>
      </c>
      <c r="H104" s="820">
        <f>G104+7.25</f>
        <v>23.25</v>
      </c>
      <c r="I104" s="820">
        <f>30%*H104</f>
        <v>6.9749999999999996</v>
      </c>
      <c r="J104" s="820"/>
      <c r="K104" s="820"/>
      <c r="L104" s="820"/>
      <c r="M104" s="820"/>
      <c r="N104" s="820"/>
      <c r="O104" s="1745" t="s">
        <v>1203</v>
      </c>
      <c r="P104" s="1746"/>
      <c r="Q104" s="1747"/>
      <c r="R104" s="488"/>
    </row>
    <row r="105" spans="2:18" ht="13" x14ac:dyDescent="0.3">
      <c r="B105" s="794">
        <v>9</v>
      </c>
      <c r="C105" s="810"/>
      <c r="D105" s="825"/>
      <c r="E105" s="823"/>
      <c r="F105" s="827"/>
      <c r="G105" s="827"/>
      <c r="H105" s="827"/>
      <c r="I105" s="828"/>
      <c r="J105" s="828"/>
      <c r="K105" s="828"/>
      <c r="L105" s="828"/>
      <c r="M105" s="828"/>
      <c r="N105" s="828"/>
      <c r="O105" s="1772"/>
      <c r="P105" s="1773"/>
      <c r="Q105" s="1774"/>
      <c r="R105" s="488"/>
    </row>
    <row r="106" spans="2:18" ht="13" x14ac:dyDescent="0.3">
      <c r="B106" s="794">
        <v>10</v>
      </c>
      <c r="C106" s="810"/>
      <c r="D106" s="825"/>
      <c r="E106" s="827"/>
      <c r="F106" s="827"/>
      <c r="G106" s="827"/>
      <c r="H106" s="827"/>
      <c r="I106" s="828"/>
      <c r="J106" s="828"/>
      <c r="K106" s="828"/>
      <c r="L106" s="828"/>
      <c r="M106" s="828"/>
      <c r="N106" s="828"/>
      <c r="O106" s="1772"/>
      <c r="P106" s="1773"/>
      <c r="Q106" s="1774"/>
      <c r="R106" s="488"/>
    </row>
    <row r="107" spans="2:18" ht="13" x14ac:dyDescent="0.3">
      <c r="B107" s="794">
        <v>11</v>
      </c>
      <c r="C107" s="810"/>
      <c r="D107" s="825"/>
      <c r="E107" s="829"/>
      <c r="F107" s="823"/>
      <c r="G107" s="829"/>
      <c r="H107" s="829"/>
      <c r="I107" s="820"/>
      <c r="J107" s="820"/>
      <c r="K107" s="820"/>
      <c r="L107" s="820"/>
      <c r="M107" s="820"/>
      <c r="N107" s="820"/>
      <c r="O107" s="1745"/>
      <c r="P107" s="1746"/>
      <c r="Q107" s="1747"/>
      <c r="R107" s="488"/>
    </row>
    <row r="108" spans="2:18" ht="13" x14ac:dyDescent="0.3">
      <c r="B108" s="794">
        <v>12</v>
      </c>
      <c r="C108" s="810"/>
      <c r="D108" s="825"/>
      <c r="E108" s="827"/>
      <c r="F108" s="823"/>
      <c r="G108" s="827"/>
      <c r="H108" s="827"/>
      <c r="I108" s="828"/>
      <c r="J108" s="828"/>
      <c r="K108" s="828"/>
      <c r="L108" s="828"/>
      <c r="M108" s="828"/>
      <c r="N108" s="828"/>
      <c r="O108" s="1772"/>
      <c r="P108" s="1773"/>
      <c r="Q108" s="1774"/>
      <c r="R108" s="488"/>
    </row>
    <row r="109" spans="2:18" ht="13" x14ac:dyDescent="0.3">
      <c r="B109" s="794">
        <v>13</v>
      </c>
      <c r="C109" s="810"/>
      <c r="D109" s="825"/>
      <c r="E109" s="827"/>
      <c r="F109" s="827"/>
      <c r="G109" s="827"/>
      <c r="H109" s="827"/>
      <c r="I109" s="828"/>
      <c r="J109" s="828"/>
      <c r="K109" s="828"/>
      <c r="L109" s="828"/>
      <c r="M109" s="828"/>
      <c r="N109" s="828"/>
      <c r="O109" s="1772"/>
      <c r="P109" s="1773"/>
      <c r="Q109" s="1774"/>
      <c r="R109" s="488"/>
    </row>
    <row r="110" spans="2:18" ht="13" x14ac:dyDescent="0.3">
      <c r="B110" s="794">
        <v>14</v>
      </c>
      <c r="C110" s="810"/>
      <c r="D110" s="825"/>
      <c r="E110" s="830"/>
      <c r="F110" s="830"/>
      <c r="G110" s="830"/>
      <c r="H110" s="830"/>
      <c r="I110" s="820"/>
      <c r="J110" s="820"/>
      <c r="K110" s="820"/>
      <c r="L110" s="820"/>
      <c r="M110" s="820"/>
      <c r="N110" s="820"/>
      <c r="O110" s="1745"/>
      <c r="P110" s="1746"/>
      <c r="Q110" s="1747"/>
      <c r="R110" s="488"/>
    </row>
    <row r="111" spans="2:18" ht="13" x14ac:dyDescent="0.3">
      <c r="B111" s="794">
        <v>15</v>
      </c>
      <c r="C111" s="810"/>
      <c r="D111" s="825"/>
      <c r="E111" s="830"/>
      <c r="F111" s="830"/>
      <c r="G111" s="830"/>
      <c r="H111" s="830"/>
      <c r="I111" s="820"/>
      <c r="J111" s="820"/>
      <c r="K111" s="820"/>
      <c r="L111" s="820"/>
      <c r="M111" s="820"/>
      <c r="N111" s="820"/>
      <c r="O111" s="1745"/>
      <c r="P111" s="1746"/>
      <c r="Q111" s="1747"/>
      <c r="R111" s="488"/>
    </row>
    <row r="112" spans="2:18" ht="13" x14ac:dyDescent="0.3">
      <c r="B112" s="794">
        <v>16</v>
      </c>
      <c r="C112" s="810"/>
      <c r="D112" s="825"/>
      <c r="E112" s="830"/>
      <c r="F112" s="830"/>
      <c r="G112" s="830"/>
      <c r="H112" s="830"/>
      <c r="I112" s="820"/>
      <c r="J112" s="820"/>
      <c r="K112" s="820"/>
      <c r="L112" s="820"/>
      <c r="M112" s="820"/>
      <c r="N112" s="820"/>
      <c r="O112" s="1745"/>
      <c r="P112" s="1746"/>
      <c r="Q112" s="1747"/>
      <c r="R112" s="488"/>
    </row>
    <row r="113" spans="2:18" ht="13" x14ac:dyDescent="0.3">
      <c r="B113" s="794">
        <v>17</v>
      </c>
      <c r="C113" s="810"/>
      <c r="D113" s="825"/>
      <c r="E113" s="830"/>
      <c r="F113" s="830"/>
      <c r="G113" s="830"/>
      <c r="H113" s="830"/>
      <c r="I113" s="820"/>
      <c r="J113" s="820"/>
      <c r="K113" s="820"/>
      <c r="L113" s="820"/>
      <c r="M113" s="820"/>
      <c r="N113" s="820"/>
      <c r="O113" s="1745"/>
      <c r="P113" s="1746"/>
      <c r="Q113" s="1747"/>
      <c r="R113" s="488"/>
    </row>
    <row r="114" spans="2:18" ht="13" x14ac:dyDescent="0.3">
      <c r="B114" s="794">
        <v>18</v>
      </c>
      <c r="C114" s="810"/>
      <c r="D114" s="825"/>
      <c r="E114" s="830"/>
      <c r="F114" s="830"/>
      <c r="G114" s="830"/>
      <c r="H114" s="830"/>
      <c r="I114" s="820"/>
      <c r="J114" s="820"/>
      <c r="K114" s="820"/>
      <c r="L114" s="820"/>
      <c r="M114" s="820"/>
      <c r="N114" s="820"/>
      <c r="O114" s="1745"/>
      <c r="P114" s="1746"/>
      <c r="Q114" s="1747"/>
      <c r="R114" s="488"/>
    </row>
    <row r="115" spans="2:18" ht="13" x14ac:dyDescent="0.3">
      <c r="B115" s="794">
        <v>19</v>
      </c>
      <c r="C115" s="810"/>
      <c r="D115" s="825"/>
      <c r="E115" s="830"/>
      <c r="F115" s="830"/>
      <c r="G115" s="830"/>
      <c r="H115" s="830"/>
      <c r="I115" s="820"/>
      <c r="J115" s="820"/>
      <c r="K115" s="820"/>
      <c r="L115" s="820"/>
      <c r="M115" s="820"/>
      <c r="N115" s="820"/>
      <c r="O115" s="1745"/>
      <c r="P115" s="1746"/>
      <c r="Q115" s="1747"/>
      <c r="R115" s="488"/>
    </row>
    <row r="116" spans="2:18" ht="13" x14ac:dyDescent="0.3">
      <c r="B116" s="794">
        <v>20</v>
      </c>
      <c r="C116" s="810"/>
      <c r="D116" s="825"/>
      <c r="E116" s="830"/>
      <c r="F116" s="830"/>
      <c r="G116" s="830"/>
      <c r="H116" s="830"/>
      <c r="I116" s="820"/>
      <c r="J116" s="820"/>
      <c r="K116" s="820"/>
      <c r="L116" s="820"/>
      <c r="M116" s="820"/>
      <c r="N116" s="820"/>
      <c r="O116" s="1745"/>
      <c r="P116" s="1746"/>
      <c r="Q116" s="1747"/>
      <c r="R116" s="488"/>
    </row>
  </sheetData>
  <sheetProtection algorithmName="SHA-512" hashValue="GvIwDHe3h2v2HMtp4meibziPyKGilqCrOFFj+v7Cb9MuWGH/lrPYIsXM1qtzorQfTo3ZfBSWAdfmccS8D2rTTg==" saltValue="VNGJneKMSBvOXo1cDhaBfQ==" spinCount="100000" sheet="1" objects="1" scenarios="1" selectLockedCells="1" selectUnlockedCells="1"/>
  <mergeCells count="121">
    <mergeCell ref="E33:Q33"/>
    <mergeCell ref="E34:Q34"/>
    <mergeCell ref="C22:Q22"/>
    <mergeCell ref="C23:Q23"/>
    <mergeCell ref="D25:Q25"/>
    <mergeCell ref="B20:Q20"/>
    <mergeCell ref="C21:Q21"/>
    <mergeCell ref="P47:Q47"/>
    <mergeCell ref="C48:M48"/>
    <mergeCell ref="P48:Q48"/>
    <mergeCell ref="D29:Q29"/>
    <mergeCell ref="D30:Q30"/>
    <mergeCell ref="C49:M49"/>
    <mergeCell ref="P49:Q49"/>
    <mergeCell ref="C43:M43"/>
    <mergeCell ref="P43:Q43"/>
    <mergeCell ref="C44:M44"/>
    <mergeCell ref="P44:Q44"/>
    <mergeCell ref="C45:M45"/>
    <mergeCell ref="P45:Q45"/>
    <mergeCell ref="P54:Q54"/>
    <mergeCell ref="C55:M55"/>
    <mergeCell ref="P55:Q55"/>
    <mergeCell ref="C56:M56"/>
    <mergeCell ref="P56:Q56"/>
    <mergeCell ref="C50:M50"/>
    <mergeCell ref="P50:Q50"/>
    <mergeCell ref="C51:M51"/>
    <mergeCell ref="P51:Q51"/>
    <mergeCell ref="C53:M53"/>
    <mergeCell ref="P53:Q53"/>
    <mergeCell ref="J63:Q63"/>
    <mergeCell ref="D64:E64"/>
    <mergeCell ref="J64:Q64"/>
    <mergeCell ref="C57:M57"/>
    <mergeCell ref="P57:Q57"/>
    <mergeCell ref="D61:E61"/>
    <mergeCell ref="J61:Q61"/>
    <mergeCell ref="D62:E62"/>
    <mergeCell ref="J62:Q62"/>
    <mergeCell ref="D67:E67"/>
    <mergeCell ref="J67:Q67"/>
    <mergeCell ref="D70:E70"/>
    <mergeCell ref="J70:Q70"/>
    <mergeCell ref="D65:E65"/>
    <mergeCell ref="J65:Q65"/>
    <mergeCell ref="D66:E66"/>
    <mergeCell ref="J66:Q66"/>
    <mergeCell ref="D76:E76"/>
    <mergeCell ref="J76:Q76"/>
    <mergeCell ref="D73:E73"/>
    <mergeCell ref="J73:Q73"/>
    <mergeCell ref="D74:E74"/>
    <mergeCell ref="J74:Q74"/>
    <mergeCell ref="D75:E75"/>
    <mergeCell ref="J75:Q75"/>
    <mergeCell ref="D68:E68"/>
    <mergeCell ref="J68:Q68"/>
    <mergeCell ref="D69:E69"/>
    <mergeCell ref="J69:Q69"/>
    <mergeCell ref="D71:E71"/>
    <mergeCell ref="J71:Q71"/>
    <mergeCell ref="E80:Q80"/>
    <mergeCell ref="O114:Q114"/>
    <mergeCell ref="O115:Q115"/>
    <mergeCell ref="O116:Q116"/>
    <mergeCell ref="O107:Q107"/>
    <mergeCell ref="O108:Q108"/>
    <mergeCell ref="O109:Q109"/>
    <mergeCell ref="O110:Q110"/>
    <mergeCell ref="O111:Q111"/>
    <mergeCell ref="O112:Q112"/>
    <mergeCell ref="O113:Q113"/>
    <mergeCell ref="O101:Q101"/>
    <mergeCell ref="O102:Q102"/>
    <mergeCell ref="O103:Q103"/>
    <mergeCell ref="O104:Q104"/>
    <mergeCell ref="O105:Q105"/>
    <mergeCell ref="O106:Q106"/>
    <mergeCell ref="B95:D95"/>
    <mergeCell ref="C96:D96"/>
    <mergeCell ref="O97:Q97"/>
    <mergeCell ref="O98:Q98"/>
    <mergeCell ref="O99:Q99"/>
    <mergeCell ref="O100:Q100"/>
    <mergeCell ref="E94:N94"/>
    <mergeCell ref="O94:Q96"/>
    <mergeCell ref="E81:Q81"/>
    <mergeCell ref="E82:Q82"/>
    <mergeCell ref="E83:Q83"/>
    <mergeCell ref="E84:Q84"/>
    <mergeCell ref="E85:Q85"/>
    <mergeCell ref="E86:Q86"/>
    <mergeCell ref="E87:Q87"/>
    <mergeCell ref="E88:Q88"/>
    <mergeCell ref="E89:Q89"/>
    <mergeCell ref="E90:Q90"/>
    <mergeCell ref="C2:F2"/>
    <mergeCell ref="C3:F3"/>
    <mergeCell ref="C4:F4"/>
    <mergeCell ref="D7:F7"/>
    <mergeCell ref="D17:F17"/>
    <mergeCell ref="D18:F18"/>
    <mergeCell ref="D8:F16"/>
    <mergeCell ref="C5:F5"/>
    <mergeCell ref="D72:E72"/>
    <mergeCell ref="C54:M54"/>
    <mergeCell ref="C47:M47"/>
    <mergeCell ref="E35:Q35"/>
    <mergeCell ref="E36:Q36"/>
    <mergeCell ref="E37:Q37"/>
    <mergeCell ref="C41:M41"/>
    <mergeCell ref="P41:Q41"/>
    <mergeCell ref="C42:M42"/>
    <mergeCell ref="P42:Q42"/>
    <mergeCell ref="D26:Q26"/>
    <mergeCell ref="D27:Q27"/>
    <mergeCell ref="D28:Q28"/>
    <mergeCell ref="E32:Q32"/>
    <mergeCell ref="J72:Q72"/>
    <mergeCell ref="D63:E63"/>
  </mergeCells>
  <conditionalFormatting sqref="H67">
    <cfRule type="expression" dxfId="3176" priority="69">
      <formula>IF(OR(#REF!="L",#REF!="C"),TRUE,FALSE)</formula>
    </cfRule>
  </conditionalFormatting>
  <conditionalFormatting sqref="H64">
    <cfRule type="expression" dxfId="3175" priority="44">
      <formula>IF(OR(#REF!="L",#REF!="C"),TRUE,FALSE)</formula>
    </cfRule>
  </conditionalFormatting>
  <conditionalFormatting sqref="H65">
    <cfRule type="expression" dxfId="3174" priority="43">
      <formula>IF(OR(#REF!="L",#REF!="C"),TRUE,FALSE)</formula>
    </cfRule>
  </conditionalFormatting>
  <conditionalFormatting sqref="H62">
    <cfRule type="expression" dxfId="3173" priority="41">
      <formula>IF(OR(#REF!="L",#REF!="C"),TRUE,FALSE)</formula>
    </cfRule>
  </conditionalFormatting>
  <conditionalFormatting sqref="H74">
    <cfRule type="expression" dxfId="3172" priority="36">
      <formula>IF(OR(#REF!="L",#REF!="C"),TRUE,FALSE)</formula>
    </cfRule>
  </conditionalFormatting>
  <conditionalFormatting sqref="H75">
    <cfRule type="expression" dxfId="3171" priority="35">
      <formula>IF(OR(#REF!="L",#REF!="C"),TRUE,FALSE)</formula>
    </cfRule>
  </conditionalFormatting>
  <conditionalFormatting sqref="H76">
    <cfRule type="expression" dxfId="3170" priority="33">
      <formula>IF(OR(#REF!="L",#REF!="C"),TRUE,FALSE)</formula>
    </cfRule>
  </conditionalFormatting>
  <conditionalFormatting sqref="G63">
    <cfRule type="expression" dxfId="3169" priority="32">
      <formula>IF(OR(#REF!="L",#REF!="C"),TRUE,FALSE)</formula>
    </cfRule>
  </conditionalFormatting>
  <conditionalFormatting sqref="H68">
    <cfRule type="expression" dxfId="3168" priority="31">
      <formula>IF(OR(#REF!="L",#REF!="C"),TRUE,FALSE)</formula>
    </cfRule>
  </conditionalFormatting>
  <conditionalFormatting sqref="H69">
    <cfRule type="expression" dxfId="3167" priority="30">
      <formula>IF(OR(#REF!="L",#REF!="C"),TRUE,FALSE)</formula>
    </cfRule>
  </conditionalFormatting>
  <conditionalFormatting sqref="H70">
    <cfRule type="expression" dxfId="3166" priority="29">
      <formula>IF(OR(#REF!="L",#REF!="C"),TRUE,FALSE)</formula>
    </cfRule>
  </conditionalFormatting>
  <conditionalFormatting sqref="H71">
    <cfRule type="expression" dxfId="3165" priority="28">
      <formula>IF(OR(#REF!="L",#REF!="C"),TRUE,FALSE)</formula>
    </cfRule>
  </conditionalFormatting>
  <conditionalFormatting sqref="H72">
    <cfRule type="expression" dxfId="3164" priority="27">
      <formula>IF(OR(#REF!="L",#REF!="C"),TRUE,FALSE)</formula>
    </cfRule>
  </conditionalFormatting>
  <conditionalFormatting sqref="H73">
    <cfRule type="expression" dxfId="3163" priority="26">
      <formula>IF(OR(#REF!="L",#REF!="C"),TRUE,FALSE)</formula>
    </cfRule>
  </conditionalFormatting>
  <conditionalFormatting sqref="F109:F116 H104:H116 G102:G116">
    <cfRule type="expression" dxfId="3162" priority="25">
      <formula>IF(OR(#REF!="L",#REF!="C"),TRUE,FALSE)</formula>
    </cfRule>
  </conditionalFormatting>
  <conditionalFormatting sqref="E110:E116">
    <cfRule type="expression" dxfId="3161" priority="24">
      <formula>IF(OR(#REF!="L",#REF!="C"),TRUE,FALSE)</formula>
    </cfRule>
  </conditionalFormatting>
  <conditionalFormatting sqref="E107">
    <cfRule type="expression" dxfId="3160" priority="23">
      <formula>IF(OR(#REF!="L",#REF!="C"),TRUE,FALSE)</formula>
    </cfRule>
  </conditionalFormatting>
  <conditionalFormatting sqref="E108">
    <cfRule type="expression" dxfId="3159" priority="22">
      <formula>IF(OR(#REF!="L",#REF!="C"),TRUE,FALSE)</formula>
    </cfRule>
  </conditionalFormatting>
  <conditionalFormatting sqref="E109">
    <cfRule type="expression" dxfId="3158" priority="21">
      <formula>IF(OR(#REF!="L",#REF!="C"),TRUE,FALSE)</formula>
    </cfRule>
  </conditionalFormatting>
  <conditionalFormatting sqref="E106">
    <cfRule type="expression" dxfId="3157" priority="20">
      <formula>IF(OR(#REF!="L",#REF!="C"),TRUE,FALSE)</formula>
    </cfRule>
  </conditionalFormatting>
  <conditionalFormatting sqref="E95 G95 I95 K95 M95">
    <cfRule type="duplicateValues" dxfId="3156" priority="19"/>
  </conditionalFormatting>
  <conditionalFormatting sqref="M104:M116">
    <cfRule type="expression" dxfId="3155" priority="9">
      <formula>IF(OR(#REF!="L",#REF!="C"),TRUE,FALSE)</formula>
    </cfRule>
  </conditionalFormatting>
  <conditionalFormatting sqref="F102:F106">
    <cfRule type="expression" dxfId="3154" priority="18">
      <formula>IF(OR(#REF!="L",#REF!="C"),TRUE,FALSE)</formula>
    </cfRule>
  </conditionalFormatting>
  <conditionalFormatting sqref="J102:J103">
    <cfRule type="expression" dxfId="3153" priority="14">
      <formula>IF(OR(#REF!="L",#REF!="C"),TRUE,FALSE)</formula>
    </cfRule>
  </conditionalFormatting>
  <conditionalFormatting sqref="N102:N103">
    <cfRule type="expression" dxfId="3152" priority="6">
      <formula>IF(OR(#REF!="L",#REF!="C"),TRUE,FALSE)</formula>
    </cfRule>
  </conditionalFormatting>
  <conditionalFormatting sqref="I104:I116">
    <cfRule type="expression" dxfId="3151" priority="17">
      <formula>IF(OR(#REF!="L",#REF!="C"),TRUE,FALSE)</formula>
    </cfRule>
  </conditionalFormatting>
  <conditionalFormatting sqref="J104:J116">
    <cfRule type="expression" dxfId="3150" priority="15">
      <formula>IF(OR(#REF!="L",#REF!="C"),TRUE,FALSE)</formula>
    </cfRule>
  </conditionalFormatting>
  <conditionalFormatting sqref="K102:K103">
    <cfRule type="expression" dxfId="3149" priority="12">
      <formula>IF(OR(#REF!="L",#REF!="C"),TRUE,FALSE)</formula>
    </cfRule>
  </conditionalFormatting>
  <conditionalFormatting sqref="K104:K116">
    <cfRule type="expression" dxfId="3148" priority="13">
      <formula>IF(OR(#REF!="L",#REF!="C"),TRUE,FALSE)</formula>
    </cfRule>
  </conditionalFormatting>
  <conditionalFormatting sqref="L102:L103">
    <cfRule type="expression" dxfId="3147" priority="10">
      <formula>IF(OR(#REF!="L",#REF!="C"),TRUE,FALSE)</formula>
    </cfRule>
  </conditionalFormatting>
  <conditionalFormatting sqref="L104:L116">
    <cfRule type="expression" dxfId="3146" priority="11">
      <formula>IF(OR(#REF!="L",#REF!="C"),TRUE,FALSE)</formula>
    </cfRule>
  </conditionalFormatting>
  <conditionalFormatting sqref="M102:M103">
    <cfRule type="expression" dxfId="3145" priority="8">
      <formula>IF(OR(#REF!="L",#REF!="C"),TRUE,FALSE)</formula>
    </cfRule>
  </conditionalFormatting>
  <conditionalFormatting sqref="N104:N116">
    <cfRule type="expression" dxfId="3144" priority="7">
      <formula>IF(OR(#REF!="L",#REF!="C"),TRUE,FALSE)</formula>
    </cfRule>
  </conditionalFormatting>
  <conditionalFormatting sqref="O102:O103">
    <cfRule type="expression" dxfId="3143" priority="4">
      <formula>IF(OR(#REF!="L",#REF!="C"),TRUE,FALSE)</formula>
    </cfRule>
  </conditionalFormatting>
  <conditionalFormatting sqref="O104:O116">
    <cfRule type="expression" dxfId="3142" priority="5">
      <formula>IF(OR(#REF!="L",#REF!="C"),TRUE,FALSE)</formula>
    </cfRule>
  </conditionalFormatting>
  <conditionalFormatting sqref="E96:N96">
    <cfRule type="duplicateValues" dxfId="3141" priority="3"/>
  </conditionalFormatting>
  <conditionalFormatting sqref="H102:H103">
    <cfRule type="expression" dxfId="3140" priority="2">
      <formula>IF(OR(#REF!="L",#REF!="C"),TRUE,FALSE)</formula>
    </cfRule>
  </conditionalFormatting>
  <conditionalFormatting sqref="I102:I103">
    <cfRule type="expression" dxfId="3139" priority="1">
      <formula>IF(OR(#REF!="L",#REF!="C"),TRUE,FALSE)</formula>
    </cfRule>
  </conditionalFormatting>
  <dataValidations count="9">
    <dataValidation type="list" allowBlank="1" showInputMessage="1" showErrorMessage="1" sqref="F62" xr:uid="{465EE8C2-0559-4C6E-9E4E-7DA1AA37F988}">
      <formula1>#REF!</formula1>
    </dataValidation>
    <dataValidation type="list" allowBlank="1" showInputMessage="1" showErrorMessage="1" sqref="H66" xr:uid="{EE9134AD-BCBB-4811-BA63-160770BF7C15}">
      <formula1>$C$97:$C$116</formula1>
    </dataValidation>
    <dataValidation type="list" allowBlank="1" showInputMessage="1" showErrorMessage="1" sqref="F74" xr:uid="{8FF4A246-A1A6-4BE2-AD0E-84FB0F109B94}">
      <formula1>$C$102:$C$107</formula1>
    </dataValidation>
    <dataValidation type="list" allowBlank="1" showInputMessage="1" showErrorMessage="1" sqref="C4" xr:uid="{A68AC56E-F971-4B56-BEB3-363775558B79}">
      <formula1>"COM,RES"</formula1>
    </dataValidation>
    <dataValidation type="list" allowBlank="1" showInputMessage="1" showErrorMessage="1" sqref="C9" xr:uid="{0A2687D2-5A0B-4CB1-84EA-825F05E5D187}">
      <formula1>INDIRECT("MeasureTypeList[Index]")</formula1>
    </dataValidation>
    <dataValidation type="list" allowBlank="1" showInputMessage="1" showErrorMessage="1" sqref="C26" xr:uid="{AC103D7E-8444-4A98-9A9E-A5A628ED1E8D}">
      <formula1>INDIRECT("RegionList[Index]")</formula1>
    </dataValidation>
    <dataValidation type="list" allowBlank="1" showInputMessage="1" showErrorMessage="1" sqref="C27" xr:uid="{985C602B-D88E-4CCB-A88E-29A6A47DFB7F}">
      <formula1>INDIRECT("ReplacementTypeList[Index]")</formula1>
    </dataValidation>
    <dataValidation type="list" allowBlank="1" showInputMessage="1" showErrorMessage="1" sqref="C28" xr:uid="{06AB4775-26F9-4827-A61F-D7A8FADCA6C4}">
      <formula1>INDIRECT("BuildingType[Building]")</formula1>
    </dataValidation>
    <dataValidation type="list" allowBlank="1" showInputMessage="1" showErrorMessage="1" sqref="C29 C30" xr:uid="{B7922D9A-A856-4A2C-B52F-0FDB38DD5EE2}">
      <formula1>INDIRECT("FuelTypeList[Index]")</formula1>
    </dataValidation>
  </dataValidations>
  <hyperlinks>
    <hyperlink ref="F82" r:id="rId1" xr:uid="{C72BD2BE-EED5-4019-B78C-0516D98B27DE}"/>
    <hyperlink ref="F83" r:id="rId2" xr:uid="{7EC63F2D-2141-488D-97A6-2140376588DB}"/>
    <hyperlink ref="F85" r:id="rId3" xr:uid="{F25BBD50-1CA5-41A2-A3AC-A9C44CBE9495}"/>
    <hyperlink ref="F84" r:id="rId4" xr:uid="{6B894838-A5C9-4373-B01A-488B5AC35292}"/>
    <hyperlink ref="J65:Q65" r:id="rId5" display="ENERGY STAR certified boilers are at least 87% efficient. The majority are 95% or greater." xr:uid="{A9375A20-3616-4138-AC57-EE355436AC24}"/>
  </hyperlinks>
  <pageMargins left="0.7" right="0.7" top="0.75" bottom="0.75" header="0.3" footer="0.3"/>
  <pageSetup orientation="portrait"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3431F-CFC8-4EC2-AB25-22CEFA4BDB2A}">
  <sheetPr codeName="Sheet214"/>
  <dimension ref="A1:R116"/>
  <sheetViews>
    <sheetView workbookViewId="0"/>
  </sheetViews>
  <sheetFormatPr defaultColWidth="9.08984375" defaultRowHeight="18.75" customHeight="1" x14ac:dyDescent="0.3"/>
  <cols>
    <col min="1" max="1" width="2.36328125" style="767" customWidth="1"/>
    <col min="2" max="2" width="44.36328125" style="767" bestFit="1" customWidth="1"/>
    <col min="3" max="3" width="21.08984375" style="767" customWidth="1"/>
    <col min="4" max="4" width="21.6328125" style="767" customWidth="1"/>
    <col min="5" max="5" width="14.36328125" style="767" customWidth="1"/>
    <col min="6" max="6" width="15.6328125" style="767" customWidth="1"/>
    <col min="7" max="7" width="19.6328125" style="767" customWidth="1"/>
    <col min="8" max="8" width="16" style="767" customWidth="1"/>
    <col min="9" max="9" width="10.26953125" style="767" customWidth="1"/>
    <col min="10" max="10" width="14.6328125" style="767" customWidth="1"/>
    <col min="11" max="12" width="9.08984375" style="767"/>
    <col min="13" max="13" width="11" style="767" customWidth="1"/>
    <col min="14" max="14" width="12.26953125" style="767" customWidth="1"/>
    <col min="15" max="15" width="10.7265625" style="767" customWidth="1"/>
    <col min="16" max="17" width="9.08984375" style="767"/>
    <col min="18" max="18" width="9.7265625" style="768" customWidth="1"/>
    <col min="19" max="19" width="9.08984375" style="767"/>
    <col min="20" max="20" width="8.6328125" style="767" customWidth="1"/>
    <col min="21" max="16384" width="9.08984375" style="767"/>
  </cols>
  <sheetData>
    <row r="1" spans="1:18" s="488" customFormat="1" ht="18.75" customHeight="1" x14ac:dyDescent="0.3">
      <c r="R1" s="489"/>
    </row>
    <row r="2" spans="1:18" s="488" customFormat="1" ht="18.75" customHeight="1" x14ac:dyDescent="0.3">
      <c r="B2" s="1193" t="s">
        <v>506</v>
      </c>
      <c r="C2" s="1366" t="s">
        <v>406</v>
      </c>
      <c r="D2" s="1366"/>
      <c r="E2" s="1366"/>
      <c r="F2" s="1366"/>
      <c r="R2" s="489"/>
    </row>
    <row r="3" spans="1:18" s="488" customFormat="1" ht="18.75" customHeight="1" x14ac:dyDescent="0.3">
      <c r="B3" s="490" t="s">
        <v>407</v>
      </c>
      <c r="C3" s="1367" t="str">
        <f>IF(ISBLANK(C8)+ISBLANK(C10),C8,C8&amp;"_"&amp;C10)</f>
        <v>C-HC-006</v>
      </c>
      <c r="D3" s="1367"/>
      <c r="E3" s="1367"/>
      <c r="F3" s="1367"/>
      <c r="R3" s="489"/>
    </row>
    <row r="4" spans="1:18" s="488" customFormat="1" ht="18.75" customHeight="1" x14ac:dyDescent="0.3">
      <c r="B4" s="490" t="s">
        <v>11</v>
      </c>
      <c r="C4" s="1367" t="str" cm="1">
        <f t="array" ref="C4">_xlfn.SWITCH(LEFT(C8,1),"R","Residential","C","Commercial","ERROR")</f>
        <v>Commercial</v>
      </c>
      <c r="D4" s="1367"/>
      <c r="E4" s="1367"/>
      <c r="F4" s="1367"/>
      <c r="R4" s="489"/>
    </row>
    <row r="5" spans="1:18" s="488" customFormat="1" ht="24" customHeight="1" x14ac:dyDescent="0.3">
      <c r="B5" s="490" t="s">
        <v>408</v>
      </c>
      <c r="C5" s="1530" t="s">
        <v>211</v>
      </c>
      <c r="D5" s="1531"/>
      <c r="E5" s="1531"/>
      <c r="F5" s="1532"/>
    </row>
    <row r="6" spans="1:18" ht="18.75" customHeight="1" x14ac:dyDescent="0.3">
      <c r="A6" s="766"/>
    </row>
    <row r="7" spans="1:18" ht="18.75" customHeight="1" x14ac:dyDescent="0.3">
      <c r="B7" s="1226" t="s">
        <v>507</v>
      </c>
      <c r="C7" s="769" t="s">
        <v>406</v>
      </c>
      <c r="D7" s="1790" t="s">
        <v>410</v>
      </c>
      <c r="E7" s="1791"/>
      <c r="F7" s="1792"/>
      <c r="R7" s="767"/>
    </row>
    <row r="8" spans="1:18" ht="18.75" customHeight="1" x14ac:dyDescent="0.3">
      <c r="B8" s="770" t="s">
        <v>411</v>
      </c>
      <c r="C8" s="801" t="s">
        <v>80</v>
      </c>
      <c r="D8" s="1889"/>
      <c r="E8" s="1889"/>
      <c r="F8" s="1889"/>
      <c r="R8" s="767"/>
    </row>
    <row r="9" spans="1:18" ht="18.75" customHeight="1" x14ac:dyDescent="0.3">
      <c r="B9" s="770" t="s">
        <v>49</v>
      </c>
      <c r="C9" s="801" t="s">
        <v>579</v>
      </c>
      <c r="D9" s="1889"/>
      <c r="E9" s="1889"/>
      <c r="F9" s="1889"/>
      <c r="R9" s="767"/>
    </row>
    <row r="10" spans="1:18" ht="18.75" customHeight="1" x14ac:dyDescent="0.3">
      <c r="B10" s="770" t="s">
        <v>412</v>
      </c>
      <c r="C10" s="801"/>
      <c r="D10" s="1889"/>
      <c r="E10" s="1889"/>
      <c r="F10" s="1889"/>
      <c r="R10" s="767"/>
    </row>
    <row r="11" spans="1:18" ht="18.75" customHeight="1" x14ac:dyDescent="0.3">
      <c r="B11" s="770" t="s">
        <v>413</v>
      </c>
      <c r="C11" s="801"/>
      <c r="D11" s="1889"/>
      <c r="E11" s="1889"/>
      <c r="F11" s="1889"/>
      <c r="R11" s="767"/>
    </row>
    <row r="12" spans="1:18" ht="18.75" customHeight="1" x14ac:dyDescent="0.3">
      <c r="B12" s="770" t="s">
        <v>414</v>
      </c>
      <c r="C12" s="802"/>
      <c r="D12" s="1889"/>
      <c r="E12" s="1889"/>
      <c r="F12" s="1889"/>
      <c r="R12" s="767"/>
    </row>
    <row r="13" spans="1:18" ht="18.75" customHeight="1" x14ac:dyDescent="0.3">
      <c r="B13" s="771" t="s">
        <v>415</v>
      </c>
      <c r="C13" s="772">
        <f>N43</f>
        <v>0</v>
      </c>
      <c r="D13" s="1889"/>
      <c r="E13" s="1889"/>
      <c r="F13" s="1889"/>
      <c r="R13" s="767"/>
    </row>
    <row r="14" spans="1:18" ht="18.75" customHeight="1" x14ac:dyDescent="0.3">
      <c r="B14" s="771" t="s">
        <v>416</v>
      </c>
      <c r="C14" s="772">
        <f>N42</f>
        <v>0</v>
      </c>
      <c r="D14" s="1889"/>
      <c r="E14" s="1889"/>
      <c r="F14" s="1889"/>
      <c r="R14" s="767"/>
    </row>
    <row r="15" spans="1:18" ht="18.75" customHeight="1" x14ac:dyDescent="0.3">
      <c r="B15" s="771" t="s">
        <v>417</v>
      </c>
      <c r="C15" s="772">
        <f>N44</f>
        <v>0.26584114394278574</v>
      </c>
      <c r="D15" s="1889"/>
      <c r="E15" s="1889"/>
      <c r="F15" s="1889"/>
      <c r="R15" s="767"/>
    </row>
    <row r="16" spans="1:18" ht="18.75" customHeight="1" x14ac:dyDescent="0.3">
      <c r="B16" s="771" t="s">
        <v>418</v>
      </c>
      <c r="C16" s="773">
        <f>C37</f>
        <v>0</v>
      </c>
      <c r="D16" s="1889"/>
      <c r="E16" s="1889"/>
      <c r="F16" s="1889"/>
      <c r="R16" s="767"/>
    </row>
    <row r="17" spans="2:18" ht="18.75" customHeight="1" x14ac:dyDescent="0.3">
      <c r="B17" s="770" t="s">
        <v>48</v>
      </c>
      <c r="C17" s="803" t="s">
        <v>509</v>
      </c>
      <c r="D17" s="1790" t="s">
        <v>419</v>
      </c>
      <c r="E17" s="1791"/>
      <c r="F17" s="1792"/>
      <c r="R17" s="767"/>
    </row>
    <row r="18" spans="2:18" ht="18.75" customHeight="1" x14ac:dyDescent="0.3">
      <c r="B18" s="770" t="s">
        <v>420</v>
      </c>
      <c r="C18" s="804">
        <v>12</v>
      </c>
      <c r="D18" s="1454" t="s">
        <v>1206</v>
      </c>
      <c r="E18" s="1455"/>
      <c r="F18" s="1456"/>
      <c r="R18" s="767"/>
    </row>
    <row r="19" spans="2:18" ht="18.75" customHeight="1" x14ac:dyDescent="0.3">
      <c r="B19" s="774"/>
      <c r="C19" s="775"/>
      <c r="F19" s="768"/>
      <c r="R19" s="767"/>
    </row>
    <row r="20" spans="2:18" ht="18.75" customHeight="1" x14ac:dyDescent="0.3">
      <c r="B20" s="1778" t="s">
        <v>421</v>
      </c>
      <c r="C20" s="1778"/>
      <c r="D20" s="1778"/>
      <c r="E20" s="1778"/>
      <c r="F20" s="1778"/>
      <c r="G20" s="1778"/>
      <c r="H20" s="1778"/>
      <c r="I20" s="1778"/>
      <c r="J20" s="1778"/>
      <c r="K20" s="1778"/>
      <c r="L20" s="1778"/>
      <c r="M20" s="1778"/>
      <c r="N20" s="1778"/>
      <c r="O20" s="1778"/>
      <c r="P20" s="1778"/>
      <c r="Q20" s="1778"/>
      <c r="R20" s="767"/>
    </row>
    <row r="21" spans="2:18" ht="18.75" customHeight="1" x14ac:dyDescent="0.3">
      <c r="B21" s="776" t="s">
        <v>422</v>
      </c>
      <c r="C21" s="1780" t="s">
        <v>212</v>
      </c>
      <c r="D21" s="1780"/>
      <c r="E21" s="1780"/>
      <c r="F21" s="1780"/>
      <c r="G21" s="1780"/>
      <c r="H21" s="1780"/>
      <c r="I21" s="1780"/>
      <c r="J21" s="1780"/>
      <c r="K21" s="1780"/>
      <c r="L21" s="1780"/>
      <c r="M21" s="1780"/>
      <c r="N21" s="1780"/>
      <c r="O21" s="1780"/>
      <c r="P21" s="1780"/>
      <c r="Q21" s="1780"/>
      <c r="R21" s="767"/>
    </row>
    <row r="22" spans="2:18" ht="18.75" customHeight="1" x14ac:dyDescent="0.3">
      <c r="B22" s="777" t="s">
        <v>423</v>
      </c>
      <c r="C22" s="1780" t="s">
        <v>213</v>
      </c>
      <c r="D22" s="1780"/>
      <c r="E22" s="1780"/>
      <c r="F22" s="1780"/>
      <c r="G22" s="1780"/>
      <c r="H22" s="1780"/>
      <c r="I22" s="1780"/>
      <c r="J22" s="1780"/>
      <c r="K22" s="1780"/>
      <c r="L22" s="1780"/>
      <c r="M22" s="1780"/>
      <c r="N22" s="1780"/>
      <c r="O22" s="1780"/>
      <c r="P22" s="1780"/>
      <c r="Q22" s="1780"/>
      <c r="R22" s="767"/>
    </row>
    <row r="23" spans="2:18" ht="55.5" customHeight="1" x14ac:dyDescent="0.3">
      <c r="B23" s="777" t="s">
        <v>424</v>
      </c>
      <c r="C23" s="1780"/>
      <c r="D23" s="1780"/>
      <c r="E23" s="1780"/>
      <c r="F23" s="1780"/>
      <c r="G23" s="1780"/>
      <c r="H23" s="1780"/>
      <c r="I23" s="1780"/>
      <c r="J23" s="1780"/>
      <c r="K23" s="1780"/>
      <c r="L23" s="1780"/>
      <c r="M23" s="1780"/>
      <c r="N23" s="1780"/>
      <c r="O23" s="1780"/>
      <c r="P23" s="1780"/>
      <c r="Q23" s="1780"/>
      <c r="R23" s="767"/>
    </row>
    <row r="25" spans="2:18" ht="18.75" customHeight="1" x14ac:dyDescent="0.3">
      <c r="B25" s="1226" t="s">
        <v>425</v>
      </c>
      <c r="C25" s="778" t="s">
        <v>406</v>
      </c>
      <c r="D25" s="1781" t="s">
        <v>421</v>
      </c>
      <c r="E25" s="1781"/>
      <c r="F25" s="1781"/>
      <c r="G25" s="1781"/>
      <c r="H25" s="1781"/>
      <c r="I25" s="1781"/>
      <c r="J25" s="1781"/>
      <c r="K25" s="1781"/>
      <c r="L25" s="1781"/>
      <c r="M25" s="1781"/>
      <c r="N25" s="1781"/>
      <c r="O25" s="1781"/>
      <c r="P25" s="1781"/>
      <c r="Q25" s="1781"/>
      <c r="R25" s="767"/>
    </row>
    <row r="26" spans="2:18" ht="18.75" customHeight="1" x14ac:dyDescent="0.3">
      <c r="B26" s="770" t="s">
        <v>9</v>
      </c>
      <c r="C26" s="800" t="str">
        <f>Default.Region</f>
        <v>Average</v>
      </c>
      <c r="D26" s="1782"/>
      <c r="E26" s="1782"/>
      <c r="F26" s="1782"/>
      <c r="G26" s="1782"/>
      <c r="H26" s="1782"/>
      <c r="I26" s="1782"/>
      <c r="J26" s="1782"/>
      <c r="K26" s="1782"/>
      <c r="L26" s="1782"/>
      <c r="M26" s="1782"/>
      <c r="N26" s="1782"/>
      <c r="O26" s="1782"/>
      <c r="P26" s="1782"/>
      <c r="Q26" s="1782"/>
      <c r="R26" s="767"/>
    </row>
    <row r="27" spans="2:18" ht="18.75" customHeight="1" x14ac:dyDescent="0.3">
      <c r="B27" s="770" t="s">
        <v>27</v>
      </c>
      <c r="C27" s="800" t="str">
        <f>Default.ReplacementType</f>
        <v>RET</v>
      </c>
      <c r="D27" s="1788" t="s">
        <v>426</v>
      </c>
      <c r="E27" s="1788"/>
      <c r="F27" s="1788"/>
      <c r="G27" s="1788"/>
      <c r="H27" s="1788"/>
      <c r="I27" s="1788"/>
      <c r="J27" s="1788"/>
      <c r="K27" s="1788"/>
      <c r="L27" s="1788"/>
      <c r="M27" s="1788"/>
      <c r="N27" s="1788"/>
      <c r="O27" s="1788"/>
      <c r="P27" s="1788"/>
      <c r="Q27" s="1788"/>
      <c r="R27" s="767"/>
    </row>
    <row r="28" spans="2:18" ht="18.75" customHeight="1" x14ac:dyDescent="0.3">
      <c r="B28" s="770" t="s">
        <v>54</v>
      </c>
      <c r="C28" s="800" t="str">
        <f>Default.BuildingType.C</f>
        <v>Other</v>
      </c>
      <c r="D28" s="1789"/>
      <c r="E28" s="1789"/>
      <c r="F28" s="1789"/>
      <c r="G28" s="1789"/>
      <c r="H28" s="1789"/>
      <c r="I28" s="1789"/>
      <c r="J28" s="1789"/>
      <c r="K28" s="1789"/>
      <c r="L28" s="1789"/>
      <c r="M28" s="1789"/>
      <c r="N28" s="1789"/>
      <c r="O28" s="1789"/>
      <c r="P28" s="1789"/>
      <c r="Q28" s="1789"/>
      <c r="R28" s="767"/>
    </row>
    <row r="29" spans="2:18" ht="18.75" customHeight="1" x14ac:dyDescent="0.3">
      <c r="B29" s="770" t="s">
        <v>33</v>
      </c>
      <c r="C29" s="800" t="str">
        <f>Default.SpaceHeatingFuel</f>
        <v>Natural gas</v>
      </c>
      <c r="D29" s="1782"/>
      <c r="E29" s="1782"/>
      <c r="F29" s="1782"/>
      <c r="G29" s="1782"/>
      <c r="H29" s="1782"/>
      <c r="I29" s="1782"/>
      <c r="J29" s="1782"/>
      <c r="K29" s="1782"/>
      <c r="L29" s="1782"/>
      <c r="M29" s="1782"/>
      <c r="N29" s="1782"/>
      <c r="O29" s="1782"/>
      <c r="P29" s="1782"/>
      <c r="Q29" s="1782"/>
      <c r="R29" s="767"/>
    </row>
    <row r="30" spans="2:18" ht="18.75" customHeight="1" x14ac:dyDescent="0.3">
      <c r="B30" s="770" t="s">
        <v>35</v>
      </c>
      <c r="C30" s="800" t="str">
        <f>Default.WaterHeatingFuel</f>
        <v>Natural gas</v>
      </c>
      <c r="D30" s="1782"/>
      <c r="E30" s="1782"/>
      <c r="F30" s="1782"/>
      <c r="G30" s="1782"/>
      <c r="H30" s="1782"/>
      <c r="I30" s="1782"/>
      <c r="J30" s="1782"/>
      <c r="K30" s="1782"/>
      <c r="L30" s="1782"/>
      <c r="M30" s="1782"/>
      <c r="N30" s="1782"/>
      <c r="O30" s="1782"/>
      <c r="P30" s="1782"/>
      <c r="Q30" s="1782"/>
      <c r="R30" s="767"/>
    </row>
    <row r="31" spans="2:18" ht="18.75" customHeight="1" x14ac:dyDescent="0.3">
      <c r="B31" s="779"/>
      <c r="C31" s="780"/>
      <c r="D31" s="780"/>
      <c r="E31" s="780"/>
      <c r="F31" s="780"/>
      <c r="G31" s="780"/>
      <c r="H31" s="780"/>
      <c r="I31" s="780"/>
      <c r="J31" s="780"/>
      <c r="K31" s="780"/>
      <c r="L31" s="780"/>
      <c r="M31" s="780"/>
      <c r="N31" s="780"/>
    </row>
    <row r="32" spans="2:18" ht="18.75" customHeight="1" x14ac:dyDescent="0.3">
      <c r="B32" s="1226" t="s">
        <v>427</v>
      </c>
      <c r="C32" s="769" t="s">
        <v>406</v>
      </c>
      <c r="D32" s="778" t="s">
        <v>428</v>
      </c>
      <c r="E32" s="1781" t="s">
        <v>419</v>
      </c>
      <c r="F32" s="1781"/>
      <c r="G32" s="1781"/>
      <c r="H32" s="1781"/>
      <c r="I32" s="1781"/>
      <c r="J32" s="1781"/>
      <c r="K32" s="1781"/>
      <c r="L32" s="1781"/>
      <c r="M32" s="1781"/>
      <c r="N32" s="1781"/>
      <c r="O32" s="1781"/>
      <c r="P32" s="1781"/>
      <c r="Q32" s="1781"/>
    </row>
    <row r="33" spans="2:18" ht="18.75" customHeight="1" x14ac:dyDescent="0.3">
      <c r="B33" s="770" t="s">
        <v>429</v>
      </c>
      <c r="C33" s="542"/>
      <c r="D33" s="799" t="s">
        <v>430</v>
      </c>
      <c r="E33" s="1475"/>
      <c r="F33" s="1476"/>
      <c r="G33" s="1476"/>
      <c r="H33" s="1476"/>
      <c r="I33" s="1476"/>
      <c r="J33" s="1476"/>
      <c r="K33" s="1476"/>
      <c r="L33" s="1476"/>
      <c r="M33" s="1476"/>
      <c r="N33" s="1476"/>
      <c r="O33" s="1476"/>
      <c r="P33" s="1476"/>
      <c r="Q33" s="1477"/>
      <c r="R33" s="767"/>
    </row>
    <row r="34" spans="2:18" ht="18.75" customHeight="1" x14ac:dyDescent="0.3">
      <c r="B34" s="771" t="s">
        <v>431</v>
      </c>
      <c r="C34" s="542"/>
      <c r="D34" s="799" t="s">
        <v>430</v>
      </c>
      <c r="E34" s="1475"/>
      <c r="F34" s="1476"/>
      <c r="G34" s="1476"/>
      <c r="H34" s="1476"/>
      <c r="I34" s="1476"/>
      <c r="J34" s="1476"/>
      <c r="K34" s="1476"/>
      <c r="L34" s="1476"/>
      <c r="M34" s="1476"/>
      <c r="N34" s="1476"/>
      <c r="O34" s="1476"/>
      <c r="P34" s="1476"/>
      <c r="Q34" s="1477"/>
    </row>
    <row r="35" spans="2:18" ht="18.75" customHeight="1" x14ac:dyDescent="0.3">
      <c r="B35" s="770" t="s">
        <v>432</v>
      </c>
      <c r="C35" s="542"/>
      <c r="D35" s="799" t="s">
        <v>430</v>
      </c>
      <c r="E35" s="1475"/>
      <c r="F35" s="1476"/>
      <c r="G35" s="1476"/>
      <c r="H35" s="1476"/>
      <c r="I35" s="1476"/>
      <c r="J35" s="1476"/>
      <c r="K35" s="1476"/>
      <c r="L35" s="1476"/>
      <c r="M35" s="1476"/>
      <c r="N35" s="1476"/>
      <c r="O35" s="1476"/>
      <c r="P35" s="1476"/>
      <c r="Q35" s="1477"/>
    </row>
    <row r="36" spans="2:18" ht="18.75" customHeight="1" x14ac:dyDescent="0.3">
      <c r="B36" s="771" t="s">
        <v>433</v>
      </c>
      <c r="C36" s="905"/>
      <c r="D36" s="799" t="s">
        <v>430</v>
      </c>
      <c r="E36" s="1787"/>
      <c r="F36" s="1787"/>
      <c r="G36" s="1787"/>
      <c r="H36" s="1787"/>
      <c r="I36" s="1787"/>
      <c r="J36" s="1787"/>
      <c r="K36" s="1787"/>
      <c r="L36" s="1787"/>
      <c r="M36" s="1787"/>
      <c r="N36" s="1787"/>
      <c r="O36" s="1787"/>
      <c r="P36" s="1787"/>
      <c r="Q36" s="1787"/>
    </row>
    <row r="37" spans="2:18" ht="18.75" customHeight="1" x14ac:dyDescent="0.3">
      <c r="B37" s="771" t="s">
        <v>434</v>
      </c>
      <c r="C37" s="905">
        <f>IF(C27="RET",C33+(C34-C35),C34-C35)</f>
        <v>0</v>
      </c>
      <c r="D37" s="799" t="s">
        <v>430</v>
      </c>
      <c r="E37" s="1475"/>
      <c r="F37" s="1476"/>
      <c r="G37" s="1476"/>
      <c r="H37" s="1476"/>
      <c r="I37" s="1476"/>
      <c r="J37" s="1476"/>
      <c r="K37" s="1476"/>
      <c r="L37" s="1476"/>
      <c r="M37" s="1476"/>
      <c r="N37" s="1476"/>
      <c r="O37" s="1476"/>
      <c r="P37" s="1476"/>
      <c r="Q37" s="1477"/>
    </row>
    <row r="38" spans="2:18" ht="18.75" customHeight="1" x14ac:dyDescent="0.3">
      <c r="B38" s="779"/>
      <c r="C38" s="780"/>
      <c r="D38" s="781"/>
      <c r="E38" s="780"/>
      <c r="F38" s="780"/>
      <c r="G38" s="780"/>
      <c r="H38" s="780"/>
      <c r="I38" s="780"/>
      <c r="J38" s="780"/>
      <c r="K38" s="780"/>
      <c r="L38" s="780"/>
      <c r="M38" s="780"/>
      <c r="N38" s="780"/>
    </row>
    <row r="39" spans="2:18" ht="18.75" customHeight="1" x14ac:dyDescent="0.3">
      <c r="B39" s="782" t="s">
        <v>435</v>
      </c>
      <c r="C39" s="783"/>
      <c r="D39" s="783"/>
      <c r="E39" s="783"/>
      <c r="F39" s="783"/>
      <c r="G39" s="783"/>
      <c r="H39" s="784"/>
      <c r="I39" s="784"/>
      <c r="J39" s="784"/>
      <c r="K39" s="784"/>
      <c r="L39" s="784"/>
      <c r="M39" s="784"/>
      <c r="N39" s="784"/>
      <c r="O39" s="784"/>
      <c r="P39" s="784"/>
      <c r="Q39" s="785"/>
    </row>
    <row r="41" spans="2:18" ht="18.75" customHeight="1" x14ac:dyDescent="0.3">
      <c r="B41" s="786" t="s">
        <v>436</v>
      </c>
      <c r="C41" s="1731" t="s">
        <v>437</v>
      </c>
      <c r="D41" s="1732"/>
      <c r="E41" s="1732"/>
      <c r="F41" s="1732"/>
      <c r="G41" s="1732"/>
      <c r="H41" s="1732"/>
      <c r="I41" s="1732"/>
      <c r="J41" s="1732"/>
      <c r="K41" s="1732"/>
      <c r="L41" s="1732"/>
      <c r="M41" s="1733"/>
      <c r="N41" s="1223" t="s">
        <v>406</v>
      </c>
      <c r="O41" s="1223" t="s">
        <v>428</v>
      </c>
      <c r="P41" s="1734" t="s">
        <v>419</v>
      </c>
      <c r="Q41" s="1734"/>
    </row>
    <row r="42" spans="2:18" ht="18.75" customHeight="1" x14ac:dyDescent="0.3">
      <c r="B42" s="792" t="s">
        <v>438</v>
      </c>
      <c r="C42" s="1775" t="s">
        <v>439</v>
      </c>
      <c r="D42" s="1776"/>
      <c r="E42" s="1776"/>
      <c r="F42" s="1776"/>
      <c r="G42" s="1776"/>
      <c r="H42" s="1776"/>
      <c r="I42" s="1776"/>
      <c r="J42" s="1776"/>
      <c r="K42" s="1776"/>
      <c r="L42" s="1776"/>
      <c r="M42" s="1777"/>
      <c r="N42" s="797">
        <f>N48+N54</f>
        <v>0</v>
      </c>
      <c r="O42" s="787" t="s">
        <v>440</v>
      </c>
      <c r="P42" s="1729"/>
      <c r="Q42" s="1729"/>
      <c r="R42" s="767"/>
    </row>
    <row r="43" spans="2:18" ht="18.75" customHeight="1" x14ac:dyDescent="0.3">
      <c r="B43" s="792" t="s">
        <v>441</v>
      </c>
      <c r="C43" s="1775" t="s">
        <v>442</v>
      </c>
      <c r="D43" s="1776"/>
      <c r="E43" s="1776"/>
      <c r="F43" s="1776"/>
      <c r="G43" s="1776"/>
      <c r="H43" s="1776"/>
      <c r="I43" s="1776"/>
      <c r="J43" s="1776"/>
      <c r="K43" s="1776"/>
      <c r="L43" s="1776"/>
      <c r="M43" s="1777"/>
      <c r="N43" s="798">
        <f>N49+N55</f>
        <v>0</v>
      </c>
      <c r="O43" s="787" t="s">
        <v>443</v>
      </c>
      <c r="P43" s="1729"/>
      <c r="Q43" s="1729"/>
      <c r="R43" s="767"/>
    </row>
    <row r="44" spans="2:18" ht="18.75" customHeight="1" x14ac:dyDescent="0.3">
      <c r="B44" s="792" t="s">
        <v>444</v>
      </c>
      <c r="C44" s="1775" t="s">
        <v>445</v>
      </c>
      <c r="D44" s="1776"/>
      <c r="E44" s="1776"/>
      <c r="F44" s="1776"/>
      <c r="G44" s="1776"/>
      <c r="H44" s="1776"/>
      <c r="I44" s="1776"/>
      <c r="J44" s="1776"/>
      <c r="K44" s="1776"/>
      <c r="L44" s="1776"/>
      <c r="M44" s="1777"/>
      <c r="N44" s="797">
        <f>N50+N56</f>
        <v>0.26584114394278574</v>
      </c>
      <c r="O44" s="787" t="s">
        <v>446</v>
      </c>
      <c r="P44" s="1729"/>
      <c r="Q44" s="1729"/>
      <c r="R44" s="767"/>
    </row>
    <row r="45" spans="2:18" ht="18.75" customHeight="1" x14ac:dyDescent="0.3">
      <c r="B45" s="792" t="s">
        <v>447</v>
      </c>
      <c r="C45" s="1775" t="s">
        <v>448</v>
      </c>
      <c r="D45" s="1776"/>
      <c r="E45" s="1776"/>
      <c r="F45" s="1776"/>
      <c r="G45" s="1776"/>
      <c r="H45" s="1776"/>
      <c r="I45" s="1776"/>
      <c r="J45" s="1776"/>
      <c r="K45" s="1776"/>
      <c r="L45" s="1776"/>
      <c r="M45" s="1777"/>
      <c r="N45" s="797">
        <f>N51+N57</f>
        <v>0</v>
      </c>
      <c r="O45" s="787" t="s">
        <v>449</v>
      </c>
      <c r="P45" s="1729"/>
      <c r="Q45" s="1729"/>
      <c r="R45" s="767"/>
    </row>
    <row r="46" spans="2:18" ht="18.75" customHeight="1" x14ac:dyDescent="0.3">
      <c r="B46" s="793"/>
      <c r="C46" s="780"/>
      <c r="D46" s="780"/>
      <c r="E46" s="780"/>
      <c r="F46" s="780"/>
      <c r="G46" s="780"/>
      <c r="H46" s="780"/>
      <c r="I46" s="780"/>
      <c r="J46" s="780"/>
      <c r="K46" s="780"/>
      <c r="L46" s="780"/>
      <c r="M46" s="780"/>
      <c r="Q46" s="768"/>
      <c r="R46" s="767"/>
    </row>
    <row r="47" spans="2:18" ht="18.75" customHeight="1" x14ac:dyDescent="0.3">
      <c r="B47" s="786" t="s">
        <v>450</v>
      </c>
      <c r="C47" s="1731" t="s">
        <v>451</v>
      </c>
      <c r="D47" s="1732"/>
      <c r="E47" s="1732"/>
      <c r="F47" s="1732"/>
      <c r="G47" s="1732"/>
      <c r="H47" s="1732"/>
      <c r="I47" s="1732"/>
      <c r="J47" s="1732"/>
      <c r="K47" s="1732"/>
      <c r="L47" s="1732"/>
      <c r="M47" s="1733"/>
      <c r="N47" s="1223" t="s">
        <v>406</v>
      </c>
      <c r="O47" s="1223" t="s">
        <v>428</v>
      </c>
      <c r="P47" s="1734" t="s">
        <v>419</v>
      </c>
      <c r="Q47" s="1734"/>
      <c r="R47" s="767"/>
    </row>
    <row r="48" spans="2:18" ht="18.75" customHeight="1" x14ac:dyDescent="0.3">
      <c r="B48" s="792" t="s">
        <v>452</v>
      </c>
      <c r="C48" s="1726" t="s">
        <v>453</v>
      </c>
      <c r="D48" s="1727"/>
      <c r="E48" s="1727"/>
      <c r="F48" s="1727"/>
      <c r="G48" s="1727"/>
      <c r="H48" s="1727"/>
      <c r="I48" s="1727"/>
      <c r="J48" s="1727"/>
      <c r="K48" s="1727"/>
      <c r="L48" s="1727"/>
      <c r="M48" s="1728"/>
      <c r="N48" s="805"/>
      <c r="O48" s="787" t="s">
        <v>440</v>
      </c>
      <c r="P48" s="1729"/>
      <c r="Q48" s="1729"/>
      <c r="R48" s="767"/>
    </row>
    <row r="49" spans="2:18" ht="18.75" customHeight="1" x14ac:dyDescent="0.3">
      <c r="B49" s="792" t="s">
        <v>454</v>
      </c>
      <c r="C49" s="1726" t="s">
        <v>817</v>
      </c>
      <c r="D49" s="1727"/>
      <c r="E49" s="1727"/>
      <c r="F49" s="1727"/>
      <c r="G49" s="1727"/>
      <c r="H49" s="1727"/>
      <c r="I49" s="1727"/>
      <c r="J49" s="1727"/>
      <c r="K49" s="1727"/>
      <c r="L49" s="1727"/>
      <c r="M49" s="1728"/>
      <c r="N49" s="806"/>
      <c r="O49" s="787" t="s">
        <v>443</v>
      </c>
      <c r="P49" s="1863"/>
      <c r="Q49" s="1864"/>
      <c r="R49" s="767"/>
    </row>
    <row r="50" spans="2:18" ht="18.75" customHeight="1" x14ac:dyDescent="0.3">
      <c r="B50" s="792" t="s">
        <v>456</v>
      </c>
      <c r="C50" s="1726" t="s">
        <v>1207</v>
      </c>
      <c r="D50" s="1727"/>
      <c r="E50" s="1727"/>
      <c r="F50" s="1727"/>
      <c r="G50" s="1727"/>
      <c r="H50" s="1727"/>
      <c r="I50" s="1727"/>
      <c r="J50" s="1727"/>
      <c r="K50" s="1727"/>
      <c r="L50" s="1727"/>
      <c r="M50" s="1728"/>
      <c r="N50" s="806">
        <f>H62*H63*H64*H66*(1/H65-1/H66)*GJ_per_BTU</f>
        <v>0.26584114394278574</v>
      </c>
      <c r="O50" s="787" t="s">
        <v>446</v>
      </c>
      <c r="P50" s="1729" t="s">
        <v>1208</v>
      </c>
      <c r="Q50" s="1729"/>
      <c r="R50" s="767"/>
    </row>
    <row r="51" spans="2:18" ht="18.75" customHeight="1" x14ac:dyDescent="0.3">
      <c r="B51" s="792" t="s">
        <v>458</v>
      </c>
      <c r="C51" s="1726" t="s">
        <v>459</v>
      </c>
      <c r="D51" s="1727"/>
      <c r="E51" s="1727"/>
      <c r="F51" s="1727"/>
      <c r="G51" s="1727"/>
      <c r="H51" s="1727"/>
      <c r="I51" s="1727"/>
      <c r="J51" s="1727"/>
      <c r="K51" s="1727"/>
      <c r="L51" s="1727"/>
      <c r="M51" s="1728"/>
      <c r="N51" s="806"/>
      <c r="O51" s="787" t="s">
        <v>449</v>
      </c>
      <c r="P51" s="1729"/>
      <c r="Q51" s="1729"/>
      <c r="R51" s="767"/>
    </row>
    <row r="52" spans="2:18" ht="18.75" customHeight="1" x14ac:dyDescent="0.3">
      <c r="B52" s="793"/>
      <c r="C52" s="780"/>
      <c r="D52" s="780"/>
      <c r="E52" s="780"/>
      <c r="F52" s="780"/>
      <c r="G52" s="780"/>
      <c r="H52" s="780"/>
      <c r="I52" s="780"/>
      <c r="J52" s="780"/>
      <c r="K52" s="780"/>
      <c r="L52" s="780"/>
      <c r="M52" s="780"/>
      <c r="Q52" s="768"/>
      <c r="R52" s="767"/>
    </row>
    <row r="53" spans="2:18" ht="18.75" customHeight="1" x14ac:dyDescent="0.3">
      <c r="B53" s="786" t="s">
        <v>460</v>
      </c>
      <c r="C53" s="1731" t="s">
        <v>461</v>
      </c>
      <c r="D53" s="1732"/>
      <c r="E53" s="1732"/>
      <c r="F53" s="1732"/>
      <c r="G53" s="1732"/>
      <c r="H53" s="1732"/>
      <c r="I53" s="1732"/>
      <c r="J53" s="1732"/>
      <c r="K53" s="1732"/>
      <c r="L53" s="1732"/>
      <c r="M53" s="1733"/>
      <c r="N53" s="1223" t="s">
        <v>406</v>
      </c>
      <c r="O53" s="1223" t="s">
        <v>428</v>
      </c>
      <c r="P53" s="1734" t="s">
        <v>419</v>
      </c>
      <c r="Q53" s="1734"/>
      <c r="R53" s="767"/>
    </row>
    <row r="54" spans="2:18" ht="18.75" customHeight="1" x14ac:dyDescent="0.3">
      <c r="B54" s="792" t="s">
        <v>462</v>
      </c>
      <c r="C54" s="1726" t="s">
        <v>463</v>
      </c>
      <c r="D54" s="1727"/>
      <c r="E54" s="1727"/>
      <c r="F54" s="1727"/>
      <c r="G54" s="1727"/>
      <c r="H54" s="1727"/>
      <c r="I54" s="1727"/>
      <c r="J54" s="1727"/>
      <c r="K54" s="1727"/>
      <c r="L54" s="1727"/>
      <c r="M54" s="1728"/>
      <c r="N54" s="805"/>
      <c r="O54" s="787" t="s">
        <v>440</v>
      </c>
      <c r="P54" s="1729"/>
      <c r="Q54" s="1729"/>
      <c r="R54" s="767"/>
    </row>
    <row r="55" spans="2:18" ht="18.75" customHeight="1" x14ac:dyDescent="0.3">
      <c r="B55" s="792" t="s">
        <v>464</v>
      </c>
      <c r="C55" s="1726" t="s">
        <v>465</v>
      </c>
      <c r="D55" s="1727"/>
      <c r="E55" s="1727"/>
      <c r="F55" s="1727"/>
      <c r="G55" s="1727"/>
      <c r="H55" s="1727"/>
      <c r="I55" s="1727"/>
      <c r="J55" s="1727"/>
      <c r="K55" s="1727"/>
      <c r="L55" s="1727"/>
      <c r="M55" s="1728"/>
      <c r="N55" s="807"/>
      <c r="O55" s="787" t="s">
        <v>443</v>
      </c>
      <c r="P55" s="1729"/>
      <c r="Q55" s="1729"/>
      <c r="R55" s="767"/>
    </row>
    <row r="56" spans="2:18" ht="18.75" customHeight="1" x14ac:dyDescent="0.3">
      <c r="B56" s="792" t="s">
        <v>466</v>
      </c>
      <c r="C56" s="1726" t="s">
        <v>516</v>
      </c>
      <c r="D56" s="1727"/>
      <c r="E56" s="1727"/>
      <c r="F56" s="1727"/>
      <c r="G56" s="1727"/>
      <c r="H56" s="1727"/>
      <c r="I56" s="1727"/>
      <c r="J56" s="1727"/>
      <c r="K56" s="1727"/>
      <c r="L56" s="1727"/>
      <c r="M56" s="1728"/>
      <c r="N56" s="808"/>
      <c r="O56" s="787" t="s">
        <v>446</v>
      </c>
      <c r="P56" s="1729"/>
      <c r="Q56" s="1729"/>
      <c r="R56" s="767"/>
    </row>
    <row r="57" spans="2:18" ht="18.75" customHeight="1" x14ac:dyDescent="0.3">
      <c r="B57" s="792" t="s">
        <v>468</v>
      </c>
      <c r="C57" s="1726" t="s">
        <v>469</v>
      </c>
      <c r="D57" s="1727"/>
      <c r="E57" s="1727"/>
      <c r="F57" s="1727"/>
      <c r="G57" s="1727"/>
      <c r="H57" s="1727"/>
      <c r="I57" s="1727"/>
      <c r="J57" s="1727"/>
      <c r="K57" s="1727"/>
      <c r="L57" s="1727"/>
      <c r="M57" s="1728"/>
      <c r="N57" s="809"/>
      <c r="O57" s="787" t="s">
        <v>449</v>
      </c>
      <c r="P57" s="1729"/>
      <c r="Q57" s="1729"/>
      <c r="R57" s="767"/>
    </row>
    <row r="58" spans="2:18" ht="18.75" customHeight="1" x14ac:dyDescent="0.3">
      <c r="B58" s="788"/>
      <c r="C58" s="779"/>
      <c r="D58" s="780"/>
      <c r="E58" s="780"/>
      <c r="F58" s="780"/>
      <c r="G58" s="780"/>
      <c r="H58" s="780"/>
      <c r="I58" s="780"/>
      <c r="J58" s="780"/>
      <c r="K58" s="780"/>
      <c r="L58" s="780"/>
      <c r="M58" s="780"/>
      <c r="N58" s="780"/>
      <c r="O58" s="780"/>
    </row>
    <row r="59" spans="2:18" ht="18.75" customHeight="1" x14ac:dyDescent="0.3">
      <c r="B59" s="782" t="s">
        <v>470</v>
      </c>
      <c r="C59" s="783"/>
      <c r="D59" s="783"/>
      <c r="E59" s="783"/>
      <c r="F59" s="783"/>
      <c r="G59" s="783"/>
      <c r="H59" s="784"/>
      <c r="I59" s="784"/>
      <c r="J59" s="784"/>
      <c r="K59" s="784"/>
      <c r="L59" s="784"/>
      <c r="M59" s="784"/>
      <c r="N59" s="784"/>
      <c r="O59" s="784"/>
      <c r="P59" s="784"/>
      <c r="Q59" s="785"/>
    </row>
    <row r="61" spans="2:18" ht="18.75" customHeight="1" x14ac:dyDescent="0.3">
      <c r="B61" s="786" t="s">
        <v>471</v>
      </c>
      <c r="C61" s="786" t="s">
        <v>472</v>
      </c>
      <c r="D61" s="1785" t="s">
        <v>473</v>
      </c>
      <c r="E61" s="1785"/>
      <c r="F61" s="786" t="s">
        <v>474</v>
      </c>
      <c r="G61" s="786" t="s">
        <v>765</v>
      </c>
      <c r="H61" s="786" t="s">
        <v>406</v>
      </c>
      <c r="I61" s="786" t="s">
        <v>428</v>
      </c>
      <c r="J61" s="1741" t="s">
        <v>476</v>
      </c>
      <c r="K61" s="1742"/>
      <c r="L61" s="1742"/>
      <c r="M61" s="1742"/>
      <c r="N61" s="1742"/>
      <c r="O61" s="1742"/>
      <c r="P61" s="1742"/>
      <c r="Q61" s="1743"/>
    </row>
    <row r="62" spans="2:18" ht="27" customHeight="1" x14ac:dyDescent="0.3">
      <c r="B62" s="795">
        <v>1</v>
      </c>
      <c r="C62" s="813" t="s">
        <v>534</v>
      </c>
      <c r="D62" s="1869" t="s">
        <v>1186</v>
      </c>
      <c r="E62" s="1869"/>
      <c r="F62" s="814"/>
      <c r="G62" s="814"/>
      <c r="H62" s="928">
        <v>1000</v>
      </c>
      <c r="I62" s="814" t="s">
        <v>536</v>
      </c>
      <c r="J62" s="1482" t="s">
        <v>537</v>
      </c>
      <c r="K62" s="1544"/>
      <c r="L62" s="1544"/>
      <c r="M62" s="1544"/>
      <c r="N62" s="1544"/>
      <c r="O62" s="1544"/>
      <c r="P62" s="1544"/>
      <c r="Q62" s="1545"/>
      <c r="R62" s="767"/>
    </row>
    <row r="63" spans="2:18" ht="50.25" customHeight="1" x14ac:dyDescent="0.3">
      <c r="B63" s="794">
        <v>2</v>
      </c>
      <c r="C63" s="810" t="s">
        <v>1209</v>
      </c>
      <c r="D63" s="1744" t="s">
        <v>1210</v>
      </c>
      <c r="E63" s="1744"/>
      <c r="F63" s="811"/>
      <c r="G63" s="811"/>
      <c r="H63" s="554">
        <v>0.77</v>
      </c>
      <c r="I63" s="811" t="s">
        <v>519</v>
      </c>
      <c r="J63" s="1735" t="s">
        <v>1211</v>
      </c>
      <c r="K63" s="1736"/>
      <c r="L63" s="1736"/>
      <c r="M63" s="1736"/>
      <c r="N63" s="1736"/>
      <c r="O63" s="1736"/>
      <c r="P63" s="1736"/>
      <c r="Q63" s="1737"/>
      <c r="R63" s="767"/>
    </row>
    <row r="64" spans="2:18" ht="15" customHeight="1" x14ac:dyDescent="0.3">
      <c r="B64" s="794">
        <v>3</v>
      </c>
      <c r="C64" s="810" t="s">
        <v>530</v>
      </c>
      <c r="D64" s="1744" t="s">
        <v>1187</v>
      </c>
      <c r="E64" s="1744"/>
      <c r="F64" s="811" t="str">
        <f>$C$28</f>
        <v>Other</v>
      </c>
      <c r="G64" s="924" t="str">
        <f>$C$26</f>
        <v>Average</v>
      </c>
      <c r="H64" s="929">
        <f>INDEX(EFLH[#All],MATCH(F64,EFLH[[#All],[EFLH]],0),MATCH(G64,EFLH[#Headers],0))</f>
        <v>2617.8472419520012</v>
      </c>
      <c r="I64" s="811" t="s">
        <v>532</v>
      </c>
      <c r="J64" s="1462" t="s">
        <v>533</v>
      </c>
      <c r="K64" s="1470"/>
      <c r="L64" s="1470"/>
      <c r="M64" s="1470"/>
      <c r="N64" s="1470"/>
      <c r="O64" s="1470"/>
      <c r="P64" s="1470"/>
      <c r="Q64" s="1471"/>
      <c r="R64" s="767"/>
    </row>
    <row r="65" spans="2:18" ht="31.5" customHeight="1" x14ac:dyDescent="0.3">
      <c r="B65" s="796">
        <v>4</v>
      </c>
      <c r="C65" s="816" t="s">
        <v>828</v>
      </c>
      <c r="D65" s="1730" t="s">
        <v>1212</v>
      </c>
      <c r="E65" s="1730"/>
      <c r="F65" s="817"/>
      <c r="G65" s="817"/>
      <c r="H65" s="548">
        <v>0.8</v>
      </c>
      <c r="I65" s="817" t="s">
        <v>519</v>
      </c>
      <c r="J65" s="1738" t="s">
        <v>1213</v>
      </c>
      <c r="K65" s="1739"/>
      <c r="L65" s="1739"/>
      <c r="M65" s="1739"/>
      <c r="N65" s="1739"/>
      <c r="O65" s="1739"/>
      <c r="P65" s="1739"/>
      <c r="Q65" s="1740"/>
      <c r="R65" s="767"/>
    </row>
    <row r="66" spans="2:18" ht="13" x14ac:dyDescent="0.3">
      <c r="B66" s="796">
        <v>5</v>
      </c>
      <c r="C66" s="816" t="s">
        <v>831</v>
      </c>
      <c r="D66" s="1730" t="s">
        <v>1214</v>
      </c>
      <c r="E66" s="1730"/>
      <c r="F66" s="817"/>
      <c r="G66" s="817"/>
      <c r="H66" s="548">
        <v>0.9</v>
      </c>
      <c r="I66" s="817" t="s">
        <v>519</v>
      </c>
      <c r="J66" s="1738" t="s">
        <v>1215</v>
      </c>
      <c r="K66" s="1739"/>
      <c r="L66" s="1739"/>
      <c r="M66" s="1739"/>
      <c r="N66" s="1739"/>
      <c r="O66" s="1739"/>
      <c r="P66" s="1739"/>
      <c r="Q66" s="1740"/>
      <c r="R66" s="767"/>
    </row>
    <row r="67" spans="2:18" ht="13" x14ac:dyDescent="0.3">
      <c r="B67" s="794">
        <v>6</v>
      </c>
      <c r="C67" s="810"/>
      <c r="D67" s="1744"/>
      <c r="E67" s="1744"/>
      <c r="F67" s="811"/>
      <c r="G67" s="811"/>
      <c r="H67" s="929"/>
      <c r="I67" s="811"/>
      <c r="J67" s="1735"/>
      <c r="K67" s="1736"/>
      <c r="L67" s="1736"/>
      <c r="M67" s="1736"/>
      <c r="N67" s="1736"/>
      <c r="O67" s="1736"/>
      <c r="P67" s="1736"/>
      <c r="Q67" s="1737"/>
      <c r="R67" s="767"/>
    </row>
    <row r="68" spans="2:18" ht="13" x14ac:dyDescent="0.3">
      <c r="B68" s="794">
        <v>7</v>
      </c>
      <c r="C68" s="810"/>
      <c r="D68" s="1744"/>
      <c r="E68" s="1744"/>
      <c r="F68" s="811"/>
      <c r="G68" s="811"/>
      <c r="H68" s="820"/>
      <c r="I68" s="811"/>
      <c r="J68" s="1759"/>
      <c r="K68" s="1760"/>
      <c r="L68" s="1760"/>
      <c r="M68" s="1760"/>
      <c r="N68" s="1760"/>
      <c r="O68" s="1760"/>
      <c r="P68" s="1760"/>
      <c r="Q68" s="1761"/>
      <c r="R68" s="767"/>
    </row>
    <row r="69" spans="2:18" ht="13" x14ac:dyDescent="0.3">
      <c r="B69" s="794">
        <v>8</v>
      </c>
      <c r="C69" s="810"/>
      <c r="D69" s="1744"/>
      <c r="E69" s="1744"/>
      <c r="F69" s="811"/>
      <c r="G69" s="811"/>
      <c r="H69" s="827"/>
      <c r="I69" s="811"/>
      <c r="J69" s="1759"/>
      <c r="K69" s="1760"/>
      <c r="L69" s="1760"/>
      <c r="M69" s="1760"/>
      <c r="N69" s="1760"/>
      <c r="O69" s="1760"/>
      <c r="P69" s="1760"/>
      <c r="Q69" s="1761"/>
      <c r="R69" s="767"/>
    </row>
    <row r="70" spans="2:18" ht="13" x14ac:dyDescent="0.3">
      <c r="B70" s="794">
        <v>9</v>
      </c>
      <c r="C70" s="810"/>
      <c r="D70" s="1744"/>
      <c r="E70" s="1744"/>
      <c r="F70" s="811"/>
      <c r="G70" s="811"/>
      <c r="H70" s="827"/>
      <c r="I70" s="811"/>
      <c r="J70" s="1759"/>
      <c r="K70" s="1760"/>
      <c r="L70" s="1760"/>
      <c r="M70" s="1760"/>
      <c r="N70" s="1760"/>
      <c r="O70" s="1760"/>
      <c r="P70" s="1760"/>
      <c r="Q70" s="1761"/>
      <c r="R70" s="767"/>
    </row>
    <row r="71" spans="2:18" ht="13" x14ac:dyDescent="0.3">
      <c r="B71" s="794">
        <v>10</v>
      </c>
      <c r="C71" s="810"/>
      <c r="D71" s="1744"/>
      <c r="E71" s="1744"/>
      <c r="F71" s="811"/>
      <c r="G71" s="811"/>
      <c r="H71" s="829"/>
      <c r="I71" s="811"/>
      <c r="J71" s="1759"/>
      <c r="K71" s="1760"/>
      <c r="L71" s="1760"/>
      <c r="M71" s="1760"/>
      <c r="N71" s="1760"/>
      <c r="O71" s="1760"/>
      <c r="P71" s="1760"/>
      <c r="Q71" s="1761"/>
      <c r="R71" s="767"/>
    </row>
    <row r="72" spans="2:18" s="491" customFormat="1" ht="13" x14ac:dyDescent="0.3">
      <c r="B72" s="536">
        <v>11</v>
      </c>
      <c r="C72" s="555"/>
      <c r="D72" s="1437"/>
      <c r="E72" s="1438"/>
      <c r="F72" s="556"/>
      <c r="G72" s="557"/>
      <c r="H72" s="556"/>
      <c r="I72" s="557"/>
      <c r="J72" s="1437"/>
      <c r="K72" s="1448"/>
      <c r="L72" s="1448"/>
      <c r="M72" s="1448"/>
      <c r="N72" s="1448"/>
      <c r="O72" s="1448"/>
      <c r="P72" s="1448"/>
      <c r="Q72" s="1438"/>
    </row>
    <row r="73" spans="2:18" s="491" customFormat="1" ht="13" x14ac:dyDescent="0.3">
      <c r="B73" s="536">
        <v>12</v>
      </c>
      <c r="C73" s="555"/>
      <c r="D73" s="1437"/>
      <c r="E73" s="1438"/>
      <c r="F73" s="556"/>
      <c r="G73" s="557"/>
      <c r="H73" s="558"/>
      <c r="I73" s="557"/>
      <c r="J73" s="1472"/>
      <c r="K73" s="1473"/>
      <c r="L73" s="1473"/>
      <c r="M73" s="1473"/>
      <c r="N73" s="1473"/>
      <c r="O73" s="1473"/>
      <c r="P73" s="1473"/>
      <c r="Q73" s="1474"/>
    </row>
    <row r="74" spans="2:18" s="491" customFormat="1" ht="13" x14ac:dyDescent="0.3">
      <c r="B74" s="536">
        <v>13</v>
      </c>
      <c r="C74" s="555"/>
      <c r="D74" s="1437"/>
      <c r="E74" s="1438"/>
      <c r="F74" s="556"/>
      <c r="G74" s="557"/>
      <c r="H74" s="556"/>
      <c r="I74" s="557"/>
      <c r="J74" s="1472"/>
      <c r="K74" s="1473"/>
      <c r="L74" s="1473"/>
      <c r="M74" s="1473"/>
      <c r="N74" s="1473"/>
      <c r="O74" s="1473"/>
      <c r="P74" s="1473"/>
      <c r="Q74" s="1474"/>
    </row>
    <row r="75" spans="2:18" s="489" customFormat="1" ht="13.15" customHeight="1" x14ac:dyDescent="0.3">
      <c r="B75" s="536">
        <v>14</v>
      </c>
      <c r="C75" s="555"/>
      <c r="D75" s="1437"/>
      <c r="E75" s="1438"/>
      <c r="F75" s="556"/>
      <c r="G75" s="557"/>
      <c r="H75" s="556"/>
      <c r="I75" s="557"/>
      <c r="J75" s="1472"/>
      <c r="K75" s="1473"/>
      <c r="L75" s="1473"/>
      <c r="M75" s="1473"/>
      <c r="N75" s="1473"/>
      <c r="O75" s="1473"/>
      <c r="P75" s="1473"/>
      <c r="Q75" s="1474"/>
    </row>
    <row r="76" spans="2:18" s="489" customFormat="1" ht="13" x14ac:dyDescent="0.3">
      <c r="B76" s="536">
        <v>15</v>
      </c>
      <c r="C76" s="555"/>
      <c r="D76" s="1437"/>
      <c r="E76" s="1438"/>
      <c r="F76" s="556"/>
      <c r="G76" s="557"/>
      <c r="H76" s="559"/>
      <c r="I76" s="557"/>
      <c r="J76" s="1472"/>
      <c r="K76" s="1473"/>
      <c r="L76" s="1473"/>
      <c r="M76" s="1473"/>
      <c r="N76" s="1473"/>
      <c r="O76" s="1473"/>
      <c r="P76" s="1473"/>
      <c r="Q76" s="1474"/>
    </row>
    <row r="77" spans="2:18" ht="18.75" customHeight="1" x14ac:dyDescent="0.3">
      <c r="R77" s="767"/>
    </row>
    <row r="78" spans="2:18" ht="18.75" customHeight="1" x14ac:dyDescent="0.3">
      <c r="B78" s="782" t="s">
        <v>1030</v>
      </c>
      <c r="C78" s="783"/>
      <c r="D78" s="783"/>
      <c r="E78" s="783"/>
      <c r="F78" s="783"/>
      <c r="G78" s="783"/>
      <c r="H78" s="784"/>
      <c r="I78" s="784"/>
      <c r="J78" s="784"/>
      <c r="K78" s="784"/>
      <c r="L78" s="784"/>
      <c r="M78" s="784"/>
      <c r="N78" s="784"/>
      <c r="O78" s="784"/>
      <c r="P78" s="784"/>
      <c r="Q78" s="785"/>
      <c r="R78" s="767"/>
    </row>
    <row r="79" spans="2:18" ht="18.75" customHeight="1" x14ac:dyDescent="0.3">
      <c r="R79" s="767"/>
    </row>
    <row r="80" spans="2:18" ht="18.75" customHeight="1" x14ac:dyDescent="0.3">
      <c r="B80" s="786" t="s">
        <v>478</v>
      </c>
      <c r="C80" s="786" t="s">
        <v>1031</v>
      </c>
      <c r="D80" s="1222" t="s">
        <v>1032</v>
      </c>
      <c r="E80" s="1796" t="s">
        <v>476</v>
      </c>
      <c r="F80" s="1796"/>
      <c r="G80" s="1796"/>
      <c r="H80" s="1796"/>
      <c r="I80" s="1796"/>
      <c r="J80" s="1796"/>
      <c r="K80" s="1796"/>
      <c r="L80" s="1796"/>
      <c r="M80" s="1796"/>
      <c r="N80" s="1796"/>
      <c r="O80" s="1796"/>
      <c r="P80" s="1796"/>
      <c r="Q80" s="1796"/>
      <c r="R80" s="767"/>
    </row>
    <row r="81" spans="2:18" ht="13" x14ac:dyDescent="0.3">
      <c r="B81" s="794">
        <v>1</v>
      </c>
      <c r="C81" s="837" t="s">
        <v>1033</v>
      </c>
      <c r="D81" s="838">
        <v>1000</v>
      </c>
      <c r="E81" s="1795"/>
      <c r="F81" s="1795"/>
      <c r="G81" s="1795"/>
      <c r="H81" s="1795"/>
      <c r="I81" s="1795"/>
      <c r="J81" s="1795"/>
      <c r="K81" s="1795"/>
      <c r="L81" s="1795"/>
      <c r="M81" s="1795"/>
      <c r="N81" s="1795"/>
      <c r="O81" s="1795"/>
      <c r="P81" s="1795"/>
      <c r="Q81" s="1795"/>
      <c r="R81" s="767"/>
    </row>
    <row r="82" spans="2:18" ht="13" x14ac:dyDescent="0.3">
      <c r="B82" s="794">
        <v>2</v>
      </c>
      <c r="C82" s="837" t="s">
        <v>1034</v>
      </c>
      <c r="D82" s="839">
        <f>0.03412*0.10548</f>
        <v>3.5989775999999999E-3</v>
      </c>
      <c r="E82" s="1794"/>
      <c r="F82" s="1794"/>
      <c r="G82" s="1794"/>
      <c r="H82" s="1794"/>
      <c r="I82" s="1794"/>
      <c r="J82" s="1794"/>
      <c r="K82" s="1794"/>
      <c r="L82" s="1794"/>
      <c r="M82" s="1794"/>
      <c r="N82" s="1794"/>
      <c r="O82" s="1794"/>
      <c r="P82" s="1794"/>
      <c r="Q82" s="1794"/>
      <c r="R82" s="767"/>
    </row>
    <row r="83" spans="2:18" ht="13" x14ac:dyDescent="0.3">
      <c r="B83" s="794">
        <v>3</v>
      </c>
      <c r="C83" s="837" t="s">
        <v>1035</v>
      </c>
      <c r="D83" s="839">
        <v>3.7854099999999999E-3</v>
      </c>
      <c r="E83" s="1795"/>
      <c r="F83" s="1795"/>
      <c r="G83" s="1795"/>
      <c r="H83" s="1795"/>
      <c r="I83" s="1795"/>
      <c r="J83" s="1795"/>
      <c r="K83" s="1795"/>
      <c r="L83" s="1795"/>
      <c r="M83" s="1795"/>
      <c r="N83" s="1795"/>
      <c r="O83" s="1795"/>
      <c r="P83" s="1795"/>
      <c r="Q83" s="1795"/>
      <c r="R83" s="767"/>
    </row>
    <row r="84" spans="2:18" ht="13" x14ac:dyDescent="0.3">
      <c r="B84" s="794">
        <v>4</v>
      </c>
      <c r="C84" s="837" t="s">
        <v>1036</v>
      </c>
      <c r="D84" s="839">
        <v>0.1055</v>
      </c>
      <c r="E84" s="1794"/>
      <c r="F84" s="1794"/>
      <c r="G84" s="1794"/>
      <c r="H84" s="1794"/>
      <c r="I84" s="1794"/>
      <c r="J84" s="1794"/>
      <c r="K84" s="1794"/>
      <c r="L84" s="1794"/>
      <c r="M84" s="1794"/>
      <c r="N84" s="1794"/>
      <c r="O84" s="1794"/>
      <c r="P84" s="1794"/>
      <c r="Q84" s="1794"/>
      <c r="R84" s="767"/>
    </row>
    <row r="85" spans="2:18" ht="13" x14ac:dyDescent="0.3">
      <c r="B85" s="794">
        <v>5</v>
      </c>
      <c r="C85" s="837" t="s">
        <v>1122</v>
      </c>
      <c r="D85" s="914">
        <v>1.0000000000000001E-5</v>
      </c>
      <c r="E85" s="1795"/>
      <c r="F85" s="1795"/>
      <c r="G85" s="1795"/>
      <c r="H85" s="1795"/>
      <c r="I85" s="1795"/>
      <c r="J85" s="1795"/>
      <c r="K85" s="1795"/>
      <c r="L85" s="1795"/>
      <c r="M85" s="1795"/>
      <c r="N85" s="1795"/>
      <c r="O85" s="1795"/>
      <c r="P85" s="1795"/>
      <c r="Q85" s="1795"/>
      <c r="R85" s="767"/>
    </row>
    <row r="86" spans="2:18" ht="13" x14ac:dyDescent="0.3">
      <c r="B86" s="794">
        <v>6</v>
      </c>
      <c r="C86" s="837" t="s">
        <v>1216</v>
      </c>
      <c r="D86" s="840">
        <v>1000000</v>
      </c>
      <c r="E86" s="1794"/>
      <c r="F86" s="1794"/>
      <c r="G86" s="1794"/>
      <c r="H86" s="1794"/>
      <c r="I86" s="1794"/>
      <c r="J86" s="1794"/>
      <c r="K86" s="1794"/>
      <c r="L86" s="1794"/>
      <c r="M86" s="1794"/>
      <c r="N86" s="1794"/>
      <c r="O86" s="1794"/>
      <c r="P86" s="1794"/>
      <c r="Q86" s="1794"/>
      <c r="R86" s="767"/>
    </row>
    <row r="87" spans="2:18" ht="13" x14ac:dyDescent="0.3">
      <c r="B87" s="794">
        <v>7</v>
      </c>
      <c r="C87" s="837"/>
      <c r="D87" s="838"/>
      <c r="E87" s="1795"/>
      <c r="F87" s="1795"/>
      <c r="G87" s="1795"/>
      <c r="H87" s="1795"/>
      <c r="I87" s="1795"/>
      <c r="J87" s="1795"/>
      <c r="K87" s="1795"/>
      <c r="L87" s="1795"/>
      <c r="M87" s="1795"/>
      <c r="N87" s="1795"/>
      <c r="O87" s="1795"/>
      <c r="P87" s="1795"/>
      <c r="Q87" s="1795"/>
      <c r="R87" s="767"/>
    </row>
    <row r="88" spans="2:18" ht="13" x14ac:dyDescent="0.3">
      <c r="B88" s="794">
        <v>8</v>
      </c>
      <c r="C88" s="837"/>
      <c r="D88" s="839"/>
      <c r="E88" s="1794"/>
      <c r="F88" s="1794"/>
      <c r="G88" s="1794"/>
      <c r="H88" s="1794"/>
      <c r="I88" s="1794"/>
      <c r="J88" s="1794"/>
      <c r="K88" s="1794"/>
      <c r="L88" s="1794"/>
      <c r="M88" s="1794"/>
      <c r="N88" s="1794"/>
      <c r="O88" s="1794"/>
      <c r="P88" s="1794"/>
      <c r="Q88" s="1794"/>
      <c r="R88" s="767"/>
    </row>
    <row r="89" spans="2:18" ht="13" x14ac:dyDescent="0.3">
      <c r="B89" s="794">
        <v>9</v>
      </c>
      <c r="C89" s="837"/>
      <c r="D89" s="838"/>
      <c r="E89" s="1795"/>
      <c r="F89" s="1795"/>
      <c r="G89" s="1795"/>
      <c r="H89" s="1795"/>
      <c r="I89" s="1795"/>
      <c r="J89" s="1795"/>
      <c r="K89" s="1795"/>
      <c r="L89" s="1795"/>
      <c r="M89" s="1795"/>
      <c r="N89" s="1795"/>
      <c r="O89" s="1795"/>
      <c r="P89" s="1795"/>
      <c r="Q89" s="1795"/>
      <c r="R89" s="767"/>
    </row>
    <row r="90" spans="2:18" ht="13" x14ac:dyDescent="0.3">
      <c r="B90" s="794">
        <v>10</v>
      </c>
      <c r="C90" s="837"/>
      <c r="D90" s="839"/>
      <c r="E90" s="1794"/>
      <c r="F90" s="1794"/>
      <c r="G90" s="1794"/>
      <c r="H90" s="1794"/>
      <c r="I90" s="1794"/>
      <c r="J90" s="1794"/>
      <c r="K90" s="1794"/>
      <c r="L90" s="1794"/>
      <c r="M90" s="1794"/>
      <c r="N90" s="1794"/>
      <c r="O90" s="1794"/>
      <c r="P90" s="1794"/>
      <c r="Q90" s="1794"/>
      <c r="R90" s="767"/>
    </row>
    <row r="91" spans="2:18" ht="18.75" customHeight="1" x14ac:dyDescent="0.3">
      <c r="R91" s="767"/>
    </row>
    <row r="92" spans="2:18" ht="18.75" customHeight="1" x14ac:dyDescent="0.3">
      <c r="B92" s="782" t="s">
        <v>492</v>
      </c>
      <c r="C92" s="783"/>
      <c r="D92" s="783"/>
      <c r="E92" s="783"/>
      <c r="F92" s="783"/>
      <c r="G92" s="783"/>
      <c r="H92" s="784"/>
      <c r="I92" s="784"/>
      <c r="J92" s="784"/>
      <c r="K92" s="784"/>
      <c r="L92" s="784"/>
      <c r="M92" s="784"/>
      <c r="N92" s="784"/>
      <c r="O92" s="784"/>
      <c r="P92" s="784"/>
      <c r="Q92" s="785"/>
      <c r="R92" s="767"/>
    </row>
    <row r="93" spans="2:18" ht="18.75" customHeight="1" x14ac:dyDescent="0.3">
      <c r="R93" s="767"/>
    </row>
    <row r="94" spans="2:18" ht="18.75" customHeight="1" x14ac:dyDescent="0.3">
      <c r="B94" s="789" t="s">
        <v>493</v>
      </c>
      <c r="E94" s="1751" t="s">
        <v>494</v>
      </c>
      <c r="F94" s="1762"/>
      <c r="G94" s="1762"/>
      <c r="H94" s="1762"/>
      <c r="I94" s="1762"/>
      <c r="J94" s="1762"/>
      <c r="K94" s="1762"/>
      <c r="L94" s="1762"/>
      <c r="M94" s="1762"/>
      <c r="N94" s="1762"/>
      <c r="O94" s="1763" t="s">
        <v>476</v>
      </c>
      <c r="P94" s="1764"/>
      <c r="Q94" s="1765"/>
      <c r="R94" s="767"/>
    </row>
    <row r="95" spans="2:18" ht="25.5" customHeight="1" x14ac:dyDescent="0.3">
      <c r="B95" s="1748"/>
      <c r="C95" s="1749"/>
      <c r="D95" s="1750"/>
      <c r="E95" s="790" t="s">
        <v>495</v>
      </c>
      <c r="F95" s="790" t="s">
        <v>496</v>
      </c>
      <c r="G95" s="790" t="s">
        <v>497</v>
      </c>
      <c r="H95" s="790" t="s">
        <v>498</v>
      </c>
      <c r="I95" s="790" t="s">
        <v>499</v>
      </c>
      <c r="J95" s="790" t="s">
        <v>500</v>
      </c>
      <c r="K95" s="790" t="s">
        <v>501</v>
      </c>
      <c r="L95" s="790" t="s">
        <v>502</v>
      </c>
      <c r="M95" s="790" t="s">
        <v>503</v>
      </c>
      <c r="N95" s="1227" t="s">
        <v>504</v>
      </c>
      <c r="O95" s="1766"/>
      <c r="P95" s="1767"/>
      <c r="Q95" s="1768"/>
      <c r="R95" s="767"/>
    </row>
    <row r="96" spans="2:18" ht="25.5" customHeight="1" x14ac:dyDescent="0.3">
      <c r="B96" s="1223" t="s">
        <v>478</v>
      </c>
      <c r="C96" s="1751" t="s">
        <v>538</v>
      </c>
      <c r="D96" s="1752"/>
      <c r="E96" s="821"/>
      <c r="F96" s="821"/>
      <c r="G96" s="821"/>
      <c r="H96" s="821"/>
      <c r="I96" s="821"/>
      <c r="J96" s="821"/>
      <c r="K96" s="821"/>
      <c r="L96" s="821"/>
      <c r="M96" s="821"/>
      <c r="N96" s="822"/>
      <c r="O96" s="1769"/>
      <c r="P96" s="1770"/>
      <c r="Q96" s="1771"/>
      <c r="R96" s="767"/>
    </row>
    <row r="97" spans="2:18" ht="13" x14ac:dyDescent="0.3">
      <c r="B97" s="794">
        <v>1</v>
      </c>
      <c r="C97" s="810"/>
      <c r="D97" s="1225"/>
      <c r="E97" s="823"/>
      <c r="F97" s="823"/>
      <c r="G97" s="823"/>
      <c r="H97" s="823"/>
      <c r="I97" s="824"/>
      <c r="J97" s="824"/>
      <c r="K97" s="824"/>
      <c r="L97" s="824"/>
      <c r="M97" s="824"/>
      <c r="N97" s="824"/>
      <c r="O97" s="1753"/>
      <c r="P97" s="1754"/>
      <c r="Q97" s="1755"/>
      <c r="R97" s="767"/>
    </row>
    <row r="98" spans="2:18" ht="13" x14ac:dyDescent="0.3">
      <c r="B98" s="794">
        <v>2</v>
      </c>
      <c r="C98" s="810"/>
      <c r="D98" s="1225"/>
      <c r="E98" s="823"/>
      <c r="F98" s="823"/>
      <c r="G98" s="823"/>
      <c r="H98" s="823"/>
      <c r="I98" s="824"/>
      <c r="J98" s="824"/>
      <c r="K98" s="824"/>
      <c r="L98" s="824"/>
      <c r="M98" s="824"/>
      <c r="N98" s="824"/>
      <c r="O98" s="1756"/>
      <c r="P98" s="1757"/>
      <c r="Q98" s="1758"/>
      <c r="R98" s="767"/>
    </row>
    <row r="99" spans="2:18" ht="13" x14ac:dyDescent="0.3">
      <c r="B99" s="794">
        <v>3</v>
      </c>
      <c r="C99" s="810"/>
      <c r="D99" s="1225"/>
      <c r="E99" s="823"/>
      <c r="F99" s="823"/>
      <c r="G99" s="823"/>
      <c r="H99" s="823"/>
      <c r="I99" s="824"/>
      <c r="J99" s="824"/>
      <c r="K99" s="824"/>
      <c r="L99" s="824"/>
      <c r="M99" s="824"/>
      <c r="N99" s="824"/>
      <c r="O99" s="1756"/>
      <c r="P99" s="1757"/>
      <c r="Q99" s="1758"/>
      <c r="R99" s="767"/>
    </row>
    <row r="100" spans="2:18" ht="13" x14ac:dyDescent="0.3">
      <c r="B100" s="794">
        <v>4</v>
      </c>
      <c r="C100" s="810"/>
      <c r="D100" s="1225"/>
      <c r="E100" s="823"/>
      <c r="F100" s="823"/>
      <c r="G100" s="823"/>
      <c r="H100" s="823"/>
      <c r="I100" s="824"/>
      <c r="J100" s="824"/>
      <c r="K100" s="824"/>
      <c r="L100" s="824"/>
      <c r="M100" s="824"/>
      <c r="N100" s="824"/>
      <c r="O100" s="1756"/>
      <c r="P100" s="1757"/>
      <c r="Q100" s="1758"/>
      <c r="R100" s="767"/>
    </row>
    <row r="101" spans="2:18" ht="13" x14ac:dyDescent="0.3">
      <c r="B101" s="794">
        <v>5</v>
      </c>
      <c r="C101" s="810"/>
      <c r="D101" s="1225"/>
      <c r="E101" s="823"/>
      <c r="F101" s="823"/>
      <c r="G101" s="823"/>
      <c r="H101" s="823"/>
      <c r="I101" s="824"/>
      <c r="J101" s="824"/>
      <c r="K101" s="824"/>
      <c r="L101" s="824"/>
      <c r="M101" s="824"/>
      <c r="N101" s="824"/>
      <c r="O101" s="1756"/>
      <c r="P101" s="1757"/>
      <c r="Q101" s="1758"/>
      <c r="R101" s="767"/>
    </row>
    <row r="102" spans="2:18" ht="13" x14ac:dyDescent="0.3">
      <c r="B102" s="794">
        <v>6</v>
      </c>
      <c r="C102" s="810"/>
      <c r="D102" s="825"/>
      <c r="E102" s="823"/>
      <c r="F102" s="826"/>
      <c r="G102" s="823"/>
      <c r="H102" s="823"/>
      <c r="I102" s="820"/>
      <c r="J102" s="820"/>
      <c r="K102" s="820"/>
      <c r="L102" s="820"/>
      <c r="M102" s="820"/>
      <c r="N102" s="820"/>
      <c r="O102" s="1745"/>
      <c r="P102" s="1746"/>
      <c r="Q102" s="1747"/>
      <c r="R102" s="767"/>
    </row>
    <row r="103" spans="2:18" ht="13" x14ac:dyDescent="0.3">
      <c r="B103" s="794">
        <v>7</v>
      </c>
      <c r="C103" s="810"/>
      <c r="D103" s="825"/>
      <c r="E103" s="823"/>
      <c r="F103" s="820"/>
      <c r="G103" s="820"/>
      <c r="H103" s="823"/>
      <c r="I103" s="820"/>
      <c r="J103" s="820"/>
      <c r="K103" s="820"/>
      <c r="L103" s="820"/>
      <c r="M103" s="820"/>
      <c r="N103" s="820"/>
      <c r="O103" s="1745"/>
      <c r="P103" s="1746"/>
      <c r="Q103" s="1747"/>
      <c r="R103" s="767"/>
    </row>
    <row r="104" spans="2:18" ht="13" x14ac:dyDescent="0.3">
      <c r="B104" s="794">
        <v>8</v>
      </c>
      <c r="C104" s="810"/>
      <c r="D104" s="825"/>
      <c r="E104" s="823"/>
      <c r="F104" s="820"/>
      <c r="G104" s="820"/>
      <c r="H104" s="820"/>
      <c r="I104" s="820"/>
      <c r="J104" s="820"/>
      <c r="K104" s="820"/>
      <c r="L104" s="820"/>
      <c r="M104" s="820"/>
      <c r="N104" s="820"/>
      <c r="O104" s="1745"/>
      <c r="P104" s="1746"/>
      <c r="Q104" s="1747"/>
      <c r="R104" s="767"/>
    </row>
    <row r="105" spans="2:18" ht="13" x14ac:dyDescent="0.3">
      <c r="B105" s="794">
        <v>9</v>
      </c>
      <c r="C105" s="810"/>
      <c r="D105" s="825"/>
      <c r="E105" s="823"/>
      <c r="F105" s="827"/>
      <c r="G105" s="827"/>
      <c r="H105" s="827"/>
      <c r="I105" s="828"/>
      <c r="J105" s="828"/>
      <c r="K105" s="828"/>
      <c r="L105" s="828"/>
      <c r="M105" s="828"/>
      <c r="N105" s="828"/>
      <c r="O105" s="1772"/>
      <c r="P105" s="1773"/>
      <c r="Q105" s="1774"/>
      <c r="R105" s="767"/>
    </row>
    <row r="106" spans="2:18" ht="13" x14ac:dyDescent="0.3">
      <c r="B106" s="794">
        <v>10</v>
      </c>
      <c r="C106" s="810"/>
      <c r="D106" s="825"/>
      <c r="E106" s="827"/>
      <c r="F106" s="827"/>
      <c r="G106" s="827"/>
      <c r="H106" s="827"/>
      <c r="I106" s="828"/>
      <c r="J106" s="828"/>
      <c r="K106" s="828"/>
      <c r="L106" s="828"/>
      <c r="M106" s="828"/>
      <c r="N106" s="828"/>
      <c r="O106" s="1772"/>
      <c r="P106" s="1773"/>
      <c r="Q106" s="1774"/>
      <c r="R106" s="767"/>
    </row>
    <row r="107" spans="2:18" ht="13" x14ac:dyDescent="0.3">
      <c r="B107" s="794">
        <v>11</v>
      </c>
      <c r="C107" s="810"/>
      <c r="D107" s="825"/>
      <c r="E107" s="829"/>
      <c r="F107" s="823"/>
      <c r="G107" s="829"/>
      <c r="H107" s="829"/>
      <c r="I107" s="820"/>
      <c r="J107" s="820"/>
      <c r="K107" s="820"/>
      <c r="L107" s="820"/>
      <c r="M107" s="820"/>
      <c r="N107" s="820"/>
      <c r="O107" s="1745"/>
      <c r="P107" s="1746"/>
      <c r="Q107" s="1747"/>
      <c r="R107" s="767"/>
    </row>
    <row r="108" spans="2:18" ht="13" x14ac:dyDescent="0.3">
      <c r="B108" s="794">
        <v>12</v>
      </c>
      <c r="C108" s="810"/>
      <c r="D108" s="825"/>
      <c r="E108" s="827"/>
      <c r="F108" s="823"/>
      <c r="G108" s="827"/>
      <c r="H108" s="827"/>
      <c r="I108" s="828"/>
      <c r="J108" s="828"/>
      <c r="K108" s="828"/>
      <c r="L108" s="828"/>
      <c r="M108" s="828"/>
      <c r="N108" s="828"/>
      <c r="O108" s="1772"/>
      <c r="P108" s="1773"/>
      <c r="Q108" s="1774"/>
      <c r="R108" s="767"/>
    </row>
    <row r="109" spans="2:18" ht="13" x14ac:dyDescent="0.3">
      <c r="B109" s="794">
        <v>13</v>
      </c>
      <c r="C109" s="810"/>
      <c r="D109" s="825"/>
      <c r="E109" s="827"/>
      <c r="F109" s="827"/>
      <c r="G109" s="827"/>
      <c r="H109" s="827"/>
      <c r="I109" s="828"/>
      <c r="J109" s="828"/>
      <c r="K109" s="828"/>
      <c r="L109" s="828"/>
      <c r="M109" s="828"/>
      <c r="N109" s="828"/>
      <c r="O109" s="1772"/>
      <c r="P109" s="1773"/>
      <c r="Q109" s="1774"/>
      <c r="R109" s="767"/>
    </row>
    <row r="110" spans="2:18" ht="13" x14ac:dyDescent="0.3">
      <c r="B110" s="794">
        <v>14</v>
      </c>
      <c r="C110" s="810"/>
      <c r="D110" s="825"/>
      <c r="E110" s="830"/>
      <c r="F110" s="830"/>
      <c r="G110" s="830"/>
      <c r="H110" s="830"/>
      <c r="I110" s="820"/>
      <c r="J110" s="820"/>
      <c r="K110" s="820"/>
      <c r="L110" s="820"/>
      <c r="M110" s="820"/>
      <c r="N110" s="820"/>
      <c r="O110" s="1745"/>
      <c r="P110" s="1746"/>
      <c r="Q110" s="1747"/>
      <c r="R110" s="767"/>
    </row>
    <row r="111" spans="2:18" ht="13" x14ac:dyDescent="0.3">
      <c r="B111" s="794">
        <v>15</v>
      </c>
      <c r="C111" s="810"/>
      <c r="D111" s="825"/>
      <c r="E111" s="830"/>
      <c r="F111" s="830"/>
      <c r="G111" s="830"/>
      <c r="H111" s="830"/>
      <c r="I111" s="820"/>
      <c r="J111" s="820"/>
      <c r="K111" s="820"/>
      <c r="L111" s="820"/>
      <c r="M111" s="820"/>
      <c r="N111" s="820"/>
      <c r="O111" s="1745"/>
      <c r="P111" s="1746"/>
      <c r="Q111" s="1747"/>
      <c r="R111" s="767"/>
    </row>
    <row r="112" spans="2:18" ht="13" x14ac:dyDescent="0.3">
      <c r="B112" s="794">
        <v>16</v>
      </c>
      <c r="C112" s="810"/>
      <c r="D112" s="825"/>
      <c r="E112" s="830"/>
      <c r="F112" s="830"/>
      <c r="G112" s="830"/>
      <c r="H112" s="830"/>
      <c r="I112" s="820"/>
      <c r="J112" s="820"/>
      <c r="K112" s="820"/>
      <c r="L112" s="820"/>
      <c r="M112" s="820"/>
      <c r="N112" s="820"/>
      <c r="O112" s="1745"/>
      <c r="P112" s="1746"/>
      <c r="Q112" s="1747"/>
      <c r="R112" s="767"/>
    </row>
    <row r="113" spans="2:18" ht="13" x14ac:dyDescent="0.3">
      <c r="B113" s="794">
        <v>17</v>
      </c>
      <c r="C113" s="810"/>
      <c r="D113" s="825"/>
      <c r="E113" s="830"/>
      <c r="F113" s="830"/>
      <c r="G113" s="830"/>
      <c r="H113" s="830"/>
      <c r="I113" s="820"/>
      <c r="J113" s="820"/>
      <c r="K113" s="820"/>
      <c r="L113" s="820"/>
      <c r="M113" s="820"/>
      <c r="N113" s="820"/>
      <c r="O113" s="1745"/>
      <c r="P113" s="1746"/>
      <c r="Q113" s="1747"/>
      <c r="R113" s="767"/>
    </row>
    <row r="114" spans="2:18" ht="13" x14ac:dyDescent="0.3">
      <c r="B114" s="794">
        <v>18</v>
      </c>
      <c r="C114" s="810"/>
      <c r="D114" s="825"/>
      <c r="E114" s="830"/>
      <c r="F114" s="830"/>
      <c r="G114" s="830"/>
      <c r="H114" s="830"/>
      <c r="I114" s="820"/>
      <c r="J114" s="820"/>
      <c r="K114" s="820"/>
      <c r="L114" s="820"/>
      <c r="M114" s="820"/>
      <c r="N114" s="820"/>
      <c r="O114" s="1745"/>
      <c r="P114" s="1746"/>
      <c r="Q114" s="1747"/>
      <c r="R114" s="767"/>
    </row>
    <row r="115" spans="2:18" ht="13" x14ac:dyDescent="0.3">
      <c r="B115" s="794">
        <v>19</v>
      </c>
      <c r="C115" s="810"/>
      <c r="D115" s="825"/>
      <c r="E115" s="830"/>
      <c r="F115" s="830"/>
      <c r="G115" s="830"/>
      <c r="H115" s="830"/>
      <c r="I115" s="820"/>
      <c r="J115" s="820"/>
      <c r="K115" s="820"/>
      <c r="L115" s="820"/>
      <c r="M115" s="820"/>
      <c r="N115" s="820"/>
      <c r="O115" s="1745"/>
      <c r="P115" s="1746"/>
      <c r="Q115" s="1747"/>
      <c r="R115" s="767"/>
    </row>
    <row r="116" spans="2:18" ht="13" x14ac:dyDescent="0.3">
      <c r="B116" s="794">
        <v>20</v>
      </c>
      <c r="C116" s="810"/>
      <c r="D116" s="825"/>
      <c r="E116" s="830"/>
      <c r="F116" s="830"/>
      <c r="G116" s="830"/>
      <c r="H116" s="830"/>
      <c r="I116" s="820"/>
      <c r="J116" s="820"/>
      <c r="K116" s="820"/>
      <c r="L116" s="820"/>
      <c r="M116" s="820"/>
      <c r="N116" s="820"/>
      <c r="O116" s="1745"/>
      <c r="P116" s="1746"/>
      <c r="Q116" s="1747"/>
      <c r="R116" s="767"/>
    </row>
  </sheetData>
  <sheetProtection algorithmName="SHA-512" hashValue="ttkAGGTi9F+vn3j195w+BJ07AXKQ+HHnPBCvQGnS3v/6rOakU/oDiPpUjqK2tsSH5+h9K7t/zqQjZwjBv1YZcw==" saltValue="UdQOAHKNk+tJxqwIGVEpxg==" spinCount="100000" sheet="1" objects="1" scenarios="1" selectLockedCells="1" selectUnlockedCells="1"/>
  <mergeCells count="121">
    <mergeCell ref="B20:Q20"/>
    <mergeCell ref="C21:Q21"/>
    <mergeCell ref="D18:F18"/>
    <mergeCell ref="D26:Q26"/>
    <mergeCell ref="D27:Q27"/>
    <mergeCell ref="D28:Q28"/>
    <mergeCell ref="E32:Q32"/>
    <mergeCell ref="E33:Q33"/>
    <mergeCell ref="E34:Q34"/>
    <mergeCell ref="C22:Q22"/>
    <mergeCell ref="C23:Q23"/>
    <mergeCell ref="D25:Q25"/>
    <mergeCell ref="D29:Q29"/>
    <mergeCell ref="D30:Q30"/>
    <mergeCell ref="C43:M43"/>
    <mergeCell ref="P43:Q43"/>
    <mergeCell ref="C44:M44"/>
    <mergeCell ref="P44:Q44"/>
    <mergeCell ref="C45:M45"/>
    <mergeCell ref="P45:Q45"/>
    <mergeCell ref="E35:Q35"/>
    <mergeCell ref="E36:Q36"/>
    <mergeCell ref="E37:Q37"/>
    <mergeCell ref="C41:M41"/>
    <mergeCell ref="P41:Q41"/>
    <mergeCell ref="C42:M42"/>
    <mergeCell ref="P42:Q42"/>
    <mergeCell ref="C50:M50"/>
    <mergeCell ref="P50:Q50"/>
    <mergeCell ref="C51:M51"/>
    <mergeCell ref="P51:Q51"/>
    <mergeCell ref="C53:M53"/>
    <mergeCell ref="P53:Q53"/>
    <mergeCell ref="C47:M47"/>
    <mergeCell ref="P47:Q47"/>
    <mergeCell ref="C48:M48"/>
    <mergeCell ref="P48:Q48"/>
    <mergeCell ref="C49:M49"/>
    <mergeCell ref="P49:Q49"/>
    <mergeCell ref="C57:M57"/>
    <mergeCell ref="P57:Q57"/>
    <mergeCell ref="D61:E61"/>
    <mergeCell ref="J61:Q61"/>
    <mergeCell ref="D62:E62"/>
    <mergeCell ref="J62:Q62"/>
    <mergeCell ref="C54:M54"/>
    <mergeCell ref="P54:Q54"/>
    <mergeCell ref="C55:M55"/>
    <mergeCell ref="P55:Q55"/>
    <mergeCell ref="C56:M56"/>
    <mergeCell ref="P56:Q56"/>
    <mergeCell ref="D66:E66"/>
    <mergeCell ref="J66:Q66"/>
    <mergeCell ref="D67:E67"/>
    <mergeCell ref="J67:Q67"/>
    <mergeCell ref="D68:E68"/>
    <mergeCell ref="J68:Q68"/>
    <mergeCell ref="D63:E63"/>
    <mergeCell ref="J63:Q63"/>
    <mergeCell ref="D64:E64"/>
    <mergeCell ref="J64:Q64"/>
    <mergeCell ref="D65:E65"/>
    <mergeCell ref="J65:Q65"/>
    <mergeCell ref="E82:Q82"/>
    <mergeCell ref="E83:Q83"/>
    <mergeCell ref="E84:Q84"/>
    <mergeCell ref="E85:Q85"/>
    <mergeCell ref="D69:E69"/>
    <mergeCell ref="J69:Q69"/>
    <mergeCell ref="D70:E70"/>
    <mergeCell ref="J70:Q70"/>
    <mergeCell ref="D71:E71"/>
    <mergeCell ref="J71:Q71"/>
    <mergeCell ref="D72:E72"/>
    <mergeCell ref="J72:Q72"/>
    <mergeCell ref="D73:E73"/>
    <mergeCell ref="J73:Q73"/>
    <mergeCell ref="D74:E74"/>
    <mergeCell ref="J74:Q74"/>
    <mergeCell ref="D75:E75"/>
    <mergeCell ref="J75:Q75"/>
    <mergeCell ref="D76:E76"/>
    <mergeCell ref="J76:Q76"/>
    <mergeCell ref="O115:Q115"/>
    <mergeCell ref="O116:Q116"/>
    <mergeCell ref="O107:Q107"/>
    <mergeCell ref="O108:Q108"/>
    <mergeCell ref="O109:Q109"/>
    <mergeCell ref="O110:Q110"/>
    <mergeCell ref="O111:Q111"/>
    <mergeCell ref="O112:Q112"/>
    <mergeCell ref="O101:Q101"/>
    <mergeCell ref="O102:Q102"/>
    <mergeCell ref="O103:Q103"/>
    <mergeCell ref="O104:Q104"/>
    <mergeCell ref="O105:Q105"/>
    <mergeCell ref="O106:Q106"/>
    <mergeCell ref="C2:F2"/>
    <mergeCell ref="C3:F3"/>
    <mergeCell ref="C4:F4"/>
    <mergeCell ref="C5:F5"/>
    <mergeCell ref="D17:F17"/>
    <mergeCell ref="D7:F7"/>
    <mergeCell ref="D8:F16"/>
    <mergeCell ref="O113:Q113"/>
    <mergeCell ref="O114:Q114"/>
    <mergeCell ref="B95:D95"/>
    <mergeCell ref="C96:D96"/>
    <mergeCell ref="O97:Q97"/>
    <mergeCell ref="O98:Q98"/>
    <mergeCell ref="O99:Q99"/>
    <mergeCell ref="O100:Q100"/>
    <mergeCell ref="E86:Q86"/>
    <mergeCell ref="E87:Q87"/>
    <mergeCell ref="E88:Q88"/>
    <mergeCell ref="E89:Q89"/>
    <mergeCell ref="E90:Q90"/>
    <mergeCell ref="E94:N94"/>
    <mergeCell ref="O94:Q96"/>
    <mergeCell ref="E80:Q80"/>
    <mergeCell ref="E81:Q81"/>
  </mergeCells>
  <conditionalFormatting sqref="H71">
    <cfRule type="expression" dxfId="3138" priority="39">
      <formula>IF(OR(#REF!="L",#REF!="C"),TRUE,FALSE)</formula>
    </cfRule>
  </conditionalFormatting>
  <conditionalFormatting sqref="F109:F116 G102:G116 H104:H116">
    <cfRule type="expression" dxfId="3137" priority="35">
      <formula>IF(OR(#REF!="L",#REF!="C"),TRUE,FALSE)</formula>
    </cfRule>
  </conditionalFormatting>
  <conditionalFormatting sqref="H70">
    <cfRule type="expression" dxfId="3136" priority="36">
      <formula>IF(OR(#REF!="L",#REF!="C"),TRUE,FALSE)</formula>
    </cfRule>
  </conditionalFormatting>
  <conditionalFormatting sqref="E110:E116">
    <cfRule type="expression" dxfId="3135" priority="34">
      <formula>IF(OR(#REF!="L",#REF!="C"),TRUE,FALSE)</formula>
    </cfRule>
  </conditionalFormatting>
  <conditionalFormatting sqref="E107">
    <cfRule type="expression" dxfId="3134" priority="33">
      <formula>IF(OR(#REF!="L",#REF!="C"),TRUE,FALSE)</formula>
    </cfRule>
  </conditionalFormatting>
  <conditionalFormatting sqref="H68">
    <cfRule type="expression" dxfId="3133" priority="38">
      <formula>IF(OR(#REF!="L",#REF!="C"),TRUE,FALSE)</formula>
    </cfRule>
  </conditionalFormatting>
  <conditionalFormatting sqref="H69">
    <cfRule type="expression" dxfId="3132" priority="37">
      <formula>IF(OR(#REF!="L",#REF!="C"),TRUE,FALSE)</formula>
    </cfRule>
  </conditionalFormatting>
  <conditionalFormatting sqref="E108">
    <cfRule type="expression" dxfId="3131" priority="32">
      <formula>IF(OR(#REF!="L",#REF!="C"),TRUE,FALSE)</formula>
    </cfRule>
  </conditionalFormatting>
  <conditionalFormatting sqref="E109">
    <cfRule type="expression" dxfId="3130" priority="31">
      <formula>IF(OR(#REF!="L",#REF!="C"),TRUE,FALSE)</formula>
    </cfRule>
  </conditionalFormatting>
  <conditionalFormatting sqref="E106">
    <cfRule type="expression" dxfId="3129" priority="30">
      <formula>IF(OR(#REF!="L",#REF!="C"),TRUE,FALSE)</formula>
    </cfRule>
  </conditionalFormatting>
  <conditionalFormatting sqref="E95 G95 I95 K95 M95">
    <cfRule type="duplicateValues" dxfId="3128" priority="29"/>
  </conditionalFormatting>
  <conditionalFormatting sqref="M104:M116">
    <cfRule type="expression" dxfId="3127" priority="19">
      <formula>IF(OR(#REF!="L",#REF!="C"),TRUE,FALSE)</formula>
    </cfRule>
  </conditionalFormatting>
  <conditionalFormatting sqref="F102:F106">
    <cfRule type="expression" dxfId="3126" priority="28">
      <formula>IF(OR(#REF!="L",#REF!="C"),TRUE,FALSE)</formula>
    </cfRule>
  </conditionalFormatting>
  <conditionalFormatting sqref="I102:I103">
    <cfRule type="expression" dxfId="3125" priority="26">
      <formula>IF(OR(#REF!="L",#REF!="C"),TRUE,FALSE)</formula>
    </cfRule>
  </conditionalFormatting>
  <conditionalFormatting sqref="N102:N103">
    <cfRule type="expression" dxfId="3124" priority="16">
      <formula>IF(OR(#REF!="L",#REF!="C"),TRUE,FALSE)</formula>
    </cfRule>
  </conditionalFormatting>
  <conditionalFormatting sqref="I104:I116">
    <cfRule type="expression" dxfId="3123" priority="27">
      <formula>IF(OR(#REF!="L",#REF!="C"),TRUE,FALSE)</formula>
    </cfRule>
  </conditionalFormatting>
  <conditionalFormatting sqref="J102:J103">
    <cfRule type="expression" dxfId="3122" priority="24">
      <formula>IF(OR(#REF!="L",#REF!="C"),TRUE,FALSE)</formula>
    </cfRule>
  </conditionalFormatting>
  <conditionalFormatting sqref="J104:J116">
    <cfRule type="expression" dxfId="3121" priority="25">
      <formula>IF(OR(#REF!="L",#REF!="C"),TRUE,FALSE)</formula>
    </cfRule>
  </conditionalFormatting>
  <conditionalFormatting sqref="K102:K103">
    <cfRule type="expression" dxfId="3120" priority="22">
      <formula>IF(OR(#REF!="L",#REF!="C"),TRUE,FALSE)</formula>
    </cfRule>
  </conditionalFormatting>
  <conditionalFormatting sqref="K104:K116">
    <cfRule type="expression" dxfId="3119" priority="23">
      <formula>IF(OR(#REF!="L",#REF!="C"),TRUE,FALSE)</formula>
    </cfRule>
  </conditionalFormatting>
  <conditionalFormatting sqref="L102:L103">
    <cfRule type="expression" dxfId="3118" priority="20">
      <formula>IF(OR(#REF!="L",#REF!="C"),TRUE,FALSE)</formula>
    </cfRule>
  </conditionalFormatting>
  <conditionalFormatting sqref="L104:L116">
    <cfRule type="expression" dxfId="3117" priority="21">
      <formula>IF(OR(#REF!="L",#REF!="C"),TRUE,FALSE)</formula>
    </cfRule>
  </conditionalFormatting>
  <conditionalFormatting sqref="M102:M103">
    <cfRule type="expression" dxfId="3116" priority="18">
      <formula>IF(OR(#REF!="L",#REF!="C"),TRUE,FALSE)</formula>
    </cfRule>
  </conditionalFormatting>
  <conditionalFormatting sqref="N104:N116">
    <cfRule type="expression" dxfId="3115" priority="17">
      <formula>IF(OR(#REF!="L",#REF!="C"),TRUE,FALSE)</formula>
    </cfRule>
  </conditionalFormatting>
  <conditionalFormatting sqref="O102:O103">
    <cfRule type="expression" dxfId="3114" priority="14">
      <formula>IF(OR(#REF!="L",#REF!="C"),TRUE,FALSE)</formula>
    </cfRule>
  </conditionalFormatting>
  <conditionalFormatting sqref="O104:O116">
    <cfRule type="expression" dxfId="3113" priority="15">
      <formula>IF(OR(#REF!="L",#REF!="C"),TRUE,FALSE)</formula>
    </cfRule>
  </conditionalFormatting>
  <conditionalFormatting sqref="E96:N96">
    <cfRule type="duplicateValues" dxfId="3112" priority="13"/>
  </conditionalFormatting>
  <conditionalFormatting sqref="H72">
    <cfRule type="expression" dxfId="3111" priority="6">
      <formula>IF(OR(#REF!="L",#REF!="C"),TRUE,FALSE)</formula>
    </cfRule>
  </conditionalFormatting>
  <conditionalFormatting sqref="H65">
    <cfRule type="expression" dxfId="3110" priority="11">
      <formula>IF(OR(#REF!="L",#REF!="C"),TRUE,FALSE)</formula>
    </cfRule>
  </conditionalFormatting>
  <conditionalFormatting sqref="H64">
    <cfRule type="expression" dxfId="3109" priority="12">
      <formula>IF(OR(#REF!="L",#REF!="C"),TRUE,FALSE)</formula>
    </cfRule>
  </conditionalFormatting>
  <conditionalFormatting sqref="H66">
    <cfRule type="expression" dxfId="3108" priority="10">
      <formula>IF(OR(#REF!="L",#REF!="C"),TRUE,FALSE)</formula>
    </cfRule>
  </conditionalFormatting>
  <conditionalFormatting sqref="H63">
    <cfRule type="expression" dxfId="3107" priority="9">
      <formula>IF(OR(#REF!="L",#REF!="C"),TRUE,FALSE)</formula>
    </cfRule>
  </conditionalFormatting>
  <conditionalFormatting sqref="H62">
    <cfRule type="expression" dxfId="3106" priority="8">
      <formula>IF(OR(#REF!="L",#REF!="C"),TRUE,FALSE)</formula>
    </cfRule>
  </conditionalFormatting>
  <conditionalFormatting sqref="H73">
    <cfRule type="expression" dxfId="3105" priority="5">
      <formula>IF(OR(#REF!="L",#REF!="C"),TRUE,FALSE)</formula>
    </cfRule>
  </conditionalFormatting>
  <conditionalFormatting sqref="H74">
    <cfRule type="expression" dxfId="3104" priority="4">
      <formula>IF(OR(#REF!="L",#REF!="C"),TRUE,FALSE)</formula>
    </cfRule>
  </conditionalFormatting>
  <conditionalFormatting sqref="H75">
    <cfRule type="expression" dxfId="3103" priority="3">
      <formula>IF(OR(#REF!="L",#REF!="C"),TRUE,FALSE)</formula>
    </cfRule>
  </conditionalFormatting>
  <conditionalFormatting sqref="H76">
    <cfRule type="expression" dxfId="3102" priority="2">
      <formula>IF(OR(#REF!="L",#REF!="C"),TRUE,FALSE)</formula>
    </cfRule>
  </conditionalFormatting>
  <conditionalFormatting sqref="H67">
    <cfRule type="expression" dxfId="3101" priority="1">
      <formula>IF(OR(#REF!="L",#REF!="C"),TRUE,FALSE)</formula>
    </cfRule>
  </conditionalFormatting>
  <dataValidations count="6">
    <dataValidation type="list" allowBlank="1" showInputMessage="1" showErrorMessage="1" sqref="C4" xr:uid="{8ABE6988-262F-44C8-92E3-D3E4394B3F27}">
      <formula1>"COM,RES"</formula1>
    </dataValidation>
    <dataValidation type="list" allowBlank="1" showInputMessage="1" showErrorMessage="1" sqref="C9" xr:uid="{E7636DA0-2013-4DFF-927D-E26DE06A55E5}">
      <formula1>INDIRECT("MeasureTypeList[Index]")</formula1>
    </dataValidation>
    <dataValidation type="list" allowBlank="1" showInputMessage="1" showErrorMessage="1" sqref="C26" xr:uid="{C081CDCA-D959-4F20-808F-225CB843784E}">
      <formula1>INDIRECT("RegionList[Index]")</formula1>
    </dataValidation>
    <dataValidation type="list" allowBlank="1" showInputMessage="1" showErrorMessage="1" sqref="C27" xr:uid="{B2180E13-5CC6-4F48-8255-2965C6D96F2B}">
      <formula1>INDIRECT("ReplacementTypeList[Index]")</formula1>
    </dataValidation>
    <dataValidation type="list" allowBlank="1" showInputMessage="1" showErrorMessage="1" sqref="C28" xr:uid="{8FF37A79-7ECE-4BA5-A5DA-8FBD687BF29D}">
      <formula1>INDIRECT("BuildingType[Building]")</formula1>
    </dataValidation>
    <dataValidation type="list" allowBlank="1" showInputMessage="1" showErrorMessage="1" sqref="C29 C30" xr:uid="{3AE40D7E-3914-496A-83EB-198EAE4B13CB}">
      <formula1>INDIRECT("FuelTypeList[Index]")</formula1>
    </dataValidation>
  </dataValidation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4F061-B830-4D08-8458-CCA53ED44BCC}">
  <sheetPr codeName="Sheet398"/>
  <dimension ref="A2:R116"/>
  <sheetViews>
    <sheetView workbookViewId="0"/>
  </sheetViews>
  <sheetFormatPr defaultColWidth="9.08984375" defaultRowHeight="18.75" customHeight="1" x14ac:dyDescent="0.3"/>
  <cols>
    <col min="1" max="1" width="2.36328125" style="488" customWidth="1"/>
    <col min="2" max="2" width="44.36328125" style="488" bestFit="1" customWidth="1"/>
    <col min="3" max="3" width="27.36328125" style="488" customWidth="1"/>
    <col min="4" max="4" width="21.6328125" style="488" customWidth="1"/>
    <col min="5" max="5" width="14.36328125" style="488" customWidth="1"/>
    <col min="6" max="6" width="15.6328125" style="488" customWidth="1"/>
    <col min="7" max="7" width="19.6328125" style="488" customWidth="1"/>
    <col min="8" max="8" width="16" style="488" customWidth="1"/>
    <col min="9" max="9" width="13.816406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C-HC-007</v>
      </c>
      <c r="D3" s="1367"/>
      <c r="E3" s="1367"/>
      <c r="F3" s="1367"/>
    </row>
    <row r="4" spans="1:18" ht="18.75" customHeight="1" x14ac:dyDescent="0.3">
      <c r="B4" s="490" t="s">
        <v>11</v>
      </c>
      <c r="C4" s="1367" t="str" cm="1">
        <f t="array" ref="C4">_xlfn.SWITCH(LEFT(C8,1),"R","Residential","C","Commercial","ERROR")</f>
        <v>Commercial</v>
      </c>
      <c r="D4" s="1367"/>
      <c r="E4" s="1367"/>
      <c r="F4" s="1367"/>
    </row>
    <row r="5" spans="1:18" ht="44.25" customHeight="1" x14ac:dyDescent="0.3">
      <c r="B5" s="490" t="s">
        <v>408</v>
      </c>
      <c r="C5" s="1530" t="s">
        <v>214</v>
      </c>
      <c r="D5" s="1531"/>
      <c r="E5" s="1531"/>
      <c r="F5" s="1532"/>
      <c r="R5" s="488"/>
    </row>
    <row r="6" spans="1:18" ht="18.75" customHeight="1" x14ac:dyDescent="0.3">
      <c r="A6" s="573"/>
    </row>
    <row r="7" spans="1:18" ht="18.75" customHeight="1" x14ac:dyDescent="0.3">
      <c r="B7" s="1193" t="s">
        <v>507</v>
      </c>
      <c r="C7" s="493" t="s">
        <v>406</v>
      </c>
      <c r="D7" s="1363" t="s">
        <v>410</v>
      </c>
      <c r="E7" s="1363"/>
      <c r="F7" s="1363"/>
      <c r="R7" s="488"/>
    </row>
    <row r="8" spans="1:18" ht="18.75" customHeight="1" x14ac:dyDescent="0.3">
      <c r="B8" s="490" t="s">
        <v>411</v>
      </c>
      <c r="C8" s="1194" t="s">
        <v>81</v>
      </c>
      <c r="D8" s="1457"/>
      <c r="E8" s="1457"/>
      <c r="F8" s="1457"/>
      <c r="R8" s="488"/>
    </row>
    <row r="9" spans="1:18" ht="18.75" customHeight="1" x14ac:dyDescent="0.3">
      <c r="B9" s="490" t="s">
        <v>49</v>
      </c>
      <c r="C9" s="1194" t="s">
        <v>579</v>
      </c>
      <c r="D9" s="1457"/>
      <c r="E9" s="1457"/>
      <c r="F9" s="1457"/>
      <c r="R9" s="488"/>
    </row>
    <row r="10" spans="1:18" ht="18.75" customHeight="1" x14ac:dyDescent="0.3">
      <c r="B10" s="490" t="s">
        <v>412</v>
      </c>
      <c r="C10" s="1194"/>
      <c r="D10" s="1457"/>
      <c r="E10" s="1457"/>
      <c r="F10" s="1457"/>
      <c r="R10" s="488"/>
    </row>
    <row r="11" spans="1:18" ht="18.75" customHeight="1" x14ac:dyDescent="0.3">
      <c r="B11" s="490" t="s">
        <v>413</v>
      </c>
      <c r="C11" s="1194"/>
      <c r="D11" s="1457"/>
      <c r="E11" s="1457"/>
      <c r="F11" s="1457"/>
      <c r="R11" s="488"/>
    </row>
    <row r="12" spans="1:18" ht="18.75" customHeight="1" x14ac:dyDescent="0.3">
      <c r="B12" s="490" t="s">
        <v>414</v>
      </c>
      <c r="C12" s="1194"/>
      <c r="D12" s="1457"/>
      <c r="E12" s="1457"/>
      <c r="F12" s="1457"/>
      <c r="R12" s="488"/>
    </row>
    <row r="13" spans="1:18" ht="18.75" customHeight="1" x14ac:dyDescent="0.3">
      <c r="B13" s="930" t="s">
        <v>415</v>
      </c>
      <c r="C13" s="495">
        <f>N43</f>
        <v>0</v>
      </c>
      <c r="D13" s="1457"/>
      <c r="E13" s="1457"/>
      <c r="F13" s="1457"/>
      <c r="R13" s="488"/>
    </row>
    <row r="14" spans="1:18" ht="18.75" customHeight="1" x14ac:dyDescent="0.3">
      <c r="B14" s="494" t="s">
        <v>416</v>
      </c>
      <c r="C14" s="495">
        <f>N42</f>
        <v>0</v>
      </c>
      <c r="D14" s="1457"/>
      <c r="E14" s="1457"/>
      <c r="F14" s="1457"/>
      <c r="R14" s="488"/>
    </row>
    <row r="15" spans="1:18" ht="18.75" customHeight="1" x14ac:dyDescent="0.3">
      <c r="B15" s="494" t="s">
        <v>417</v>
      </c>
      <c r="C15" s="495">
        <f>N44</f>
        <v>4.1159005733947991E-3</v>
      </c>
      <c r="D15" s="1457"/>
      <c r="E15" s="1457"/>
      <c r="F15" s="1457"/>
      <c r="R15" s="488"/>
    </row>
    <row r="16" spans="1:18" ht="18.75" customHeight="1" x14ac:dyDescent="0.3">
      <c r="B16" s="494" t="s">
        <v>418</v>
      </c>
      <c r="C16" s="496">
        <f>C37</f>
        <v>0</v>
      </c>
      <c r="D16" s="1457"/>
      <c r="E16" s="1457"/>
      <c r="F16" s="1457"/>
      <c r="R16" s="488"/>
    </row>
    <row r="17" spans="2:18" ht="39.75" customHeight="1" x14ac:dyDescent="0.3">
      <c r="B17" s="490" t="s">
        <v>48</v>
      </c>
      <c r="C17" s="1194" t="s">
        <v>1072</v>
      </c>
      <c r="D17" s="1363" t="s">
        <v>419</v>
      </c>
      <c r="E17" s="1363"/>
      <c r="F17" s="1363"/>
      <c r="R17" s="488"/>
    </row>
    <row r="18" spans="2:18" ht="31.5" customHeight="1" x14ac:dyDescent="0.3">
      <c r="B18" s="490" t="s">
        <v>420</v>
      </c>
      <c r="C18" s="541">
        <v>10</v>
      </c>
      <c r="D18" s="1890" t="s">
        <v>1217</v>
      </c>
      <c r="E18" s="1891" t="s">
        <v>674</v>
      </c>
      <c r="F18" s="1892"/>
      <c r="R18" s="488"/>
    </row>
    <row r="19" spans="2:18" ht="18.75" customHeight="1" x14ac:dyDescent="0.3">
      <c r="B19" s="613"/>
      <c r="C19" s="614"/>
      <c r="F19" s="489"/>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18.75" customHeight="1" x14ac:dyDescent="0.3">
      <c r="B21" s="499" t="s">
        <v>422</v>
      </c>
      <c r="C21" s="1546" t="s">
        <v>215</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46" t="s">
        <v>216</v>
      </c>
      <c r="D22" s="1546"/>
      <c r="E22" s="1546"/>
      <c r="F22" s="1546"/>
      <c r="G22" s="1546"/>
      <c r="H22" s="1546"/>
      <c r="I22" s="1546"/>
      <c r="J22" s="1546"/>
      <c r="K22" s="1546"/>
      <c r="L22" s="1546"/>
      <c r="M22" s="1546"/>
      <c r="N22" s="1546"/>
      <c r="O22" s="1546"/>
      <c r="P22" s="1546"/>
      <c r="Q22" s="1546"/>
      <c r="R22" s="488"/>
    </row>
    <row r="23" spans="2:18" ht="18.75" customHeight="1" x14ac:dyDescent="0.3">
      <c r="B23" s="500" t="s">
        <v>424</v>
      </c>
      <c r="C23" s="1546"/>
      <c r="D23" s="1546"/>
      <c r="E23" s="1546"/>
      <c r="F23" s="1546"/>
      <c r="G23" s="1546"/>
      <c r="H23" s="1546"/>
      <c r="I23" s="1546"/>
      <c r="J23" s="1546"/>
      <c r="K23" s="1546"/>
      <c r="L23" s="1546"/>
      <c r="M23" s="1546"/>
      <c r="N23" s="1546"/>
      <c r="O23" s="1546"/>
      <c r="P23" s="1546"/>
      <c r="Q23" s="154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800"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936"/>
      <c r="D33" s="586" t="s">
        <v>430</v>
      </c>
      <c r="E33" s="1475"/>
      <c r="F33" s="1476"/>
      <c r="G33" s="1476"/>
      <c r="H33" s="1476"/>
      <c r="I33" s="1476"/>
      <c r="J33" s="1476"/>
      <c r="K33" s="1476"/>
      <c r="L33" s="1476"/>
      <c r="M33" s="1476"/>
      <c r="N33" s="1476"/>
      <c r="O33" s="1476"/>
      <c r="P33" s="1476"/>
      <c r="Q33" s="1477"/>
      <c r="R33" s="488"/>
    </row>
    <row r="34" spans="2:18" ht="18.75" customHeight="1" x14ac:dyDescent="0.3">
      <c r="B34" s="494" t="s">
        <v>431</v>
      </c>
      <c r="C34" s="936"/>
      <c r="D34" s="586" t="s">
        <v>430</v>
      </c>
      <c r="E34" s="1475"/>
      <c r="F34" s="1476"/>
      <c r="G34" s="1476"/>
      <c r="H34" s="1476"/>
      <c r="I34" s="1476"/>
      <c r="J34" s="1476"/>
      <c r="K34" s="1476"/>
      <c r="L34" s="1476"/>
      <c r="M34" s="1476"/>
      <c r="N34" s="1476"/>
      <c r="O34" s="1476"/>
      <c r="P34" s="1476"/>
      <c r="Q34" s="1477"/>
    </row>
    <row r="35" spans="2:18" ht="18.75" customHeight="1" x14ac:dyDescent="0.3">
      <c r="B35" s="490" t="s">
        <v>432</v>
      </c>
      <c r="C35" s="936"/>
      <c r="D35" s="586" t="s">
        <v>430</v>
      </c>
      <c r="E35" s="1475"/>
      <c r="F35" s="1476"/>
      <c r="G35" s="1476"/>
      <c r="H35" s="1476"/>
      <c r="I35" s="1476"/>
      <c r="J35" s="1476"/>
      <c r="K35" s="1476"/>
      <c r="L35" s="1476"/>
      <c r="M35" s="1476"/>
      <c r="N35" s="1476"/>
      <c r="O35" s="1476"/>
      <c r="P35" s="1476"/>
      <c r="Q35" s="1477"/>
    </row>
    <row r="36" spans="2:18" ht="18.75" customHeight="1" x14ac:dyDescent="0.3">
      <c r="B36" s="494" t="s">
        <v>433</v>
      </c>
      <c r="C36" s="931"/>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905">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0</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4.1159005733947991E-3</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933" t="s">
        <v>454</v>
      </c>
      <c r="C49" s="1905" t="s">
        <v>1218</v>
      </c>
      <c r="D49" s="1906"/>
      <c r="E49" s="1906"/>
      <c r="F49" s="1906"/>
      <c r="G49" s="1906"/>
      <c r="H49" s="1906"/>
      <c r="I49" s="1906"/>
      <c r="J49" s="1906"/>
      <c r="K49" s="1906"/>
      <c r="L49" s="1906"/>
      <c r="M49" s="1907"/>
      <c r="N49" s="937">
        <f>(1-H72) * (H64 * H65 + H69 - H70 ) * ( H63 / H62 ) * H67 / H71 * kWh_per_BTU</f>
        <v>0</v>
      </c>
      <c r="O49" s="756" t="s">
        <v>443</v>
      </c>
      <c r="P49" s="1510"/>
      <c r="Q49" s="1510"/>
      <c r="R49" s="488"/>
    </row>
    <row r="50" spans="2:18" ht="18.75" customHeight="1" x14ac:dyDescent="0.3">
      <c r="B50" s="582" t="s">
        <v>456</v>
      </c>
      <c r="C50" s="1504" t="s">
        <v>1219</v>
      </c>
      <c r="D50" s="1505"/>
      <c r="E50" s="1505"/>
      <c r="F50" s="1505"/>
      <c r="G50" s="1505"/>
      <c r="H50" s="1505"/>
      <c r="I50" s="1505"/>
      <c r="J50" s="1505"/>
      <c r="K50" s="1505"/>
      <c r="L50" s="1505"/>
      <c r="M50" s="1506"/>
      <c r="N50" s="937">
        <f>H72 * (H64 * H65 + H69 - H70 ) * ( H63 / H62 ) * H67 / H68 * GJ_per_BTU</f>
        <v>4.1159005733947991E-3</v>
      </c>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1220</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467</v>
      </c>
      <c r="D56" s="1505"/>
      <c r="E56" s="1505"/>
      <c r="F56" s="1505"/>
      <c r="G56" s="1505"/>
      <c r="H56" s="1505"/>
      <c r="I56" s="1505"/>
      <c r="J56" s="1505"/>
      <c r="K56" s="1505"/>
      <c r="L56" s="1505"/>
      <c r="M56" s="1506"/>
      <c r="N56" s="620"/>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506" t="s">
        <v>406</v>
      </c>
      <c r="I61" s="506" t="s">
        <v>428</v>
      </c>
      <c r="J61" s="1396" t="s">
        <v>476</v>
      </c>
      <c r="K61" s="1397"/>
      <c r="L61" s="1397"/>
      <c r="M61" s="1397"/>
      <c r="N61" s="1397"/>
      <c r="O61" s="1397"/>
      <c r="P61" s="1397"/>
      <c r="Q61" s="1398"/>
    </row>
    <row r="62" spans="2:18" s="932" customFormat="1" ht="13" x14ac:dyDescent="0.3">
      <c r="B62" s="934">
        <v>1</v>
      </c>
      <c r="C62" s="546" t="s">
        <v>1221</v>
      </c>
      <c r="D62" s="1539" t="s">
        <v>1222</v>
      </c>
      <c r="E62" s="1539"/>
      <c r="F62" s="1217"/>
      <c r="G62" s="1217"/>
      <c r="H62" s="645">
        <v>15</v>
      </c>
      <c r="I62" s="1217" t="s">
        <v>1223</v>
      </c>
      <c r="J62" s="1468" t="s">
        <v>1224</v>
      </c>
      <c r="K62" s="1478"/>
      <c r="L62" s="1478"/>
      <c r="M62" s="1478"/>
      <c r="N62" s="1478"/>
      <c r="O62" s="1478"/>
      <c r="P62" s="1478"/>
      <c r="Q62" s="1469"/>
    </row>
    <row r="63" spans="2:18" s="932" customFormat="1" ht="15" customHeight="1" x14ac:dyDescent="0.3">
      <c r="B63" s="935">
        <v>2</v>
      </c>
      <c r="C63" s="551" t="s">
        <v>1225</v>
      </c>
      <c r="D63" s="1543" t="s">
        <v>1226</v>
      </c>
      <c r="E63" s="1543"/>
      <c r="F63" s="552"/>
      <c r="G63" s="552"/>
      <c r="H63" s="938">
        <v>1</v>
      </c>
      <c r="I63" s="552" t="s">
        <v>909</v>
      </c>
      <c r="J63" s="1482" t="s">
        <v>1078</v>
      </c>
      <c r="K63" s="1544"/>
      <c r="L63" s="1544"/>
      <c r="M63" s="1544"/>
      <c r="N63" s="1544"/>
      <c r="O63" s="1544"/>
      <c r="P63" s="1544"/>
      <c r="Q63" s="1545"/>
    </row>
    <row r="64" spans="2:18" s="932" customFormat="1" ht="27" customHeight="1" x14ac:dyDescent="0.3">
      <c r="B64" s="934">
        <v>3</v>
      </c>
      <c r="C64" s="546" t="s">
        <v>1227</v>
      </c>
      <c r="D64" s="1539" t="s">
        <v>1228</v>
      </c>
      <c r="E64" s="1539"/>
      <c r="F64" s="1217"/>
      <c r="G64" s="1217"/>
      <c r="H64" s="569">
        <f>0.8</f>
        <v>0.8</v>
      </c>
      <c r="I64" s="1217" t="s">
        <v>1229</v>
      </c>
      <c r="J64" s="1468" t="s">
        <v>1230</v>
      </c>
      <c r="K64" s="1478"/>
      <c r="L64" s="1478"/>
      <c r="M64" s="1478"/>
      <c r="N64" s="1478"/>
      <c r="O64" s="1478"/>
      <c r="P64" s="1478"/>
      <c r="Q64" s="1469"/>
    </row>
    <row r="65" spans="2:18" s="932" customFormat="1" ht="13" x14ac:dyDescent="0.3">
      <c r="B65" s="934">
        <v>4</v>
      </c>
      <c r="C65" s="546" t="s">
        <v>1231</v>
      </c>
      <c r="D65" s="1539" t="s">
        <v>1232</v>
      </c>
      <c r="E65" s="1539"/>
      <c r="F65" s="1217"/>
      <c r="G65" s="1217"/>
      <c r="H65" s="645">
        <v>30</v>
      </c>
      <c r="I65" s="1217" t="s">
        <v>1233</v>
      </c>
      <c r="J65" s="1468" t="s">
        <v>1234</v>
      </c>
      <c r="K65" s="1478"/>
      <c r="L65" s="1478"/>
      <c r="M65" s="1478"/>
      <c r="N65" s="1478"/>
      <c r="O65" s="1478"/>
      <c r="P65" s="1478"/>
      <c r="Q65" s="1469"/>
    </row>
    <row r="66" spans="2:18" ht="13" x14ac:dyDescent="0.3">
      <c r="B66" s="533">
        <v>5</v>
      </c>
      <c r="C66" s="546" t="s">
        <v>1235</v>
      </c>
      <c r="D66" s="1539" t="s">
        <v>1236</v>
      </c>
      <c r="E66" s="1539"/>
      <c r="F66" s="1217"/>
      <c r="G66" s="1217"/>
      <c r="H66" s="569">
        <f>Air.T.Indoor.IMP</f>
        <v>68</v>
      </c>
      <c r="I66" s="1217" t="s">
        <v>825</v>
      </c>
      <c r="J66" s="1468" t="s">
        <v>1237</v>
      </c>
      <c r="K66" s="1478"/>
      <c r="L66" s="1478"/>
      <c r="M66" s="1478"/>
      <c r="N66" s="1478"/>
      <c r="O66" s="1478"/>
      <c r="P66" s="1478"/>
      <c r="Q66" s="1469"/>
      <c r="R66" s="488"/>
    </row>
    <row r="67" spans="2:18" s="932" customFormat="1" ht="12.75" customHeight="1" x14ac:dyDescent="0.3">
      <c r="B67" s="934">
        <v>6</v>
      </c>
      <c r="C67" s="546" t="s">
        <v>530</v>
      </c>
      <c r="D67" s="1539" t="s">
        <v>732</v>
      </c>
      <c r="E67" s="1539"/>
      <c r="F67" s="811" t="str">
        <f>$C$28</f>
        <v>Other</v>
      </c>
      <c r="G67" s="924" t="str">
        <f>C26</f>
        <v>Average</v>
      </c>
      <c r="H67" s="939">
        <f>INDEX(EFLH[#All],MATCH(F67,EFLH[[#All],[EFLH]],0),MATCH(G67,EFLH[#Headers],0))</f>
        <v>2617.8472419520012</v>
      </c>
      <c r="I67" s="811" t="s">
        <v>532</v>
      </c>
      <c r="J67" s="1462" t="s">
        <v>533</v>
      </c>
      <c r="K67" s="1470"/>
      <c r="L67" s="1470"/>
      <c r="M67" s="1470"/>
      <c r="N67" s="1470"/>
      <c r="O67" s="1470"/>
      <c r="P67" s="1470"/>
      <c r="Q67" s="1471"/>
    </row>
    <row r="68" spans="2:18" s="932" customFormat="1" ht="15" customHeight="1" x14ac:dyDescent="0.3">
      <c r="B68" s="934">
        <v>7</v>
      </c>
      <c r="C68" s="546" t="s">
        <v>517</v>
      </c>
      <c r="D68" s="1539" t="s">
        <v>1238</v>
      </c>
      <c r="E68" s="1539"/>
      <c r="F68" s="1217"/>
      <c r="G68" s="1217"/>
      <c r="H68" s="609">
        <f>SpaceHeatingEfficiency.CI.NG</f>
        <v>0.85</v>
      </c>
      <c r="I68" s="1217" t="s">
        <v>519</v>
      </c>
      <c r="J68" s="1468" t="s">
        <v>1029</v>
      </c>
      <c r="K68" s="1478"/>
      <c r="L68" s="1478"/>
      <c r="M68" s="1478"/>
      <c r="N68" s="1478"/>
      <c r="O68" s="1478"/>
      <c r="P68" s="1478"/>
      <c r="Q68" s="1469"/>
    </row>
    <row r="69" spans="2:18" ht="36" customHeight="1" x14ac:dyDescent="0.3">
      <c r="B69" s="757">
        <v>8</v>
      </c>
      <c r="C69" s="760" t="s">
        <v>1239</v>
      </c>
      <c r="D69" s="1588" t="s">
        <v>1240</v>
      </c>
      <c r="E69" s="1588"/>
      <c r="F69" s="1191"/>
      <c r="G69" s="1191"/>
      <c r="H69" s="940">
        <f>H66-4</f>
        <v>64</v>
      </c>
      <c r="I69" s="1217" t="s">
        <v>825</v>
      </c>
      <c r="J69" s="1723" t="s">
        <v>1241</v>
      </c>
      <c r="K69" s="1724"/>
      <c r="L69" s="1724"/>
      <c r="M69" s="1724"/>
      <c r="N69" s="1724"/>
      <c r="O69" s="1724"/>
      <c r="P69" s="1724"/>
      <c r="Q69" s="1725"/>
      <c r="R69" s="488"/>
    </row>
    <row r="70" spans="2:18" ht="28.5" customHeight="1" x14ac:dyDescent="0.3">
      <c r="B70" s="757">
        <v>9</v>
      </c>
      <c r="C70" s="760" t="s">
        <v>1242</v>
      </c>
      <c r="D70" s="1588" t="s">
        <v>1243</v>
      </c>
      <c r="E70" s="1588"/>
      <c r="F70" s="1191"/>
      <c r="G70" s="1191"/>
      <c r="H70" s="941">
        <f>H66+1</f>
        <v>69</v>
      </c>
      <c r="I70" s="1217" t="s">
        <v>825</v>
      </c>
      <c r="J70" s="1723" t="s">
        <v>1244</v>
      </c>
      <c r="K70" s="1724"/>
      <c r="L70" s="1724"/>
      <c r="M70" s="1724"/>
      <c r="N70" s="1724"/>
      <c r="O70" s="1724"/>
      <c r="P70" s="1724"/>
      <c r="Q70" s="1725"/>
      <c r="R70" s="488"/>
    </row>
    <row r="71" spans="2:18" ht="15" customHeight="1" x14ac:dyDescent="0.3">
      <c r="B71" s="533">
        <v>10</v>
      </c>
      <c r="C71" s="546" t="s">
        <v>1245</v>
      </c>
      <c r="D71" s="1539" t="s">
        <v>1246</v>
      </c>
      <c r="E71" s="1539"/>
      <c r="F71" s="1217"/>
      <c r="G71" s="1217"/>
      <c r="H71" s="609">
        <f>SpaceHeatingEfficiency.CI.E</f>
        <v>1.4798798798798796</v>
      </c>
      <c r="I71" s="1217" t="s">
        <v>519</v>
      </c>
      <c r="J71" s="1468" t="s">
        <v>1247</v>
      </c>
      <c r="K71" s="1478"/>
      <c r="L71" s="1478"/>
      <c r="M71" s="1478"/>
      <c r="N71" s="1478"/>
      <c r="O71" s="1478"/>
      <c r="P71" s="1478"/>
      <c r="Q71" s="1469"/>
      <c r="R71" s="488"/>
    </row>
    <row r="72" spans="2:18" s="491" customFormat="1" ht="15" customHeight="1" x14ac:dyDescent="0.3">
      <c r="B72" s="536">
        <v>11</v>
      </c>
      <c r="C72" s="555" t="s">
        <v>799</v>
      </c>
      <c r="D72" s="1437" t="s">
        <v>1248</v>
      </c>
      <c r="E72" s="1438"/>
      <c r="F72" s="556"/>
      <c r="G72" s="557"/>
      <c r="H72" s="559">
        <f>IF(C29="Natural gas",1,0)</f>
        <v>1</v>
      </c>
      <c r="I72" s="1217" t="s">
        <v>519</v>
      </c>
      <c r="J72" s="1472" t="s">
        <v>921</v>
      </c>
      <c r="K72" s="1473"/>
      <c r="L72" s="1473"/>
      <c r="M72" s="1473"/>
      <c r="N72" s="1473"/>
      <c r="O72" s="1473"/>
      <c r="P72" s="1473"/>
      <c r="Q72" s="1474"/>
    </row>
    <row r="73" spans="2:18" s="491" customFormat="1" ht="13" x14ac:dyDescent="0.3">
      <c r="B73" s="536">
        <v>12</v>
      </c>
      <c r="C73" s="555"/>
      <c r="D73" s="1437"/>
      <c r="E73" s="1438"/>
      <c r="F73" s="556"/>
      <c r="G73" s="557"/>
      <c r="H73" s="558"/>
      <c r="I73" s="557"/>
      <c r="J73" s="1472"/>
      <c r="K73" s="1473"/>
      <c r="L73" s="1473"/>
      <c r="M73" s="1473"/>
      <c r="N73" s="1473"/>
      <c r="O73" s="1473"/>
      <c r="P73" s="1473"/>
      <c r="Q73" s="1474"/>
    </row>
    <row r="74" spans="2:18" s="491" customFormat="1" ht="13" x14ac:dyDescent="0.3">
      <c r="B74" s="536">
        <v>13</v>
      </c>
      <c r="C74" s="555"/>
      <c r="D74" s="1437"/>
      <c r="E74" s="1438"/>
      <c r="F74" s="556"/>
      <c r="G74" s="557"/>
      <c r="H74" s="556"/>
      <c r="I74" s="557"/>
      <c r="J74" s="1472"/>
      <c r="K74" s="1473"/>
      <c r="L74" s="1473"/>
      <c r="M74" s="1473"/>
      <c r="N74" s="1473"/>
      <c r="O74" s="1473"/>
      <c r="P74" s="1473"/>
      <c r="Q74" s="1474"/>
    </row>
    <row r="75" spans="2:18" s="489" customFormat="1" ht="13.15" customHeight="1" x14ac:dyDescent="0.3">
      <c r="B75" s="536">
        <v>14</v>
      </c>
      <c r="C75" s="555"/>
      <c r="D75" s="1437"/>
      <c r="E75" s="1438"/>
      <c r="F75" s="556"/>
      <c r="G75" s="557"/>
      <c r="H75" s="556"/>
      <c r="I75" s="557"/>
      <c r="J75" s="1472"/>
      <c r="K75" s="1473"/>
      <c r="L75" s="1473"/>
      <c r="M75" s="1473"/>
      <c r="N75" s="1473"/>
      <c r="O75" s="1473"/>
      <c r="P75" s="1473"/>
      <c r="Q75" s="1474"/>
    </row>
    <row r="76" spans="2:18" s="489" customFormat="1" ht="13" x14ac:dyDescent="0.3">
      <c r="B76" s="536">
        <v>15</v>
      </c>
      <c r="C76" s="555"/>
      <c r="D76" s="1437"/>
      <c r="E76" s="1438"/>
      <c r="F76" s="556"/>
      <c r="G76" s="557"/>
      <c r="H76" s="559"/>
      <c r="I76" s="557"/>
      <c r="J76" s="1472"/>
      <c r="K76" s="1473"/>
      <c r="L76" s="1473"/>
      <c r="M76" s="1473"/>
      <c r="N76" s="1473"/>
      <c r="O76" s="1473"/>
      <c r="P76" s="1473"/>
      <c r="Q76" s="1474"/>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182"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182"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c r="R85" s="488"/>
    </row>
    <row r="86" spans="2:18" ht="13" x14ac:dyDescent="0.3">
      <c r="B86" s="533">
        <v>6</v>
      </c>
      <c r="C86" s="942" t="s">
        <v>1249</v>
      </c>
      <c r="D86" s="943">
        <v>5.6782633369999997</v>
      </c>
      <c r="E86" s="944"/>
      <c r="F86" s="1893" t="s">
        <v>1250</v>
      </c>
      <c r="G86" s="1894"/>
      <c r="H86" s="1894"/>
      <c r="I86" s="1894"/>
      <c r="J86" s="1894"/>
      <c r="K86" s="1894"/>
      <c r="L86" s="1894"/>
      <c r="M86" s="1894"/>
      <c r="N86" s="1894"/>
      <c r="O86" s="1894"/>
      <c r="P86" s="1894"/>
      <c r="Q86" s="1895"/>
      <c r="R86" s="488"/>
    </row>
    <row r="87" spans="2:18" ht="13" x14ac:dyDescent="0.3">
      <c r="B87" s="533">
        <v>7</v>
      </c>
      <c r="C87" s="942" t="s">
        <v>1251</v>
      </c>
      <c r="D87" s="945">
        <v>0.55555555555555558</v>
      </c>
      <c r="E87" s="944" t="s">
        <v>1252</v>
      </c>
      <c r="F87" s="1896" t="s">
        <v>1253</v>
      </c>
      <c r="G87" s="1897"/>
      <c r="H87" s="1897"/>
      <c r="I87" s="1897"/>
      <c r="J87" s="1897"/>
      <c r="K87" s="1897"/>
      <c r="L87" s="1897"/>
      <c r="M87" s="1897"/>
      <c r="N87" s="1897"/>
      <c r="O87" s="1897"/>
      <c r="P87" s="1897"/>
      <c r="Q87" s="1898"/>
      <c r="R87" s="488"/>
    </row>
    <row r="88" spans="2:18" ht="13" x14ac:dyDescent="0.3">
      <c r="B88" s="533">
        <v>8</v>
      </c>
      <c r="C88" s="942" t="s">
        <v>1254</v>
      </c>
      <c r="D88" s="943">
        <v>9.2902999999999999E-2</v>
      </c>
      <c r="E88" s="944" t="s">
        <v>1255</v>
      </c>
      <c r="F88" s="1893"/>
      <c r="G88" s="1894"/>
      <c r="H88" s="1894"/>
      <c r="I88" s="1894"/>
      <c r="J88" s="1894"/>
      <c r="K88" s="1894"/>
      <c r="L88" s="1894"/>
      <c r="M88" s="1894"/>
      <c r="N88" s="1894"/>
      <c r="O88" s="1894"/>
      <c r="P88" s="1894"/>
      <c r="Q88" s="1895"/>
      <c r="R88" s="488"/>
    </row>
    <row r="89" spans="2:18" ht="13" x14ac:dyDescent="0.3">
      <c r="B89" s="533">
        <v>9</v>
      </c>
      <c r="C89" s="942" t="s">
        <v>1256</v>
      </c>
      <c r="D89" s="945">
        <v>1.2957000000000001</v>
      </c>
      <c r="E89" s="944" t="s">
        <v>1257</v>
      </c>
      <c r="F89" s="1899" t="s">
        <v>1258</v>
      </c>
      <c r="G89" s="1900"/>
      <c r="H89" s="1900"/>
      <c r="I89" s="1900"/>
      <c r="J89" s="1900"/>
      <c r="K89" s="1900"/>
      <c r="L89" s="1900"/>
      <c r="M89" s="1900"/>
      <c r="N89" s="1900"/>
      <c r="O89" s="1900"/>
      <c r="P89" s="1900"/>
      <c r="Q89" s="1901"/>
      <c r="R89" s="488"/>
    </row>
    <row r="90" spans="2:18" ht="13" x14ac:dyDescent="0.3">
      <c r="B90" s="533">
        <v>10</v>
      </c>
      <c r="C90" s="563"/>
      <c r="D90" s="564"/>
      <c r="E90" s="944"/>
      <c r="F90" s="1902"/>
      <c r="G90" s="1903"/>
      <c r="H90" s="1903"/>
      <c r="I90" s="1903"/>
      <c r="J90" s="1903"/>
      <c r="K90" s="1903"/>
      <c r="L90" s="1903"/>
      <c r="M90" s="1903"/>
      <c r="N90" s="1903"/>
      <c r="O90" s="1903"/>
      <c r="P90" s="1903"/>
      <c r="Q90" s="1904"/>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t="s">
        <v>1259</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08"/>
      <c r="Q95" s="1409"/>
      <c r="R95" s="488"/>
    </row>
    <row r="96" spans="2:18" ht="33" customHeight="1" x14ac:dyDescent="0.3">
      <c r="B96" s="1188" t="s">
        <v>478</v>
      </c>
      <c r="C96" s="1402" t="s">
        <v>538</v>
      </c>
      <c r="D96" s="1431"/>
      <c r="E96" s="565" t="s">
        <v>434</v>
      </c>
      <c r="F96" s="565" t="s">
        <v>1260</v>
      </c>
      <c r="G96" s="565"/>
      <c r="H96" s="565"/>
      <c r="I96" s="565"/>
      <c r="J96" s="565"/>
      <c r="K96" s="565"/>
      <c r="L96" s="565"/>
      <c r="M96" s="565"/>
      <c r="N96" s="566"/>
      <c r="O96" s="1410"/>
      <c r="P96" s="1411"/>
      <c r="Q96" s="1412"/>
      <c r="R96" s="488"/>
    </row>
    <row r="97" spans="2:18" ht="14.5" customHeight="1" x14ac:dyDescent="0.3">
      <c r="B97" s="533">
        <v>1</v>
      </c>
      <c r="C97" s="546" t="s">
        <v>1261</v>
      </c>
      <c r="D97" s="1250"/>
      <c r="E97" s="612">
        <v>6600</v>
      </c>
      <c r="F97" s="622">
        <v>14</v>
      </c>
      <c r="G97" s="1190"/>
      <c r="H97" s="1190"/>
      <c r="I97" s="568"/>
      <c r="J97" s="568"/>
      <c r="K97" s="568"/>
      <c r="L97" s="568"/>
      <c r="M97" s="568"/>
      <c r="N97" s="568"/>
      <c r="O97" s="1890" t="s">
        <v>1217</v>
      </c>
      <c r="P97" s="1891" t="s">
        <v>674</v>
      </c>
      <c r="Q97" s="1892"/>
      <c r="R97" s="488"/>
    </row>
    <row r="98" spans="2:18" ht="14.5" customHeight="1" x14ac:dyDescent="0.3">
      <c r="B98" s="533">
        <v>2</v>
      </c>
      <c r="C98" s="546" t="s">
        <v>1262</v>
      </c>
      <c r="D98" s="1250"/>
      <c r="E98" s="612">
        <v>6650</v>
      </c>
      <c r="F98" s="622">
        <v>16</v>
      </c>
      <c r="G98" s="1190"/>
      <c r="H98" s="1190"/>
      <c r="I98" s="568"/>
      <c r="J98" s="568"/>
      <c r="K98" s="568"/>
      <c r="L98" s="568"/>
      <c r="M98" s="568"/>
      <c r="N98" s="568"/>
      <c r="O98" s="1890" t="s">
        <v>1217</v>
      </c>
      <c r="P98" s="1891" t="s">
        <v>674</v>
      </c>
      <c r="Q98" s="1892"/>
      <c r="R98" s="488"/>
    </row>
    <row r="99" spans="2:18" ht="14.5" customHeight="1" x14ac:dyDescent="0.3">
      <c r="B99" s="533">
        <v>3</v>
      </c>
      <c r="C99" s="546" t="s">
        <v>1263</v>
      </c>
      <c r="D99" s="1250"/>
      <c r="E99" s="612">
        <v>6700</v>
      </c>
      <c r="F99" s="622">
        <v>18</v>
      </c>
      <c r="G99" s="1190"/>
      <c r="H99" s="1190"/>
      <c r="I99" s="568"/>
      <c r="J99" s="568"/>
      <c r="K99" s="568"/>
      <c r="L99" s="568"/>
      <c r="M99" s="568"/>
      <c r="N99" s="568"/>
      <c r="O99" s="1890" t="s">
        <v>1217</v>
      </c>
      <c r="P99" s="1891" t="s">
        <v>674</v>
      </c>
      <c r="Q99" s="1892"/>
      <c r="R99" s="488"/>
    </row>
    <row r="100" spans="2:18" ht="14.5" customHeight="1" x14ac:dyDescent="0.3">
      <c r="B100" s="533">
        <v>4</v>
      </c>
      <c r="C100" s="546" t="s">
        <v>1264</v>
      </c>
      <c r="D100" s="1250"/>
      <c r="E100" s="612">
        <v>6750</v>
      </c>
      <c r="F100" s="622">
        <v>20</v>
      </c>
      <c r="G100" s="1190"/>
      <c r="H100" s="1190"/>
      <c r="I100" s="568"/>
      <c r="J100" s="568"/>
      <c r="K100" s="568"/>
      <c r="L100" s="568"/>
      <c r="M100" s="568"/>
      <c r="N100" s="568"/>
      <c r="O100" s="1890" t="s">
        <v>1217</v>
      </c>
      <c r="P100" s="1891" t="s">
        <v>674</v>
      </c>
      <c r="Q100" s="1892"/>
      <c r="R100" s="488"/>
    </row>
    <row r="101" spans="2:18" ht="14.5" customHeight="1" x14ac:dyDescent="0.3">
      <c r="B101" s="533">
        <v>5</v>
      </c>
      <c r="C101" s="546" t="s">
        <v>1265</v>
      </c>
      <c r="D101" s="1250"/>
      <c r="E101" s="612">
        <v>6800</v>
      </c>
      <c r="F101" s="622">
        <v>22</v>
      </c>
      <c r="G101" s="1190"/>
      <c r="H101" s="1190"/>
      <c r="I101" s="568"/>
      <c r="J101" s="568"/>
      <c r="K101" s="568"/>
      <c r="L101" s="568"/>
      <c r="M101" s="568"/>
      <c r="N101" s="568"/>
      <c r="O101" s="1890" t="s">
        <v>1217</v>
      </c>
      <c r="P101" s="1891" t="s">
        <v>674</v>
      </c>
      <c r="Q101" s="1892"/>
      <c r="R101" s="488"/>
    </row>
    <row r="102" spans="2:18" ht="14.5" customHeight="1" x14ac:dyDescent="0.3">
      <c r="B102" s="533">
        <v>6</v>
      </c>
      <c r="C102" s="546" t="s">
        <v>1266</v>
      </c>
      <c r="D102" s="1250"/>
      <c r="E102" s="612">
        <v>6850</v>
      </c>
      <c r="F102" s="622">
        <v>24</v>
      </c>
      <c r="G102" s="1190"/>
      <c r="H102" s="1190"/>
      <c r="I102" s="569"/>
      <c r="J102" s="569"/>
      <c r="K102" s="569"/>
      <c r="L102" s="569"/>
      <c r="M102" s="569"/>
      <c r="N102" s="569"/>
      <c r="O102" s="1890" t="s">
        <v>1217</v>
      </c>
      <c r="P102" s="1891" t="s">
        <v>674</v>
      </c>
      <c r="Q102" s="1892"/>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sheetData>
  <sheetProtection algorithmName="SHA-512" hashValue="UareL9pJmBuJwbuw91mNAAJgWFaWGbEdxYIFIBNO+ZC3KAct7xMmGCpkoSykCURnUNlXNESZJdKE8GceQFVsIA==" saltValue="1nWPOS3t04sTWUvl5pyCFQ==" spinCount="100000" sheet="1" objects="1" scenarios="1" selectLockedCells="1" selectUnlockedCells="1"/>
  <mergeCells count="121">
    <mergeCell ref="E33:Q33"/>
    <mergeCell ref="E34:Q34"/>
    <mergeCell ref="C22:Q22"/>
    <mergeCell ref="C23:Q23"/>
    <mergeCell ref="D25:Q25"/>
    <mergeCell ref="B20:Q20"/>
    <mergeCell ref="C21:Q21"/>
    <mergeCell ref="P47:Q47"/>
    <mergeCell ref="C48:M48"/>
    <mergeCell ref="P48:Q48"/>
    <mergeCell ref="D29:Q29"/>
    <mergeCell ref="D30:Q30"/>
    <mergeCell ref="C49:M49"/>
    <mergeCell ref="P49:Q49"/>
    <mergeCell ref="C43:M43"/>
    <mergeCell ref="P43:Q43"/>
    <mergeCell ref="C44:M44"/>
    <mergeCell ref="P44:Q44"/>
    <mergeCell ref="C45:M45"/>
    <mergeCell ref="P45:Q45"/>
    <mergeCell ref="P54:Q54"/>
    <mergeCell ref="C55:M55"/>
    <mergeCell ref="P55:Q55"/>
    <mergeCell ref="C56:M56"/>
    <mergeCell ref="P56:Q56"/>
    <mergeCell ref="C50:M50"/>
    <mergeCell ref="P50:Q50"/>
    <mergeCell ref="C51:M51"/>
    <mergeCell ref="P51:Q51"/>
    <mergeCell ref="C53:M53"/>
    <mergeCell ref="P53:Q53"/>
    <mergeCell ref="J63:Q63"/>
    <mergeCell ref="D64:E64"/>
    <mergeCell ref="J64:Q64"/>
    <mergeCell ref="D65:E65"/>
    <mergeCell ref="J65:Q65"/>
    <mergeCell ref="C57:M57"/>
    <mergeCell ref="P57:Q57"/>
    <mergeCell ref="D61:E61"/>
    <mergeCell ref="J61:Q61"/>
    <mergeCell ref="D62:E62"/>
    <mergeCell ref="J62:Q62"/>
    <mergeCell ref="J67:Q67"/>
    <mergeCell ref="D70:E70"/>
    <mergeCell ref="J70:Q70"/>
    <mergeCell ref="D71:E71"/>
    <mergeCell ref="J71:Q71"/>
    <mergeCell ref="D66:E66"/>
    <mergeCell ref="J66:Q66"/>
    <mergeCell ref="D68:E68"/>
    <mergeCell ref="J68:Q68"/>
    <mergeCell ref="E94:N94"/>
    <mergeCell ref="O94:Q96"/>
    <mergeCell ref="F80:Q80"/>
    <mergeCell ref="F81:Q81"/>
    <mergeCell ref="F82:Q82"/>
    <mergeCell ref="F83:Q83"/>
    <mergeCell ref="F84:Q84"/>
    <mergeCell ref="F85:Q85"/>
    <mergeCell ref="F86:Q86"/>
    <mergeCell ref="F87:Q87"/>
    <mergeCell ref="F88:Q88"/>
    <mergeCell ref="F89:Q89"/>
    <mergeCell ref="F90:Q90"/>
    <mergeCell ref="O113:Q113"/>
    <mergeCell ref="O114:Q114"/>
    <mergeCell ref="O115:Q115"/>
    <mergeCell ref="O116:Q116"/>
    <mergeCell ref="D69:E69"/>
    <mergeCell ref="J69:Q69"/>
    <mergeCell ref="O107:Q107"/>
    <mergeCell ref="O108:Q108"/>
    <mergeCell ref="O109:Q109"/>
    <mergeCell ref="O110:Q110"/>
    <mergeCell ref="O111:Q111"/>
    <mergeCell ref="O112:Q112"/>
    <mergeCell ref="O101:Q101"/>
    <mergeCell ref="O102:Q102"/>
    <mergeCell ref="O103:Q103"/>
    <mergeCell ref="O104:Q104"/>
    <mergeCell ref="O105:Q105"/>
    <mergeCell ref="O106:Q106"/>
    <mergeCell ref="B95:D95"/>
    <mergeCell ref="C96:D96"/>
    <mergeCell ref="O97:Q97"/>
    <mergeCell ref="O98:Q98"/>
    <mergeCell ref="O99:Q99"/>
    <mergeCell ref="O100:Q100"/>
    <mergeCell ref="J72:Q72"/>
    <mergeCell ref="D73:E73"/>
    <mergeCell ref="J73:Q73"/>
    <mergeCell ref="D74:E74"/>
    <mergeCell ref="J74:Q74"/>
    <mergeCell ref="D75:E75"/>
    <mergeCell ref="J75:Q75"/>
    <mergeCell ref="D76:E76"/>
    <mergeCell ref="J76:Q76"/>
    <mergeCell ref="C2:F2"/>
    <mergeCell ref="C3:F3"/>
    <mergeCell ref="C4:F4"/>
    <mergeCell ref="D17:F17"/>
    <mergeCell ref="C5:F5"/>
    <mergeCell ref="D7:F7"/>
    <mergeCell ref="D8:F16"/>
    <mergeCell ref="D18:F18"/>
    <mergeCell ref="D72:E72"/>
    <mergeCell ref="D67:E67"/>
    <mergeCell ref="D63:E63"/>
    <mergeCell ref="C54:M54"/>
    <mergeCell ref="C47:M47"/>
    <mergeCell ref="E35:Q35"/>
    <mergeCell ref="E36:Q36"/>
    <mergeCell ref="E37:Q37"/>
    <mergeCell ref="C41:M41"/>
    <mergeCell ref="P41:Q41"/>
    <mergeCell ref="C42:M42"/>
    <mergeCell ref="P42:Q42"/>
    <mergeCell ref="D26:Q26"/>
    <mergeCell ref="D27:Q27"/>
    <mergeCell ref="D28:Q28"/>
    <mergeCell ref="E32:Q32"/>
  </mergeCells>
  <conditionalFormatting sqref="H64">
    <cfRule type="expression" dxfId="3100" priority="52">
      <formula>IF(OR(#REF!="L",#REF!="C"),TRUE,FALSE)</formula>
    </cfRule>
  </conditionalFormatting>
  <conditionalFormatting sqref="H68">
    <cfRule type="expression" dxfId="3099" priority="48">
      <formula>IF(OR(#REF!="L",#REF!="C"),TRUE,FALSE)</formula>
    </cfRule>
  </conditionalFormatting>
  <conditionalFormatting sqref="F109:F116 G102:G116 H104:H116">
    <cfRule type="expression" dxfId="3098" priority="45">
      <formula>IF(OR(#REF!="L",#REF!="C"),TRUE,FALSE)</formula>
    </cfRule>
  </conditionalFormatting>
  <conditionalFormatting sqref="E110:E116">
    <cfRule type="expression" dxfId="3097" priority="44">
      <formula>IF(OR(#REF!="L",#REF!="C"),TRUE,FALSE)</formula>
    </cfRule>
  </conditionalFormatting>
  <conditionalFormatting sqref="E107">
    <cfRule type="expression" dxfId="3096" priority="43">
      <formula>IF(OR(#REF!="L",#REF!="C"),TRUE,FALSE)</formula>
    </cfRule>
  </conditionalFormatting>
  <conditionalFormatting sqref="E108">
    <cfRule type="expression" dxfId="3095" priority="42">
      <formula>IF(OR(#REF!="L",#REF!="C"),TRUE,FALSE)</formula>
    </cfRule>
  </conditionalFormatting>
  <conditionalFormatting sqref="E109">
    <cfRule type="expression" dxfId="3094" priority="41">
      <formula>IF(OR(#REF!="L",#REF!="C"),TRUE,FALSE)</formula>
    </cfRule>
  </conditionalFormatting>
  <conditionalFormatting sqref="E106">
    <cfRule type="expression" dxfId="3093" priority="40">
      <formula>IF(OR(#REF!="L",#REF!="C"),TRUE,FALSE)</formula>
    </cfRule>
  </conditionalFormatting>
  <conditionalFormatting sqref="E95 G95 I95 K95 M95">
    <cfRule type="duplicateValues" dxfId="3092" priority="39"/>
  </conditionalFormatting>
  <conditionalFormatting sqref="M104:M116">
    <cfRule type="expression" dxfId="3091" priority="29">
      <formula>IF(OR(#REF!="L",#REF!="C"),TRUE,FALSE)</formula>
    </cfRule>
  </conditionalFormatting>
  <conditionalFormatting sqref="F102:F106">
    <cfRule type="expression" dxfId="3090" priority="38">
      <formula>IF(OR(#REF!="L",#REF!="C"),TRUE,FALSE)</formula>
    </cfRule>
  </conditionalFormatting>
  <conditionalFormatting sqref="I102:I103">
    <cfRule type="expression" dxfId="3089" priority="36">
      <formula>IF(OR(#REF!="L",#REF!="C"),TRUE,FALSE)</formula>
    </cfRule>
  </conditionalFormatting>
  <conditionalFormatting sqref="N102:N103">
    <cfRule type="expression" dxfId="3088" priority="26">
      <formula>IF(OR(#REF!="L",#REF!="C"),TRUE,FALSE)</formula>
    </cfRule>
  </conditionalFormatting>
  <conditionalFormatting sqref="I104:I116">
    <cfRule type="expression" dxfId="3087" priority="37">
      <formula>IF(OR(#REF!="L",#REF!="C"),TRUE,FALSE)</formula>
    </cfRule>
  </conditionalFormatting>
  <conditionalFormatting sqref="J102:J103">
    <cfRule type="expression" dxfId="3086" priority="34">
      <formula>IF(OR(#REF!="L",#REF!="C"),TRUE,FALSE)</formula>
    </cfRule>
  </conditionalFormatting>
  <conditionalFormatting sqref="J104:J116">
    <cfRule type="expression" dxfId="3085" priority="35">
      <formula>IF(OR(#REF!="L",#REF!="C"),TRUE,FALSE)</formula>
    </cfRule>
  </conditionalFormatting>
  <conditionalFormatting sqref="K102:K103">
    <cfRule type="expression" dxfId="3084" priority="32">
      <formula>IF(OR(#REF!="L",#REF!="C"),TRUE,FALSE)</formula>
    </cfRule>
  </conditionalFormatting>
  <conditionalFormatting sqref="K104:K116">
    <cfRule type="expression" dxfId="3083" priority="33">
      <formula>IF(OR(#REF!="L",#REF!="C"),TRUE,FALSE)</formula>
    </cfRule>
  </conditionalFormatting>
  <conditionalFormatting sqref="L102:L103">
    <cfRule type="expression" dxfId="3082" priority="30">
      <formula>IF(OR(#REF!="L",#REF!="C"),TRUE,FALSE)</formula>
    </cfRule>
  </conditionalFormatting>
  <conditionalFormatting sqref="L104:L116">
    <cfRule type="expression" dxfId="3081" priority="31">
      <formula>IF(OR(#REF!="L",#REF!="C"),TRUE,FALSE)</formula>
    </cfRule>
  </conditionalFormatting>
  <conditionalFormatting sqref="M102:M103">
    <cfRule type="expression" dxfId="3080" priority="28">
      <formula>IF(OR(#REF!="L",#REF!="C"),TRUE,FALSE)</formula>
    </cfRule>
  </conditionalFormatting>
  <conditionalFormatting sqref="N104:N116">
    <cfRule type="expression" dxfId="3079" priority="27">
      <formula>IF(OR(#REF!="L",#REF!="C"),TRUE,FALSE)</formula>
    </cfRule>
  </conditionalFormatting>
  <conditionalFormatting sqref="H62">
    <cfRule type="expression" dxfId="3078" priority="24">
      <formula>IF(OR(#REF!="L",#REF!="C"),TRUE,FALSE)</formula>
    </cfRule>
  </conditionalFormatting>
  <conditionalFormatting sqref="O103">
    <cfRule type="expression" dxfId="3077" priority="22">
      <formula>IF(OR(#REF!="L",#REF!="C"),TRUE,FALSE)</formula>
    </cfRule>
  </conditionalFormatting>
  <conditionalFormatting sqref="O104:O116">
    <cfRule type="expression" dxfId="3076" priority="23">
      <formula>IF(OR(#REF!="L",#REF!="C"),TRUE,FALSE)</formula>
    </cfRule>
  </conditionalFormatting>
  <conditionalFormatting sqref="E96:N96">
    <cfRule type="duplicateValues" dxfId="3075" priority="21"/>
  </conditionalFormatting>
  <conditionalFormatting sqref="H65">
    <cfRule type="expression" dxfId="3074" priority="20">
      <formula>IF(OR(#REF!="L",#REF!="C"),TRUE,FALSE)</formula>
    </cfRule>
  </conditionalFormatting>
  <conditionalFormatting sqref="H66">
    <cfRule type="expression" dxfId="3073" priority="18">
      <formula>IF(OR(#REF!="L",#REF!="C"),TRUE,FALSE)</formula>
    </cfRule>
  </conditionalFormatting>
  <conditionalFormatting sqref="H63">
    <cfRule type="expression" dxfId="3072" priority="13">
      <formula>IF(OR(#REF!="L",#REF!="C"),TRUE,FALSE)</formula>
    </cfRule>
  </conditionalFormatting>
  <conditionalFormatting sqref="F97:F101">
    <cfRule type="expression" dxfId="3071" priority="11">
      <formula>IF(OR(#REF!="L",#REF!="C"),TRUE,FALSE)</formula>
    </cfRule>
  </conditionalFormatting>
  <conditionalFormatting sqref="H69">
    <cfRule type="expression" dxfId="3070" priority="10">
      <formula>IF(OR(#REF!="L",#REF!="C"),TRUE,FALSE)</formula>
    </cfRule>
  </conditionalFormatting>
  <conditionalFormatting sqref="H70">
    <cfRule type="expression" dxfId="3069" priority="9">
      <formula>IF(OR(#REF!="L",#REF!="C"),TRUE,FALSE)</formula>
    </cfRule>
  </conditionalFormatting>
  <conditionalFormatting sqref="H72">
    <cfRule type="expression" dxfId="3068" priority="8">
      <formula>IF(OR(#REF!="L",#REF!="C"),TRUE,FALSE)</formula>
    </cfRule>
  </conditionalFormatting>
  <conditionalFormatting sqref="H73">
    <cfRule type="expression" dxfId="3067" priority="7">
      <formula>IF(OR(#REF!="L",#REF!="C"),TRUE,FALSE)</formula>
    </cfRule>
  </conditionalFormatting>
  <conditionalFormatting sqref="H74">
    <cfRule type="expression" dxfId="3066" priority="6">
      <formula>IF(OR(#REF!="L",#REF!="C"),TRUE,FALSE)</formula>
    </cfRule>
  </conditionalFormatting>
  <conditionalFormatting sqref="H75">
    <cfRule type="expression" dxfId="3065" priority="5">
      <formula>IF(OR(#REF!="L",#REF!="C"),TRUE,FALSE)</formula>
    </cfRule>
  </conditionalFormatting>
  <conditionalFormatting sqref="H76">
    <cfRule type="expression" dxfId="3064" priority="3">
      <formula>IF(OR(#REF!="L",#REF!="C"),TRUE,FALSE)</formula>
    </cfRule>
  </conditionalFormatting>
  <conditionalFormatting sqref="H67">
    <cfRule type="expression" dxfId="3063" priority="2">
      <formula>IF(OR(#REF!="L",#REF!="C"),TRUE,FALSE)</formula>
    </cfRule>
  </conditionalFormatting>
  <conditionalFormatting sqref="H71">
    <cfRule type="expression" dxfId="3062" priority="1">
      <formula>IF(OR(#REF!="L",#REF!="C"),TRUE,FALSE)</formula>
    </cfRule>
  </conditionalFormatting>
  <dataValidations count="9">
    <dataValidation type="list" allowBlank="1" showInputMessage="1" showErrorMessage="1" sqref="F62:F65" xr:uid="{EA1F5529-10A0-431B-A343-C52D3FF1946C}">
      <formula1>#REF!</formula1>
    </dataValidation>
    <dataValidation type="list" allowBlank="1" showInputMessage="1" showErrorMessage="1" sqref="F70" xr:uid="{0BD06E0A-404B-4FF6-A9DC-CCB0AFD698CE}">
      <formula1>$C$97:$C$116</formula1>
    </dataValidation>
    <dataValidation type="list" allowBlank="1" showInputMessage="1" showErrorMessage="1" sqref="F72:F74" xr:uid="{CB78DDC4-FE75-42A7-A60F-7D6CE6D16DB1}">
      <formula1>$C$102:$C$107</formula1>
    </dataValidation>
    <dataValidation type="list" allowBlank="1" showInputMessage="1" showErrorMessage="1" sqref="C4" xr:uid="{8B3C7BEB-773B-4870-8A96-F91D036C7801}">
      <formula1>"COM,RES"</formula1>
    </dataValidation>
    <dataValidation type="list" allowBlank="1" showInputMessage="1" showErrorMessage="1" sqref="C9" xr:uid="{27014E5F-7AF4-43ED-9B64-53F8D35C5086}">
      <formula1>INDIRECT("MeasureTypeList[Index]")</formula1>
    </dataValidation>
    <dataValidation type="list" allowBlank="1" showInputMessage="1" showErrorMessage="1" sqref="C26" xr:uid="{4A6F8131-C4D9-47EB-A3C8-CA9142F30F32}">
      <formula1>INDIRECT("RegionList[Index]")</formula1>
    </dataValidation>
    <dataValidation type="list" allowBlank="1" showInputMessage="1" showErrorMessage="1" sqref="C27" xr:uid="{FA035BB2-0D93-4737-A17F-521A442A1500}">
      <formula1>INDIRECT("ReplacementTypeList[Index]")</formula1>
    </dataValidation>
    <dataValidation type="list" allowBlank="1" showInputMessage="1" showErrorMessage="1" sqref="C28" xr:uid="{D51B29A4-7CD7-4C9E-AA5B-6E6E09DEAA0D}">
      <formula1>INDIRECT("BuildingType[Building]")</formula1>
    </dataValidation>
    <dataValidation type="list" allowBlank="1" showInputMessage="1" showErrorMessage="1" sqref="C29 C30" xr:uid="{394C2418-2231-4D4D-839D-4BC7D6F10878}">
      <formula1>INDIRECT("FuelTypeList[Index]")</formula1>
    </dataValidation>
  </dataValidations>
  <hyperlinks>
    <hyperlink ref="F89" r:id="rId1" xr:uid="{586FA488-C756-45DE-8128-958185C1AB6E}"/>
    <hyperlink ref="F82" r:id="rId2" xr:uid="{3D975114-0E97-4601-9EA6-3E62FAAE4AA1}"/>
    <hyperlink ref="F83" r:id="rId3" xr:uid="{F216DE60-DE72-4C75-8BD1-CBFCD45D3822}"/>
    <hyperlink ref="F85" r:id="rId4" xr:uid="{083DF674-E748-4906-83CB-545A40C0485E}"/>
    <hyperlink ref="F84" r:id="rId5" xr:uid="{12201504-C1C6-4554-8AE5-AFA26039340C}"/>
  </hyperlinks>
  <pageMargins left="0.7" right="0.7" top="0.75" bottom="0.75" header="0.3" footer="0.3"/>
  <pageSetup orientation="portrait"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6828A-F5C9-4BA0-8B92-E8C2DF9C7A78}">
  <sheetPr codeName="Sheet3">
    <tabColor theme="1" tint="0.499984740745262"/>
  </sheetPr>
  <dimension ref="A1:AD75"/>
  <sheetViews>
    <sheetView workbookViewId="0">
      <selection sqref="A1:C1"/>
    </sheetView>
  </sheetViews>
  <sheetFormatPr defaultColWidth="10.08984375" defaultRowHeight="14.5" x14ac:dyDescent="0.35"/>
  <cols>
    <col min="1" max="1" width="8.81640625" style="1303" customWidth="1"/>
    <col min="2" max="2" width="14.08984375" style="1303" customWidth="1"/>
    <col min="3" max="3" width="14.08984375" style="1330" customWidth="1"/>
    <col min="4" max="4" width="14.08984375" style="1330" hidden="1" customWidth="1"/>
    <col min="5" max="5" width="26.7265625" style="1331" hidden="1" customWidth="1"/>
    <col min="6" max="6" width="45.6328125" style="1330" customWidth="1"/>
    <col min="7" max="7" width="30.7265625" style="1332" customWidth="1"/>
    <col min="8" max="8" width="24.36328125" style="1330" customWidth="1"/>
    <col min="9" max="9" width="16.6328125" style="1333" hidden="1" customWidth="1"/>
    <col min="10" max="10" width="17.36328125" style="1334" hidden="1" customWidth="1"/>
    <col min="11" max="11" width="35.7265625" style="1334" hidden="1" customWidth="1"/>
    <col min="12" max="12" width="22.36328125" style="1334" hidden="1" customWidth="1"/>
    <col min="13" max="13" width="15.81640625" style="1335" customWidth="1"/>
    <col min="14" max="14" width="12.08984375" style="1335" customWidth="1"/>
    <col min="15" max="17" width="13.6328125" style="1335" customWidth="1"/>
    <col min="18" max="18" width="13.08984375" style="1336" customWidth="1"/>
    <col min="19" max="19" width="20.7265625" style="1337" customWidth="1"/>
    <col min="20" max="20" width="19.36328125" style="1338" customWidth="1"/>
    <col min="21" max="22" width="13.81640625" style="1338" customWidth="1"/>
    <col min="23" max="27" width="16" style="1338" customWidth="1"/>
    <col min="28" max="29" width="13.81640625" style="1338" customWidth="1"/>
    <col min="30" max="30" width="17.7265625" style="1338" customWidth="1"/>
    <col min="31" max="16384" width="10.08984375" style="1319"/>
  </cols>
  <sheetData>
    <row r="1" spans="1:30" s="1301" customFormat="1" ht="15" customHeight="1" x14ac:dyDescent="0.3">
      <c r="A1" s="1350" t="s">
        <v>36</v>
      </c>
      <c r="B1" s="1350"/>
      <c r="C1" s="1350"/>
      <c r="D1" s="1351" t="s">
        <v>37</v>
      </c>
      <c r="E1" s="1351"/>
      <c r="F1" s="1353" t="s">
        <v>38</v>
      </c>
      <c r="G1" s="1353"/>
      <c r="H1" s="1353"/>
      <c r="I1" s="1355" t="s">
        <v>39</v>
      </c>
      <c r="J1" s="1355"/>
      <c r="K1" s="1276"/>
      <c r="L1" s="1276"/>
      <c r="M1" s="1356" t="s">
        <v>40</v>
      </c>
      <c r="N1" s="1356"/>
      <c r="O1" s="1356"/>
      <c r="P1" s="1356"/>
      <c r="Q1" s="1356"/>
      <c r="R1" s="1354" t="s">
        <v>41</v>
      </c>
      <c r="S1" s="1354"/>
      <c r="T1" s="1354"/>
      <c r="U1" s="1354"/>
      <c r="V1" s="1354"/>
      <c r="W1" s="1352" t="s">
        <v>42</v>
      </c>
      <c r="X1" s="1352"/>
      <c r="Y1" s="1352"/>
      <c r="Z1" s="1352"/>
      <c r="AA1" s="1352"/>
      <c r="AB1" s="1352"/>
      <c r="AC1" s="1352"/>
      <c r="AD1" s="1352"/>
    </row>
    <row r="2" spans="1:30" s="134" customFormat="1" ht="58" x14ac:dyDescent="0.35">
      <c r="A2" s="128" t="s">
        <v>43</v>
      </c>
      <c r="B2" s="128" t="s">
        <v>11</v>
      </c>
      <c r="C2" s="129" t="s">
        <v>44</v>
      </c>
      <c r="D2" s="1107" t="s">
        <v>45</v>
      </c>
      <c r="E2" s="1108" t="s">
        <v>46</v>
      </c>
      <c r="F2" s="130" t="s">
        <v>47</v>
      </c>
      <c r="G2" s="138" t="s">
        <v>48</v>
      </c>
      <c r="H2" s="130" t="s">
        <v>49</v>
      </c>
      <c r="I2" s="1302" t="s">
        <v>50</v>
      </c>
      <c r="J2" s="232" t="s">
        <v>51</v>
      </c>
      <c r="K2" s="232" t="s">
        <v>52</v>
      </c>
      <c r="L2" s="232" t="s">
        <v>53</v>
      </c>
      <c r="M2" s="139" t="s">
        <v>54</v>
      </c>
      <c r="N2" s="139" t="s">
        <v>9</v>
      </c>
      <c r="O2" s="139" t="s">
        <v>27</v>
      </c>
      <c r="P2" s="139" t="s">
        <v>33</v>
      </c>
      <c r="Q2" s="139" t="s">
        <v>35</v>
      </c>
      <c r="R2" s="131" t="s">
        <v>55</v>
      </c>
      <c r="S2" s="132" t="s">
        <v>56</v>
      </c>
      <c r="T2" s="131" t="s">
        <v>57</v>
      </c>
      <c r="U2" s="131" t="s">
        <v>58</v>
      </c>
      <c r="V2" s="131" t="s">
        <v>59</v>
      </c>
      <c r="W2" s="133" t="s">
        <v>60</v>
      </c>
      <c r="X2" s="133" t="s">
        <v>61</v>
      </c>
      <c r="Y2" s="133" t="s">
        <v>62</v>
      </c>
      <c r="Z2" s="133" t="s">
        <v>63</v>
      </c>
      <c r="AA2" s="133" t="s">
        <v>64</v>
      </c>
      <c r="AB2" s="133" t="s">
        <v>65</v>
      </c>
      <c r="AC2" s="133" t="s">
        <v>66</v>
      </c>
      <c r="AD2" s="133" t="s">
        <v>67</v>
      </c>
    </row>
    <row r="3" spans="1:30" s="1305" customFormat="1" ht="12" x14ac:dyDescent="0.3">
      <c r="A3" s="1303" t="s">
        <v>145</v>
      </c>
      <c r="B3" s="1303" t="str">
        <f t="shared" ref="B3:B34" ca="1" si="0">INDIRECT("'"&amp;A3&amp;"'!C4")</f>
        <v>Commercial</v>
      </c>
      <c r="C3" s="1304" t="str">
        <f t="shared" ref="C3:C34" si="1">HYPERLINK("#'"&amp;A3&amp;"'!A1","Go to "&amp;A3)</f>
        <v>Go to C-WB-001</v>
      </c>
      <c r="D3" s="1305" t="str">
        <f t="shared" ref="D3:D34" ca="1" si="2">B3&amp;E3</f>
        <v>CommercialAir curtain for overhead doors, ft^2 of Doorway Area</v>
      </c>
      <c r="E3" s="1305" t="str">
        <f t="shared" ref="E3:E34" ca="1" si="3">F3&amp;", "&amp;G3</f>
        <v>Air curtain for overhead doors, ft^2 of Doorway Area</v>
      </c>
      <c r="F3" s="1305" t="str">
        <f t="shared" ref="F3:F34" ca="1" si="4">INDIRECT("'"&amp;A3&amp;"'!C5")</f>
        <v>Air curtain for overhead doors</v>
      </c>
      <c r="G3" s="1306" t="str">
        <f t="shared" ref="G3:G34" ca="1" si="5">INDIRECT("'"&amp;A3&amp;"'!C17")</f>
        <v>ft^2 of Doorway Area</v>
      </c>
      <c r="H3" s="1307" t="str">
        <f t="shared" ref="H3:H34" ca="1" si="6">INDIRECT("'"&amp;A3&amp;"'!C9")</f>
        <v>Whole Building</v>
      </c>
      <c r="I3" s="1308"/>
      <c r="J3" s="1309" t="s">
        <v>69</v>
      </c>
      <c r="K3" s="1309" t="s">
        <v>146</v>
      </c>
      <c r="L3" s="1310"/>
      <c r="M3" s="1311" t="str">
        <f t="shared" ref="M3:M34" ca="1" si="7">INDIRECT("'"&amp;A3&amp;"'!C28")</f>
        <v>Other</v>
      </c>
      <c r="N3" s="1311" t="str">
        <f t="shared" ref="N3:N34" ca="1" si="8">INDIRECT("'"&amp;$A3&amp;"'!C26")</f>
        <v>Average</v>
      </c>
      <c r="O3" s="1311" t="str">
        <f t="shared" ref="O3:O34" ca="1" si="9">INDIRECT("'"&amp;A3&amp;"'!C27")</f>
        <v>RET</v>
      </c>
      <c r="P3" s="1311" t="str">
        <f t="shared" ref="P3:P34" ca="1" si="10">INDIRECT("'"&amp;$A3&amp;"'!C29")</f>
        <v>Natural gas</v>
      </c>
      <c r="Q3" s="1311" t="str">
        <f t="shared" ref="Q3:Q34" ca="1" si="11">INDIRECT("'"&amp;$A3&amp;"'!C30")</f>
        <v>Natural gas</v>
      </c>
      <c r="R3" s="1312">
        <f t="shared" ref="R3:R34" ca="1" si="12">ROUND(INDIRECT("'"&amp;A3&amp;"'!C18"),0)</f>
        <v>15</v>
      </c>
      <c r="S3" s="1313">
        <f t="shared" ref="S3:S34" ca="1" si="13">INDIRECT("'"&amp;A3&amp;"'!C13")</f>
        <v>0</v>
      </c>
      <c r="T3" s="1313">
        <f t="shared" ref="T3:T34" ca="1" si="14">INDIRECT("'"&amp;A3&amp;"'!C15")</f>
        <v>1.6927418907055651</v>
      </c>
      <c r="U3" s="1314">
        <f t="shared" ref="U3:U34" ca="1" si="15">S3*GHG.E+T3*GHG.NG</f>
        <v>8.7323475915827994E-2</v>
      </c>
      <c r="V3" s="1315">
        <f t="shared" ref="V3:V34" ca="1" si="16">INDIRECT("'"&amp;A3&amp;"'!C16")</f>
        <v>0</v>
      </c>
      <c r="W3" s="1316">
        <f t="shared" ref="W3:W34" ca="1" si="17">$R3*S3</f>
        <v>0</v>
      </c>
      <c r="X3" s="1316">
        <f t="shared" ref="X3:X34" ca="1" si="18">$R3*T3</f>
        <v>25.391128360583476</v>
      </c>
      <c r="Y3" s="1316">
        <f t="shared" ref="Y3:Y34" ca="1" si="19">$R3*U3</f>
        <v>1.30985213873742</v>
      </c>
      <c r="Z3" s="1316" t="str">
        <f t="shared" ref="Z3:Z34" ca="1" si="20">IF(S3&lt;=0,"",V3/(S3*R3)*100)</f>
        <v/>
      </c>
      <c r="AA3" s="1317">
        <f t="shared" ref="AA3:AA34" ca="1" si="21">SUM(AB3:AD3)</f>
        <v>135.98170336898147</v>
      </c>
      <c r="AB3" s="1318">
        <f ca="1">VLOOKUP($B3&amp;$R3,'Value of Savings'!$B:$G,4,FALSE)*S3</f>
        <v>0</v>
      </c>
      <c r="AC3" s="1318">
        <f ca="1">VLOOKUP($B3&amp;$R3,'Value of Savings'!$B:$G,5,FALSE)*T3</f>
        <v>93.117666404731224</v>
      </c>
      <c r="AD3" s="1318">
        <f ca="1">VLOOKUP($B3&amp;$R3,'Value of Savings'!$B:$G,6,FALSE)*U3</f>
        <v>42.864036964250253</v>
      </c>
    </row>
    <row r="4" spans="1:30" s="1305" customFormat="1" ht="12" x14ac:dyDescent="0.3">
      <c r="A4" s="1303" t="s">
        <v>147</v>
      </c>
      <c r="B4" s="1303" t="str">
        <f t="shared" ca="1" si="0"/>
        <v>Commercial</v>
      </c>
      <c r="C4" s="1304" t="str">
        <f t="shared" si="1"/>
        <v>Go to C-WB-003</v>
      </c>
      <c r="D4" s="1305" t="str">
        <f t="shared" ca="1" si="2"/>
        <v>CommercialAir infiltration / sealing and pressurization, Custom</v>
      </c>
      <c r="E4" s="1305" t="str">
        <f t="shared" ca="1" si="3"/>
        <v>Air infiltration / sealing and pressurization, Custom</v>
      </c>
      <c r="F4" s="1305" t="str">
        <f t="shared" ca="1" si="4"/>
        <v>Air infiltration / sealing and pressurization</v>
      </c>
      <c r="G4" s="1306" t="str">
        <f t="shared" ca="1" si="5"/>
        <v>Custom</v>
      </c>
      <c r="H4" s="1307" t="str">
        <f t="shared" ca="1" si="6"/>
        <v>Whole Building</v>
      </c>
      <c r="I4" s="1308"/>
      <c r="J4" s="1309" t="s">
        <v>69</v>
      </c>
      <c r="K4" s="1309" t="s">
        <v>146</v>
      </c>
      <c r="L4" s="1310"/>
      <c r="M4" s="1311" t="str">
        <f t="shared" ca="1" si="7"/>
        <v>Other</v>
      </c>
      <c r="N4" s="1311" t="str">
        <f t="shared" ca="1" si="8"/>
        <v>Average</v>
      </c>
      <c r="O4" s="1311" t="str">
        <f t="shared" ca="1" si="9"/>
        <v>RET</v>
      </c>
      <c r="P4" s="1311" t="str">
        <f t="shared" ca="1" si="10"/>
        <v>Natural gas</v>
      </c>
      <c r="Q4" s="1311" t="str">
        <f t="shared" ca="1" si="11"/>
        <v>Natural gas</v>
      </c>
      <c r="R4" s="1312">
        <f t="shared" ca="1" si="12"/>
        <v>15</v>
      </c>
      <c r="S4" s="1313">
        <f t="shared" ca="1" si="13"/>
        <v>0</v>
      </c>
      <c r="T4" s="1313">
        <f t="shared" ca="1" si="14"/>
        <v>0</v>
      </c>
      <c r="U4" s="1314">
        <f t="shared" ca="1" si="15"/>
        <v>0</v>
      </c>
      <c r="V4" s="1315">
        <f t="shared" ca="1" si="16"/>
        <v>0</v>
      </c>
      <c r="W4" s="1316">
        <f t="shared" ca="1" si="17"/>
        <v>0</v>
      </c>
      <c r="X4" s="1316">
        <f t="shared" ca="1" si="18"/>
        <v>0</v>
      </c>
      <c r="Y4" s="1316">
        <f t="shared" ca="1" si="19"/>
        <v>0</v>
      </c>
      <c r="Z4" s="1316" t="str">
        <f t="shared" ca="1" si="20"/>
        <v/>
      </c>
      <c r="AA4" s="1317">
        <f t="shared" ca="1" si="21"/>
        <v>0</v>
      </c>
      <c r="AB4" s="1318">
        <f ca="1">VLOOKUP($B4&amp;$R4,'Value of Savings'!$B:$G,4,FALSE)*S4</f>
        <v>0</v>
      </c>
      <c r="AC4" s="1318">
        <f ca="1">VLOOKUP($B4&amp;$R4,'Value of Savings'!$B:$G,5,FALSE)*T4</f>
        <v>0</v>
      </c>
      <c r="AD4" s="1318">
        <f ca="1">VLOOKUP($B4&amp;$R4,'Value of Savings'!$B:$G,6,FALSE)*U4</f>
        <v>0</v>
      </c>
    </row>
    <row r="5" spans="1:30" ht="12" x14ac:dyDescent="0.3">
      <c r="A5" s="1303" t="s">
        <v>183</v>
      </c>
      <c r="B5" s="1303" t="str">
        <f t="shared" ca="1" si="0"/>
        <v>Residential</v>
      </c>
      <c r="C5" s="1304" t="str">
        <f t="shared" si="1"/>
        <v>Go to R-WB-006</v>
      </c>
      <c r="D5" s="1305" t="str">
        <f t="shared" ca="1" si="2"/>
        <v>ResidentialAir sealing (infiltration reduction), Custom</v>
      </c>
      <c r="E5" s="1305" t="str">
        <f t="shared" ca="1" si="3"/>
        <v>Air sealing (infiltration reduction), Custom</v>
      </c>
      <c r="F5" s="1305" t="str">
        <f t="shared" ca="1" si="4"/>
        <v>Air sealing (infiltration reduction)</v>
      </c>
      <c r="G5" s="1306" t="str">
        <f t="shared" ca="1" si="5"/>
        <v>Custom</v>
      </c>
      <c r="H5" s="1307" t="str">
        <f t="shared" ca="1" si="6"/>
        <v>Whole Building</v>
      </c>
      <c r="I5" s="1308"/>
      <c r="J5" s="1309" t="s">
        <v>69</v>
      </c>
      <c r="K5" s="1309" t="s">
        <v>163</v>
      </c>
      <c r="L5" s="1310"/>
      <c r="M5" s="1311" t="str">
        <f t="shared" ca="1" si="7"/>
        <v>Home - detached</v>
      </c>
      <c r="N5" s="1311" t="str">
        <f t="shared" ca="1" si="8"/>
        <v>Average</v>
      </c>
      <c r="O5" s="1311" t="str">
        <f t="shared" ca="1" si="9"/>
        <v>RET</v>
      </c>
      <c r="P5" s="1311" t="str">
        <f t="shared" ca="1" si="10"/>
        <v>Natural gas</v>
      </c>
      <c r="Q5" s="1311" t="str">
        <f t="shared" ca="1" si="11"/>
        <v>Natural gas</v>
      </c>
      <c r="R5" s="1312">
        <f t="shared" ca="1" si="12"/>
        <v>15</v>
      </c>
      <c r="S5" s="1313">
        <f t="shared" ca="1" si="13"/>
        <v>0</v>
      </c>
      <c r="T5" s="1313">
        <f t="shared" ca="1" si="14"/>
        <v>0</v>
      </c>
      <c r="U5" s="1314">
        <f t="shared" ca="1" si="15"/>
        <v>0</v>
      </c>
      <c r="V5" s="1315">
        <f t="shared" ca="1" si="16"/>
        <v>0</v>
      </c>
      <c r="W5" s="1316">
        <f t="shared" ca="1" si="17"/>
        <v>0</v>
      </c>
      <c r="X5" s="1316">
        <f t="shared" ca="1" si="18"/>
        <v>0</v>
      </c>
      <c r="Y5" s="1316">
        <f t="shared" ca="1" si="19"/>
        <v>0</v>
      </c>
      <c r="Z5" s="1316" t="str">
        <f t="shared" ca="1" si="20"/>
        <v/>
      </c>
      <c r="AA5" s="1317">
        <f t="shared" ca="1" si="21"/>
        <v>0</v>
      </c>
      <c r="AB5" s="1318">
        <f ca="1">VLOOKUP($B5&amp;$R5,'Value of Savings'!$B:$G,4,FALSE)*S5</f>
        <v>0</v>
      </c>
      <c r="AC5" s="1318">
        <f ca="1">VLOOKUP($B5&amp;$R5,'Value of Savings'!$B:$G,5,FALSE)*T5</f>
        <v>0</v>
      </c>
      <c r="AD5" s="1318">
        <f ca="1">VLOOKUP($B5&amp;$R5,'Value of Savings'!$B:$G,6,FALSE)*U5</f>
        <v>0</v>
      </c>
    </row>
    <row r="6" spans="1:30" ht="12" x14ac:dyDescent="0.3">
      <c r="A6" s="1320" t="s">
        <v>161</v>
      </c>
      <c r="B6" s="1321" t="str">
        <f t="shared" ca="1" si="0"/>
        <v>Residential</v>
      </c>
      <c r="C6" s="1304" t="str">
        <f t="shared" si="1"/>
        <v>Go to R-HC-007</v>
      </c>
      <c r="D6" s="1305" t="str">
        <f t="shared" ca="1" si="2"/>
        <v>ResidentialAir source heat pump replacing natural gas furnace, kBTU/hour of Heating</v>
      </c>
      <c r="E6" s="1305" t="str">
        <f t="shared" ca="1" si="3"/>
        <v>Air source heat pump replacing natural gas furnace, kBTU/hour of Heating</v>
      </c>
      <c r="F6" s="1305" t="str">
        <f t="shared" ca="1" si="4"/>
        <v>Air source heat pump replacing natural gas furnace</v>
      </c>
      <c r="G6" s="1306" t="str">
        <f t="shared" ca="1" si="5"/>
        <v>kBTU/hour of Heating</v>
      </c>
      <c r="H6" s="1307" t="str">
        <f t="shared" ca="1" si="6"/>
        <v>HVAC - Heating</v>
      </c>
      <c r="I6" s="1308" t="s">
        <v>84</v>
      </c>
      <c r="J6" s="1310" t="s">
        <v>69</v>
      </c>
      <c r="K6" s="1310" t="s">
        <v>160</v>
      </c>
      <c r="L6" s="1310" t="s">
        <v>86</v>
      </c>
      <c r="M6" s="1311" t="str">
        <f t="shared" ca="1" si="7"/>
        <v>Home - detached</v>
      </c>
      <c r="N6" s="1311" t="str">
        <f t="shared" ca="1" si="8"/>
        <v>Average</v>
      </c>
      <c r="O6" s="1311" t="str">
        <f t="shared" ca="1" si="9"/>
        <v>RET</v>
      </c>
      <c r="P6" s="1311" t="str">
        <f t="shared" ca="1" si="10"/>
        <v>Natural gas</v>
      </c>
      <c r="Q6" s="1311" t="str">
        <f t="shared" ca="1" si="11"/>
        <v>Natural gas</v>
      </c>
      <c r="R6" s="1312">
        <f t="shared" ca="1" si="12"/>
        <v>16</v>
      </c>
      <c r="S6" s="1313">
        <f t="shared" ca="1" si="13"/>
        <v>-323.19101752493845</v>
      </c>
      <c r="T6" s="1313">
        <f t="shared" ca="1" si="14"/>
        <v>3.4715760571818479</v>
      </c>
      <c r="U6" s="1314">
        <f t="shared" ca="1" si="15"/>
        <v>-5.1306859273749228E-3</v>
      </c>
      <c r="V6" s="1315">
        <f t="shared" ca="1" si="16"/>
        <v>0</v>
      </c>
      <c r="W6" s="1316">
        <f t="shared" ca="1" si="17"/>
        <v>-5171.0562803990151</v>
      </c>
      <c r="X6" s="1316">
        <f t="shared" ca="1" si="18"/>
        <v>55.545216914909567</v>
      </c>
      <c r="Y6" s="1316">
        <f t="shared" ca="1" si="19"/>
        <v>-8.2090974837998765E-2</v>
      </c>
      <c r="Z6" s="1316" t="str">
        <f t="shared" ca="1" si="20"/>
        <v/>
      </c>
      <c r="AA6" s="1317">
        <f t="shared" ca="1" si="21"/>
        <v>-138.73363669402181</v>
      </c>
      <c r="AB6" s="1318">
        <f ca="1">VLOOKUP($B6&amp;$R6,'Value of Savings'!$B:$G,4,FALSE)*S6</f>
        <v>-338.19876946370306</v>
      </c>
      <c r="AC6" s="1318">
        <f ca="1">VLOOKUP($B6&amp;$R6,'Value of Savings'!$B:$G,5,FALSE)*T6</f>
        <v>202.10112817320058</v>
      </c>
      <c r="AD6" s="1318">
        <f ca="1">VLOOKUP($B6&amp;$R6,'Value of Savings'!$B:$G,6,FALSE)*U6</f>
        <v>-2.6359954035193298</v>
      </c>
    </row>
    <row r="7" spans="1:30" ht="12" x14ac:dyDescent="0.3">
      <c r="A7" s="1303" t="s">
        <v>176</v>
      </c>
      <c r="B7" s="1303" t="str">
        <f t="shared" ca="1" si="0"/>
        <v>Residential</v>
      </c>
      <c r="C7" s="1304" t="str">
        <f t="shared" si="1"/>
        <v>Go to R-WB-001</v>
      </c>
      <c r="D7" s="1305" t="str">
        <f t="shared" ca="1" si="2"/>
        <v>ResidentialAttic insulation, ft^2 of Insulation</v>
      </c>
      <c r="E7" s="1305" t="str">
        <f t="shared" ca="1" si="3"/>
        <v>Attic insulation, ft^2 of Insulation</v>
      </c>
      <c r="F7" s="1305" t="str">
        <f t="shared" ca="1" si="4"/>
        <v>Attic insulation</v>
      </c>
      <c r="G7" s="1306" t="str">
        <f t="shared" ca="1" si="5"/>
        <v>ft^2 of Insulation</v>
      </c>
      <c r="H7" s="1307" t="str">
        <f t="shared" ca="1" si="6"/>
        <v>Whole Building</v>
      </c>
      <c r="I7" s="1322"/>
      <c r="J7" s="1309" t="s">
        <v>177</v>
      </c>
      <c r="K7" s="1309" t="s">
        <v>171</v>
      </c>
      <c r="L7" s="1310"/>
      <c r="M7" s="1311" t="str">
        <f t="shared" ca="1" si="7"/>
        <v>Home - detached</v>
      </c>
      <c r="N7" s="1311" t="str">
        <f t="shared" ca="1" si="8"/>
        <v>Average</v>
      </c>
      <c r="O7" s="1311" t="str">
        <f t="shared" ca="1" si="9"/>
        <v>RET</v>
      </c>
      <c r="P7" s="1311" t="str">
        <f t="shared" ca="1" si="10"/>
        <v>Natural gas</v>
      </c>
      <c r="Q7" s="1311" t="str">
        <f t="shared" ca="1" si="11"/>
        <v>Natural gas</v>
      </c>
      <c r="R7" s="1312">
        <f t="shared" ca="1" si="12"/>
        <v>20</v>
      </c>
      <c r="S7" s="1313">
        <f t="shared" ca="1" si="13"/>
        <v>0.24843477044367704</v>
      </c>
      <c r="T7" s="1313">
        <f t="shared" ca="1" si="14"/>
        <v>2.6372745019872024E-2</v>
      </c>
      <c r="U7" s="1314">
        <f t="shared" ca="1" si="15"/>
        <v>1.502098616493034E-3</v>
      </c>
      <c r="V7" s="1315">
        <f t="shared" ca="1" si="16"/>
        <v>0</v>
      </c>
      <c r="W7" s="1316">
        <f t="shared" ca="1" si="17"/>
        <v>4.9686954088735407</v>
      </c>
      <c r="X7" s="1316">
        <f t="shared" ca="1" si="18"/>
        <v>0.52745490039744047</v>
      </c>
      <c r="Y7" s="1316">
        <f t="shared" ca="1" si="19"/>
        <v>3.0041972329860681E-2</v>
      </c>
      <c r="Z7" s="1316">
        <f t="shared" ca="1" si="20"/>
        <v>0</v>
      </c>
      <c r="AA7" s="1317">
        <f t="shared" ca="1" si="21"/>
        <v>3.0497856641585677</v>
      </c>
      <c r="AB7" s="1318">
        <f ca="1">VLOOKUP($B7&amp;$R7,'Value of Savings'!$B:$G,4,FALSE)*S7</f>
        <v>0.30783542053006258</v>
      </c>
      <c r="AC7" s="1318">
        <f ca="1">VLOOKUP($B7&amp;$R7,'Value of Savings'!$B:$G,5,FALSE)*T7</f>
        <v>1.8482126773957983</v>
      </c>
      <c r="AD7" s="1318">
        <f ca="1">VLOOKUP($B7&amp;$R7,'Value of Savings'!$B:$G,6,FALSE)*U7</f>
        <v>0.89373756623270684</v>
      </c>
    </row>
    <row r="8" spans="1:30" ht="12" x14ac:dyDescent="0.3">
      <c r="A8" s="1320" t="s">
        <v>119</v>
      </c>
      <c r="B8" s="1303" t="str">
        <f t="shared" ca="1" si="0"/>
        <v>Commercial</v>
      </c>
      <c r="C8" s="1304" t="str">
        <f t="shared" si="1"/>
        <v>Go to C-R-001</v>
      </c>
      <c r="D8" s="1305" t="str">
        <f t="shared" ca="1" si="2"/>
        <v>CommercialAutomatic door for walk-in freezer, Door</v>
      </c>
      <c r="E8" s="1305" t="str">
        <f t="shared" ca="1" si="3"/>
        <v>Automatic door for walk-in freezer, Door</v>
      </c>
      <c r="F8" s="1305" t="str">
        <f t="shared" ca="1" si="4"/>
        <v>Automatic door for walk-in freezer</v>
      </c>
      <c r="G8" s="1306" t="str">
        <f t="shared" ca="1" si="5"/>
        <v>Door</v>
      </c>
      <c r="H8" s="1307" t="str">
        <f t="shared" ca="1" si="6"/>
        <v>Refrigeration - Door</v>
      </c>
      <c r="I8" s="1323"/>
      <c r="J8" s="1309" t="s">
        <v>120</v>
      </c>
      <c r="K8" s="1309" t="s">
        <v>121</v>
      </c>
      <c r="L8" s="1324"/>
      <c r="M8" s="1311" t="str">
        <f t="shared" ca="1" si="7"/>
        <v>Other</v>
      </c>
      <c r="N8" s="1311" t="str">
        <f t="shared" ca="1" si="8"/>
        <v>Average</v>
      </c>
      <c r="O8" s="1311" t="str">
        <f t="shared" ca="1" si="9"/>
        <v>RET</v>
      </c>
      <c r="P8" s="1311" t="str">
        <f t="shared" ca="1" si="10"/>
        <v>Natural gas</v>
      </c>
      <c r="Q8" s="1311" t="str">
        <f t="shared" ca="1" si="11"/>
        <v>Natural gas</v>
      </c>
      <c r="R8" s="1312">
        <f t="shared" ca="1" si="12"/>
        <v>8</v>
      </c>
      <c r="S8" s="1313">
        <f t="shared" ca="1" si="13"/>
        <v>2307</v>
      </c>
      <c r="T8" s="1313">
        <f t="shared" ca="1" si="14"/>
        <v>0</v>
      </c>
      <c r="U8" s="1314">
        <f t="shared" ca="1" si="15"/>
        <v>1.3149899999999999</v>
      </c>
      <c r="V8" s="1315">
        <f t="shared" ca="1" si="16"/>
        <v>0</v>
      </c>
      <c r="W8" s="1316">
        <f t="shared" ca="1" si="17"/>
        <v>18456</v>
      </c>
      <c r="X8" s="1316">
        <f t="shared" ca="1" si="18"/>
        <v>0</v>
      </c>
      <c r="Y8" s="1316">
        <f t="shared" ca="1" si="19"/>
        <v>10.519919999999999</v>
      </c>
      <c r="Z8" s="1316">
        <f t="shared" ca="1" si="20"/>
        <v>0</v>
      </c>
      <c r="AA8" s="1317">
        <f t="shared" ca="1" si="21"/>
        <v>1724.7580932384014</v>
      </c>
      <c r="AB8" s="1318">
        <f ca="1">VLOOKUP($B8&amp;$R8,'Value of Savings'!$B:$G,4,FALSE)*S8</f>
        <v>1336.779861422709</v>
      </c>
      <c r="AC8" s="1318">
        <f ca="1">VLOOKUP($B8&amp;$R8,'Value of Savings'!$B:$G,5,FALSE)*T8</f>
        <v>0</v>
      </c>
      <c r="AD8" s="1318">
        <f ca="1">VLOOKUP($B8&amp;$R8,'Value of Savings'!$B:$G,6,FALSE)*U8</f>
        <v>387.97823181569237</v>
      </c>
    </row>
    <row r="9" spans="1:30" ht="12" x14ac:dyDescent="0.3">
      <c r="A9" s="1320" t="s">
        <v>129</v>
      </c>
      <c r="B9" s="1321" t="str">
        <f t="shared" ca="1" si="0"/>
        <v>Commercial</v>
      </c>
      <c r="C9" s="1304" t="str">
        <f t="shared" si="1"/>
        <v>Go to C-R-006</v>
      </c>
      <c r="D9" s="1305" t="str">
        <f t="shared" ca="1" si="2"/>
        <v>CommercialAutomatic door for walk-in refrigerator, Door</v>
      </c>
      <c r="E9" s="1305" t="str">
        <f t="shared" ca="1" si="3"/>
        <v>Automatic door for walk-in refrigerator, Door</v>
      </c>
      <c r="F9" s="1305" t="str">
        <f t="shared" ca="1" si="4"/>
        <v>Automatic door for walk-in refrigerator</v>
      </c>
      <c r="G9" s="1306" t="str">
        <f t="shared" ca="1" si="5"/>
        <v>Door</v>
      </c>
      <c r="H9" s="1307" t="str">
        <f t="shared" ca="1" si="6"/>
        <v>Refrigeration - Door</v>
      </c>
      <c r="I9" s="1323"/>
      <c r="J9" s="1309" t="s">
        <v>77</v>
      </c>
      <c r="K9" s="1309" t="s">
        <v>130</v>
      </c>
      <c r="L9" s="1324"/>
      <c r="M9" s="1311" t="str">
        <f t="shared" ca="1" si="7"/>
        <v>Other</v>
      </c>
      <c r="N9" s="1311" t="str">
        <f t="shared" ca="1" si="8"/>
        <v>Average</v>
      </c>
      <c r="O9" s="1311" t="str">
        <f t="shared" ca="1" si="9"/>
        <v>RET</v>
      </c>
      <c r="P9" s="1311" t="str">
        <f t="shared" ca="1" si="10"/>
        <v>Natural gas</v>
      </c>
      <c r="Q9" s="1311" t="str">
        <f t="shared" ca="1" si="11"/>
        <v>Natural gas</v>
      </c>
      <c r="R9" s="1312">
        <f t="shared" ca="1" si="12"/>
        <v>8</v>
      </c>
      <c r="S9" s="1313">
        <f t="shared" ca="1" si="13"/>
        <v>943</v>
      </c>
      <c r="T9" s="1313">
        <f t="shared" ca="1" si="14"/>
        <v>0</v>
      </c>
      <c r="U9" s="1314">
        <f t="shared" ca="1" si="15"/>
        <v>0.53750999999999993</v>
      </c>
      <c r="V9" s="1315">
        <f t="shared" ca="1" si="16"/>
        <v>0</v>
      </c>
      <c r="W9" s="1316">
        <f t="shared" ca="1" si="17"/>
        <v>7544</v>
      </c>
      <c r="X9" s="1316">
        <f t="shared" ca="1" si="18"/>
        <v>0</v>
      </c>
      <c r="Y9" s="1316">
        <f t="shared" ca="1" si="19"/>
        <v>4.3000799999999995</v>
      </c>
      <c r="Z9" s="1316">
        <f t="shared" ca="1" si="20"/>
        <v>0</v>
      </c>
      <c r="AA9" s="1317">
        <f t="shared" ca="1" si="21"/>
        <v>705.00515037876562</v>
      </c>
      <c r="AB9" s="1318">
        <f ca="1">VLOOKUP($B9&amp;$R9,'Value of Savings'!$B:$G,4,FALSE)*S9</f>
        <v>546.41673572675097</v>
      </c>
      <c r="AC9" s="1318">
        <f ca="1">VLOOKUP($B9&amp;$R9,'Value of Savings'!$B:$G,5,FALSE)*T9</f>
        <v>0</v>
      </c>
      <c r="AD9" s="1318">
        <f ca="1">VLOOKUP($B9&amp;$R9,'Value of Savings'!$B:$G,6,FALSE)*U9</f>
        <v>158.58841465201468</v>
      </c>
    </row>
    <row r="10" spans="1:30" ht="12" x14ac:dyDescent="0.3">
      <c r="A10" s="1320" t="s">
        <v>112</v>
      </c>
      <c r="B10" s="1303" t="str">
        <f t="shared" ca="1" si="0"/>
        <v>Commercial</v>
      </c>
      <c r="C10" s="1304" t="str">
        <f t="shared" si="1"/>
        <v>Go to C-L-004</v>
      </c>
      <c r="D10" s="1305" t="str">
        <f t="shared" ca="1" si="2"/>
        <v>CommercialBay fixture and retrofit kit, Fixture</v>
      </c>
      <c r="E10" s="1305" t="str">
        <f t="shared" ca="1" si="3"/>
        <v>Bay fixture and retrofit kit, Fixture</v>
      </c>
      <c r="F10" s="1305" t="str">
        <f t="shared" ca="1" si="4"/>
        <v>Bay fixture and retrofit kit</v>
      </c>
      <c r="G10" s="1306" t="str">
        <f t="shared" ca="1" si="5"/>
        <v>Fixture</v>
      </c>
      <c r="H10" s="1307" t="str">
        <f t="shared" ca="1" si="6"/>
        <v>Lighting - Indoor fixture</v>
      </c>
      <c r="I10" s="1322"/>
      <c r="J10" s="1309" t="s">
        <v>113</v>
      </c>
      <c r="K10" s="1309" t="s">
        <v>111</v>
      </c>
      <c r="L10" s="1324" t="s">
        <v>74</v>
      </c>
      <c r="M10" s="1311" t="str">
        <f t="shared" ca="1" si="7"/>
        <v>Other</v>
      </c>
      <c r="N10" s="1311" t="str">
        <f t="shared" ca="1" si="8"/>
        <v>Average</v>
      </c>
      <c r="O10" s="1311" t="str">
        <f t="shared" ca="1" si="9"/>
        <v>RET</v>
      </c>
      <c r="P10" s="1311" t="str">
        <f t="shared" ca="1" si="10"/>
        <v>Natural gas</v>
      </c>
      <c r="Q10" s="1311" t="str">
        <f t="shared" ca="1" si="11"/>
        <v>Natural gas</v>
      </c>
      <c r="R10" s="1312">
        <f t="shared" ca="1" si="12"/>
        <v>9</v>
      </c>
      <c r="S10" s="1313">
        <f t="shared" ca="1" si="13"/>
        <v>269.33996314960604</v>
      </c>
      <c r="T10" s="1313">
        <f t="shared" ca="1" si="14"/>
        <v>-0.42623049168425153</v>
      </c>
      <c r="U10" s="1314">
        <f t="shared" ca="1" si="15"/>
        <v>0.13153582662075997</v>
      </c>
      <c r="V10" s="1315">
        <f t="shared" ca="1" si="16"/>
        <v>0</v>
      </c>
      <c r="W10" s="1316">
        <f t="shared" ca="1" si="17"/>
        <v>2424.0596683464541</v>
      </c>
      <c r="X10" s="1316">
        <f t="shared" ca="1" si="18"/>
        <v>-3.8360744251582637</v>
      </c>
      <c r="Y10" s="1316">
        <f t="shared" ca="1" si="19"/>
        <v>1.1838224395868397</v>
      </c>
      <c r="Z10" s="1316">
        <f t="shared" ca="1" si="20"/>
        <v>0</v>
      </c>
      <c r="AA10" s="1317">
        <f t="shared" ca="1" si="21"/>
        <v>202.2872659391335</v>
      </c>
      <c r="AB10" s="1318">
        <f ca="1">VLOOKUP($B10&amp;$R10,'Value of Savings'!$B:$G,4,FALSE)*S10</f>
        <v>173.69766271425311</v>
      </c>
      <c r="AC10" s="1318">
        <f ca="1">VLOOKUP($B10&amp;$R10,'Value of Savings'!$B:$G,5,FALSE)*T10</f>
        <v>-14.458543715289718</v>
      </c>
      <c r="AD10" s="1318">
        <f ca="1">VLOOKUP($B10&amp;$R10,'Value of Savings'!$B:$G,6,FALSE)*U10</f>
        <v>43.048146940170106</v>
      </c>
    </row>
    <row r="11" spans="1:30" ht="12" x14ac:dyDescent="0.3">
      <c r="A11" s="1303" t="s">
        <v>148</v>
      </c>
      <c r="B11" s="1303" t="str">
        <f t="shared" ca="1" si="0"/>
        <v>Commercial</v>
      </c>
      <c r="C11" s="1304" t="str">
        <f t="shared" si="1"/>
        <v>Go to C-WB-004</v>
      </c>
      <c r="D11" s="1305" t="str">
        <f t="shared" ca="1" si="2"/>
        <v>CommercialBuilding automation system upgrade, Custom</v>
      </c>
      <c r="E11" s="1305" t="str">
        <f t="shared" ca="1" si="3"/>
        <v>Building automation system upgrade, Custom</v>
      </c>
      <c r="F11" s="1305" t="str">
        <f t="shared" ca="1" si="4"/>
        <v>Building automation system upgrade</v>
      </c>
      <c r="G11" s="1306" t="str">
        <f t="shared" ca="1" si="5"/>
        <v>Custom</v>
      </c>
      <c r="H11" s="1307" t="str">
        <f t="shared" ca="1" si="6"/>
        <v>Whole Building</v>
      </c>
      <c r="I11" s="1308"/>
      <c r="J11" s="1309" t="s">
        <v>69</v>
      </c>
      <c r="K11" s="1309" t="s">
        <v>146</v>
      </c>
      <c r="L11" s="1310"/>
      <c r="M11" s="1311" t="str">
        <f t="shared" ca="1" si="7"/>
        <v>Other</v>
      </c>
      <c r="N11" s="1311" t="str">
        <f t="shared" ca="1" si="8"/>
        <v>Average</v>
      </c>
      <c r="O11" s="1311" t="str">
        <f t="shared" ca="1" si="9"/>
        <v>RET</v>
      </c>
      <c r="P11" s="1311" t="str">
        <f t="shared" ca="1" si="10"/>
        <v>Natural gas</v>
      </c>
      <c r="Q11" s="1311" t="str">
        <f t="shared" ca="1" si="11"/>
        <v>Natural gas</v>
      </c>
      <c r="R11" s="1312">
        <f t="shared" ca="1" si="12"/>
        <v>15</v>
      </c>
      <c r="S11" s="1313">
        <f t="shared" ca="1" si="13"/>
        <v>0</v>
      </c>
      <c r="T11" s="1313">
        <f t="shared" ca="1" si="14"/>
        <v>0</v>
      </c>
      <c r="U11" s="1314">
        <f t="shared" ca="1" si="15"/>
        <v>0</v>
      </c>
      <c r="V11" s="1315">
        <f t="shared" ca="1" si="16"/>
        <v>0</v>
      </c>
      <c r="W11" s="1316">
        <f t="shared" ca="1" si="17"/>
        <v>0</v>
      </c>
      <c r="X11" s="1316">
        <f t="shared" ca="1" si="18"/>
        <v>0</v>
      </c>
      <c r="Y11" s="1316">
        <f t="shared" ca="1" si="19"/>
        <v>0</v>
      </c>
      <c r="Z11" s="1316" t="str">
        <f t="shared" ca="1" si="20"/>
        <v/>
      </c>
      <c r="AA11" s="1317">
        <f t="shared" ca="1" si="21"/>
        <v>0</v>
      </c>
      <c r="AB11" s="1318">
        <f ca="1">VLOOKUP($B11&amp;$R11,'Value of Savings'!$B:$G,4,FALSE)*S11</f>
        <v>0</v>
      </c>
      <c r="AC11" s="1318">
        <f ca="1">VLOOKUP($B11&amp;$R11,'Value of Savings'!$B:$G,5,FALSE)*T11</f>
        <v>0</v>
      </c>
      <c r="AD11" s="1318">
        <f ca="1">VLOOKUP($B11&amp;$R11,'Value of Savings'!$B:$G,6,FALSE)*U11</f>
        <v>0</v>
      </c>
    </row>
    <row r="12" spans="1:30" ht="12" x14ac:dyDescent="0.3">
      <c r="A12" s="1303" t="s">
        <v>187</v>
      </c>
      <c r="B12" s="1303" t="str">
        <f t="shared" ca="1" si="0"/>
        <v>DER</v>
      </c>
      <c r="C12" s="1304" t="str">
        <f t="shared" si="1"/>
        <v>Go to DER-003</v>
      </c>
      <c r="D12" s="1305" t="str">
        <f t="shared" ca="1" si="2"/>
        <v>DERCombined heat and power, Custom</v>
      </c>
      <c r="E12" s="1305" t="str">
        <f t="shared" ca="1" si="3"/>
        <v>Combined heat and power, Custom</v>
      </c>
      <c r="F12" s="1305" t="str">
        <f t="shared" ca="1" si="4"/>
        <v>Combined heat and power</v>
      </c>
      <c r="G12" s="1306" t="str">
        <f t="shared" ca="1" si="5"/>
        <v>Custom</v>
      </c>
      <c r="H12" s="1307" t="str">
        <f t="shared" ca="1" si="6"/>
        <v>Alternative Energy</v>
      </c>
      <c r="I12" s="1322"/>
      <c r="J12" s="1309" t="s">
        <v>177</v>
      </c>
      <c r="K12" s="1309" t="s">
        <v>171</v>
      </c>
      <c r="L12" s="1310"/>
      <c r="M12" s="1311" t="str">
        <f t="shared" ca="1" si="7"/>
        <v>Other</v>
      </c>
      <c r="N12" s="1311" t="str">
        <f t="shared" ca="1" si="8"/>
        <v>Average</v>
      </c>
      <c r="O12" s="1311" t="str">
        <f t="shared" ca="1" si="9"/>
        <v>RET</v>
      </c>
      <c r="P12" s="1311" t="str">
        <f t="shared" ca="1" si="10"/>
        <v>Natural gas</v>
      </c>
      <c r="Q12" s="1311" t="str">
        <f t="shared" ca="1" si="11"/>
        <v>Natural gas</v>
      </c>
      <c r="R12" s="1312">
        <f t="shared" ca="1" si="12"/>
        <v>15</v>
      </c>
      <c r="S12" s="1313">
        <f t="shared" ca="1" si="13"/>
        <v>0</v>
      </c>
      <c r="T12" s="1313">
        <f t="shared" ca="1" si="14"/>
        <v>0</v>
      </c>
      <c r="U12" s="1314">
        <f t="shared" ca="1" si="15"/>
        <v>0</v>
      </c>
      <c r="V12" s="1315">
        <f t="shared" ca="1" si="16"/>
        <v>0</v>
      </c>
      <c r="W12" s="1316">
        <f t="shared" ca="1" si="17"/>
        <v>0</v>
      </c>
      <c r="X12" s="1316">
        <f t="shared" ca="1" si="18"/>
        <v>0</v>
      </c>
      <c r="Y12" s="1316">
        <f t="shared" ca="1" si="19"/>
        <v>0</v>
      </c>
      <c r="Z12" s="1316" t="str">
        <f t="shared" ca="1" si="20"/>
        <v/>
      </c>
      <c r="AA12" s="1317" t="e">
        <f t="shared" ca="1" si="21"/>
        <v>#N/A</v>
      </c>
      <c r="AB12" s="1318" t="e">
        <f ca="1">VLOOKUP($B12&amp;$R12,'Value of Savings'!$B:$G,4,FALSE)*S12</f>
        <v>#N/A</v>
      </c>
      <c r="AC12" s="1318" t="e">
        <f ca="1">VLOOKUP($B12&amp;$R12,'Value of Savings'!$B:$G,5,FALSE)*T12</f>
        <v>#N/A</v>
      </c>
      <c r="AD12" s="1318" t="e">
        <f ca="1">VLOOKUP($B12&amp;$R12,'Value of Savings'!$B:$G,6,FALSE)*U12</f>
        <v>#N/A</v>
      </c>
    </row>
    <row r="13" spans="1:30" ht="12" x14ac:dyDescent="0.3">
      <c r="A13" s="1303" t="s">
        <v>149</v>
      </c>
      <c r="B13" s="1303" t="str">
        <f t="shared" ca="1" si="0"/>
        <v>Commercial</v>
      </c>
      <c r="C13" s="1304" t="str">
        <f t="shared" si="1"/>
        <v>Go to C-WB-005</v>
      </c>
      <c r="D13" s="1305" t="str">
        <f t="shared" ca="1" si="2"/>
        <v>CommercialCommercial insulation, Custom</v>
      </c>
      <c r="E13" s="1305" t="str">
        <f t="shared" ca="1" si="3"/>
        <v>Commercial insulation, Custom</v>
      </c>
      <c r="F13" s="1305" t="str">
        <f t="shared" ca="1" si="4"/>
        <v>Commercial insulation</v>
      </c>
      <c r="G13" s="1306" t="str">
        <f t="shared" ca="1" si="5"/>
        <v>Custom</v>
      </c>
      <c r="H13" s="1307" t="str">
        <f t="shared" ca="1" si="6"/>
        <v>Whole Building</v>
      </c>
      <c r="I13" s="1308"/>
      <c r="J13" s="1309" t="s">
        <v>69</v>
      </c>
      <c r="K13" s="1309" t="s">
        <v>146</v>
      </c>
      <c r="L13" s="1310"/>
      <c r="M13" s="1311" t="str">
        <f t="shared" ca="1" si="7"/>
        <v>Other</v>
      </c>
      <c r="N13" s="1311" t="str">
        <f t="shared" ca="1" si="8"/>
        <v>Average</v>
      </c>
      <c r="O13" s="1311" t="str">
        <f t="shared" ca="1" si="9"/>
        <v>RET</v>
      </c>
      <c r="P13" s="1311" t="str">
        <f t="shared" ca="1" si="10"/>
        <v>Natural gas</v>
      </c>
      <c r="Q13" s="1311" t="str">
        <f t="shared" ca="1" si="11"/>
        <v>Natural gas</v>
      </c>
      <c r="R13" s="1312">
        <f t="shared" ca="1" si="12"/>
        <v>20</v>
      </c>
      <c r="S13" s="1313">
        <f t="shared" ca="1" si="13"/>
        <v>0</v>
      </c>
      <c r="T13" s="1313">
        <f t="shared" ca="1" si="14"/>
        <v>0</v>
      </c>
      <c r="U13" s="1314">
        <f t="shared" ca="1" si="15"/>
        <v>0</v>
      </c>
      <c r="V13" s="1315">
        <f t="shared" ca="1" si="16"/>
        <v>0</v>
      </c>
      <c r="W13" s="1316">
        <f t="shared" ca="1" si="17"/>
        <v>0</v>
      </c>
      <c r="X13" s="1316">
        <f t="shared" ca="1" si="18"/>
        <v>0</v>
      </c>
      <c r="Y13" s="1316">
        <f t="shared" ca="1" si="19"/>
        <v>0</v>
      </c>
      <c r="Z13" s="1316" t="str">
        <f t="shared" ca="1" si="20"/>
        <v/>
      </c>
      <c r="AA13" s="1317">
        <f t="shared" ca="1" si="21"/>
        <v>0</v>
      </c>
      <c r="AB13" s="1318">
        <f ca="1">VLOOKUP($B13&amp;$R13,'Value of Savings'!$B:$G,4,FALSE)*S13</f>
        <v>0</v>
      </c>
      <c r="AC13" s="1318">
        <f ca="1">VLOOKUP($B13&amp;$R13,'Value of Savings'!$B:$G,5,FALSE)*T13</f>
        <v>0</v>
      </c>
      <c r="AD13" s="1318">
        <f ca="1">VLOOKUP($B13&amp;$R13,'Value of Savings'!$B:$G,6,FALSE)*U13</f>
        <v>0</v>
      </c>
    </row>
    <row r="14" spans="1:30" ht="12" x14ac:dyDescent="0.3">
      <c r="A14" s="1303" t="s">
        <v>179</v>
      </c>
      <c r="B14" s="1303" t="str">
        <f t="shared" ca="1" si="0"/>
        <v>Residential</v>
      </c>
      <c r="C14" s="1304" t="str">
        <f t="shared" si="1"/>
        <v>Go to R-WB-003</v>
      </c>
      <c r="D14" s="1305" t="str">
        <f t="shared" ca="1" si="2"/>
        <v>ResidentialCrawlspace insulation, ft^2 of Insulation</v>
      </c>
      <c r="E14" s="1305" t="str">
        <f t="shared" ca="1" si="3"/>
        <v>Crawlspace insulation, ft^2 of Insulation</v>
      </c>
      <c r="F14" s="1305" t="str">
        <f t="shared" ca="1" si="4"/>
        <v>Crawlspace insulation</v>
      </c>
      <c r="G14" s="1306" t="str">
        <f t="shared" ca="1" si="5"/>
        <v>ft^2 of Insulation</v>
      </c>
      <c r="H14" s="1307" t="str">
        <f t="shared" ca="1" si="6"/>
        <v>Whole Building</v>
      </c>
      <c r="I14" s="1322"/>
      <c r="J14" s="1309" t="s">
        <v>177</v>
      </c>
      <c r="K14" s="1309" t="s">
        <v>171</v>
      </c>
      <c r="L14" s="1310"/>
      <c r="M14" s="1311" t="str">
        <f t="shared" ca="1" si="7"/>
        <v>Home - detached</v>
      </c>
      <c r="N14" s="1311" t="str">
        <f t="shared" ca="1" si="8"/>
        <v>Average</v>
      </c>
      <c r="O14" s="1311" t="str">
        <f t="shared" ca="1" si="9"/>
        <v>RET</v>
      </c>
      <c r="P14" s="1311" t="str">
        <f t="shared" ca="1" si="10"/>
        <v>Natural gas</v>
      </c>
      <c r="Q14" s="1311" t="str">
        <f t="shared" ca="1" si="11"/>
        <v>Natural gas</v>
      </c>
      <c r="R14" s="1312">
        <f t="shared" ca="1" si="12"/>
        <v>20</v>
      </c>
      <c r="S14" s="1313">
        <f t="shared" ca="1" si="13"/>
        <v>1.3410247058680701E-3</v>
      </c>
      <c r="T14" s="1313">
        <f t="shared" ca="1" si="14"/>
        <v>2.3220924618344293E-2</v>
      </c>
      <c r="U14" s="1314">
        <f t="shared" ca="1" si="15"/>
        <v>1.1986622223688719E-3</v>
      </c>
      <c r="V14" s="1315">
        <f t="shared" ca="1" si="16"/>
        <v>0</v>
      </c>
      <c r="W14" s="1316">
        <f t="shared" ca="1" si="17"/>
        <v>2.6820494117361402E-2</v>
      </c>
      <c r="X14" s="1316">
        <f t="shared" ca="1" si="18"/>
        <v>0.46441849236688587</v>
      </c>
      <c r="Y14" s="1316">
        <f t="shared" ca="1" si="19"/>
        <v>2.3973244447377438E-2</v>
      </c>
      <c r="Z14" s="1316">
        <f t="shared" ca="1" si="20"/>
        <v>0</v>
      </c>
      <c r="AA14" s="1317">
        <f t="shared" ca="1" si="21"/>
        <v>2.3421886434415531</v>
      </c>
      <c r="AB14" s="1318">
        <f ca="1">VLOOKUP($B14&amp;$R14,'Value of Savings'!$B:$G,4,FALSE)*S14</f>
        <v>1.6616631542149235E-3</v>
      </c>
      <c r="AC14" s="1318">
        <f ca="1">VLOOKUP($B14&amp;$R14,'Value of Savings'!$B:$G,5,FALSE)*T14</f>
        <v>1.6273318241289534</v>
      </c>
      <c r="AD14" s="1318">
        <f ca="1">VLOOKUP($B14&amp;$R14,'Value of Savings'!$B:$G,6,FALSE)*U14</f>
        <v>0.7131951561583848</v>
      </c>
    </row>
    <row r="15" spans="1:30" ht="12" x14ac:dyDescent="0.3">
      <c r="A15" s="1320" t="s">
        <v>68</v>
      </c>
      <c r="B15" s="1321" t="str">
        <f t="shared" ca="1" si="0"/>
        <v>Commercial</v>
      </c>
      <c r="C15" s="1304" t="str">
        <f t="shared" si="1"/>
        <v>Go to C-HC-001</v>
      </c>
      <c r="D15" s="1305" t="str">
        <f t="shared" ca="1" si="2"/>
        <v>CommercialDemand control building ventilation, ft^2 of Conditioned Space</v>
      </c>
      <c r="E15" s="1305" t="str">
        <f t="shared" ca="1" si="3"/>
        <v>Demand control building ventilation, ft^2 of Conditioned Space</v>
      </c>
      <c r="F15" s="1305" t="str">
        <f t="shared" ca="1" si="4"/>
        <v>Demand control building ventilation</v>
      </c>
      <c r="G15" s="1306" t="str">
        <f t="shared" ca="1" si="5"/>
        <v>ft^2 of Conditioned Space</v>
      </c>
      <c r="H15" s="1307" t="str">
        <f t="shared" ca="1" si="6"/>
        <v>HVAC - Control</v>
      </c>
      <c r="I15" s="1322"/>
      <c r="J15" s="1309" t="s">
        <v>69</v>
      </c>
      <c r="K15" s="1309" t="s">
        <v>70</v>
      </c>
      <c r="L15" s="1309"/>
      <c r="M15" s="1311" t="str">
        <f t="shared" ca="1" si="7"/>
        <v>Other</v>
      </c>
      <c r="N15" s="1311" t="str">
        <f t="shared" ca="1" si="8"/>
        <v>Average</v>
      </c>
      <c r="O15" s="1311" t="str">
        <f t="shared" ca="1" si="9"/>
        <v>RET</v>
      </c>
      <c r="P15" s="1311" t="str">
        <f t="shared" ca="1" si="10"/>
        <v>Natural gas</v>
      </c>
      <c r="Q15" s="1311" t="str">
        <f t="shared" ca="1" si="11"/>
        <v>Natural gas</v>
      </c>
      <c r="R15" s="1312">
        <f t="shared" ca="1" si="12"/>
        <v>10</v>
      </c>
      <c r="S15" s="1313">
        <f t="shared" ca="1" si="13"/>
        <v>0.57748882985131922</v>
      </c>
      <c r="T15" s="1313">
        <f t="shared" ca="1" si="14"/>
        <v>1.2605187217099485E-2</v>
      </c>
      <c r="U15" s="1314">
        <f t="shared" ca="1" si="15"/>
        <v>9.7943242598376315E-4</v>
      </c>
      <c r="V15" s="1315">
        <f t="shared" ca="1" si="16"/>
        <v>0</v>
      </c>
      <c r="W15" s="1316">
        <f t="shared" ca="1" si="17"/>
        <v>5.7748882985131917</v>
      </c>
      <c r="X15" s="1316">
        <f t="shared" ca="1" si="18"/>
        <v>0.12605187217099484</v>
      </c>
      <c r="Y15" s="1316">
        <f t="shared" ca="1" si="19"/>
        <v>9.7943242598376307E-3</v>
      </c>
      <c r="Z15" s="1316">
        <f t="shared" ca="1" si="20"/>
        <v>0</v>
      </c>
      <c r="AA15" s="1317">
        <f t="shared" ca="1" si="21"/>
        <v>1.2337327181669544</v>
      </c>
      <c r="AB15" s="1318">
        <f ca="1">VLOOKUP($B15&amp;$R15,'Value of Savings'!$B:$G,4,FALSE)*S15</f>
        <v>0.40878931117734613</v>
      </c>
      <c r="AC15" s="1318">
        <f ca="1">VLOOKUP($B15&amp;$R15,'Value of Savings'!$B:$G,5,FALSE)*T15</f>
        <v>0.47433712482312979</v>
      </c>
      <c r="AD15" s="1318">
        <f ca="1">VLOOKUP($B15&amp;$R15,'Value of Savings'!$B:$G,6,FALSE)*U15</f>
        <v>0.35060628216647843</v>
      </c>
    </row>
    <row r="16" spans="1:30" ht="12" x14ac:dyDescent="0.3">
      <c r="A16" s="1320" t="s">
        <v>102</v>
      </c>
      <c r="B16" s="1321" t="str">
        <f t="shared" ca="1" si="0"/>
        <v>Commercial</v>
      </c>
      <c r="C16" s="1304" t="str">
        <f t="shared" si="1"/>
        <v>Go to C-K-001</v>
      </c>
      <c r="D16" s="1305" t="str">
        <f t="shared" ca="1" si="2"/>
        <v>CommercialDemand control kitchen ventilation, Horsepower of Exhaust Fan</v>
      </c>
      <c r="E16" s="1305" t="str">
        <f t="shared" ca="1" si="3"/>
        <v>Demand control kitchen ventilation, Horsepower of Exhaust Fan</v>
      </c>
      <c r="F16" s="1305" t="str">
        <f t="shared" ca="1" si="4"/>
        <v>Demand control kitchen ventilation</v>
      </c>
      <c r="G16" s="1306" t="str">
        <f t="shared" ca="1" si="5"/>
        <v>Horsepower of Exhaust Fan</v>
      </c>
      <c r="H16" s="1307" t="str">
        <f t="shared" ca="1" si="6"/>
        <v>Commerical Kitchen - Control</v>
      </c>
      <c r="I16" s="1325"/>
      <c r="J16" s="1309" t="s">
        <v>77</v>
      </c>
      <c r="K16" s="1309" t="s">
        <v>103</v>
      </c>
      <c r="L16" s="1310"/>
      <c r="M16" s="1311" t="str">
        <f t="shared" ca="1" si="7"/>
        <v>Other</v>
      </c>
      <c r="N16" s="1311" t="str">
        <f t="shared" ca="1" si="8"/>
        <v>Average</v>
      </c>
      <c r="O16" s="1311" t="str">
        <f t="shared" ca="1" si="9"/>
        <v>RET</v>
      </c>
      <c r="P16" s="1311" t="str">
        <f t="shared" ca="1" si="10"/>
        <v>Natural gas</v>
      </c>
      <c r="Q16" s="1311" t="str">
        <f t="shared" ca="1" si="11"/>
        <v>Natural gas</v>
      </c>
      <c r="R16" s="1312">
        <f t="shared" ca="1" si="12"/>
        <v>15</v>
      </c>
      <c r="S16" s="1313">
        <f t="shared" ca="1" si="13"/>
        <v>4966</v>
      </c>
      <c r="T16" s="1313">
        <f t="shared" ca="1" si="14"/>
        <v>125.9069335577301</v>
      </c>
      <c r="U16" s="1314">
        <f t="shared" ca="1" si="15"/>
        <v>9.3257809814426231</v>
      </c>
      <c r="V16" s="1315">
        <f t="shared" ca="1" si="16"/>
        <v>0</v>
      </c>
      <c r="W16" s="1316">
        <f t="shared" ca="1" si="17"/>
        <v>74490</v>
      </c>
      <c r="X16" s="1316">
        <f t="shared" ca="1" si="18"/>
        <v>1888.6040033659515</v>
      </c>
      <c r="Y16" s="1316">
        <f t="shared" ca="1" si="19"/>
        <v>139.88671472163935</v>
      </c>
      <c r="Z16" s="1316">
        <f t="shared" ca="1" si="20"/>
        <v>0</v>
      </c>
      <c r="AA16" s="1317">
        <f t="shared" ca="1" si="21"/>
        <v>16442.062803427078</v>
      </c>
      <c r="AB16" s="1318">
        <f ca="1">VLOOKUP($B16&amp;$R16,'Value of Savings'!$B:$G,4,FALSE)*S16</f>
        <v>4938.2278531055799</v>
      </c>
      <c r="AC16" s="1318">
        <f ca="1">VLOOKUP($B16&amp;$R16,'Value of Savings'!$B:$G,5,FALSE)*T16</f>
        <v>6926.1355800585352</v>
      </c>
      <c r="AD16" s="1318">
        <f ca="1">VLOOKUP($B16&amp;$R16,'Value of Savings'!$B:$G,6,FALSE)*U16</f>
        <v>4577.6993702629607</v>
      </c>
    </row>
    <row r="17" spans="1:30" ht="12" x14ac:dyDescent="0.3">
      <c r="A17" s="1320" t="s">
        <v>81</v>
      </c>
      <c r="B17" s="1303" t="str">
        <f t="shared" ca="1" si="0"/>
        <v>Commercial</v>
      </c>
      <c r="C17" s="1304" t="str">
        <f t="shared" si="1"/>
        <v>Go to C-HC-007</v>
      </c>
      <c r="D17" s="1305" t="str">
        <f t="shared" ca="1" si="2"/>
        <v>CommercialDestratification fan, ft^2 of Conditioned Space</v>
      </c>
      <c r="E17" s="1305" t="str">
        <f t="shared" ca="1" si="3"/>
        <v>Destratification fan, ft^2 of Conditioned Space</v>
      </c>
      <c r="F17" s="1305" t="str">
        <f t="shared" ca="1" si="4"/>
        <v>Destratification fan</v>
      </c>
      <c r="G17" s="1306" t="str">
        <f t="shared" ca="1" si="5"/>
        <v>ft^2 of Conditioned Space</v>
      </c>
      <c r="H17" s="1307" t="str">
        <f t="shared" ca="1" si="6"/>
        <v>HVAC - Heating</v>
      </c>
      <c r="I17" s="1308"/>
      <c r="J17" s="1309" t="s">
        <v>69</v>
      </c>
      <c r="K17" s="1309" t="s">
        <v>82</v>
      </c>
      <c r="L17" s="1309"/>
      <c r="M17" s="1311" t="str">
        <f t="shared" ca="1" si="7"/>
        <v>Other</v>
      </c>
      <c r="N17" s="1311" t="str">
        <f t="shared" ca="1" si="8"/>
        <v>Average</v>
      </c>
      <c r="O17" s="1311" t="str">
        <f t="shared" ca="1" si="9"/>
        <v>RET</v>
      </c>
      <c r="P17" s="1311" t="str">
        <f t="shared" ca="1" si="10"/>
        <v>Natural gas</v>
      </c>
      <c r="Q17" s="1311" t="str">
        <f t="shared" ca="1" si="11"/>
        <v>Natural gas</v>
      </c>
      <c r="R17" s="1312">
        <f t="shared" ca="1" si="12"/>
        <v>10</v>
      </c>
      <c r="S17" s="1313">
        <f t="shared" ca="1" si="13"/>
        <v>0</v>
      </c>
      <c r="T17" s="1313">
        <f t="shared" ca="1" si="14"/>
        <v>4.1159005733947991E-3</v>
      </c>
      <c r="U17" s="1314">
        <f t="shared" ca="1" si="15"/>
        <v>2.1232696287971751E-4</v>
      </c>
      <c r="V17" s="1315">
        <f t="shared" ca="1" si="16"/>
        <v>0</v>
      </c>
      <c r="W17" s="1316">
        <f t="shared" ca="1" si="17"/>
        <v>0</v>
      </c>
      <c r="X17" s="1316">
        <f t="shared" ca="1" si="18"/>
        <v>4.1159005733947991E-2</v>
      </c>
      <c r="Y17" s="1316">
        <f t="shared" ca="1" si="19"/>
        <v>2.123269628797175E-3</v>
      </c>
      <c r="Z17" s="1316" t="str">
        <f t="shared" ca="1" si="20"/>
        <v/>
      </c>
      <c r="AA17" s="1317">
        <f t="shared" ca="1" si="21"/>
        <v>0.23088905680379918</v>
      </c>
      <c r="AB17" s="1318">
        <f ca="1">VLOOKUP($B17&amp;$R17,'Value of Savings'!$B:$G,4,FALSE)*S17</f>
        <v>0</v>
      </c>
      <c r="AC17" s="1318">
        <f ca="1">VLOOKUP($B17&amp;$R17,'Value of Savings'!$B:$G,5,FALSE)*T17</f>
        <v>0.15488262176650161</v>
      </c>
      <c r="AD17" s="1318">
        <f ca="1">VLOOKUP($B17&amp;$R17,'Value of Savings'!$B:$G,6,FALSE)*U17</f>
        <v>7.6006435037297551E-2</v>
      </c>
    </row>
    <row r="18" spans="1:30" s="1326" customFormat="1" ht="12" x14ac:dyDescent="0.3">
      <c r="A18" s="1320" t="s">
        <v>110</v>
      </c>
      <c r="B18" s="1303" t="str">
        <f t="shared" ca="1" si="0"/>
        <v>Commercial</v>
      </c>
      <c r="C18" s="1304" t="str">
        <f t="shared" si="1"/>
        <v>Go to C-L-003</v>
      </c>
      <c r="D18" s="1305" t="str">
        <f t="shared" ca="1" si="2"/>
        <v>CommercialDownlight fixture and retrofit kit, Fixture</v>
      </c>
      <c r="E18" s="1305" t="str">
        <f t="shared" ca="1" si="3"/>
        <v>Downlight fixture and retrofit kit, Fixture</v>
      </c>
      <c r="F18" s="1307" t="str">
        <f t="shared" ca="1" si="4"/>
        <v>Downlight fixture and retrofit kit</v>
      </c>
      <c r="G18" s="1306" t="str">
        <f t="shared" ca="1" si="5"/>
        <v>Fixture</v>
      </c>
      <c r="H18" s="1307" t="str">
        <f t="shared" ca="1" si="6"/>
        <v>Lighting - Indoor fixture</v>
      </c>
      <c r="I18" s="1322"/>
      <c r="J18" s="1309" t="s">
        <v>69</v>
      </c>
      <c r="K18" s="1309" t="s">
        <v>111</v>
      </c>
      <c r="L18" s="1324" t="s">
        <v>74</v>
      </c>
      <c r="M18" s="1311" t="str">
        <f t="shared" ca="1" si="7"/>
        <v>Other</v>
      </c>
      <c r="N18" s="1311" t="str">
        <f t="shared" ca="1" si="8"/>
        <v>Average</v>
      </c>
      <c r="O18" s="1311" t="str">
        <f t="shared" ca="1" si="9"/>
        <v>RET</v>
      </c>
      <c r="P18" s="1311" t="str">
        <f t="shared" ca="1" si="10"/>
        <v>Natural gas</v>
      </c>
      <c r="Q18" s="1311" t="str">
        <f t="shared" ca="1" si="11"/>
        <v>Natural gas</v>
      </c>
      <c r="R18" s="1312">
        <f t="shared" ca="1" si="12"/>
        <v>9</v>
      </c>
      <c r="S18" s="1313">
        <f t="shared" ca="1" si="13"/>
        <v>15.07281713796058</v>
      </c>
      <c r="T18" s="1313">
        <f t="shared" ca="1" si="14"/>
        <v>-2.3852733120822617E-2</v>
      </c>
      <c r="U18" s="1314">
        <f t="shared" ca="1" si="15"/>
        <v>7.3610148251336532E-3</v>
      </c>
      <c r="V18" s="1315">
        <f t="shared" ca="1" si="16"/>
        <v>0</v>
      </c>
      <c r="W18" s="1316">
        <f t="shared" ca="1" si="17"/>
        <v>135.65535424164523</v>
      </c>
      <c r="X18" s="1316">
        <f t="shared" ca="1" si="18"/>
        <v>-0.21467459808740355</v>
      </c>
      <c r="Y18" s="1316">
        <f t="shared" ca="1" si="19"/>
        <v>6.624913342620288E-2</v>
      </c>
      <c r="Z18" s="1316">
        <f t="shared" ca="1" si="20"/>
        <v>0</v>
      </c>
      <c r="AA18" s="1317">
        <f t="shared" ca="1" si="21"/>
        <v>11.320410581421811</v>
      </c>
      <c r="AB18" s="1318">
        <f ca="1">VLOOKUP($B18&amp;$R18,'Value of Savings'!$B:$G,4,FALSE)*S18</f>
        <v>9.7204777069374178</v>
      </c>
      <c r="AC18" s="1318">
        <f ca="1">VLOOKUP($B18&amp;$R18,'Value of Savings'!$B:$G,5,FALSE)*T18</f>
        <v>-0.8091297813860634</v>
      </c>
      <c r="AD18" s="1318">
        <f ca="1">VLOOKUP($B18&amp;$R18,'Value of Savings'!$B:$G,6,FALSE)*U18</f>
        <v>2.409062655870458</v>
      </c>
    </row>
    <row r="19" spans="1:30" ht="12" x14ac:dyDescent="0.3">
      <c r="A19" s="1320" t="s">
        <v>144</v>
      </c>
      <c r="B19" s="1303" t="str">
        <f t="shared" ca="1" si="0"/>
        <v>Commercial</v>
      </c>
      <c r="C19" s="1304" t="str">
        <f>HYPERLINK("#'"&amp;A19&amp;"'!A1","Go to "&amp;A19)</f>
        <v>Go to C-W-004</v>
      </c>
      <c r="D19" s="1305" t="str">
        <f t="shared" ca="1" si="2"/>
        <v>CommercialDrain water heat recovery, Drain</v>
      </c>
      <c r="E19" s="1305" t="str">
        <f t="shared" ca="1" si="3"/>
        <v>Drain water heat recovery, Drain</v>
      </c>
      <c r="F19" s="1305" t="str">
        <f t="shared" ca="1" si="4"/>
        <v>Drain water heat recovery</v>
      </c>
      <c r="G19" s="1306" t="str">
        <f t="shared" ca="1" si="5"/>
        <v>Drain</v>
      </c>
      <c r="H19" s="1307" t="str">
        <f t="shared" ca="1" si="6"/>
        <v>Water - Heating</v>
      </c>
      <c r="I19" s="1308"/>
      <c r="J19" s="1309" t="s">
        <v>77</v>
      </c>
      <c r="K19" s="1327" t="s">
        <v>142</v>
      </c>
      <c r="L19" s="1309"/>
      <c r="M19" s="1311" t="str">
        <f t="shared" ca="1" si="7"/>
        <v>Other</v>
      </c>
      <c r="N19" s="1311" t="str">
        <f t="shared" ca="1" si="8"/>
        <v>Average</v>
      </c>
      <c r="O19" s="1311" t="str">
        <f t="shared" ca="1" si="9"/>
        <v>RET</v>
      </c>
      <c r="P19" s="1311" t="str">
        <f t="shared" ca="1" si="10"/>
        <v>Natural gas</v>
      </c>
      <c r="Q19" s="1311" t="str">
        <f t="shared" ca="1" si="11"/>
        <v>Natural gas</v>
      </c>
      <c r="R19" s="1312">
        <f t="shared" ca="1" si="12"/>
        <v>20</v>
      </c>
      <c r="S19" s="1313">
        <f t="shared" ca="1" si="13"/>
        <v>0</v>
      </c>
      <c r="T19" s="1313">
        <f t="shared" ca="1" si="14"/>
        <v>8.5080345969845279</v>
      </c>
      <c r="U19" s="1314">
        <f t="shared" ca="1" si="15"/>
        <v>0.43890398075464088</v>
      </c>
      <c r="V19" s="1315">
        <f t="shared" ca="1" si="16"/>
        <v>0</v>
      </c>
      <c r="W19" s="1316">
        <f t="shared" ca="1" si="17"/>
        <v>0</v>
      </c>
      <c r="X19" s="1316">
        <f t="shared" ca="1" si="18"/>
        <v>170.16069193969057</v>
      </c>
      <c r="Y19" s="1316">
        <f t="shared" ca="1" si="19"/>
        <v>8.7780796150928175</v>
      </c>
      <c r="Z19" s="1316" t="str">
        <f t="shared" ca="1" si="20"/>
        <v/>
      </c>
      <c r="AA19" s="1317">
        <f t="shared" ca="1" si="21"/>
        <v>857.39114062392878</v>
      </c>
      <c r="AB19" s="1318">
        <f ca="1">VLOOKUP($B19&amp;$R19,'Value of Savings'!$B:$G,4,FALSE)*S19</f>
        <v>0</v>
      </c>
      <c r="AC19" s="1318">
        <f ca="1">VLOOKUP($B19&amp;$R19,'Value of Savings'!$B:$G,5,FALSE)*T19</f>
        <v>596.24651851827446</v>
      </c>
      <c r="AD19" s="1318">
        <f ca="1">VLOOKUP($B19&amp;$R19,'Value of Savings'!$B:$G,6,FALSE)*U19</f>
        <v>261.14462210565432</v>
      </c>
    </row>
    <row r="20" spans="1:30" ht="12" x14ac:dyDescent="0.3">
      <c r="A20" s="1320" t="s">
        <v>170</v>
      </c>
      <c r="B20" s="1303" t="str">
        <f t="shared" ca="1" si="0"/>
        <v>Residential</v>
      </c>
      <c r="C20" s="1304" t="str">
        <f t="shared" si="1"/>
        <v>Go to R-W-001</v>
      </c>
      <c r="D20" s="1305" t="str">
        <f t="shared" ca="1" si="2"/>
        <v>ResidentialDrain water heat recovery, Drain</v>
      </c>
      <c r="E20" s="1305" t="str">
        <f t="shared" ca="1" si="3"/>
        <v>Drain water heat recovery, Drain</v>
      </c>
      <c r="F20" s="1305" t="str">
        <f t="shared" ca="1" si="4"/>
        <v>Drain water heat recovery</v>
      </c>
      <c r="G20" s="1306" t="str">
        <f t="shared" ca="1" si="5"/>
        <v>Drain</v>
      </c>
      <c r="H20" s="1307" t="str">
        <f t="shared" ca="1" si="6"/>
        <v>Water - Heating</v>
      </c>
      <c r="I20" s="1325"/>
      <c r="J20" s="1309" t="s">
        <v>77</v>
      </c>
      <c r="K20" s="1309" t="s">
        <v>171</v>
      </c>
      <c r="L20" s="1310"/>
      <c r="M20" s="1311" t="str">
        <f t="shared" ca="1" si="7"/>
        <v>Home - detached</v>
      </c>
      <c r="N20" s="1311" t="str">
        <f t="shared" ca="1" si="8"/>
        <v>Average</v>
      </c>
      <c r="O20" s="1311" t="str">
        <f t="shared" ca="1" si="9"/>
        <v>RET</v>
      </c>
      <c r="P20" s="1311" t="str">
        <f t="shared" ca="1" si="10"/>
        <v>Natural gas</v>
      </c>
      <c r="Q20" s="1311" t="str">
        <f t="shared" ca="1" si="11"/>
        <v>Natural gas</v>
      </c>
      <c r="R20" s="1312">
        <f t="shared" ca="1" si="12"/>
        <v>20</v>
      </c>
      <c r="S20" s="1313">
        <f t="shared" ca="1" si="13"/>
        <v>0</v>
      </c>
      <c r="T20" s="1313">
        <f t="shared" ca="1" si="14"/>
        <v>4.1311895006851058</v>
      </c>
      <c r="U20" s="1314">
        <f t="shared" ca="1" si="15"/>
        <v>0.21311567277184257</v>
      </c>
      <c r="V20" s="1315">
        <f t="shared" ca="1" si="16"/>
        <v>0</v>
      </c>
      <c r="W20" s="1316">
        <f t="shared" ca="1" si="17"/>
        <v>0</v>
      </c>
      <c r="X20" s="1316">
        <f t="shared" ca="1" si="18"/>
        <v>82.62379001370212</v>
      </c>
      <c r="Y20" s="1316">
        <f t="shared" ca="1" si="19"/>
        <v>4.2623134554368516</v>
      </c>
      <c r="Z20" s="1316" t="str">
        <f t="shared" ca="1" si="20"/>
        <v/>
      </c>
      <c r="AA20" s="1317">
        <f t="shared" ca="1" si="21"/>
        <v>416.3176862705044</v>
      </c>
      <c r="AB20" s="1318">
        <f ca="1">VLOOKUP($B20&amp;$R20,'Value of Savings'!$B:$G,4,FALSE)*S20</f>
        <v>0</v>
      </c>
      <c r="AC20" s="1318">
        <f ca="1">VLOOKUP($B20&amp;$R20,'Value of Savings'!$B:$G,5,FALSE)*T20</f>
        <v>289.51543732506315</v>
      </c>
      <c r="AD20" s="1318">
        <f ca="1">VLOOKUP($B20&amp;$R20,'Value of Savings'!$B:$G,6,FALSE)*U20</f>
        <v>126.80224894544122</v>
      </c>
    </row>
    <row r="21" spans="1:30" ht="12" x14ac:dyDescent="0.3">
      <c r="A21" s="1320" t="s">
        <v>155</v>
      </c>
      <c r="B21" s="1303" t="str">
        <f t="shared" ca="1" si="0"/>
        <v>Residential</v>
      </c>
      <c r="C21" s="1304" t="str">
        <f t="shared" si="1"/>
        <v>Go to R-HC-004</v>
      </c>
      <c r="D21" s="1305" t="str">
        <f t="shared" ca="1" si="2"/>
        <v>ResidentialECM motor for residential furnace, Furnace Motor</v>
      </c>
      <c r="E21" s="1305" t="str">
        <f t="shared" ca="1" si="3"/>
        <v>ECM motor for residential furnace, Furnace Motor</v>
      </c>
      <c r="F21" s="1307" t="str">
        <f t="shared" ca="1" si="4"/>
        <v>ECM motor for residential furnace</v>
      </c>
      <c r="G21" s="1306" t="str">
        <f t="shared" ca="1" si="5"/>
        <v>Furnace Motor</v>
      </c>
      <c r="H21" s="1307" t="str">
        <f t="shared" ca="1" si="6"/>
        <v>HVAC - Heating</v>
      </c>
      <c r="I21" s="1308"/>
      <c r="J21" s="1309" t="s">
        <v>77</v>
      </c>
      <c r="K21" s="1309" t="s">
        <v>156</v>
      </c>
      <c r="L21" s="1310"/>
      <c r="M21" s="1311" t="str">
        <f t="shared" ca="1" si="7"/>
        <v>Home - detached</v>
      </c>
      <c r="N21" s="1311" t="str">
        <f t="shared" ca="1" si="8"/>
        <v>Average</v>
      </c>
      <c r="O21" s="1311" t="str">
        <f t="shared" ca="1" si="9"/>
        <v>RET</v>
      </c>
      <c r="P21" s="1311" t="str">
        <f t="shared" ca="1" si="10"/>
        <v>Natural gas</v>
      </c>
      <c r="Q21" s="1311" t="str">
        <f t="shared" ca="1" si="11"/>
        <v>Natural gas</v>
      </c>
      <c r="R21" s="1312">
        <f t="shared" ca="1" si="12"/>
        <v>6</v>
      </c>
      <c r="S21" s="1313">
        <f t="shared" ca="1" si="13"/>
        <v>775.2442885616781</v>
      </c>
      <c r="T21" s="1313">
        <f t="shared" ca="1" si="14"/>
        <v>0</v>
      </c>
      <c r="U21" s="1314">
        <f t="shared" ca="1" si="15"/>
        <v>0.44188924448015648</v>
      </c>
      <c r="V21" s="1315">
        <f t="shared" ca="1" si="16"/>
        <v>0</v>
      </c>
      <c r="W21" s="1316">
        <f t="shared" ca="1" si="17"/>
        <v>4651.4657313700682</v>
      </c>
      <c r="X21" s="1316">
        <f t="shared" ca="1" si="18"/>
        <v>0</v>
      </c>
      <c r="Y21" s="1316">
        <f t="shared" ca="1" si="19"/>
        <v>2.6513354668809388</v>
      </c>
      <c r="Z21" s="1316">
        <f t="shared" ca="1" si="20"/>
        <v>0</v>
      </c>
      <c r="AA21" s="1317">
        <f t="shared" ca="1" si="21"/>
        <v>443.29848662486336</v>
      </c>
      <c r="AB21" s="1318">
        <f ca="1">VLOOKUP($B21&amp;$R21,'Value of Savings'!$B:$G,4,FALSE)*S21</f>
        <v>343.57880368359537</v>
      </c>
      <c r="AC21" s="1318">
        <f ca="1">VLOOKUP($B21&amp;$R21,'Value of Savings'!$B:$G,5,FALSE)*T21</f>
        <v>0</v>
      </c>
      <c r="AD21" s="1318">
        <f ca="1">VLOOKUP($B21&amp;$R21,'Value of Savings'!$B:$G,6,FALSE)*U21</f>
        <v>99.719682941267976</v>
      </c>
    </row>
    <row r="22" spans="1:30" ht="12" x14ac:dyDescent="0.3">
      <c r="A22" s="1303" t="s">
        <v>188</v>
      </c>
      <c r="B22" s="1303" t="str">
        <f t="shared" ca="1" si="0"/>
        <v>DER</v>
      </c>
      <c r="C22" s="1304" t="str">
        <f t="shared" si="1"/>
        <v>Go to DER-004</v>
      </c>
      <c r="D22" s="1305" t="str">
        <f t="shared" ca="1" si="2"/>
        <v>DERElectric vehicle charging infrastructure, Custom</v>
      </c>
      <c r="E22" s="1305" t="str">
        <f t="shared" ca="1" si="3"/>
        <v>Electric vehicle charging infrastructure, Custom</v>
      </c>
      <c r="F22" s="1305" t="str">
        <f t="shared" ca="1" si="4"/>
        <v>Electric vehicle charging infrastructure</v>
      </c>
      <c r="G22" s="1306" t="str">
        <f t="shared" ca="1" si="5"/>
        <v>Custom</v>
      </c>
      <c r="H22" s="1307" t="str">
        <f t="shared" ca="1" si="6"/>
        <v>Electric Vehicle</v>
      </c>
      <c r="I22" s="1322"/>
      <c r="J22" s="1309" t="s">
        <v>77</v>
      </c>
      <c r="K22" s="1309" t="s">
        <v>171</v>
      </c>
      <c r="L22" s="1310"/>
      <c r="M22" s="1311" t="str">
        <f t="shared" ca="1" si="7"/>
        <v>Other</v>
      </c>
      <c r="N22" s="1311" t="str">
        <f t="shared" ca="1" si="8"/>
        <v>Average</v>
      </c>
      <c r="O22" s="1311" t="str">
        <f t="shared" ca="1" si="9"/>
        <v>RET</v>
      </c>
      <c r="P22" s="1311" t="str">
        <f t="shared" ca="1" si="10"/>
        <v>Natural gas</v>
      </c>
      <c r="Q22" s="1311" t="str">
        <f t="shared" ca="1" si="11"/>
        <v>Natural gas</v>
      </c>
      <c r="R22" s="1312">
        <f t="shared" ca="1" si="12"/>
        <v>10</v>
      </c>
      <c r="S22" s="1313">
        <f t="shared" ca="1" si="13"/>
        <v>0</v>
      </c>
      <c r="T22" s="1313">
        <f t="shared" ca="1" si="14"/>
        <v>0</v>
      </c>
      <c r="U22" s="1314">
        <f t="shared" ca="1" si="15"/>
        <v>0</v>
      </c>
      <c r="V22" s="1315">
        <f t="shared" ca="1" si="16"/>
        <v>0</v>
      </c>
      <c r="W22" s="1316">
        <f t="shared" ca="1" si="17"/>
        <v>0</v>
      </c>
      <c r="X22" s="1316">
        <f t="shared" ca="1" si="18"/>
        <v>0</v>
      </c>
      <c r="Y22" s="1316">
        <f t="shared" ca="1" si="19"/>
        <v>0</v>
      </c>
      <c r="Z22" s="1316" t="str">
        <f t="shared" ca="1" si="20"/>
        <v/>
      </c>
      <c r="AA22" s="1317" t="e">
        <f t="shared" ca="1" si="21"/>
        <v>#N/A</v>
      </c>
      <c r="AB22" s="1318" t="e">
        <f ca="1">VLOOKUP($B22&amp;$R22,'Value of Savings'!$B:$G,4,FALSE)*S22</f>
        <v>#N/A</v>
      </c>
      <c r="AC22" s="1318" t="e">
        <f ca="1">VLOOKUP($B22&amp;$R22,'Value of Savings'!$B:$G,5,FALSE)*T22</f>
        <v>#N/A</v>
      </c>
      <c r="AD22" s="1318" t="e">
        <f ca="1">VLOOKUP($B22&amp;$R22,'Value of Savings'!$B:$G,6,FALSE)*U22</f>
        <v>#N/A</v>
      </c>
    </row>
    <row r="23" spans="1:30" ht="12" x14ac:dyDescent="0.3">
      <c r="A23" s="1320" t="s">
        <v>132</v>
      </c>
      <c r="B23" s="1321" t="str">
        <f t="shared" ca="1" si="0"/>
        <v>Commercial</v>
      </c>
      <c r="C23" s="1304" t="str">
        <f t="shared" si="1"/>
        <v>Go to C-R-008</v>
      </c>
      <c r="D23" s="1305" t="str">
        <f t="shared" ca="1" si="2"/>
        <v>CommercialEvaporator fan control for motors, Horsepower of Motor</v>
      </c>
      <c r="E23" s="1305" t="str">
        <f t="shared" ca="1" si="3"/>
        <v>Evaporator fan control for motors, Horsepower of Motor</v>
      </c>
      <c r="F23" s="1305" t="str">
        <f t="shared" ca="1" si="4"/>
        <v>Evaporator fan control for motors</v>
      </c>
      <c r="G23" s="1306" t="str">
        <f t="shared" ca="1" si="5"/>
        <v>Horsepower of Motor</v>
      </c>
      <c r="H23" s="1307" t="str">
        <f t="shared" ca="1" si="6"/>
        <v>Refrigeration - Control</v>
      </c>
      <c r="I23" s="1308"/>
      <c r="J23" s="1309" t="s">
        <v>77</v>
      </c>
      <c r="K23" s="1309" t="s">
        <v>133</v>
      </c>
      <c r="L23" s="1324"/>
      <c r="M23" s="1311" t="str">
        <f t="shared" ca="1" si="7"/>
        <v>Other</v>
      </c>
      <c r="N23" s="1311" t="str">
        <f t="shared" ca="1" si="8"/>
        <v>Average</v>
      </c>
      <c r="O23" s="1311" t="str">
        <f t="shared" ca="1" si="9"/>
        <v>RET</v>
      </c>
      <c r="P23" s="1311" t="str">
        <f t="shared" ca="1" si="10"/>
        <v>Natural gas</v>
      </c>
      <c r="Q23" s="1311" t="str">
        <f t="shared" ca="1" si="11"/>
        <v>Natural gas</v>
      </c>
      <c r="R23" s="1312">
        <f t="shared" ca="1" si="12"/>
        <v>13</v>
      </c>
      <c r="S23" s="1313">
        <f t="shared" ca="1" si="13"/>
        <v>3444</v>
      </c>
      <c r="T23" s="1313">
        <f t="shared" ca="1" si="14"/>
        <v>0</v>
      </c>
      <c r="U23" s="1314">
        <f t="shared" ca="1" si="15"/>
        <v>1.9630799999999999</v>
      </c>
      <c r="V23" s="1315">
        <f t="shared" ca="1" si="16"/>
        <v>0</v>
      </c>
      <c r="W23" s="1316">
        <f t="shared" ca="1" si="17"/>
        <v>44772</v>
      </c>
      <c r="X23" s="1316">
        <f t="shared" ca="1" si="18"/>
        <v>0</v>
      </c>
      <c r="Y23" s="1316">
        <f t="shared" ca="1" si="19"/>
        <v>25.520039999999998</v>
      </c>
      <c r="Z23" s="1316">
        <f t="shared" ca="1" si="20"/>
        <v>0</v>
      </c>
      <c r="AA23" s="1317">
        <f t="shared" ca="1" si="21"/>
        <v>3915.8190485219334</v>
      </c>
      <c r="AB23" s="1318">
        <f ca="1">VLOOKUP($B23&amp;$R23,'Value of Savings'!$B:$G,4,FALSE)*S23</f>
        <v>3048.9999998324133</v>
      </c>
      <c r="AC23" s="1318">
        <f ca="1">VLOOKUP($B23&amp;$R23,'Value of Savings'!$B:$G,5,FALSE)*T23</f>
        <v>0</v>
      </c>
      <c r="AD23" s="1318">
        <f ca="1">VLOOKUP($B23&amp;$R23,'Value of Savings'!$B:$G,6,FALSE)*U23</f>
        <v>866.81904868952017</v>
      </c>
    </row>
    <row r="24" spans="1:30" ht="12" x14ac:dyDescent="0.3">
      <c r="A24" s="1320" t="s">
        <v>115</v>
      </c>
      <c r="B24" s="1303" t="str">
        <f t="shared" ca="1" si="0"/>
        <v>Commercial</v>
      </c>
      <c r="C24" s="1304" t="str">
        <f t="shared" si="1"/>
        <v>Go to C-L-006</v>
      </c>
      <c r="D24" s="1305" t="str">
        <f t="shared" ca="1" si="2"/>
        <v>CommercialGeneral service and specialty lamp, Lamp</v>
      </c>
      <c r="E24" s="1305" t="str">
        <f t="shared" ca="1" si="3"/>
        <v>General service and specialty lamp, Lamp</v>
      </c>
      <c r="F24" s="1307" t="str">
        <f t="shared" ca="1" si="4"/>
        <v>General service and specialty lamp</v>
      </c>
      <c r="G24" s="1306" t="str">
        <f t="shared" ca="1" si="5"/>
        <v>Lamp</v>
      </c>
      <c r="H24" s="1307" t="str">
        <f t="shared" ca="1" si="6"/>
        <v>Lighting - Indoor lamp</v>
      </c>
      <c r="I24" s="1322"/>
      <c r="J24" s="1309" t="s">
        <v>107</v>
      </c>
      <c r="K24" s="1309" t="s">
        <v>111</v>
      </c>
      <c r="L24" s="1324" t="s">
        <v>74</v>
      </c>
      <c r="M24" s="1311" t="str">
        <f t="shared" ca="1" si="7"/>
        <v>Other</v>
      </c>
      <c r="N24" s="1311" t="str">
        <f t="shared" ca="1" si="8"/>
        <v>Average</v>
      </c>
      <c r="O24" s="1311" t="str">
        <f t="shared" ca="1" si="9"/>
        <v>RET</v>
      </c>
      <c r="P24" s="1311" t="str">
        <f t="shared" ca="1" si="10"/>
        <v>Natural gas</v>
      </c>
      <c r="Q24" s="1311" t="str">
        <f t="shared" ca="1" si="11"/>
        <v>Natural gas</v>
      </c>
      <c r="R24" s="1312">
        <f t="shared" ca="1" si="12"/>
        <v>15</v>
      </c>
      <c r="S24" s="1313">
        <f t="shared" ca="1" si="13"/>
        <v>63.711100000000002</v>
      </c>
      <c r="T24" s="1313">
        <f t="shared" ca="1" si="14"/>
        <v>-0.10082281575</v>
      </c>
      <c r="U24" s="1314">
        <f t="shared" ca="1" si="15"/>
        <v>3.1114180403904752E-2</v>
      </c>
      <c r="V24" s="1315">
        <f t="shared" ca="1" si="16"/>
        <v>0</v>
      </c>
      <c r="W24" s="1316">
        <f t="shared" ca="1" si="17"/>
        <v>955.66650000000004</v>
      </c>
      <c r="X24" s="1316">
        <f t="shared" ca="1" si="18"/>
        <v>-1.5123422362500001</v>
      </c>
      <c r="Y24" s="1316">
        <f t="shared" ca="1" si="19"/>
        <v>0.46671270605857129</v>
      </c>
      <c r="Z24" s="1316">
        <f t="shared" ca="1" si="20"/>
        <v>0</v>
      </c>
      <c r="AA24" s="1317">
        <f t="shared" ca="1" si="21"/>
        <v>73.081400913404806</v>
      </c>
      <c r="AB24" s="1318">
        <f ca="1">VLOOKUP($B24&amp;$R24,'Value of Savings'!$B:$G,4,FALSE)*S24</f>
        <v>63.354798343132288</v>
      </c>
      <c r="AC24" s="1318">
        <f ca="1">VLOOKUP($B24&amp;$R24,'Value of Savings'!$B:$G,5,FALSE)*T24</f>
        <v>-5.5462592227105185</v>
      </c>
      <c r="AD24" s="1318">
        <f ca="1">VLOOKUP($B24&amp;$R24,'Value of Savings'!$B:$G,6,FALSE)*U24</f>
        <v>15.272861792983042</v>
      </c>
    </row>
    <row r="25" spans="1:30" ht="12" x14ac:dyDescent="0.3">
      <c r="A25" s="1320" t="s">
        <v>168</v>
      </c>
      <c r="B25" s="1303" t="str">
        <f t="shared" ca="1" si="0"/>
        <v>Residential</v>
      </c>
      <c r="C25" s="1304" t="str">
        <f t="shared" si="1"/>
        <v>Go to R-L-003</v>
      </c>
      <c r="D25" s="1305" t="str">
        <f t="shared" ca="1" si="2"/>
        <v>ResidentialGeneral service and specialty lamp, Lamp</v>
      </c>
      <c r="E25" s="1305" t="str">
        <f t="shared" ca="1" si="3"/>
        <v>General service and specialty lamp, Lamp</v>
      </c>
      <c r="F25" s="1307" t="str">
        <f t="shared" ca="1" si="4"/>
        <v>General service and specialty lamp</v>
      </c>
      <c r="G25" s="1306" t="str">
        <f t="shared" ca="1" si="5"/>
        <v>Lamp</v>
      </c>
      <c r="H25" s="1307" t="str">
        <f t="shared" ca="1" si="6"/>
        <v>Lighting - Indoor lamp</v>
      </c>
      <c r="I25" s="1322"/>
      <c r="J25" s="1309" t="s">
        <v>107</v>
      </c>
      <c r="K25" s="1309" t="s">
        <v>169</v>
      </c>
      <c r="L25" s="1324"/>
      <c r="M25" s="1311" t="str">
        <f t="shared" ca="1" si="7"/>
        <v>Home - detached</v>
      </c>
      <c r="N25" s="1311" t="str">
        <f t="shared" ca="1" si="8"/>
        <v>Average</v>
      </c>
      <c r="O25" s="1311" t="str">
        <f t="shared" ca="1" si="9"/>
        <v>RET</v>
      </c>
      <c r="P25" s="1311" t="str">
        <f t="shared" ca="1" si="10"/>
        <v>Natural gas</v>
      </c>
      <c r="Q25" s="1311" t="str">
        <f t="shared" ca="1" si="11"/>
        <v>Natural gas</v>
      </c>
      <c r="R25" s="1312">
        <f t="shared" ca="1" si="12"/>
        <v>15</v>
      </c>
      <c r="S25" s="1313">
        <f t="shared" ca="1" si="13"/>
        <v>51.381262881093683</v>
      </c>
      <c r="T25" s="1313">
        <f t="shared" ca="1" si="14"/>
        <v>-0.10130139945035548</v>
      </c>
      <c r="U25" s="1314">
        <f t="shared" ca="1" si="15"/>
        <v>2.406148454877791E-2</v>
      </c>
      <c r="V25" s="1315">
        <f t="shared" ca="1" si="16"/>
        <v>0</v>
      </c>
      <c r="W25" s="1316">
        <f t="shared" ca="1" si="17"/>
        <v>770.71894321640525</v>
      </c>
      <c r="X25" s="1316">
        <f t="shared" ca="1" si="18"/>
        <v>-1.5195209917553321</v>
      </c>
      <c r="Y25" s="1316">
        <f t="shared" ca="1" si="19"/>
        <v>0.36092226823166862</v>
      </c>
      <c r="Z25" s="1316">
        <f t="shared" ca="1" si="20"/>
        <v>0</v>
      </c>
      <c r="AA25" s="1317">
        <f t="shared" ca="1" si="21"/>
        <v>57.332269554076063</v>
      </c>
      <c r="AB25" s="1318">
        <f ca="1">VLOOKUP($B25&amp;$R25,'Value of Savings'!$B:$G,4,FALSE)*S25</f>
        <v>51.093915321618347</v>
      </c>
      <c r="AC25" s="1318">
        <f ca="1">VLOOKUP($B25&amp;$R25,'Value of Savings'!$B:$G,5,FALSE)*T25</f>
        <v>-5.5725860936889804</v>
      </c>
      <c r="AD25" s="1318">
        <f ca="1">VLOOKUP($B25&amp;$R25,'Value of Savings'!$B:$G,6,FALSE)*U25</f>
        <v>11.810940326146696</v>
      </c>
    </row>
    <row r="26" spans="1:30" ht="12" x14ac:dyDescent="0.3">
      <c r="A26" s="1320" t="s">
        <v>162</v>
      </c>
      <c r="B26" s="1321" t="str">
        <f t="shared" ca="1" si="0"/>
        <v>Residential</v>
      </c>
      <c r="C26" s="1304" t="str">
        <f t="shared" si="1"/>
        <v>Go to R-HC-008</v>
      </c>
      <c r="D26" s="1305" t="str">
        <f t="shared" ca="1" si="2"/>
        <v>ResidentialHeat and energy recovery ventilation, Custom</v>
      </c>
      <c r="E26" s="1305" t="str">
        <f t="shared" ca="1" si="3"/>
        <v>Heat and energy recovery ventilation, Custom</v>
      </c>
      <c r="F26" s="1305" t="str">
        <f t="shared" ca="1" si="4"/>
        <v>Heat and energy recovery ventilation</v>
      </c>
      <c r="G26" s="1306" t="str">
        <f t="shared" ca="1" si="5"/>
        <v>Custom</v>
      </c>
      <c r="H26" s="1307" t="str">
        <f t="shared" ca="1" si="6"/>
        <v>HVAC - Heating</v>
      </c>
      <c r="I26" s="1322"/>
      <c r="J26" s="1309" t="s">
        <v>69</v>
      </c>
      <c r="K26" s="1309" t="s">
        <v>163</v>
      </c>
      <c r="L26" s="1310"/>
      <c r="M26" s="1311" t="str">
        <f t="shared" ca="1" si="7"/>
        <v>Home - detached</v>
      </c>
      <c r="N26" s="1311" t="str">
        <f t="shared" ca="1" si="8"/>
        <v>Average</v>
      </c>
      <c r="O26" s="1311" t="str">
        <f t="shared" ca="1" si="9"/>
        <v>RET</v>
      </c>
      <c r="P26" s="1311" t="str">
        <f t="shared" ca="1" si="10"/>
        <v>Natural gas</v>
      </c>
      <c r="Q26" s="1311" t="str">
        <f t="shared" ca="1" si="11"/>
        <v>Natural gas</v>
      </c>
      <c r="R26" s="1312">
        <f t="shared" ca="1" si="12"/>
        <v>18</v>
      </c>
      <c r="S26" s="1313">
        <f t="shared" ca="1" si="13"/>
        <v>0</v>
      </c>
      <c r="T26" s="1313">
        <f t="shared" ca="1" si="14"/>
        <v>0</v>
      </c>
      <c r="U26" s="1314">
        <f t="shared" ca="1" si="15"/>
        <v>0</v>
      </c>
      <c r="V26" s="1315">
        <f t="shared" ca="1" si="16"/>
        <v>0</v>
      </c>
      <c r="W26" s="1316">
        <f t="shared" ca="1" si="17"/>
        <v>0</v>
      </c>
      <c r="X26" s="1316">
        <f t="shared" ca="1" si="18"/>
        <v>0</v>
      </c>
      <c r="Y26" s="1316">
        <f t="shared" ca="1" si="19"/>
        <v>0</v>
      </c>
      <c r="Z26" s="1316" t="str">
        <f t="shared" ca="1" si="20"/>
        <v/>
      </c>
      <c r="AA26" s="1317">
        <f t="shared" ca="1" si="21"/>
        <v>0</v>
      </c>
      <c r="AB26" s="1318">
        <f ca="1">VLOOKUP($B26&amp;$R26,'Value of Savings'!$B:$G,4,FALSE)*S26</f>
        <v>0</v>
      </c>
      <c r="AC26" s="1318">
        <f ca="1">VLOOKUP($B26&amp;$R26,'Value of Savings'!$B:$G,5,FALSE)*T26</f>
        <v>0</v>
      </c>
      <c r="AD26" s="1318">
        <f ca="1">VLOOKUP($B26&amp;$R26,'Value of Savings'!$B:$G,6,FALSE)*U26</f>
        <v>0</v>
      </c>
    </row>
    <row r="27" spans="1:30" s="1305" customFormat="1" ht="12" x14ac:dyDescent="0.3">
      <c r="A27" s="1320" t="s">
        <v>174</v>
      </c>
      <c r="B27" s="1303" t="str">
        <f t="shared" ca="1" si="0"/>
        <v>Residential</v>
      </c>
      <c r="C27" s="1304" t="str">
        <f t="shared" si="1"/>
        <v>Go to R-W-003</v>
      </c>
      <c r="D27" s="1305" t="str">
        <f t="shared" ca="1" si="2"/>
        <v>ResidentialHeat pump water heater, Water Heater</v>
      </c>
      <c r="E27" s="1305" t="str">
        <f t="shared" ca="1" si="3"/>
        <v>Heat pump water heater, Water Heater</v>
      </c>
      <c r="F27" s="1305" t="str">
        <f t="shared" ca="1" si="4"/>
        <v>Heat pump water heater</v>
      </c>
      <c r="G27" s="1306" t="str">
        <f t="shared" ca="1" si="5"/>
        <v>Water Heater</v>
      </c>
      <c r="H27" s="1307" t="str">
        <f t="shared" ca="1" si="6"/>
        <v>Water - Heating</v>
      </c>
      <c r="I27" s="1325"/>
      <c r="J27" s="1309" t="s">
        <v>77</v>
      </c>
      <c r="K27" s="1309" t="s">
        <v>175</v>
      </c>
      <c r="L27" s="1310"/>
      <c r="M27" s="1311" t="str">
        <f t="shared" ca="1" si="7"/>
        <v>Home - detached</v>
      </c>
      <c r="N27" s="1311" t="str">
        <f t="shared" ca="1" si="8"/>
        <v>Average</v>
      </c>
      <c r="O27" s="1311" t="str">
        <f t="shared" ca="1" si="9"/>
        <v>RET</v>
      </c>
      <c r="P27" s="1311" t="str">
        <f t="shared" ca="1" si="10"/>
        <v>Natural gas</v>
      </c>
      <c r="Q27" s="1311" t="str">
        <f t="shared" ca="1" si="11"/>
        <v>Natural gas</v>
      </c>
      <c r="R27" s="1312">
        <f t="shared" ca="1" si="12"/>
        <v>15</v>
      </c>
      <c r="S27" s="1313">
        <f t="shared" ca="1" si="13"/>
        <v>2751.9600839650352</v>
      </c>
      <c r="T27" s="1313">
        <f t="shared" ca="1" si="14"/>
        <v>-4.909147789987812</v>
      </c>
      <c r="U27" s="1314">
        <f t="shared" ca="1" si="15"/>
        <v>1.3153690408179686</v>
      </c>
      <c r="V27" s="1315">
        <f t="shared" ca="1" si="16"/>
        <v>0</v>
      </c>
      <c r="W27" s="1316">
        <f t="shared" ca="1" si="17"/>
        <v>41279.401259475526</v>
      </c>
      <c r="X27" s="1316">
        <f t="shared" ca="1" si="18"/>
        <v>-73.637216849817179</v>
      </c>
      <c r="Y27" s="1316">
        <f t="shared" ca="1" si="19"/>
        <v>19.730535612269527</v>
      </c>
      <c r="Z27" s="1316">
        <f t="shared" ca="1" si="20"/>
        <v>0</v>
      </c>
      <c r="AA27" s="1317">
        <f t="shared" ca="1" si="21"/>
        <v>3112.1864396460128</v>
      </c>
      <c r="AB27" s="1318">
        <f ca="1">VLOOKUP($B27&amp;$R27,'Value of Savings'!$B:$G,4,FALSE)*S27</f>
        <v>2736.5698625193131</v>
      </c>
      <c r="AC27" s="1318">
        <f ca="1">VLOOKUP($B27&amp;$R27,'Value of Savings'!$B:$G,5,FALSE)*T27</f>
        <v>-270.05203141104363</v>
      </c>
      <c r="AD27" s="1318">
        <f ca="1">VLOOKUP($B27&amp;$R27,'Value of Savings'!$B:$G,6,FALSE)*U27</f>
        <v>645.66860853774335</v>
      </c>
    </row>
    <row r="28" spans="1:30" s="1305" customFormat="1" ht="12" x14ac:dyDescent="0.3">
      <c r="A28" s="1320" t="s">
        <v>159</v>
      </c>
      <c r="B28" s="1321" t="str">
        <f t="shared" ca="1" si="0"/>
        <v>Residential</v>
      </c>
      <c r="C28" s="1304" t="str">
        <f t="shared" si="1"/>
        <v>Go to R-HC-006</v>
      </c>
      <c r="D28" s="1305" t="str">
        <f t="shared" ca="1" si="2"/>
        <v>ResidentialHigh-efficiency air source heat pump, kBTU/hour of Heating</v>
      </c>
      <c r="E28" s="1305" t="str">
        <f t="shared" ca="1" si="3"/>
        <v>High-efficiency air source heat pump, kBTU/hour of Heating</v>
      </c>
      <c r="F28" s="1305" t="str">
        <f t="shared" ca="1" si="4"/>
        <v>High-efficiency air source heat pump</v>
      </c>
      <c r="G28" s="1306" t="str">
        <f t="shared" ca="1" si="5"/>
        <v>kBTU/hour of Heating</v>
      </c>
      <c r="H28" s="1307" t="str">
        <f t="shared" ca="1" si="6"/>
        <v>HVAC - Heating</v>
      </c>
      <c r="I28" s="1308" t="s">
        <v>84</v>
      </c>
      <c r="J28" s="1310" t="s">
        <v>69</v>
      </c>
      <c r="K28" s="1310" t="s">
        <v>160</v>
      </c>
      <c r="L28" s="1310" t="s">
        <v>86</v>
      </c>
      <c r="M28" s="1311" t="str">
        <f t="shared" ca="1" si="7"/>
        <v>Home - detached</v>
      </c>
      <c r="N28" s="1311" t="str">
        <f t="shared" ca="1" si="8"/>
        <v>Average</v>
      </c>
      <c r="O28" s="1311" t="str">
        <f t="shared" ca="1" si="9"/>
        <v>RET</v>
      </c>
      <c r="P28" s="1311" t="str">
        <f t="shared" ca="1" si="10"/>
        <v>Natural gas</v>
      </c>
      <c r="Q28" s="1311" t="str">
        <f t="shared" ca="1" si="11"/>
        <v>Natural gas</v>
      </c>
      <c r="R28" s="1312">
        <f t="shared" ca="1" si="12"/>
        <v>16</v>
      </c>
      <c r="S28" s="1313">
        <f t="shared" ca="1" si="13"/>
        <v>65.512675789968512</v>
      </c>
      <c r="T28" s="1313">
        <f t="shared" ca="1" si="14"/>
        <v>0</v>
      </c>
      <c r="U28" s="1314">
        <f t="shared" ca="1" si="15"/>
        <v>3.7342225200282048E-2</v>
      </c>
      <c r="V28" s="1315">
        <f t="shared" ca="1" si="16"/>
        <v>0</v>
      </c>
      <c r="W28" s="1316">
        <f t="shared" ca="1" si="17"/>
        <v>1048.2028126394962</v>
      </c>
      <c r="X28" s="1316">
        <f t="shared" ca="1" si="18"/>
        <v>0</v>
      </c>
      <c r="Y28" s="1316">
        <f t="shared" ca="1" si="19"/>
        <v>0.59747560320451276</v>
      </c>
      <c r="Z28" s="1316">
        <f t="shared" ca="1" si="20"/>
        <v>0</v>
      </c>
      <c r="AA28" s="1317">
        <f t="shared" ca="1" si="21"/>
        <v>87.740169427199461</v>
      </c>
      <c r="AB28" s="1318">
        <f ca="1">VLOOKUP($B28&amp;$R28,'Value of Savings'!$B:$G,4,FALSE)*S28</f>
        <v>68.554833318448374</v>
      </c>
      <c r="AC28" s="1318">
        <f ca="1">VLOOKUP($B28&amp;$R28,'Value of Savings'!$B:$G,5,FALSE)*T28</f>
        <v>0</v>
      </c>
      <c r="AD28" s="1318">
        <f ca="1">VLOOKUP($B28&amp;$R28,'Value of Savings'!$B:$G,6,FALSE)*U28</f>
        <v>19.185336108751088</v>
      </c>
    </row>
    <row r="29" spans="1:30" s="1305" customFormat="1" ht="12" x14ac:dyDescent="0.3">
      <c r="A29" s="1303" t="s">
        <v>153</v>
      </c>
      <c r="B29" s="1303" t="str">
        <f t="shared" ca="1" si="0"/>
        <v>Residential</v>
      </c>
      <c r="C29" s="1304" t="str">
        <f t="shared" si="1"/>
        <v>Go to R-HC-002</v>
      </c>
      <c r="D29" s="1305" t="str">
        <f t="shared" ca="1" si="2"/>
        <v>ResidentialHigh-efficiency central air conditioner, Ton of Cooling</v>
      </c>
      <c r="E29" s="1305" t="str">
        <f t="shared" ca="1" si="3"/>
        <v>High-efficiency central air conditioner, Ton of Cooling</v>
      </c>
      <c r="F29" s="1305" t="str">
        <f t="shared" ca="1" si="4"/>
        <v>High-efficiency central air conditioner</v>
      </c>
      <c r="G29" s="1306" t="str">
        <f t="shared" ca="1" si="5"/>
        <v>Ton of Cooling</v>
      </c>
      <c r="H29" s="1307" t="str">
        <f t="shared" ca="1" si="6"/>
        <v>HVAC - Cooling</v>
      </c>
      <c r="I29" s="1322"/>
      <c r="J29" s="1309" t="s">
        <v>77</v>
      </c>
      <c r="K29" s="1309" t="s">
        <v>70</v>
      </c>
      <c r="L29" s="1309"/>
      <c r="M29" s="1311" t="str">
        <f t="shared" ca="1" si="7"/>
        <v>Home - detached</v>
      </c>
      <c r="N29" s="1311" t="str">
        <f t="shared" ca="1" si="8"/>
        <v>Average</v>
      </c>
      <c r="O29" s="1311" t="str">
        <f t="shared" ca="1" si="9"/>
        <v>RET</v>
      </c>
      <c r="P29" s="1311" t="str">
        <f t="shared" ca="1" si="10"/>
        <v>Natural gas</v>
      </c>
      <c r="Q29" s="1311" t="str">
        <f t="shared" ca="1" si="11"/>
        <v>Natural gas</v>
      </c>
      <c r="R29" s="1312">
        <f t="shared" ca="1" si="12"/>
        <v>18</v>
      </c>
      <c r="S29" s="1313">
        <f t="shared" ca="1" si="13"/>
        <v>21.232933955083517</v>
      </c>
      <c r="T29" s="1313">
        <f t="shared" ca="1" si="14"/>
        <v>0</v>
      </c>
      <c r="U29" s="1314">
        <f t="shared" ca="1" si="15"/>
        <v>1.2102772354397605E-2</v>
      </c>
      <c r="V29" s="1315">
        <f t="shared" ca="1" si="16"/>
        <v>0</v>
      </c>
      <c r="W29" s="1316">
        <f t="shared" ca="1" si="17"/>
        <v>382.19281119150332</v>
      </c>
      <c r="X29" s="1316">
        <f t="shared" ca="1" si="18"/>
        <v>0</v>
      </c>
      <c r="Y29" s="1316">
        <f t="shared" ca="1" si="19"/>
        <v>0.21784990237915688</v>
      </c>
      <c r="Z29" s="1316">
        <f t="shared" ca="1" si="20"/>
        <v>0</v>
      </c>
      <c r="AA29" s="1317">
        <f t="shared" ca="1" si="21"/>
        <v>31.058740630506918</v>
      </c>
      <c r="AB29" s="1318">
        <f ca="1">VLOOKUP($B29&amp;$R29,'Value of Savings'!$B:$G,4,FALSE)*S29</f>
        <v>24.325224880712362</v>
      </c>
      <c r="AC29" s="1318">
        <f ca="1">VLOOKUP($B29&amp;$R29,'Value of Savings'!$B:$G,5,FALSE)*T29</f>
        <v>0</v>
      </c>
      <c r="AD29" s="1318">
        <f ca="1">VLOOKUP($B29&amp;$R29,'Value of Savings'!$B:$G,6,FALSE)*U29</f>
        <v>6.7335157497945577</v>
      </c>
    </row>
    <row r="30" spans="1:30" s="1305" customFormat="1" ht="12" x14ac:dyDescent="0.3">
      <c r="A30" s="1320" t="s">
        <v>124</v>
      </c>
      <c r="B30" s="1303" t="str">
        <f t="shared" ca="1" si="0"/>
        <v>Commercial</v>
      </c>
      <c r="C30" s="1304" t="str">
        <f t="shared" si="1"/>
        <v>Go to C-R-003</v>
      </c>
      <c r="D30" s="1305" t="str">
        <f t="shared" ca="1" si="2"/>
        <v>CommercialHigh-efficiency door for reach-in freezer, Door</v>
      </c>
      <c r="E30" s="1305" t="str">
        <f t="shared" ca="1" si="3"/>
        <v>High-efficiency door for reach-in freezer, Door</v>
      </c>
      <c r="F30" s="1305" t="str">
        <f t="shared" ca="1" si="4"/>
        <v>High-efficiency door for reach-in freezer</v>
      </c>
      <c r="G30" s="1306" t="str">
        <f t="shared" ca="1" si="5"/>
        <v>Door</v>
      </c>
      <c r="H30" s="1307" t="str">
        <f t="shared" ca="1" si="6"/>
        <v>Refrigeration - Door</v>
      </c>
      <c r="I30" s="1308"/>
      <c r="J30" s="1309" t="s">
        <v>77</v>
      </c>
      <c r="K30" s="1309" t="s">
        <v>125</v>
      </c>
      <c r="L30" s="1324"/>
      <c r="M30" s="1311" t="str">
        <f t="shared" ca="1" si="7"/>
        <v>Other</v>
      </c>
      <c r="N30" s="1311" t="str">
        <f t="shared" ca="1" si="8"/>
        <v>Average</v>
      </c>
      <c r="O30" s="1311" t="str">
        <f t="shared" ca="1" si="9"/>
        <v>RET</v>
      </c>
      <c r="P30" s="1311" t="str">
        <f t="shared" ca="1" si="10"/>
        <v>Natural gas</v>
      </c>
      <c r="Q30" s="1311" t="str">
        <f t="shared" ca="1" si="11"/>
        <v>Natural gas</v>
      </c>
      <c r="R30" s="1312">
        <f t="shared" ca="1" si="12"/>
        <v>12</v>
      </c>
      <c r="S30" s="1313">
        <f t="shared" ca="1" si="13"/>
        <v>3305</v>
      </c>
      <c r="T30" s="1313">
        <f t="shared" ca="1" si="14"/>
        <v>0</v>
      </c>
      <c r="U30" s="1314">
        <f t="shared" ca="1" si="15"/>
        <v>1.88385</v>
      </c>
      <c r="V30" s="1315">
        <f t="shared" ca="1" si="16"/>
        <v>0</v>
      </c>
      <c r="W30" s="1316">
        <f t="shared" ca="1" si="17"/>
        <v>39660</v>
      </c>
      <c r="X30" s="1316">
        <f t="shared" ca="1" si="18"/>
        <v>0</v>
      </c>
      <c r="Y30" s="1316">
        <f t="shared" ca="1" si="19"/>
        <v>22.606200000000001</v>
      </c>
      <c r="Z30" s="1316">
        <f t="shared" ca="1" si="20"/>
        <v>0</v>
      </c>
      <c r="AA30" s="1317">
        <f t="shared" ca="1" si="21"/>
        <v>3518.9624866504259</v>
      </c>
      <c r="AB30" s="1318">
        <f ca="1">VLOOKUP($B30&amp;$R30,'Value of Savings'!$B:$G,4,FALSE)*S30</f>
        <v>2737.0805888570108</v>
      </c>
      <c r="AC30" s="1318">
        <f ca="1">VLOOKUP($B30&amp;$R30,'Value of Savings'!$B:$G,5,FALSE)*T30</f>
        <v>0</v>
      </c>
      <c r="AD30" s="1318">
        <f ca="1">VLOOKUP($B30&amp;$R30,'Value of Savings'!$B:$G,6,FALSE)*U30</f>
        <v>781.88189779341508</v>
      </c>
    </row>
    <row r="31" spans="1:30" s="1305" customFormat="1" ht="12" x14ac:dyDescent="0.3">
      <c r="A31" s="1320" t="s">
        <v>137</v>
      </c>
      <c r="B31" s="1321" t="str">
        <f t="shared" ca="1" si="0"/>
        <v>Commercial</v>
      </c>
      <c r="C31" s="1304" t="str">
        <f t="shared" si="1"/>
        <v>Go to C-R-011</v>
      </c>
      <c r="D31" s="1305" t="str">
        <f t="shared" ca="1" si="2"/>
        <v>CommercialHigh-efficiency door for reach-in refrigerator, Door</v>
      </c>
      <c r="E31" s="1305" t="str">
        <f t="shared" ca="1" si="3"/>
        <v>High-efficiency door for reach-in refrigerator, Door</v>
      </c>
      <c r="F31" s="1305" t="str">
        <f t="shared" ca="1" si="4"/>
        <v>High-efficiency door for reach-in refrigerator</v>
      </c>
      <c r="G31" s="1306" t="str">
        <f t="shared" ca="1" si="5"/>
        <v>Door</v>
      </c>
      <c r="H31" s="1307" t="str">
        <f t="shared" ca="1" si="6"/>
        <v>Refrigeration - Door</v>
      </c>
      <c r="I31" s="1308"/>
      <c r="J31" s="1309" t="s">
        <v>77</v>
      </c>
      <c r="K31" s="1309" t="s">
        <v>138</v>
      </c>
      <c r="L31" s="1324"/>
      <c r="M31" s="1311" t="str">
        <f t="shared" ca="1" si="7"/>
        <v>Other</v>
      </c>
      <c r="N31" s="1311" t="str">
        <f t="shared" ca="1" si="8"/>
        <v>Average</v>
      </c>
      <c r="O31" s="1311" t="str">
        <f t="shared" ca="1" si="9"/>
        <v>RET</v>
      </c>
      <c r="P31" s="1311" t="str">
        <f t="shared" ca="1" si="10"/>
        <v>Natural gas</v>
      </c>
      <c r="Q31" s="1311" t="str">
        <f t="shared" ca="1" si="11"/>
        <v>Natural gas</v>
      </c>
      <c r="R31" s="1312">
        <f t="shared" ca="1" si="12"/>
        <v>12</v>
      </c>
      <c r="S31" s="1313">
        <f t="shared" ca="1" si="13"/>
        <v>840</v>
      </c>
      <c r="T31" s="1313">
        <f t="shared" ca="1" si="14"/>
        <v>0</v>
      </c>
      <c r="U31" s="1314">
        <f t="shared" ca="1" si="15"/>
        <v>0.4788</v>
      </c>
      <c r="V31" s="1315">
        <f t="shared" ca="1" si="16"/>
        <v>0</v>
      </c>
      <c r="W31" s="1316">
        <f t="shared" ca="1" si="17"/>
        <v>10080</v>
      </c>
      <c r="X31" s="1316">
        <f t="shared" ca="1" si="18"/>
        <v>0</v>
      </c>
      <c r="Y31" s="1316">
        <f t="shared" ca="1" si="19"/>
        <v>5.7455999999999996</v>
      </c>
      <c r="Z31" s="1316">
        <f t="shared" ca="1" si="20"/>
        <v>0</v>
      </c>
      <c r="AA31" s="1317">
        <f t="shared" ca="1" si="21"/>
        <v>894.38078329390544</v>
      </c>
      <c r="AB31" s="1318">
        <f ca="1">VLOOKUP($B31&amp;$R31,'Value of Savings'!$B:$G,4,FALSE)*S31</f>
        <v>695.65739626017819</v>
      </c>
      <c r="AC31" s="1318">
        <f ca="1">VLOOKUP($B31&amp;$R31,'Value of Savings'!$B:$G,5,FALSE)*T31</f>
        <v>0</v>
      </c>
      <c r="AD31" s="1318">
        <f ca="1">VLOOKUP($B31&amp;$R31,'Value of Savings'!$B:$G,6,FALSE)*U31</f>
        <v>198.72338703372728</v>
      </c>
    </row>
    <row r="32" spans="1:30" ht="12" x14ac:dyDescent="0.3">
      <c r="A32" s="1303" t="s">
        <v>75</v>
      </c>
      <c r="B32" s="1303" t="str">
        <f t="shared" ca="1" si="0"/>
        <v>Commercial</v>
      </c>
      <c r="C32" s="1304" t="str">
        <f t="shared" si="1"/>
        <v>Go to C-HC-003</v>
      </c>
      <c r="D32" s="1305" t="str">
        <f t="shared" ca="1" si="2"/>
        <v>CommercialHigh-efficiency electric air cooled chiller, Ton of Chiller</v>
      </c>
      <c r="E32" s="1305" t="str">
        <f t="shared" ca="1" si="3"/>
        <v>High-efficiency electric air cooled chiller, Ton of Chiller</v>
      </c>
      <c r="F32" s="1305" t="str">
        <f t="shared" ca="1" si="4"/>
        <v>High-efficiency electric air cooled chiller</v>
      </c>
      <c r="G32" s="1306" t="str">
        <f t="shared" ca="1" si="5"/>
        <v>Ton of Chiller</v>
      </c>
      <c r="H32" s="1307" t="str">
        <f t="shared" ca="1" si="6"/>
        <v>HVAC - Cooling</v>
      </c>
      <c r="I32" s="1322"/>
      <c r="J32" s="1309" t="s">
        <v>69</v>
      </c>
      <c r="K32" s="1309" t="s">
        <v>70</v>
      </c>
      <c r="L32" s="1309"/>
      <c r="M32" s="1311" t="str">
        <f t="shared" ca="1" si="7"/>
        <v>Other</v>
      </c>
      <c r="N32" s="1311" t="str">
        <f t="shared" ca="1" si="8"/>
        <v>Average</v>
      </c>
      <c r="O32" s="1311" t="str">
        <f t="shared" ca="1" si="9"/>
        <v>RET</v>
      </c>
      <c r="P32" s="1311" t="str">
        <f t="shared" ca="1" si="10"/>
        <v>Natural gas</v>
      </c>
      <c r="Q32" s="1311" t="str">
        <f t="shared" ca="1" si="11"/>
        <v>Natural gas</v>
      </c>
      <c r="R32" s="1312">
        <f t="shared" ca="1" si="12"/>
        <v>23</v>
      </c>
      <c r="S32" s="1313">
        <f t="shared" ca="1" si="13"/>
        <v>61.331295964938519</v>
      </c>
      <c r="T32" s="1313">
        <f t="shared" ca="1" si="14"/>
        <v>0</v>
      </c>
      <c r="U32" s="1314">
        <f t="shared" ca="1" si="15"/>
        <v>3.4958838700014955E-2</v>
      </c>
      <c r="V32" s="1315">
        <f t="shared" ca="1" si="16"/>
        <v>0</v>
      </c>
      <c r="W32" s="1316">
        <f t="shared" ca="1" si="17"/>
        <v>1410.619807193586</v>
      </c>
      <c r="X32" s="1316">
        <f t="shared" ca="1" si="18"/>
        <v>0</v>
      </c>
      <c r="Y32" s="1316">
        <f t="shared" ca="1" si="19"/>
        <v>0.80405329010034399</v>
      </c>
      <c r="Z32" s="1316">
        <f t="shared" ca="1" si="20"/>
        <v>0</v>
      </c>
      <c r="AA32" s="1317">
        <f t="shared" ca="1" si="21"/>
        <v>106.58850484340418</v>
      </c>
      <c r="AB32" s="1318">
        <f ca="1">VLOOKUP($B32&amp;$R32,'Value of Savings'!$B:$G,4,FALSE)*S32</f>
        <v>83.994230522332998</v>
      </c>
      <c r="AC32" s="1318">
        <f ca="1">VLOOKUP($B32&amp;$R32,'Value of Savings'!$B:$G,5,FALSE)*T32</f>
        <v>0</v>
      </c>
      <c r="AD32" s="1318">
        <f ca="1">VLOOKUP($B32&amp;$R32,'Value of Savings'!$B:$G,6,FALSE)*U32</f>
        <v>22.594274321071182</v>
      </c>
    </row>
    <row r="33" spans="1:30" ht="12" x14ac:dyDescent="0.3">
      <c r="A33" s="1320" t="s">
        <v>83</v>
      </c>
      <c r="B33" s="1321" t="str">
        <f t="shared" ca="1" si="0"/>
        <v>Commercial</v>
      </c>
      <c r="C33" s="1304" t="str">
        <f t="shared" si="1"/>
        <v>Go to C-HC-008</v>
      </c>
      <c r="D33" s="1305" t="str">
        <f t="shared" ca="1" si="2"/>
        <v>CommercialHigh-efficiency heat pump, kBTU/hour of Heating and Cooling</v>
      </c>
      <c r="E33" s="1305" t="str">
        <f t="shared" ca="1" si="3"/>
        <v>High-efficiency heat pump, kBTU/hour of Heating and Cooling</v>
      </c>
      <c r="F33" s="1305" t="str">
        <f t="shared" ca="1" si="4"/>
        <v>High-efficiency heat pump</v>
      </c>
      <c r="G33" s="1306" t="str">
        <f t="shared" ca="1" si="5"/>
        <v>kBTU/hour of Heating and Cooling</v>
      </c>
      <c r="H33" s="1307" t="str">
        <f t="shared" ca="1" si="6"/>
        <v>HVAC - Heating</v>
      </c>
      <c r="I33" s="1308" t="s">
        <v>84</v>
      </c>
      <c r="J33" s="1309" t="s">
        <v>77</v>
      </c>
      <c r="K33" s="1309" t="s">
        <v>85</v>
      </c>
      <c r="L33" s="1310" t="s">
        <v>86</v>
      </c>
      <c r="M33" s="1311" t="str">
        <f t="shared" ca="1" si="7"/>
        <v>Other</v>
      </c>
      <c r="N33" s="1311" t="str">
        <f t="shared" ca="1" si="8"/>
        <v>Average</v>
      </c>
      <c r="O33" s="1311" t="str">
        <f t="shared" ca="1" si="9"/>
        <v>RET</v>
      </c>
      <c r="P33" s="1311" t="str">
        <f t="shared" ca="1" si="10"/>
        <v>Natural gas</v>
      </c>
      <c r="Q33" s="1311" t="str">
        <f t="shared" ca="1" si="11"/>
        <v>Natural gas</v>
      </c>
      <c r="R33" s="1312">
        <f t="shared" ca="1" si="12"/>
        <v>15</v>
      </c>
      <c r="S33" s="1313">
        <f t="shared" ca="1" si="13"/>
        <v>2160.8821000677308</v>
      </c>
      <c r="T33" s="1313">
        <f t="shared" ca="1" si="14"/>
        <v>0</v>
      </c>
      <c r="U33" s="1314">
        <f t="shared" ca="1" si="15"/>
        <v>1.2317027970386065</v>
      </c>
      <c r="V33" s="1315">
        <f t="shared" ca="1" si="16"/>
        <v>0</v>
      </c>
      <c r="W33" s="1316">
        <f t="shared" ca="1" si="17"/>
        <v>32413.231501015962</v>
      </c>
      <c r="X33" s="1316">
        <f t="shared" ca="1" si="18"/>
        <v>0</v>
      </c>
      <c r="Y33" s="1316">
        <f t="shared" ca="1" si="19"/>
        <v>18.475541955579097</v>
      </c>
      <c r="Z33" s="1316">
        <f t="shared" ca="1" si="20"/>
        <v>0</v>
      </c>
      <c r="AA33" s="1317">
        <f t="shared" ca="1" si="21"/>
        <v>2753.3972362597483</v>
      </c>
      <c r="AB33" s="1318">
        <f ca="1">VLOOKUP($B33&amp;$R33,'Value of Savings'!$B:$G,4,FALSE)*S33</f>
        <v>2148.7974574771947</v>
      </c>
      <c r="AC33" s="1318">
        <f ca="1">VLOOKUP($B33&amp;$R33,'Value of Savings'!$B:$G,5,FALSE)*T33</f>
        <v>0</v>
      </c>
      <c r="AD33" s="1318">
        <f ca="1">VLOOKUP($B33&amp;$R33,'Value of Savings'!$B:$G,6,FALSE)*U33</f>
        <v>604.5997787825537</v>
      </c>
    </row>
    <row r="34" spans="1:30" ht="12" x14ac:dyDescent="0.3">
      <c r="A34" s="1320" t="s">
        <v>126</v>
      </c>
      <c r="B34" s="1303" t="str">
        <f t="shared" ca="1" si="0"/>
        <v>Commercial</v>
      </c>
      <c r="C34" s="1304" t="str">
        <f t="shared" si="1"/>
        <v>Go to C-R-004</v>
      </c>
      <c r="D34" s="1305" t="str">
        <f t="shared" ca="1" si="2"/>
        <v>CommercialHigh-efficiency motor for walk/reach-in freezers, Motor</v>
      </c>
      <c r="E34" s="1305" t="str">
        <f t="shared" ca="1" si="3"/>
        <v>High-efficiency motor for walk/reach-in freezers, Motor</v>
      </c>
      <c r="F34" s="1305" t="str">
        <f t="shared" ca="1" si="4"/>
        <v>High-efficiency motor for walk/reach-in freezers</v>
      </c>
      <c r="G34" s="1306" t="str">
        <f t="shared" ca="1" si="5"/>
        <v>Motor</v>
      </c>
      <c r="H34" s="1307" t="str">
        <f t="shared" ca="1" si="6"/>
        <v>Refrigeration - Motor</v>
      </c>
      <c r="I34" s="1308"/>
      <c r="J34" s="1309" t="s">
        <v>77</v>
      </c>
      <c r="K34" s="1309" t="s">
        <v>125</v>
      </c>
      <c r="L34" s="1324"/>
      <c r="M34" s="1311" t="str">
        <f t="shared" ca="1" si="7"/>
        <v>Other</v>
      </c>
      <c r="N34" s="1311" t="str">
        <f t="shared" ca="1" si="8"/>
        <v>Average</v>
      </c>
      <c r="O34" s="1311" t="str">
        <f t="shared" ca="1" si="9"/>
        <v>RET</v>
      </c>
      <c r="P34" s="1311" t="str">
        <f t="shared" ca="1" si="10"/>
        <v>Natural gas</v>
      </c>
      <c r="Q34" s="1311" t="str">
        <f t="shared" ca="1" si="11"/>
        <v>Natural gas</v>
      </c>
      <c r="R34" s="1312">
        <f t="shared" ca="1" si="12"/>
        <v>10</v>
      </c>
      <c r="S34" s="1313">
        <f t="shared" ca="1" si="13"/>
        <v>339.43484999999998</v>
      </c>
      <c r="T34" s="1313">
        <f t="shared" ca="1" si="14"/>
        <v>0</v>
      </c>
      <c r="U34" s="1314">
        <f t="shared" ca="1" si="15"/>
        <v>0.19347786449999999</v>
      </c>
      <c r="V34" s="1315">
        <f t="shared" ca="1" si="16"/>
        <v>0</v>
      </c>
      <c r="W34" s="1316">
        <f t="shared" ca="1" si="17"/>
        <v>3394.3485000000001</v>
      </c>
      <c r="X34" s="1316">
        <f t="shared" ca="1" si="18"/>
        <v>0</v>
      </c>
      <c r="Y34" s="1316">
        <f t="shared" ca="1" si="19"/>
        <v>1.9347786449999997</v>
      </c>
      <c r="Z34" s="1316">
        <f t="shared" ca="1" si="20"/>
        <v>0</v>
      </c>
      <c r="AA34" s="1317">
        <f t="shared" ca="1" si="21"/>
        <v>309.53614044915258</v>
      </c>
      <c r="AB34" s="1318">
        <f ca="1">VLOOKUP($B34&amp;$R34,'Value of Savings'!$B:$G,4,FALSE)*S34</f>
        <v>240.27709515491475</v>
      </c>
      <c r="AC34" s="1318">
        <f ca="1">VLOOKUP($B34&amp;$R34,'Value of Savings'!$B:$G,5,FALSE)*T34</f>
        <v>0</v>
      </c>
      <c r="AD34" s="1318">
        <f ca="1">VLOOKUP($B34&amp;$R34,'Value of Savings'!$B:$G,6,FALSE)*U34</f>
        <v>69.259045294237822</v>
      </c>
    </row>
    <row r="35" spans="1:30" ht="12" x14ac:dyDescent="0.3">
      <c r="A35" s="1320" t="s">
        <v>134</v>
      </c>
      <c r="B35" s="1321" t="str">
        <f t="shared" ref="B35:B66" ca="1" si="22">INDIRECT("'"&amp;A35&amp;"'!C4")</f>
        <v>Commercial</v>
      </c>
      <c r="C35" s="1304" t="str">
        <f t="shared" ref="C35:C66" si="23">HYPERLINK("#'"&amp;A35&amp;"'!A1","Go to "&amp;A35)</f>
        <v>Go to C-R-009</v>
      </c>
      <c r="D35" s="1305" t="str">
        <f t="shared" ref="D35:D66" ca="1" si="24">B35&amp;E35</f>
        <v>CommercialHigh-efficiency motor for walk/reach-in refrigerators, Motor</v>
      </c>
      <c r="E35" s="1305" t="str">
        <f t="shared" ref="E35:E66" ca="1" si="25">F35&amp;", "&amp;G35</f>
        <v>High-efficiency motor for walk/reach-in refrigerators, Motor</v>
      </c>
      <c r="F35" s="1305" t="str">
        <f t="shared" ref="F35:F66" ca="1" si="26">INDIRECT("'"&amp;A35&amp;"'!C5")</f>
        <v>High-efficiency motor for walk/reach-in refrigerators</v>
      </c>
      <c r="G35" s="1306" t="str">
        <f t="shared" ref="G35:G66" ca="1" si="27">INDIRECT("'"&amp;A35&amp;"'!C17")</f>
        <v>Motor</v>
      </c>
      <c r="H35" s="1307" t="str">
        <f t="shared" ref="H35:H66" ca="1" si="28">INDIRECT("'"&amp;A35&amp;"'!C9")</f>
        <v>Refrigeration - Motor</v>
      </c>
      <c r="I35" s="1308"/>
      <c r="J35" s="1309" t="s">
        <v>77</v>
      </c>
      <c r="K35" s="1309" t="s">
        <v>125</v>
      </c>
      <c r="L35" s="1324"/>
      <c r="M35" s="1311" t="str">
        <f t="shared" ref="M35:M66" ca="1" si="29">INDIRECT("'"&amp;A35&amp;"'!C28")</f>
        <v>Other</v>
      </c>
      <c r="N35" s="1311" t="str">
        <f t="shared" ref="N35:N66" ca="1" si="30">INDIRECT("'"&amp;$A35&amp;"'!C26")</f>
        <v>Average</v>
      </c>
      <c r="O35" s="1311" t="str">
        <f t="shared" ref="O35:O66" ca="1" si="31">INDIRECT("'"&amp;A35&amp;"'!C27")</f>
        <v>RET</v>
      </c>
      <c r="P35" s="1311" t="str">
        <f t="shared" ref="P35:P66" ca="1" si="32">INDIRECT("'"&amp;$A35&amp;"'!C29")</f>
        <v>Natural gas</v>
      </c>
      <c r="Q35" s="1311" t="str">
        <f t="shared" ref="Q35:Q66" ca="1" si="33">INDIRECT("'"&amp;$A35&amp;"'!C30")</f>
        <v>Natural gas</v>
      </c>
      <c r="R35" s="1312">
        <f t="shared" ref="R35:R66" ca="1" si="34">ROUND(INDIRECT("'"&amp;A35&amp;"'!C18"),0)</f>
        <v>10</v>
      </c>
      <c r="S35" s="1313">
        <f t="shared" ref="S35:S66" ca="1" si="35">INDIRECT("'"&amp;A35&amp;"'!C13")</f>
        <v>357.01725199999998</v>
      </c>
      <c r="T35" s="1313">
        <f t="shared" ref="T35:T66" ca="1" si="36">INDIRECT("'"&amp;A35&amp;"'!C15")</f>
        <v>0</v>
      </c>
      <c r="U35" s="1314">
        <f t="shared" ref="U35:U66" ca="1" si="37">S35*GHG.E+T35*GHG.NG</f>
        <v>0.20349983363999999</v>
      </c>
      <c r="V35" s="1315">
        <f t="shared" ref="V35:V66" ca="1" si="38">INDIRECT("'"&amp;A35&amp;"'!C16")</f>
        <v>0</v>
      </c>
      <c r="W35" s="1316">
        <f t="shared" ref="W35:W66" ca="1" si="39">$R35*S35</f>
        <v>3570.1725200000001</v>
      </c>
      <c r="X35" s="1316">
        <f t="shared" ref="X35:X66" ca="1" si="40">$R35*T35</f>
        <v>0</v>
      </c>
      <c r="Y35" s="1316">
        <f t="shared" ref="Y35:Y66" ca="1" si="41">$R35*U35</f>
        <v>2.0349983363999997</v>
      </c>
      <c r="Z35" s="1316">
        <f t="shared" ref="Z35:Z66" ca="1" si="42">IF(S35&lt;=0,"",V35/(S35*R35)*100)</f>
        <v>0</v>
      </c>
      <c r="AA35" s="1317">
        <f t="shared" ref="AA35:AA66" ca="1" si="43">SUM(AB35:AD35)</f>
        <v>325.56981776574355</v>
      </c>
      <c r="AB35" s="1318">
        <f ca="1">VLOOKUP($B35&amp;$R35,'Value of Savings'!$B:$G,4,FALSE)*S35</f>
        <v>252.7232198778357</v>
      </c>
      <c r="AC35" s="1318">
        <f ca="1">VLOOKUP($B35&amp;$R35,'Value of Savings'!$B:$G,5,FALSE)*T35</f>
        <v>0</v>
      </c>
      <c r="AD35" s="1318">
        <f ca="1">VLOOKUP($B35&amp;$R35,'Value of Savings'!$B:$G,6,FALSE)*U35</f>
        <v>72.846597887907848</v>
      </c>
    </row>
    <row r="36" spans="1:30" ht="12" x14ac:dyDescent="0.3">
      <c r="A36" s="1320" t="s">
        <v>79</v>
      </c>
      <c r="B36" s="1303" t="str">
        <f t="shared" ca="1" si="22"/>
        <v>Commercial</v>
      </c>
      <c r="C36" s="1304" t="str">
        <f t="shared" si="23"/>
        <v>Go to C-HC-005</v>
      </c>
      <c r="D36" s="1305" t="str">
        <f t="shared" ca="1" si="24"/>
        <v>CommercialHigh-efficiency natural gas boiler, kBTU/hour of Heating</v>
      </c>
      <c r="E36" s="1305" t="str">
        <f t="shared" ca="1" si="25"/>
        <v>High-efficiency natural gas boiler, kBTU/hour of Heating</v>
      </c>
      <c r="F36" s="1305" t="str">
        <f t="shared" ca="1" si="26"/>
        <v>High-efficiency natural gas boiler</v>
      </c>
      <c r="G36" s="1306" t="str">
        <f t="shared" ca="1" si="27"/>
        <v>kBTU/hour of Heating</v>
      </c>
      <c r="H36" s="1307" t="str">
        <f t="shared" ca="1" si="28"/>
        <v>HVAC - Heating</v>
      </c>
      <c r="I36" s="1322"/>
      <c r="J36" s="1309" t="s">
        <v>77</v>
      </c>
      <c r="K36" s="1309" t="s">
        <v>70</v>
      </c>
      <c r="L36" s="1309"/>
      <c r="M36" s="1311" t="str">
        <f t="shared" ca="1" si="29"/>
        <v>Other</v>
      </c>
      <c r="N36" s="1311" t="str">
        <f t="shared" ca="1" si="30"/>
        <v>Average</v>
      </c>
      <c r="O36" s="1311" t="str">
        <f t="shared" ca="1" si="31"/>
        <v>RET</v>
      </c>
      <c r="P36" s="1311" t="str">
        <f t="shared" ca="1" si="32"/>
        <v>Natural gas</v>
      </c>
      <c r="Q36" s="1311" t="str">
        <f t="shared" ca="1" si="33"/>
        <v>Natural gas</v>
      </c>
      <c r="R36" s="1312">
        <f t="shared" ca="1" si="34"/>
        <v>25</v>
      </c>
      <c r="S36" s="1313">
        <f t="shared" ca="1" si="35"/>
        <v>0</v>
      </c>
      <c r="T36" s="1313">
        <f t="shared" ca="1" si="36"/>
        <v>17.262411944336716</v>
      </c>
      <c r="U36" s="1314">
        <f t="shared" ca="1" si="37"/>
        <v>0.89051604497249814</v>
      </c>
      <c r="V36" s="1315">
        <f t="shared" ca="1" si="38"/>
        <v>0</v>
      </c>
      <c r="W36" s="1316">
        <f t="shared" ca="1" si="39"/>
        <v>0</v>
      </c>
      <c r="X36" s="1316">
        <f t="shared" ca="1" si="40"/>
        <v>431.5602986084179</v>
      </c>
      <c r="Y36" s="1316">
        <f t="shared" ca="1" si="41"/>
        <v>22.262901124312453</v>
      </c>
      <c r="Z36" s="1316" t="str">
        <f t="shared" ca="1" si="42"/>
        <v/>
      </c>
      <c r="AA36" s="1317">
        <f t="shared" ca="1" si="43"/>
        <v>2037.0035398000186</v>
      </c>
      <c r="AB36" s="1318">
        <f ca="1">VLOOKUP($B36&amp;$R36,'Value of Savings'!$B:$G,4,FALSE)*S36</f>
        <v>0</v>
      </c>
      <c r="AC36" s="1318">
        <f ca="1">VLOOKUP($B36&amp;$R36,'Value of Savings'!$B:$G,5,FALSE)*T36</f>
        <v>1434.4988045679565</v>
      </c>
      <c r="AD36" s="1318">
        <f ca="1">VLOOKUP($B36&amp;$R36,'Value of Savings'!$B:$G,6,FALSE)*U36</f>
        <v>602.50473523206222</v>
      </c>
    </row>
    <row r="37" spans="1:30" ht="12" x14ac:dyDescent="0.3">
      <c r="A37" s="1320" t="s">
        <v>157</v>
      </c>
      <c r="B37" s="1303" t="str">
        <f t="shared" ca="1" si="22"/>
        <v>Residential</v>
      </c>
      <c r="C37" s="1304" t="str">
        <f t="shared" si="23"/>
        <v>Go to R-HC-005</v>
      </c>
      <c r="D37" s="1305" t="str">
        <f t="shared" ca="1" si="24"/>
        <v>ResidentialHigh-efficiency natural gas boiler, kBTU/hour of Heating</v>
      </c>
      <c r="E37" s="1305" t="str">
        <f t="shared" ca="1" si="25"/>
        <v>High-efficiency natural gas boiler, kBTU/hour of Heating</v>
      </c>
      <c r="F37" s="1305" t="str">
        <f t="shared" ca="1" si="26"/>
        <v>High-efficiency natural gas boiler</v>
      </c>
      <c r="G37" s="1306" t="str">
        <f t="shared" ca="1" si="27"/>
        <v>kBTU/hour of Heating</v>
      </c>
      <c r="H37" s="1307" t="str">
        <f t="shared" ca="1" si="28"/>
        <v>HVAC - Heating</v>
      </c>
      <c r="I37" s="1308"/>
      <c r="J37" s="1309" t="s">
        <v>69</v>
      </c>
      <c r="K37" s="1309" t="s">
        <v>158</v>
      </c>
      <c r="L37" s="1310"/>
      <c r="M37" s="1311" t="str">
        <f t="shared" ca="1" si="29"/>
        <v>Home - detached</v>
      </c>
      <c r="N37" s="1311" t="str">
        <f t="shared" ca="1" si="30"/>
        <v>Average</v>
      </c>
      <c r="O37" s="1311" t="str">
        <f t="shared" ca="1" si="31"/>
        <v>RET</v>
      </c>
      <c r="P37" s="1311" t="str">
        <f t="shared" ca="1" si="32"/>
        <v>Natural gas</v>
      </c>
      <c r="Q37" s="1311" t="str">
        <f t="shared" ca="1" si="33"/>
        <v>Natural gas</v>
      </c>
      <c r="R37" s="1312">
        <f t="shared" ca="1" si="34"/>
        <v>25</v>
      </c>
      <c r="S37" s="1313">
        <f t="shared" ca="1" si="35"/>
        <v>0</v>
      </c>
      <c r="T37" s="1313">
        <f t="shared" ca="1" si="36"/>
        <v>0</v>
      </c>
      <c r="U37" s="1314">
        <f t="shared" ca="1" si="37"/>
        <v>0</v>
      </c>
      <c r="V37" s="1315">
        <f t="shared" ca="1" si="38"/>
        <v>0</v>
      </c>
      <c r="W37" s="1316">
        <f t="shared" ca="1" si="39"/>
        <v>0</v>
      </c>
      <c r="X37" s="1316">
        <f t="shared" ca="1" si="40"/>
        <v>0</v>
      </c>
      <c r="Y37" s="1316">
        <f t="shared" ca="1" si="41"/>
        <v>0</v>
      </c>
      <c r="Z37" s="1316" t="str">
        <f t="shared" ca="1" si="42"/>
        <v/>
      </c>
      <c r="AA37" s="1317">
        <f t="shared" ca="1" si="43"/>
        <v>0</v>
      </c>
      <c r="AB37" s="1318">
        <f ca="1">VLOOKUP($B37&amp;$R37,'Value of Savings'!$B:$G,4,FALSE)*S37</f>
        <v>0</v>
      </c>
      <c r="AC37" s="1318">
        <f ca="1">VLOOKUP($B37&amp;$R37,'Value of Savings'!$B:$G,5,FALSE)*T37</f>
        <v>0</v>
      </c>
      <c r="AD37" s="1318">
        <f ca="1">VLOOKUP($B37&amp;$R37,'Value of Savings'!$B:$G,6,FALSE)*U37</f>
        <v>0</v>
      </c>
    </row>
    <row r="38" spans="1:30" ht="12" x14ac:dyDescent="0.3">
      <c r="A38" s="1320" t="s">
        <v>87</v>
      </c>
      <c r="B38" s="1303" t="str">
        <f t="shared" ca="1" si="22"/>
        <v>Commercial</v>
      </c>
      <c r="C38" s="1304" t="str">
        <f t="shared" si="23"/>
        <v>Go to C-HC-009</v>
      </c>
      <c r="D38" s="1305" t="str">
        <f t="shared" ca="1" si="24"/>
        <v>CommercialHigh-efficiency natural gas furnace, kBTU/hour of Heating</v>
      </c>
      <c r="E38" s="1305" t="str">
        <f t="shared" ca="1" si="25"/>
        <v>High-efficiency natural gas furnace, kBTU/hour of Heating</v>
      </c>
      <c r="F38" s="1305" t="str">
        <f t="shared" ca="1" si="26"/>
        <v>High-efficiency natural gas furnace</v>
      </c>
      <c r="G38" s="1306" t="str">
        <f t="shared" ca="1" si="27"/>
        <v>kBTU/hour of Heating</v>
      </c>
      <c r="H38" s="1307" t="str">
        <f t="shared" ca="1" si="28"/>
        <v>HVAC - Heating</v>
      </c>
      <c r="I38" s="1322"/>
      <c r="J38" s="1309" t="s">
        <v>77</v>
      </c>
      <c r="K38" s="1309" t="s">
        <v>88</v>
      </c>
      <c r="L38" s="1310"/>
      <c r="M38" s="1311" t="str">
        <f t="shared" ca="1" si="29"/>
        <v>Other</v>
      </c>
      <c r="N38" s="1311" t="str">
        <f t="shared" ca="1" si="30"/>
        <v>Average</v>
      </c>
      <c r="O38" s="1311" t="str">
        <f t="shared" ca="1" si="31"/>
        <v>RET</v>
      </c>
      <c r="P38" s="1311" t="str">
        <f t="shared" ca="1" si="32"/>
        <v>Natural gas</v>
      </c>
      <c r="Q38" s="1311" t="str">
        <f t="shared" ca="1" si="33"/>
        <v>Natural gas</v>
      </c>
      <c r="R38" s="1312">
        <f t="shared" ca="1" si="34"/>
        <v>17</v>
      </c>
      <c r="S38" s="1313">
        <f t="shared" ca="1" si="35"/>
        <v>0</v>
      </c>
      <c r="T38" s="1313">
        <f t="shared" ca="1" si="36"/>
        <v>0.35741314403356433</v>
      </c>
      <c r="U38" s="1314">
        <f t="shared" ca="1" si="37"/>
        <v>1.8437871861259482E-2</v>
      </c>
      <c r="V38" s="1315">
        <f t="shared" ca="1" si="38"/>
        <v>0</v>
      </c>
      <c r="W38" s="1316">
        <f t="shared" ca="1" si="39"/>
        <v>0</v>
      </c>
      <c r="X38" s="1316">
        <f t="shared" ca="1" si="40"/>
        <v>6.0760234485705933</v>
      </c>
      <c r="Y38" s="1316">
        <f t="shared" ca="1" si="41"/>
        <v>0.31344382164141121</v>
      </c>
      <c r="Z38" s="1316" t="str">
        <f t="shared" ca="1" si="42"/>
        <v/>
      </c>
      <c r="AA38" s="1317">
        <f t="shared" ca="1" si="43"/>
        <v>31.789299359823783</v>
      </c>
      <c r="AB38" s="1318">
        <f ca="1">VLOOKUP($B38&amp;$R38,'Value of Savings'!$B:$G,4,FALSE)*S38</f>
        <v>0</v>
      </c>
      <c r="AC38" s="1318">
        <f ca="1">VLOOKUP($B38&amp;$R38,'Value of Savings'!$B:$G,5,FALSE)*T38</f>
        <v>21.914244410469284</v>
      </c>
      <c r="AD38" s="1318">
        <f ca="1">VLOOKUP($B38&amp;$R38,'Value of Savings'!$B:$G,6,FALSE)*U38</f>
        <v>9.8750549493544995</v>
      </c>
    </row>
    <row r="39" spans="1:30" ht="12" x14ac:dyDescent="0.3">
      <c r="A39" s="1320" t="s">
        <v>154</v>
      </c>
      <c r="B39" s="1303" t="str">
        <f t="shared" ca="1" si="22"/>
        <v>Residential</v>
      </c>
      <c r="C39" s="1304" t="str">
        <f t="shared" si="23"/>
        <v>Go to R-HC-003</v>
      </c>
      <c r="D39" s="1305" t="str">
        <f t="shared" ca="1" si="24"/>
        <v>ResidentialHigh-efficiency natural gas furnace, kBTU/hour of Heating</v>
      </c>
      <c r="E39" s="1305" t="str">
        <f t="shared" ca="1" si="25"/>
        <v>High-efficiency natural gas furnace, kBTU/hour of Heating</v>
      </c>
      <c r="F39" s="1305" t="str">
        <f t="shared" ca="1" si="26"/>
        <v>High-efficiency natural gas furnace</v>
      </c>
      <c r="G39" s="1306" t="str">
        <f t="shared" ca="1" si="27"/>
        <v>kBTU/hour of Heating</v>
      </c>
      <c r="H39" s="1307" t="str">
        <f t="shared" ca="1" si="28"/>
        <v>HVAC - Heating</v>
      </c>
      <c r="I39" s="1322"/>
      <c r="J39" s="1309" t="s">
        <v>107</v>
      </c>
      <c r="K39" s="1309" t="s">
        <v>70</v>
      </c>
      <c r="L39" s="1309"/>
      <c r="M39" s="1311" t="str">
        <f t="shared" ca="1" si="29"/>
        <v>Home - detached</v>
      </c>
      <c r="N39" s="1311" t="str">
        <f t="shared" ca="1" si="30"/>
        <v>Average</v>
      </c>
      <c r="O39" s="1311" t="str">
        <f t="shared" ca="1" si="31"/>
        <v>RET</v>
      </c>
      <c r="P39" s="1311" t="str">
        <f t="shared" ca="1" si="32"/>
        <v>Natural gas</v>
      </c>
      <c r="Q39" s="1311" t="str">
        <f t="shared" ca="1" si="33"/>
        <v>Natural gas</v>
      </c>
      <c r="R39" s="1312">
        <f t="shared" ca="1" si="34"/>
        <v>20</v>
      </c>
      <c r="S39" s="1313">
        <f t="shared" ca="1" si="35"/>
        <v>0</v>
      </c>
      <c r="T39" s="1313">
        <f t="shared" ca="1" si="36"/>
        <v>0.34715760571818427</v>
      </c>
      <c r="U39" s="1314">
        <f t="shared" ca="1" si="37"/>
        <v>1.7908819406183971E-2</v>
      </c>
      <c r="V39" s="1315">
        <f t="shared" ca="1" si="38"/>
        <v>0</v>
      </c>
      <c r="W39" s="1316">
        <f t="shared" ca="1" si="39"/>
        <v>0</v>
      </c>
      <c r="X39" s="1316">
        <f t="shared" ca="1" si="40"/>
        <v>6.9431521143636852</v>
      </c>
      <c r="Y39" s="1316">
        <f t="shared" ca="1" si="41"/>
        <v>0.35817638812367941</v>
      </c>
      <c r="Z39" s="1316" t="str">
        <f t="shared" ca="1" si="42"/>
        <v/>
      </c>
      <c r="AA39" s="1317">
        <f t="shared" ca="1" si="43"/>
        <v>34.984561022880783</v>
      </c>
      <c r="AB39" s="1318">
        <f ca="1">VLOOKUP($B39&amp;$R39,'Value of Savings'!$B:$G,4,FALSE)*S39</f>
        <v>0</v>
      </c>
      <c r="AC39" s="1318">
        <f ca="1">VLOOKUP($B39&amp;$R39,'Value of Savings'!$B:$G,5,FALSE)*T39</f>
        <v>24.328945942458962</v>
      </c>
      <c r="AD39" s="1318">
        <f ca="1">VLOOKUP($B39&amp;$R39,'Value of Savings'!$B:$G,6,FALSE)*U39</f>
        <v>10.655615080421825</v>
      </c>
    </row>
    <row r="40" spans="1:30" s="1305" customFormat="1" ht="12" x14ac:dyDescent="0.3">
      <c r="A40" s="1320" t="s">
        <v>91</v>
      </c>
      <c r="B40" s="1303" t="str">
        <f t="shared" ca="1" si="22"/>
        <v>Commercial</v>
      </c>
      <c r="C40" s="1304" t="str">
        <f t="shared" si="23"/>
        <v>Go to C-HC-011</v>
      </c>
      <c r="D40" s="1305" t="str">
        <f t="shared" ca="1" si="24"/>
        <v>CommercialHigh-efficiency natural gas make-up air furnace, CFM of Ventilation</v>
      </c>
      <c r="E40" s="1305" t="str">
        <f t="shared" ca="1" si="25"/>
        <v>High-efficiency natural gas make-up air furnace, CFM of Ventilation</v>
      </c>
      <c r="F40" s="1305" t="str">
        <f t="shared" ca="1" si="26"/>
        <v>High-efficiency natural gas make-up air furnace</v>
      </c>
      <c r="G40" s="1306" t="str">
        <f t="shared" ca="1" si="27"/>
        <v>CFM of Ventilation</v>
      </c>
      <c r="H40" s="1307" t="str">
        <f t="shared" ca="1" si="28"/>
        <v>HVAC - Heating</v>
      </c>
      <c r="I40" s="1308"/>
      <c r="J40" s="1309" t="s">
        <v>69</v>
      </c>
      <c r="K40" s="1309" t="s">
        <v>92</v>
      </c>
      <c r="L40" s="1310"/>
      <c r="M40" s="1311" t="str">
        <f t="shared" ca="1" si="29"/>
        <v>Other</v>
      </c>
      <c r="N40" s="1311" t="str">
        <f t="shared" ca="1" si="30"/>
        <v>Average</v>
      </c>
      <c r="O40" s="1311" t="str">
        <f t="shared" ca="1" si="31"/>
        <v>RET</v>
      </c>
      <c r="P40" s="1311" t="str">
        <f t="shared" ca="1" si="32"/>
        <v>Natural gas</v>
      </c>
      <c r="Q40" s="1311" t="str">
        <f t="shared" ca="1" si="33"/>
        <v>Natural gas</v>
      </c>
      <c r="R40" s="1312">
        <f t="shared" ca="1" si="34"/>
        <v>15</v>
      </c>
      <c r="S40" s="1313">
        <f t="shared" ca="1" si="35"/>
        <v>-8.383215962441315E-2</v>
      </c>
      <c r="T40" s="1313">
        <f t="shared" ca="1" si="36"/>
        <v>2.3350771572655589E-2</v>
      </c>
      <c r="U40" s="1314">
        <f t="shared" ca="1" si="37"/>
        <v>1.1568119221326684E-3</v>
      </c>
      <c r="V40" s="1315">
        <f t="shared" ca="1" si="38"/>
        <v>0</v>
      </c>
      <c r="W40" s="1316">
        <f t="shared" ca="1" si="39"/>
        <v>-1.2574823943661972</v>
      </c>
      <c r="X40" s="1316">
        <f t="shared" ca="1" si="40"/>
        <v>0.35026157358983384</v>
      </c>
      <c r="Y40" s="1316">
        <f t="shared" ca="1" si="41"/>
        <v>1.7352178831990025E-2</v>
      </c>
      <c r="Z40" s="1316" t="str">
        <f t="shared" ca="1" si="42"/>
        <v/>
      </c>
      <c r="AA40" s="1317">
        <f t="shared" ca="1" si="43"/>
        <v>1.7690001860987934</v>
      </c>
      <c r="AB40" s="1318">
        <f ca="1">VLOOKUP($B40&amp;$R40,'Value of Savings'!$B:$G,4,FALSE)*S40</f>
        <v>-8.3363331784790592E-2</v>
      </c>
      <c r="AC40" s="1318">
        <f ca="1">VLOOKUP($B40&amp;$R40,'Value of Savings'!$B:$G,5,FALSE)*T40</f>
        <v>1.284525047518797</v>
      </c>
      <c r="AD40" s="1318">
        <f ca="1">VLOOKUP($B40&amp;$R40,'Value of Savings'!$B:$G,6,FALSE)*U40</f>
        <v>0.56783847036478696</v>
      </c>
    </row>
    <row r="41" spans="1:30" s="1305" customFormat="1" ht="12" x14ac:dyDescent="0.3">
      <c r="A41" s="1320" t="s">
        <v>141</v>
      </c>
      <c r="B41" s="1321" t="str">
        <f t="shared" ca="1" si="22"/>
        <v>Commercial</v>
      </c>
      <c r="C41" s="1304" t="str">
        <f t="shared" si="23"/>
        <v>Go to C-W-002</v>
      </c>
      <c r="D41" s="1305" t="str">
        <f t="shared" ca="1" si="24"/>
        <v>CommercialHigh-efficiency natural gas storage water heater, Water Heater</v>
      </c>
      <c r="E41" s="1305" t="str">
        <f t="shared" ca="1" si="25"/>
        <v>High-efficiency natural gas storage water heater, Water Heater</v>
      </c>
      <c r="F41" s="1305" t="str">
        <f t="shared" ca="1" si="26"/>
        <v>High-efficiency natural gas storage water heater</v>
      </c>
      <c r="G41" s="1306" t="str">
        <f t="shared" ca="1" si="27"/>
        <v>Water Heater</v>
      </c>
      <c r="H41" s="1307" t="str">
        <f t="shared" ca="1" si="28"/>
        <v>Water - Heating</v>
      </c>
      <c r="I41" s="1308"/>
      <c r="J41" s="1309" t="s">
        <v>77</v>
      </c>
      <c r="K41" s="1327" t="s">
        <v>142</v>
      </c>
      <c r="L41" s="1309"/>
      <c r="M41" s="1311" t="str">
        <f t="shared" ca="1" si="29"/>
        <v>Other</v>
      </c>
      <c r="N41" s="1311" t="str">
        <f t="shared" ca="1" si="30"/>
        <v>Average</v>
      </c>
      <c r="O41" s="1311" t="str">
        <f t="shared" ca="1" si="31"/>
        <v>RET</v>
      </c>
      <c r="P41" s="1311" t="str">
        <f t="shared" ca="1" si="32"/>
        <v>Natural gas</v>
      </c>
      <c r="Q41" s="1311" t="str">
        <f t="shared" ca="1" si="33"/>
        <v>Natural gas</v>
      </c>
      <c r="R41" s="1312">
        <f t="shared" ca="1" si="34"/>
        <v>15</v>
      </c>
      <c r="S41" s="1313">
        <f t="shared" ca="1" si="35"/>
        <v>0</v>
      </c>
      <c r="T41" s="1313">
        <f t="shared" ca="1" si="36"/>
        <v>17.485582334855771</v>
      </c>
      <c r="U41" s="1314">
        <f t="shared" ca="1" si="37"/>
        <v>0.90202873590820465</v>
      </c>
      <c r="V41" s="1315">
        <f t="shared" ca="1" si="38"/>
        <v>0</v>
      </c>
      <c r="W41" s="1316">
        <f t="shared" ca="1" si="39"/>
        <v>0</v>
      </c>
      <c r="X41" s="1316">
        <f t="shared" ca="1" si="40"/>
        <v>262.28373502283654</v>
      </c>
      <c r="Y41" s="1316">
        <f t="shared" ca="1" si="41"/>
        <v>13.530431038623069</v>
      </c>
      <c r="Z41" s="1316" t="str">
        <f t="shared" ca="1" si="42"/>
        <v/>
      </c>
      <c r="AA41" s="1317">
        <f t="shared" ca="1" si="43"/>
        <v>1404.6555374731017</v>
      </c>
      <c r="AB41" s="1318">
        <f ca="1">VLOOKUP($B41&amp;$R41,'Value of Savings'!$B:$G,4,FALSE)*S41</f>
        <v>0</v>
      </c>
      <c r="AC41" s="1318">
        <f ca="1">VLOOKUP($B41&amp;$R41,'Value of Savings'!$B:$G,5,FALSE)*T41</f>
        <v>961.88121277656285</v>
      </c>
      <c r="AD41" s="1318">
        <f ca="1">VLOOKUP($B41&amp;$R41,'Value of Savings'!$B:$G,6,FALSE)*U41</f>
        <v>442.77432469653888</v>
      </c>
    </row>
    <row r="42" spans="1:30" s="1305" customFormat="1" ht="12" x14ac:dyDescent="0.3">
      <c r="A42" s="1320" t="s">
        <v>80</v>
      </c>
      <c r="B42" s="1303" t="str">
        <f t="shared" ca="1" si="22"/>
        <v>Commercial</v>
      </c>
      <c r="C42" s="1304" t="str">
        <f t="shared" si="23"/>
        <v>Go to C-HC-006</v>
      </c>
      <c r="D42" s="1305" t="str">
        <f t="shared" ca="1" si="24"/>
        <v>CommercialHigh-efficiency natural gas unit heater, kBTU/hour of Heating</v>
      </c>
      <c r="E42" s="1305" t="str">
        <f t="shared" ca="1" si="25"/>
        <v>High-efficiency natural gas unit heater, kBTU/hour of Heating</v>
      </c>
      <c r="F42" s="1305" t="str">
        <f t="shared" ca="1" si="26"/>
        <v>High-efficiency natural gas unit heater</v>
      </c>
      <c r="G42" s="1306" t="str">
        <f t="shared" ca="1" si="27"/>
        <v>kBTU/hour of Heating</v>
      </c>
      <c r="H42" s="1307" t="str">
        <f t="shared" ca="1" si="28"/>
        <v>HVAC - Heating</v>
      </c>
      <c r="I42" s="1322"/>
      <c r="J42" s="1309" t="s">
        <v>77</v>
      </c>
      <c r="K42" s="1309" t="s">
        <v>70</v>
      </c>
      <c r="L42" s="1309"/>
      <c r="M42" s="1311" t="str">
        <f t="shared" ca="1" si="29"/>
        <v>Other</v>
      </c>
      <c r="N42" s="1311" t="str">
        <f t="shared" ca="1" si="30"/>
        <v>Average</v>
      </c>
      <c r="O42" s="1311" t="str">
        <f t="shared" ca="1" si="31"/>
        <v>RET</v>
      </c>
      <c r="P42" s="1311" t="str">
        <f t="shared" ca="1" si="32"/>
        <v>Natural gas</v>
      </c>
      <c r="Q42" s="1311" t="str">
        <f t="shared" ca="1" si="33"/>
        <v>Natural gas</v>
      </c>
      <c r="R42" s="1312">
        <f t="shared" ca="1" si="34"/>
        <v>12</v>
      </c>
      <c r="S42" s="1313">
        <f t="shared" ca="1" si="35"/>
        <v>0</v>
      </c>
      <c r="T42" s="1313">
        <f t="shared" ca="1" si="36"/>
        <v>0.26584114394278574</v>
      </c>
      <c r="U42" s="1314">
        <f t="shared" ca="1" si="37"/>
        <v>1.3713947092576489E-2</v>
      </c>
      <c r="V42" s="1315">
        <f t="shared" ca="1" si="38"/>
        <v>0</v>
      </c>
      <c r="W42" s="1316">
        <f t="shared" ca="1" si="39"/>
        <v>0</v>
      </c>
      <c r="X42" s="1316">
        <f t="shared" ca="1" si="40"/>
        <v>3.1900937273134291</v>
      </c>
      <c r="Y42" s="1316">
        <f t="shared" ca="1" si="41"/>
        <v>0.16456736511091785</v>
      </c>
      <c r="Z42" s="1316" t="str">
        <f t="shared" ca="1" si="42"/>
        <v/>
      </c>
      <c r="AA42" s="1317">
        <f t="shared" ca="1" si="43"/>
        <v>17.624104957135678</v>
      </c>
      <c r="AB42" s="1318">
        <f ca="1">VLOOKUP($B42&amp;$R42,'Value of Savings'!$B:$G,4,FALSE)*S42</f>
        <v>0</v>
      </c>
      <c r="AC42" s="1318">
        <f ca="1">VLOOKUP($B42&amp;$R42,'Value of Savings'!$B:$G,5,FALSE)*T42</f>
        <v>11.932204339261542</v>
      </c>
      <c r="AD42" s="1318">
        <f ca="1">VLOOKUP($B42&amp;$R42,'Value of Savings'!$B:$G,6,FALSE)*U42</f>
        <v>5.6919006178741363</v>
      </c>
    </row>
    <row r="43" spans="1:30" ht="12" x14ac:dyDescent="0.3">
      <c r="A43" s="1320" t="s">
        <v>104</v>
      </c>
      <c r="B43" s="1321" t="str">
        <f t="shared" ca="1" si="22"/>
        <v>Commercial</v>
      </c>
      <c r="C43" s="1304" t="str">
        <f t="shared" si="23"/>
        <v>Go to C-K-002</v>
      </c>
      <c r="D43" s="1305" t="str">
        <f t="shared" ca="1" si="24"/>
        <v>CommercialHigh-efficiency pre-rinse spray valve, Valve</v>
      </c>
      <c r="E43" s="1305" t="str">
        <f t="shared" ca="1" si="25"/>
        <v>High-efficiency pre-rinse spray valve, Valve</v>
      </c>
      <c r="F43" s="1305" t="str">
        <f t="shared" ca="1" si="26"/>
        <v>High-efficiency pre-rinse spray valve</v>
      </c>
      <c r="G43" s="1306" t="str">
        <f t="shared" ca="1" si="27"/>
        <v>Valve</v>
      </c>
      <c r="H43" s="1307" t="str">
        <f t="shared" ca="1" si="28"/>
        <v>Commercial Kitchen - Control</v>
      </c>
      <c r="I43" s="1322"/>
      <c r="J43" s="1309" t="s">
        <v>77</v>
      </c>
      <c r="K43" s="1309" t="s">
        <v>105</v>
      </c>
      <c r="L43" s="1309"/>
      <c r="M43" s="1311" t="str">
        <f t="shared" ca="1" si="29"/>
        <v>Other</v>
      </c>
      <c r="N43" s="1311" t="str">
        <f t="shared" ca="1" si="30"/>
        <v>Average</v>
      </c>
      <c r="O43" s="1311" t="str">
        <f t="shared" ca="1" si="31"/>
        <v>RET</v>
      </c>
      <c r="P43" s="1311" t="str">
        <f t="shared" ca="1" si="32"/>
        <v>Natural gas</v>
      </c>
      <c r="Q43" s="1311" t="str">
        <f t="shared" ca="1" si="33"/>
        <v>Natural gas</v>
      </c>
      <c r="R43" s="1312">
        <f t="shared" ca="1" si="34"/>
        <v>5</v>
      </c>
      <c r="S43" s="1313">
        <f t="shared" ca="1" si="35"/>
        <v>0</v>
      </c>
      <c r="T43" s="1313">
        <f t="shared" ca="1" si="36"/>
        <v>31.484516926909102</v>
      </c>
      <c r="U43" s="1314">
        <f t="shared" ca="1" si="37"/>
        <v>1.6241917747084598</v>
      </c>
      <c r="V43" s="1315">
        <f t="shared" ca="1" si="38"/>
        <v>0</v>
      </c>
      <c r="W43" s="1316">
        <f t="shared" ca="1" si="39"/>
        <v>0</v>
      </c>
      <c r="X43" s="1316">
        <f t="shared" ca="1" si="40"/>
        <v>157.4225846345455</v>
      </c>
      <c r="Y43" s="1316">
        <f t="shared" ca="1" si="41"/>
        <v>8.1209588735422997</v>
      </c>
      <c r="Z43" s="1316" t="str">
        <f t="shared" ca="1" si="42"/>
        <v/>
      </c>
      <c r="AA43" s="1317">
        <f t="shared" ca="1" si="43"/>
        <v>901.68128366809515</v>
      </c>
      <c r="AB43" s="1318">
        <f ca="1">VLOOKUP($B43&amp;$R43,'Value of Savings'!$B:$G,4,FALSE)*S43</f>
        <v>0</v>
      </c>
      <c r="AC43" s="1318">
        <f ca="1">VLOOKUP($B43&amp;$R43,'Value of Savings'!$B:$G,5,FALSE)*T43</f>
        <v>595.75514817477767</v>
      </c>
      <c r="AD43" s="1318">
        <f ca="1">VLOOKUP($B43&amp;$R43,'Value of Savings'!$B:$G,6,FALSE)*U43</f>
        <v>305.92613549331742</v>
      </c>
    </row>
    <row r="44" spans="1:30" ht="12" x14ac:dyDescent="0.3">
      <c r="A44" s="1303" t="s">
        <v>76</v>
      </c>
      <c r="B44" s="1303" t="str">
        <f t="shared" ca="1" si="22"/>
        <v>Commercial</v>
      </c>
      <c r="C44" s="1304" t="str">
        <f t="shared" si="23"/>
        <v>Go to C-HC-004</v>
      </c>
      <c r="D44" s="1305" t="str">
        <f t="shared" ca="1" si="24"/>
        <v>CommercialHigh-efficiency unitary air conditioner, Ton of Cooling</v>
      </c>
      <c r="E44" s="1305" t="str">
        <f t="shared" ca="1" si="25"/>
        <v>High-efficiency unitary air conditioner, Ton of Cooling</v>
      </c>
      <c r="F44" s="1305" t="str">
        <f t="shared" ca="1" si="26"/>
        <v>High-efficiency unitary air conditioner</v>
      </c>
      <c r="G44" s="1306" t="str">
        <f t="shared" ca="1" si="27"/>
        <v>Ton of Cooling</v>
      </c>
      <c r="H44" s="1307" t="str">
        <f t="shared" ca="1" si="28"/>
        <v>HVAC - Cooling</v>
      </c>
      <c r="I44" s="1325"/>
      <c r="J44" s="1309" t="s">
        <v>77</v>
      </c>
      <c r="K44" s="1309" t="s">
        <v>78</v>
      </c>
      <c r="L44" s="1324"/>
      <c r="M44" s="1311" t="str">
        <f t="shared" ca="1" si="29"/>
        <v>Other</v>
      </c>
      <c r="N44" s="1311" t="str">
        <f t="shared" ca="1" si="30"/>
        <v>Average</v>
      </c>
      <c r="O44" s="1311" t="str">
        <f t="shared" ca="1" si="31"/>
        <v>RET</v>
      </c>
      <c r="P44" s="1311" t="str">
        <f t="shared" ca="1" si="32"/>
        <v>Natural gas</v>
      </c>
      <c r="Q44" s="1311" t="str">
        <f t="shared" ca="1" si="33"/>
        <v>Natural gas</v>
      </c>
      <c r="R44" s="1312">
        <f t="shared" ca="1" si="34"/>
        <v>15</v>
      </c>
      <c r="S44" s="1313">
        <f t="shared" ca="1" si="35"/>
        <v>18.768046852658802</v>
      </c>
      <c r="T44" s="1313">
        <f t="shared" ca="1" si="36"/>
        <v>0</v>
      </c>
      <c r="U44" s="1314">
        <f t="shared" ca="1" si="37"/>
        <v>1.0697786706015518E-2</v>
      </c>
      <c r="V44" s="1315">
        <f t="shared" ca="1" si="38"/>
        <v>0</v>
      </c>
      <c r="W44" s="1316">
        <f t="shared" ca="1" si="39"/>
        <v>281.52070278988202</v>
      </c>
      <c r="X44" s="1316">
        <f t="shared" ca="1" si="40"/>
        <v>0</v>
      </c>
      <c r="Y44" s="1316">
        <f t="shared" ca="1" si="41"/>
        <v>0.16046680059023277</v>
      </c>
      <c r="Z44" s="1316">
        <f t="shared" ca="1" si="42"/>
        <v>0</v>
      </c>
      <c r="AA44" s="1317">
        <f t="shared" ca="1" si="43"/>
        <v>23.914256281027306</v>
      </c>
      <c r="AB44" s="1318">
        <f ca="1">VLOOKUP($B44&amp;$R44,'Value of Savings'!$B:$G,4,FALSE)*S44</f>
        <v>18.663087337130531</v>
      </c>
      <c r="AC44" s="1318">
        <f ca="1">VLOOKUP($B44&amp;$R44,'Value of Savings'!$B:$G,5,FALSE)*T44</f>
        <v>0</v>
      </c>
      <c r="AD44" s="1318">
        <f ca="1">VLOOKUP($B44&amp;$R44,'Value of Savings'!$B:$G,6,FALSE)*U44</f>
        <v>5.2511689438967766</v>
      </c>
    </row>
    <row r="45" spans="1:30" ht="12" x14ac:dyDescent="0.3">
      <c r="A45" s="1303" t="s">
        <v>150</v>
      </c>
      <c r="B45" s="1303" t="str">
        <f t="shared" ca="1" si="22"/>
        <v>Commercial</v>
      </c>
      <c r="C45" s="1304" t="str">
        <f t="shared" si="23"/>
        <v>Go to C-WB-002</v>
      </c>
      <c r="D45" s="1305" t="str">
        <f t="shared" ca="1" si="24"/>
        <v>CommercialHigh-efficiency window, Custom</v>
      </c>
      <c r="E45" s="1305" t="str">
        <f t="shared" ca="1" si="25"/>
        <v>High-efficiency window, Custom</v>
      </c>
      <c r="F45" s="1305" t="str">
        <f t="shared" ca="1" si="26"/>
        <v>High-efficiency window</v>
      </c>
      <c r="G45" s="1306" t="str">
        <f t="shared" ca="1" si="27"/>
        <v>Custom</v>
      </c>
      <c r="H45" s="1307" t="str">
        <f t="shared" ca="1" si="28"/>
        <v>Whole Building</v>
      </c>
      <c r="I45" s="1308"/>
      <c r="J45" s="1309" t="s">
        <v>69</v>
      </c>
      <c r="K45" s="1309" t="s">
        <v>146</v>
      </c>
      <c r="L45" s="1310"/>
      <c r="M45" s="1311" t="str">
        <f t="shared" ca="1" si="29"/>
        <v>Other</v>
      </c>
      <c r="N45" s="1311" t="str">
        <f t="shared" ca="1" si="30"/>
        <v>Average</v>
      </c>
      <c r="O45" s="1311" t="str">
        <f t="shared" ca="1" si="31"/>
        <v>RET</v>
      </c>
      <c r="P45" s="1311" t="str">
        <f t="shared" ca="1" si="32"/>
        <v>Natural gas</v>
      </c>
      <c r="Q45" s="1311" t="str">
        <f t="shared" ca="1" si="33"/>
        <v>Natural gas</v>
      </c>
      <c r="R45" s="1312">
        <f t="shared" ca="1" si="34"/>
        <v>15</v>
      </c>
      <c r="S45" s="1313">
        <f t="shared" ca="1" si="35"/>
        <v>0</v>
      </c>
      <c r="T45" s="1313">
        <f t="shared" ca="1" si="36"/>
        <v>0</v>
      </c>
      <c r="U45" s="1314">
        <f t="shared" ca="1" si="37"/>
        <v>0</v>
      </c>
      <c r="V45" s="1315">
        <f t="shared" ca="1" si="38"/>
        <v>0</v>
      </c>
      <c r="W45" s="1316">
        <f t="shared" ca="1" si="39"/>
        <v>0</v>
      </c>
      <c r="X45" s="1316">
        <f t="shared" ca="1" si="40"/>
        <v>0</v>
      </c>
      <c r="Y45" s="1316">
        <f t="shared" ca="1" si="41"/>
        <v>0</v>
      </c>
      <c r="Z45" s="1316" t="str">
        <f t="shared" ca="1" si="42"/>
        <v/>
      </c>
      <c r="AA45" s="1317">
        <f t="shared" ca="1" si="43"/>
        <v>0</v>
      </c>
      <c r="AB45" s="1318">
        <f ca="1">VLOOKUP($B45&amp;$R45,'Value of Savings'!$B:$G,4,FALSE)*S45</f>
        <v>0</v>
      </c>
      <c r="AC45" s="1318">
        <f ca="1">VLOOKUP($B45&amp;$R45,'Value of Savings'!$B:$G,5,FALSE)*T45</f>
        <v>0</v>
      </c>
      <c r="AD45" s="1318">
        <f ca="1">VLOOKUP($B45&amp;$R45,'Value of Savings'!$B:$G,6,FALSE)*U45</f>
        <v>0</v>
      </c>
    </row>
    <row r="46" spans="1:30" s="1326" customFormat="1" ht="12" x14ac:dyDescent="0.3">
      <c r="A46" s="1320" t="s">
        <v>106</v>
      </c>
      <c r="B46" s="1303" t="str">
        <f t="shared" ca="1" si="22"/>
        <v>Commercial</v>
      </c>
      <c r="C46" s="1304" t="str">
        <f t="shared" si="23"/>
        <v>Go to C-L-001</v>
      </c>
      <c r="D46" s="1305" t="str">
        <f t="shared" ca="1" si="24"/>
        <v>CommercialIndoor lighting control, Sensor</v>
      </c>
      <c r="E46" s="1305" t="str">
        <f t="shared" ca="1" si="25"/>
        <v>Indoor lighting control, Sensor</v>
      </c>
      <c r="F46" s="1305" t="str">
        <f t="shared" ca="1" si="26"/>
        <v>Indoor lighting control</v>
      </c>
      <c r="G46" s="1306" t="str">
        <f t="shared" ca="1" si="27"/>
        <v>Sensor</v>
      </c>
      <c r="H46" s="1307" t="str">
        <f t="shared" ca="1" si="28"/>
        <v>Lighting - Control</v>
      </c>
      <c r="I46" s="1322"/>
      <c r="J46" s="1309" t="s">
        <v>107</v>
      </c>
      <c r="K46" s="1309" t="s">
        <v>108</v>
      </c>
      <c r="L46" s="1309"/>
      <c r="M46" s="1311" t="str">
        <f t="shared" ca="1" si="29"/>
        <v>Other</v>
      </c>
      <c r="N46" s="1311" t="str">
        <f t="shared" ca="1" si="30"/>
        <v>Average</v>
      </c>
      <c r="O46" s="1311" t="str">
        <f t="shared" ca="1" si="31"/>
        <v>RET</v>
      </c>
      <c r="P46" s="1311" t="str">
        <f t="shared" ca="1" si="32"/>
        <v>Natural gas</v>
      </c>
      <c r="Q46" s="1311" t="str">
        <f t="shared" ca="1" si="33"/>
        <v>Natural gas</v>
      </c>
      <c r="R46" s="1312">
        <f t="shared" ca="1" si="34"/>
        <v>8</v>
      </c>
      <c r="S46" s="1313">
        <f t="shared" ca="1" si="35"/>
        <v>55.540079999999996</v>
      </c>
      <c r="T46" s="1313">
        <f t="shared" ca="1" si="36"/>
        <v>0</v>
      </c>
      <c r="U46" s="1314">
        <f t="shared" ca="1" si="37"/>
        <v>3.1657845599999998E-2</v>
      </c>
      <c r="V46" s="1315">
        <f t="shared" ca="1" si="38"/>
        <v>0</v>
      </c>
      <c r="W46" s="1316">
        <f t="shared" ca="1" si="39"/>
        <v>444.32063999999997</v>
      </c>
      <c r="X46" s="1316">
        <f t="shared" ca="1" si="40"/>
        <v>0</v>
      </c>
      <c r="Y46" s="1316">
        <f t="shared" ca="1" si="41"/>
        <v>0.25326276479999998</v>
      </c>
      <c r="Z46" s="1316">
        <f t="shared" ca="1" si="42"/>
        <v>0</v>
      </c>
      <c r="AA46" s="1317">
        <f t="shared" ca="1" si="43"/>
        <v>41.522844594325214</v>
      </c>
      <c r="AB46" s="1318">
        <f ca="1">VLOOKUP($B46&amp;$R46,'Value of Savings'!$B:$G,4,FALSE)*S46</f>
        <v>32.182427588125776</v>
      </c>
      <c r="AC46" s="1318">
        <f ca="1">VLOOKUP($B46&amp;$R46,'Value of Savings'!$B:$G,5,FALSE)*T46</f>
        <v>0</v>
      </c>
      <c r="AD46" s="1318">
        <f ca="1">VLOOKUP($B46&amp;$R46,'Value of Savings'!$B:$G,6,FALSE)*U46</f>
        <v>9.340417006199436</v>
      </c>
    </row>
    <row r="47" spans="1:30" s="1326" customFormat="1" ht="12" x14ac:dyDescent="0.3">
      <c r="A47" s="1320" t="s">
        <v>165</v>
      </c>
      <c r="B47" s="1303" t="str">
        <f t="shared" ca="1" si="22"/>
        <v>Residential</v>
      </c>
      <c r="C47" s="1304" t="str">
        <f t="shared" si="23"/>
        <v>Go to R-L-001</v>
      </c>
      <c r="D47" s="1305" t="str">
        <f t="shared" ca="1" si="24"/>
        <v>ResidentialIndoor lighting control, Sensor</v>
      </c>
      <c r="E47" s="1305" t="str">
        <f t="shared" ca="1" si="25"/>
        <v>Indoor lighting control, Sensor</v>
      </c>
      <c r="F47" s="1305" t="str">
        <f t="shared" ca="1" si="26"/>
        <v>Indoor lighting control</v>
      </c>
      <c r="G47" s="1306" t="str">
        <f t="shared" ca="1" si="27"/>
        <v>Sensor</v>
      </c>
      <c r="H47" s="1307" t="str">
        <f t="shared" ca="1" si="28"/>
        <v>Lighting - Control</v>
      </c>
      <c r="I47" s="1322"/>
      <c r="J47" s="1327" t="s">
        <v>77</v>
      </c>
      <c r="K47" s="1309" t="s">
        <v>111</v>
      </c>
      <c r="L47" s="1310"/>
      <c r="M47" s="1311" t="str">
        <f t="shared" ca="1" si="29"/>
        <v>Home - detached</v>
      </c>
      <c r="N47" s="1311" t="str">
        <f t="shared" ca="1" si="30"/>
        <v>Average</v>
      </c>
      <c r="O47" s="1311" t="str">
        <f t="shared" ca="1" si="31"/>
        <v>RET</v>
      </c>
      <c r="P47" s="1311" t="str">
        <f t="shared" ca="1" si="32"/>
        <v>Natural gas</v>
      </c>
      <c r="Q47" s="1311" t="str">
        <f t="shared" ca="1" si="33"/>
        <v>Natural gas</v>
      </c>
      <c r="R47" s="1312">
        <f t="shared" ca="1" si="34"/>
        <v>10</v>
      </c>
      <c r="S47" s="1313" t="e">
        <f t="shared" ca="1" si="35"/>
        <v>#VALUE!</v>
      </c>
      <c r="T47" s="1313" t="e">
        <f t="shared" ca="1" si="36"/>
        <v>#VALUE!</v>
      </c>
      <c r="U47" s="1314" t="e">
        <f t="shared" ca="1" si="37"/>
        <v>#VALUE!</v>
      </c>
      <c r="V47" s="1315">
        <f t="shared" ca="1" si="38"/>
        <v>0</v>
      </c>
      <c r="W47" s="1316" t="e">
        <f t="shared" ca="1" si="39"/>
        <v>#VALUE!</v>
      </c>
      <c r="X47" s="1316" t="e">
        <f t="shared" ca="1" si="40"/>
        <v>#VALUE!</v>
      </c>
      <c r="Y47" s="1316" t="e">
        <f t="shared" ca="1" si="41"/>
        <v>#VALUE!</v>
      </c>
      <c r="Z47" s="1316" t="e">
        <f t="shared" ca="1" si="42"/>
        <v>#VALUE!</v>
      </c>
      <c r="AA47" s="1317" t="e">
        <f t="shared" ca="1" si="43"/>
        <v>#VALUE!</v>
      </c>
      <c r="AB47" s="1318" t="e">
        <f ca="1">VLOOKUP($B47&amp;$R47,'Value of Savings'!$B:$G,4,FALSE)*S47</f>
        <v>#VALUE!</v>
      </c>
      <c r="AC47" s="1318" t="e">
        <f ca="1">VLOOKUP($B47&amp;$R47,'Value of Savings'!$B:$G,5,FALSE)*T47</f>
        <v>#VALUE!</v>
      </c>
      <c r="AD47" s="1318" t="e">
        <f ca="1">VLOOKUP($B47&amp;$R47,'Value of Savings'!$B:$G,6,FALSE)*U47</f>
        <v>#VALUE!</v>
      </c>
    </row>
    <row r="48" spans="1:30" s="1326" customFormat="1" ht="12" x14ac:dyDescent="0.3">
      <c r="A48" s="1320" t="s">
        <v>118</v>
      </c>
      <c r="B48" s="1303" t="str">
        <f t="shared" ca="1" si="22"/>
        <v>Commercial</v>
      </c>
      <c r="C48" s="1304" t="str">
        <f t="shared" si="23"/>
        <v>Go to C-L-009</v>
      </c>
      <c r="D48" s="1305" t="str">
        <f t="shared" ca="1" si="24"/>
        <v>CommercialLED exit sign, Sign</v>
      </c>
      <c r="E48" s="1305" t="str">
        <f t="shared" ca="1" si="25"/>
        <v>LED exit sign, Sign</v>
      </c>
      <c r="F48" s="1307" t="str">
        <f t="shared" ca="1" si="26"/>
        <v>LED exit sign</v>
      </c>
      <c r="G48" s="1306" t="str">
        <f t="shared" ca="1" si="27"/>
        <v>Sign</v>
      </c>
      <c r="H48" s="1307" t="str">
        <f t="shared" ca="1" si="28"/>
        <v>Lighting - Specialty</v>
      </c>
      <c r="I48" s="1322"/>
      <c r="J48" s="1309" t="s">
        <v>69</v>
      </c>
      <c r="K48" s="1309" t="s">
        <v>108</v>
      </c>
      <c r="L48" s="1309"/>
      <c r="M48" s="1311" t="str">
        <f t="shared" ca="1" si="29"/>
        <v>Other</v>
      </c>
      <c r="N48" s="1311" t="str">
        <f t="shared" ca="1" si="30"/>
        <v>Average</v>
      </c>
      <c r="O48" s="1311" t="str">
        <f t="shared" ca="1" si="31"/>
        <v>RET</v>
      </c>
      <c r="P48" s="1311" t="str">
        <f t="shared" ca="1" si="32"/>
        <v>Natural gas</v>
      </c>
      <c r="Q48" s="1311" t="str">
        <f t="shared" ca="1" si="33"/>
        <v>Natural gas</v>
      </c>
      <c r="R48" s="1312">
        <f t="shared" ca="1" si="34"/>
        <v>15</v>
      </c>
      <c r="S48" s="1313">
        <f t="shared" ca="1" si="35"/>
        <v>174.44339999999997</v>
      </c>
      <c r="T48" s="1313">
        <f t="shared" ca="1" si="36"/>
        <v>-0.27605668049999993</v>
      </c>
      <c r="U48" s="1314">
        <f t="shared" ca="1" si="37"/>
        <v>8.5191802023046478E-2</v>
      </c>
      <c r="V48" s="1315">
        <f t="shared" ca="1" si="38"/>
        <v>0</v>
      </c>
      <c r="W48" s="1316">
        <f t="shared" ca="1" si="39"/>
        <v>2616.6509999999994</v>
      </c>
      <c r="X48" s="1316">
        <f t="shared" ca="1" si="40"/>
        <v>-4.1408502074999989</v>
      </c>
      <c r="Y48" s="1316">
        <f t="shared" ca="1" si="41"/>
        <v>1.2778770303456972</v>
      </c>
      <c r="Z48" s="1316">
        <f t="shared" ca="1" si="42"/>
        <v>0</v>
      </c>
      <c r="AA48" s="1317">
        <f t="shared" ca="1" si="43"/>
        <v>200.09963808657264</v>
      </c>
      <c r="AB48" s="1318">
        <f ca="1">VLOOKUP($B48&amp;$R48,'Value of Savings'!$B:$G,4,FALSE)*S48</f>
        <v>173.4678325957386</v>
      </c>
      <c r="AC48" s="1318">
        <f ca="1">VLOOKUP($B48&amp;$R48,'Value of Savings'!$B:$G,5,FALSE)*T48</f>
        <v>-15.185867393452316</v>
      </c>
      <c r="AD48" s="1318">
        <f ca="1">VLOOKUP($B48&amp;$R48,'Value of Savings'!$B:$G,6,FALSE)*U48</f>
        <v>41.817672884286367</v>
      </c>
    </row>
    <row r="49" spans="1:30" s="1326" customFormat="1" ht="12" x14ac:dyDescent="0.3">
      <c r="A49" s="1328" t="s">
        <v>166</v>
      </c>
      <c r="B49" s="1303" t="str">
        <f t="shared" ca="1" si="22"/>
        <v>Residential</v>
      </c>
      <c r="C49" s="1304" t="str">
        <f t="shared" si="23"/>
        <v>Go to R-L-002</v>
      </c>
      <c r="D49" s="1305" t="str">
        <f t="shared" ca="1" si="24"/>
        <v>ResidentialLighting fixture, Fixture</v>
      </c>
      <c r="E49" s="1305" t="str">
        <f t="shared" ca="1" si="25"/>
        <v>Lighting fixture, Fixture</v>
      </c>
      <c r="F49" s="1307" t="str">
        <f t="shared" ca="1" si="26"/>
        <v>Lighting fixture</v>
      </c>
      <c r="G49" s="1306" t="str">
        <f t="shared" ca="1" si="27"/>
        <v>Fixture</v>
      </c>
      <c r="H49" s="1307" t="str">
        <f t="shared" ca="1" si="28"/>
        <v>Lighting - Indoor fixture</v>
      </c>
      <c r="I49" s="1322"/>
      <c r="J49" s="1309" t="s">
        <v>107</v>
      </c>
      <c r="K49" s="1309" t="s">
        <v>167</v>
      </c>
      <c r="L49" s="1324"/>
      <c r="M49" s="1311" t="str">
        <f t="shared" ca="1" si="29"/>
        <v>Home - detached</v>
      </c>
      <c r="N49" s="1311" t="str">
        <f t="shared" ca="1" si="30"/>
        <v>Average</v>
      </c>
      <c r="O49" s="1311" t="str">
        <f t="shared" ca="1" si="31"/>
        <v>RET</v>
      </c>
      <c r="P49" s="1311" t="str">
        <f t="shared" ca="1" si="32"/>
        <v>Natural gas</v>
      </c>
      <c r="Q49" s="1311" t="str">
        <f t="shared" ca="1" si="33"/>
        <v>Natural gas</v>
      </c>
      <c r="R49" s="1312">
        <f t="shared" ca="1" si="34"/>
        <v>15</v>
      </c>
      <c r="S49" s="1313">
        <f t="shared" ca="1" si="35"/>
        <v>37.713846954722761</v>
      </c>
      <c r="T49" s="1313">
        <f t="shared" ca="1" si="36"/>
        <v>-7.4355227196560916E-2</v>
      </c>
      <c r="U49" s="1314">
        <f t="shared" ca="1" si="37"/>
        <v>1.7661129658802985E-2</v>
      </c>
      <c r="V49" s="1315">
        <f t="shared" ca="1" si="38"/>
        <v>0</v>
      </c>
      <c r="W49" s="1316">
        <f t="shared" ca="1" si="39"/>
        <v>565.70770432084146</v>
      </c>
      <c r="X49" s="1316">
        <f t="shared" ca="1" si="40"/>
        <v>-1.1153284079484138</v>
      </c>
      <c r="Y49" s="1316">
        <f t="shared" ca="1" si="41"/>
        <v>0.26491694488204476</v>
      </c>
      <c r="Z49" s="1316">
        <f t="shared" ca="1" si="42"/>
        <v>0</v>
      </c>
      <c r="AA49" s="1317">
        <f t="shared" ca="1" si="43"/>
        <v>42.081885852691826</v>
      </c>
      <c r="AB49" s="1318">
        <f ca="1">VLOOKUP($B49&amp;$R49,'Value of Savings'!$B:$G,4,FALSE)*S49</f>
        <v>37.502933846067862</v>
      </c>
      <c r="AC49" s="1318">
        <f ca="1">VLOOKUP($B49&amp;$R49,'Value of Savings'!$B:$G,5,FALSE)*T49</f>
        <v>-4.0902781927677117</v>
      </c>
      <c r="AD49" s="1318">
        <f ca="1">VLOOKUP($B49&amp;$R49,'Value of Savings'!$B:$G,6,FALSE)*U49</f>
        <v>8.6692301993916754</v>
      </c>
    </row>
    <row r="50" spans="1:30" s="1326" customFormat="1" ht="12" x14ac:dyDescent="0.3">
      <c r="A50" s="1320" t="s">
        <v>116</v>
      </c>
      <c r="B50" s="1303" t="str">
        <f t="shared" ca="1" si="22"/>
        <v>Commercial</v>
      </c>
      <c r="C50" s="1304" t="str">
        <f t="shared" si="23"/>
        <v>Go to C-L-007</v>
      </c>
      <c r="D50" s="1305" t="str">
        <f t="shared" ca="1" si="24"/>
        <v>CommercialLinear LED tube replacing fluorescent tube, Lamp</v>
      </c>
      <c r="E50" s="1305" t="str">
        <f t="shared" ca="1" si="25"/>
        <v>Linear LED tube replacing fluorescent tube, Lamp</v>
      </c>
      <c r="F50" s="1307" t="str">
        <f t="shared" ca="1" si="26"/>
        <v>Linear LED tube replacing fluorescent tube</v>
      </c>
      <c r="G50" s="1306" t="str">
        <f t="shared" ca="1" si="27"/>
        <v>Lamp</v>
      </c>
      <c r="H50" s="1307" t="str">
        <f t="shared" ca="1" si="28"/>
        <v>Lighting - Indoor lamp</v>
      </c>
      <c r="I50" s="1322"/>
      <c r="J50" s="1309" t="s">
        <v>107</v>
      </c>
      <c r="K50" s="1309" t="s">
        <v>111</v>
      </c>
      <c r="L50" s="1324" t="s">
        <v>74</v>
      </c>
      <c r="M50" s="1311" t="str">
        <f t="shared" ca="1" si="29"/>
        <v>Other</v>
      </c>
      <c r="N50" s="1311" t="str">
        <f t="shared" ca="1" si="30"/>
        <v>Average</v>
      </c>
      <c r="O50" s="1311" t="str">
        <f t="shared" ca="1" si="31"/>
        <v>RET</v>
      </c>
      <c r="P50" s="1311" t="str">
        <f t="shared" ca="1" si="32"/>
        <v>Natural gas</v>
      </c>
      <c r="Q50" s="1311" t="str">
        <f t="shared" ca="1" si="33"/>
        <v>Natural gas</v>
      </c>
      <c r="R50" s="1312">
        <f t="shared" ca="1" si="34"/>
        <v>18</v>
      </c>
      <c r="S50" s="1313">
        <f t="shared" ca="1" si="35"/>
        <v>44.978750807575381</v>
      </c>
      <c r="T50" s="1313">
        <f t="shared" ca="1" si="36"/>
        <v>-7.1178873152988043E-2</v>
      </c>
      <c r="U50" s="1314">
        <f t="shared" ca="1" si="37"/>
        <v>2.1965983430974771E-2</v>
      </c>
      <c r="V50" s="1315">
        <f t="shared" ca="1" si="38"/>
        <v>0</v>
      </c>
      <c r="W50" s="1316">
        <f t="shared" ca="1" si="39"/>
        <v>809.61751453635679</v>
      </c>
      <c r="X50" s="1316">
        <f t="shared" ca="1" si="40"/>
        <v>-1.2812197167537849</v>
      </c>
      <c r="Y50" s="1316">
        <f t="shared" ca="1" si="41"/>
        <v>0.3953877017575459</v>
      </c>
      <c r="Z50" s="1316">
        <f t="shared" ca="1" si="42"/>
        <v>0</v>
      </c>
      <c r="AA50" s="1317">
        <f t="shared" ca="1" si="43"/>
        <v>59.172037166880997</v>
      </c>
      <c r="AB50" s="1318">
        <f ca="1">VLOOKUP($B50&amp;$R50,'Value of Savings'!$B:$G,4,FALSE)*S50</f>
        <v>51.529300216461316</v>
      </c>
      <c r="AC50" s="1318">
        <f ca="1">VLOOKUP($B50&amp;$R50,'Value of Savings'!$B:$G,5,FALSE)*T50</f>
        <v>-4.5782890311564888</v>
      </c>
      <c r="AD50" s="1318">
        <f ca="1">VLOOKUP($B50&amp;$R50,'Value of Savings'!$B:$G,6,FALSE)*U50</f>
        <v>12.221025981576169</v>
      </c>
    </row>
    <row r="51" spans="1:30" s="1326" customFormat="1" ht="12" x14ac:dyDescent="0.3">
      <c r="A51" s="1320" t="s">
        <v>143</v>
      </c>
      <c r="B51" s="1321" t="str">
        <f t="shared" ca="1" si="22"/>
        <v>Commercial</v>
      </c>
      <c r="C51" s="1304" t="str">
        <f t="shared" si="23"/>
        <v>Go to C-W-003</v>
      </c>
      <c r="D51" s="1305" t="str">
        <f t="shared" ca="1" si="24"/>
        <v>CommercialMulti-residential hot water demand control, Dwelling Unit</v>
      </c>
      <c r="E51" s="1305" t="str">
        <f t="shared" ca="1" si="25"/>
        <v>Multi-residential hot water demand control, Dwelling Unit</v>
      </c>
      <c r="F51" s="1305" t="str">
        <f t="shared" ca="1" si="26"/>
        <v>Multi-residential hot water demand control</v>
      </c>
      <c r="G51" s="1306" t="str">
        <f t="shared" ca="1" si="27"/>
        <v>Dwelling Unit</v>
      </c>
      <c r="H51" s="1307" t="str">
        <f t="shared" ca="1" si="28"/>
        <v>Water - Heating</v>
      </c>
      <c r="I51" s="1325"/>
      <c r="J51" s="1309" t="s">
        <v>77</v>
      </c>
      <c r="K51" s="1309" t="s">
        <v>140</v>
      </c>
      <c r="L51" s="1310"/>
      <c r="M51" s="1311" t="str">
        <f t="shared" ca="1" si="29"/>
        <v>Other</v>
      </c>
      <c r="N51" s="1311" t="str">
        <f t="shared" ca="1" si="30"/>
        <v>Average</v>
      </c>
      <c r="O51" s="1311" t="str">
        <f t="shared" ca="1" si="31"/>
        <v>RET</v>
      </c>
      <c r="P51" s="1311" t="str">
        <f t="shared" ca="1" si="32"/>
        <v>Natural gas</v>
      </c>
      <c r="Q51" s="1311" t="str">
        <f t="shared" ca="1" si="33"/>
        <v>Natural gas</v>
      </c>
      <c r="R51" s="1312">
        <f t="shared" ca="1" si="34"/>
        <v>15</v>
      </c>
      <c r="S51" s="1313">
        <f t="shared" ca="1" si="35"/>
        <v>656</v>
      </c>
      <c r="T51" s="1313">
        <f t="shared" ca="1" si="36"/>
        <v>5.7550249999999998</v>
      </c>
      <c r="U51" s="1314">
        <f t="shared" ca="1" si="37"/>
        <v>0.67080447467499993</v>
      </c>
      <c r="V51" s="1315">
        <f t="shared" ca="1" si="38"/>
        <v>0</v>
      </c>
      <c r="W51" s="1316">
        <f t="shared" ca="1" si="39"/>
        <v>9840</v>
      </c>
      <c r="X51" s="1316">
        <f t="shared" ca="1" si="40"/>
        <v>86.325374999999994</v>
      </c>
      <c r="Y51" s="1316">
        <f t="shared" ca="1" si="41"/>
        <v>10.062067120124999</v>
      </c>
      <c r="Z51" s="1316">
        <f t="shared" ca="1" si="42"/>
        <v>0</v>
      </c>
      <c r="AA51" s="1317">
        <f t="shared" ca="1" si="43"/>
        <v>1298.1894822048978</v>
      </c>
      <c r="AB51" s="1318">
        <f ca="1">VLOOKUP($B51&amp;$R51,'Value of Savings'!$B:$G,4,FALSE)*S51</f>
        <v>652.33134749038675</v>
      </c>
      <c r="AC51" s="1318">
        <f ca="1">VLOOKUP($B51&amp;$R51,'Value of Savings'!$B:$G,5,FALSE)*T51</f>
        <v>316.58370425128305</v>
      </c>
      <c r="AD51" s="1318">
        <f ca="1">VLOOKUP($B51&amp;$R51,'Value of Savings'!$B:$G,6,FALSE)*U51</f>
        <v>329.27443046322804</v>
      </c>
    </row>
    <row r="52" spans="1:30" s="1326" customFormat="1" ht="12" x14ac:dyDescent="0.3">
      <c r="A52" s="1320" t="s">
        <v>117</v>
      </c>
      <c r="B52" s="1303" t="str">
        <f t="shared" ca="1" si="22"/>
        <v>Commercial</v>
      </c>
      <c r="C52" s="1304" t="str">
        <f t="shared" si="23"/>
        <v>Go to C-L-008</v>
      </c>
      <c r="D52" s="1305" t="str">
        <f t="shared" ca="1" si="24"/>
        <v>CommercialOutdoor LED fixture and retrofit kit, Fixture</v>
      </c>
      <c r="E52" s="1305" t="str">
        <f t="shared" ca="1" si="25"/>
        <v>Outdoor LED fixture and retrofit kit, Fixture</v>
      </c>
      <c r="F52" s="1305" t="str">
        <f t="shared" ca="1" si="26"/>
        <v>Outdoor LED fixture and retrofit kit</v>
      </c>
      <c r="G52" s="1306" t="str">
        <f t="shared" ca="1" si="27"/>
        <v>Fixture</v>
      </c>
      <c r="H52" s="1307" t="str">
        <f t="shared" ca="1" si="28"/>
        <v>Lighting - Outdoor fixture</v>
      </c>
      <c r="I52" s="1322"/>
      <c r="J52" s="1309" t="s">
        <v>69</v>
      </c>
      <c r="K52" s="1309" t="s">
        <v>111</v>
      </c>
      <c r="L52" s="1324" t="s">
        <v>74</v>
      </c>
      <c r="M52" s="1311" t="str">
        <f t="shared" ca="1" si="29"/>
        <v>Other</v>
      </c>
      <c r="N52" s="1311" t="str">
        <f t="shared" ca="1" si="30"/>
        <v>Average</v>
      </c>
      <c r="O52" s="1311" t="str">
        <f t="shared" ca="1" si="31"/>
        <v>RET</v>
      </c>
      <c r="P52" s="1311" t="str">
        <f t="shared" ca="1" si="32"/>
        <v>Natural gas</v>
      </c>
      <c r="Q52" s="1311" t="str">
        <f t="shared" ca="1" si="33"/>
        <v>Natural gas</v>
      </c>
      <c r="R52" s="1312">
        <f t="shared" ca="1" si="34"/>
        <v>15</v>
      </c>
      <c r="S52" s="1313">
        <f t="shared" ca="1" si="35"/>
        <v>753.49783304106302</v>
      </c>
      <c r="T52" s="1313">
        <f t="shared" ca="1" si="36"/>
        <v>-1.1924103207874821</v>
      </c>
      <c r="U52" s="1314">
        <f t="shared" ca="1" si="37"/>
        <v>0.36798089361494207</v>
      </c>
      <c r="V52" s="1315">
        <f t="shared" ca="1" si="38"/>
        <v>0</v>
      </c>
      <c r="W52" s="1316">
        <f t="shared" ca="1" si="39"/>
        <v>11302.467495615945</v>
      </c>
      <c r="X52" s="1316">
        <f t="shared" ca="1" si="40"/>
        <v>-17.886154811812233</v>
      </c>
      <c r="Y52" s="1316">
        <f t="shared" ca="1" si="41"/>
        <v>5.5197134042241309</v>
      </c>
      <c r="Z52" s="1316">
        <f t="shared" ca="1" si="42"/>
        <v>0</v>
      </c>
      <c r="AA52" s="1317">
        <f t="shared" ca="1" si="43"/>
        <v>864.31841898594882</v>
      </c>
      <c r="AB52" s="1318">
        <f ca="1">VLOOKUP($B52&amp;$R52,'Value of Savings'!$B:$G,4,FALSE)*S52</f>
        <v>749.28392798591938</v>
      </c>
      <c r="AC52" s="1318">
        <f ca="1">VLOOKUP($B52&amp;$R52,'Value of Savings'!$B:$G,5,FALSE)*T52</f>
        <v>-65.594445956770258</v>
      </c>
      <c r="AD52" s="1318">
        <f ca="1">VLOOKUP($B52&amp;$R52,'Value of Savings'!$B:$G,6,FALSE)*U52</f>
        <v>180.62893695679978</v>
      </c>
    </row>
    <row r="53" spans="1:30" s="1326" customFormat="1" ht="12" x14ac:dyDescent="0.3">
      <c r="A53" s="1320" t="s">
        <v>109</v>
      </c>
      <c r="B53" s="1303" t="str">
        <f t="shared" ca="1" si="22"/>
        <v>Commercial</v>
      </c>
      <c r="C53" s="1304" t="str">
        <f t="shared" si="23"/>
        <v>Go to C-L-002</v>
      </c>
      <c r="D53" s="1305" t="str">
        <f t="shared" ca="1" si="24"/>
        <v>CommercialOutdoor lighting control, Sensor</v>
      </c>
      <c r="E53" s="1305" t="str">
        <f t="shared" ca="1" si="25"/>
        <v>Outdoor lighting control, Sensor</v>
      </c>
      <c r="F53" s="1305" t="str">
        <f t="shared" ca="1" si="26"/>
        <v>Outdoor lighting control</v>
      </c>
      <c r="G53" s="1306" t="str">
        <f t="shared" ca="1" si="27"/>
        <v>Sensor</v>
      </c>
      <c r="H53" s="1307" t="str">
        <f t="shared" ca="1" si="28"/>
        <v>Lighting - Control</v>
      </c>
      <c r="I53" s="1322"/>
      <c r="J53" s="1309" t="s">
        <v>107</v>
      </c>
      <c r="K53" s="1309" t="s">
        <v>108</v>
      </c>
      <c r="L53" s="1309"/>
      <c r="M53" s="1311" t="str">
        <f t="shared" ca="1" si="29"/>
        <v>Other</v>
      </c>
      <c r="N53" s="1311" t="str">
        <f t="shared" ca="1" si="30"/>
        <v>Average</v>
      </c>
      <c r="O53" s="1311" t="str">
        <f t="shared" ca="1" si="31"/>
        <v>RET</v>
      </c>
      <c r="P53" s="1311" t="str">
        <f t="shared" ca="1" si="32"/>
        <v>Natural gas</v>
      </c>
      <c r="Q53" s="1311" t="str">
        <f t="shared" ca="1" si="33"/>
        <v>Natural gas</v>
      </c>
      <c r="R53" s="1312">
        <f t="shared" ca="1" si="34"/>
        <v>8</v>
      </c>
      <c r="S53" s="1313">
        <f t="shared" ca="1" si="35"/>
        <v>100.73781999999999</v>
      </c>
      <c r="T53" s="1313">
        <f t="shared" ca="1" si="36"/>
        <v>0</v>
      </c>
      <c r="U53" s="1314">
        <f t="shared" ca="1" si="37"/>
        <v>5.7420557399999989E-2</v>
      </c>
      <c r="V53" s="1315">
        <f t="shared" ca="1" si="38"/>
        <v>0</v>
      </c>
      <c r="W53" s="1316">
        <f t="shared" ca="1" si="39"/>
        <v>805.90255999999988</v>
      </c>
      <c r="X53" s="1316">
        <f t="shared" ca="1" si="40"/>
        <v>0</v>
      </c>
      <c r="Y53" s="1316">
        <f t="shared" ca="1" si="41"/>
        <v>0.45936445919999991</v>
      </c>
      <c r="Z53" s="1316">
        <f t="shared" ca="1" si="42"/>
        <v>0</v>
      </c>
      <c r="AA53" s="1317">
        <f t="shared" ca="1" si="43"/>
        <v>75.313554547114549</v>
      </c>
      <c r="AB53" s="1318">
        <f ca="1">VLOOKUP($B53&amp;$R53,'Value of Savings'!$B:$G,4,FALSE)*S53</f>
        <v>58.372036870232236</v>
      </c>
      <c r="AC53" s="1318">
        <f ca="1">VLOOKUP($B53&amp;$R53,'Value of Savings'!$B:$G,5,FALSE)*T53</f>
        <v>0</v>
      </c>
      <c r="AD53" s="1318">
        <f ca="1">VLOOKUP($B53&amp;$R53,'Value of Savings'!$B:$G,6,FALSE)*U53</f>
        <v>16.941517676882309</v>
      </c>
    </row>
    <row r="54" spans="1:30" s="1326" customFormat="1" ht="12" x14ac:dyDescent="0.3">
      <c r="A54" s="1303" t="s">
        <v>185</v>
      </c>
      <c r="B54" s="1303" t="str">
        <f t="shared" ca="1" si="22"/>
        <v>DER</v>
      </c>
      <c r="C54" s="1304" t="str">
        <f t="shared" si="23"/>
        <v>Go to DER-001</v>
      </c>
      <c r="D54" s="1305" t="str">
        <f t="shared" ca="1" si="24"/>
        <v>DERPhotovoltaic solar system and related components, Custom</v>
      </c>
      <c r="E54" s="1305" t="str">
        <f t="shared" ca="1" si="25"/>
        <v>Photovoltaic solar system and related components, Custom</v>
      </c>
      <c r="F54" s="1305" t="str">
        <f t="shared" ca="1" si="26"/>
        <v>Photovoltaic solar system and related components</v>
      </c>
      <c r="G54" s="1306" t="str">
        <f t="shared" ca="1" si="27"/>
        <v>Custom</v>
      </c>
      <c r="H54" s="1307" t="str">
        <f t="shared" ca="1" si="28"/>
        <v>Alternative Energy</v>
      </c>
      <c r="I54" s="1322"/>
      <c r="J54" s="1309" t="s">
        <v>177</v>
      </c>
      <c r="K54" s="1309" t="s">
        <v>171</v>
      </c>
      <c r="L54" s="1310"/>
      <c r="M54" s="1311" t="str">
        <f t="shared" ca="1" si="29"/>
        <v>Other</v>
      </c>
      <c r="N54" s="1311" t="str">
        <f t="shared" ca="1" si="30"/>
        <v>Average</v>
      </c>
      <c r="O54" s="1311" t="str">
        <f t="shared" ca="1" si="31"/>
        <v>RET</v>
      </c>
      <c r="P54" s="1311" t="str">
        <f t="shared" ca="1" si="32"/>
        <v>Natural gas</v>
      </c>
      <c r="Q54" s="1311" t="str">
        <f t="shared" ca="1" si="33"/>
        <v>Natural gas</v>
      </c>
      <c r="R54" s="1312">
        <f t="shared" ca="1" si="34"/>
        <v>25</v>
      </c>
      <c r="S54" s="1313">
        <f t="shared" ca="1" si="35"/>
        <v>0</v>
      </c>
      <c r="T54" s="1313">
        <f t="shared" ca="1" si="36"/>
        <v>0</v>
      </c>
      <c r="U54" s="1314">
        <f t="shared" ca="1" si="37"/>
        <v>0</v>
      </c>
      <c r="V54" s="1315">
        <f t="shared" ca="1" si="38"/>
        <v>0</v>
      </c>
      <c r="W54" s="1316">
        <f t="shared" ca="1" si="39"/>
        <v>0</v>
      </c>
      <c r="X54" s="1316">
        <f t="shared" ca="1" si="40"/>
        <v>0</v>
      </c>
      <c r="Y54" s="1316">
        <f t="shared" ca="1" si="41"/>
        <v>0</v>
      </c>
      <c r="Z54" s="1316" t="str">
        <f t="shared" ca="1" si="42"/>
        <v/>
      </c>
      <c r="AA54" s="1317" t="e">
        <f t="shared" ca="1" si="43"/>
        <v>#N/A</v>
      </c>
      <c r="AB54" s="1318" t="e">
        <f ca="1">VLOOKUP($B54&amp;$R54,'Value of Savings'!$B:$G,4,FALSE)*S54</f>
        <v>#N/A</v>
      </c>
      <c r="AC54" s="1318" t="e">
        <f ca="1">VLOOKUP($B54&amp;$R54,'Value of Savings'!$B:$G,5,FALSE)*T54</f>
        <v>#N/A</v>
      </c>
      <c r="AD54" s="1318" t="e">
        <f ca="1">VLOOKUP($B54&amp;$R54,'Value of Savings'!$B:$G,6,FALSE)*U54</f>
        <v>#N/A</v>
      </c>
    </row>
    <row r="55" spans="1:30" s="1326" customFormat="1" ht="12" x14ac:dyDescent="0.3">
      <c r="A55" s="1328" t="s">
        <v>99</v>
      </c>
      <c r="B55" s="1303" t="str">
        <f t="shared" ca="1" si="22"/>
        <v>Commercial</v>
      </c>
      <c r="C55" s="1304" t="str">
        <f t="shared" si="23"/>
        <v>Go to C-HC-016</v>
      </c>
      <c r="D55" s="1305" t="str">
        <f t="shared" ca="1" si="24"/>
        <v>CommercialPipe and duct insulation, Custom</v>
      </c>
      <c r="E55" s="1305" t="str">
        <f t="shared" ca="1" si="25"/>
        <v>Pipe and duct insulation, Custom</v>
      </c>
      <c r="F55" s="1305" t="str">
        <f t="shared" ca="1" si="26"/>
        <v>Pipe and duct insulation</v>
      </c>
      <c r="G55" s="1306" t="str">
        <f t="shared" ca="1" si="27"/>
        <v>Custom</v>
      </c>
      <c r="H55" s="1307" t="str">
        <f t="shared" ca="1" si="28"/>
        <v>HVAC - Heating</v>
      </c>
      <c r="I55" s="1308" t="s">
        <v>84</v>
      </c>
      <c r="J55" s="1310" t="s">
        <v>100</v>
      </c>
      <c r="K55" s="1310" t="s">
        <v>101</v>
      </c>
      <c r="L55" s="1329"/>
      <c r="M55" s="1311" t="str">
        <f t="shared" ca="1" si="29"/>
        <v>Other</v>
      </c>
      <c r="N55" s="1311" t="str">
        <f t="shared" ca="1" si="30"/>
        <v>Average</v>
      </c>
      <c r="O55" s="1311" t="str">
        <f t="shared" ca="1" si="31"/>
        <v>RET</v>
      </c>
      <c r="P55" s="1311" t="str">
        <f t="shared" ca="1" si="32"/>
        <v>Natural gas</v>
      </c>
      <c r="Q55" s="1311" t="str">
        <f t="shared" ca="1" si="33"/>
        <v>Natural gas</v>
      </c>
      <c r="R55" s="1312">
        <f t="shared" ca="1" si="34"/>
        <v>15</v>
      </c>
      <c r="S55" s="1313">
        <f t="shared" ca="1" si="35"/>
        <v>0</v>
      </c>
      <c r="T55" s="1313">
        <f t="shared" ca="1" si="36"/>
        <v>0</v>
      </c>
      <c r="U55" s="1314">
        <f t="shared" ca="1" si="37"/>
        <v>0</v>
      </c>
      <c r="V55" s="1315">
        <f t="shared" ca="1" si="38"/>
        <v>0</v>
      </c>
      <c r="W55" s="1316">
        <f t="shared" ca="1" si="39"/>
        <v>0</v>
      </c>
      <c r="X55" s="1316">
        <f t="shared" ca="1" si="40"/>
        <v>0</v>
      </c>
      <c r="Y55" s="1316">
        <f t="shared" ca="1" si="41"/>
        <v>0</v>
      </c>
      <c r="Z55" s="1316" t="str">
        <f t="shared" ca="1" si="42"/>
        <v/>
      </c>
      <c r="AA55" s="1317">
        <f t="shared" ca="1" si="43"/>
        <v>0</v>
      </c>
      <c r="AB55" s="1318">
        <f ca="1">VLOOKUP($B55&amp;$R55,'Value of Savings'!$B:$G,4,FALSE)*S55</f>
        <v>0</v>
      </c>
      <c r="AC55" s="1318">
        <f ca="1">VLOOKUP($B55&amp;$R55,'Value of Savings'!$B:$G,5,FALSE)*T55</f>
        <v>0</v>
      </c>
      <c r="AD55" s="1318">
        <f ca="1">VLOOKUP($B55&amp;$R55,'Value of Savings'!$B:$G,6,FALSE)*U55</f>
        <v>0</v>
      </c>
    </row>
    <row r="56" spans="1:30" s="1326" customFormat="1" ht="12" x14ac:dyDescent="0.3">
      <c r="A56" s="1320" t="s">
        <v>164</v>
      </c>
      <c r="B56" s="1321" t="str">
        <f t="shared" ca="1" si="22"/>
        <v>Residential</v>
      </c>
      <c r="C56" s="1304" t="str">
        <f t="shared" si="23"/>
        <v>Go to R-HC-009</v>
      </c>
      <c r="D56" s="1305" t="str">
        <f t="shared" ca="1" si="24"/>
        <v>ResidentialPipe and duct insulation, Custom</v>
      </c>
      <c r="E56" s="1305" t="str">
        <f t="shared" ca="1" si="25"/>
        <v>Pipe and duct insulation, Custom</v>
      </c>
      <c r="F56" s="1305" t="str">
        <f t="shared" ca="1" si="26"/>
        <v>Pipe and duct insulation</v>
      </c>
      <c r="G56" s="1306" t="str">
        <f t="shared" ca="1" si="27"/>
        <v>Custom</v>
      </c>
      <c r="H56" s="1307" t="str">
        <f t="shared" ca="1" si="28"/>
        <v>HVAC - Heating</v>
      </c>
      <c r="I56" s="1322"/>
      <c r="J56" s="1309" t="s">
        <v>69</v>
      </c>
      <c r="K56" s="1309" t="s">
        <v>163</v>
      </c>
      <c r="L56" s="1310"/>
      <c r="M56" s="1311" t="str">
        <f t="shared" ca="1" si="29"/>
        <v>Home - detached</v>
      </c>
      <c r="N56" s="1311" t="str">
        <f t="shared" ca="1" si="30"/>
        <v>Average</v>
      </c>
      <c r="O56" s="1311" t="str">
        <f t="shared" ca="1" si="31"/>
        <v>RET</v>
      </c>
      <c r="P56" s="1311" t="str">
        <f t="shared" ca="1" si="32"/>
        <v>Natural gas</v>
      </c>
      <c r="Q56" s="1311" t="str">
        <f t="shared" ca="1" si="33"/>
        <v>Natural gas</v>
      </c>
      <c r="R56" s="1312">
        <f t="shared" ca="1" si="34"/>
        <v>18</v>
      </c>
      <c r="S56" s="1313">
        <f t="shared" ca="1" si="35"/>
        <v>0</v>
      </c>
      <c r="T56" s="1313">
        <f t="shared" ca="1" si="36"/>
        <v>0</v>
      </c>
      <c r="U56" s="1314">
        <f t="shared" ca="1" si="37"/>
        <v>0</v>
      </c>
      <c r="V56" s="1315">
        <f t="shared" ca="1" si="38"/>
        <v>0</v>
      </c>
      <c r="W56" s="1316">
        <f t="shared" ca="1" si="39"/>
        <v>0</v>
      </c>
      <c r="X56" s="1316">
        <f t="shared" ca="1" si="40"/>
        <v>0</v>
      </c>
      <c r="Y56" s="1316">
        <f t="shared" ca="1" si="41"/>
        <v>0</v>
      </c>
      <c r="Z56" s="1316" t="str">
        <f t="shared" ca="1" si="42"/>
        <v/>
      </c>
      <c r="AA56" s="1317">
        <f t="shared" ca="1" si="43"/>
        <v>0</v>
      </c>
      <c r="AB56" s="1318">
        <f ca="1">VLOOKUP($B56&amp;$R56,'Value of Savings'!$B:$G,4,FALSE)*S56</f>
        <v>0</v>
      </c>
      <c r="AC56" s="1318">
        <f ca="1">VLOOKUP($B56&amp;$R56,'Value of Savings'!$B:$G,5,FALSE)*T56</f>
        <v>0</v>
      </c>
      <c r="AD56" s="1318">
        <f ca="1">VLOOKUP($B56&amp;$R56,'Value of Savings'!$B:$G,6,FALSE)*U56</f>
        <v>0</v>
      </c>
    </row>
    <row r="57" spans="1:30" s="1326" customFormat="1" ht="12" x14ac:dyDescent="0.3">
      <c r="A57" s="1320" t="s">
        <v>135</v>
      </c>
      <c r="B57" s="1321" t="str">
        <f t="shared" ca="1" si="22"/>
        <v>Commercial</v>
      </c>
      <c r="C57" s="1304" t="str">
        <f t="shared" si="23"/>
        <v>Go to C-R-010</v>
      </c>
      <c r="D57" s="1305" t="str">
        <f t="shared" ca="1" si="24"/>
        <v>CommercialRefrigeration economizer, Horsepower of Compressor</v>
      </c>
      <c r="E57" s="1305" t="str">
        <f t="shared" ca="1" si="25"/>
        <v>Refrigeration economizer, Horsepower of Compressor</v>
      </c>
      <c r="F57" s="1305" t="str">
        <f t="shared" ca="1" si="26"/>
        <v>Refrigeration economizer</v>
      </c>
      <c r="G57" s="1306" t="str">
        <f t="shared" ca="1" si="27"/>
        <v>Horsepower of Compressor</v>
      </c>
      <c r="H57" s="1307" t="str">
        <f t="shared" ca="1" si="28"/>
        <v>Refrigeration - Control</v>
      </c>
      <c r="I57" s="1325"/>
      <c r="J57" s="1309" t="s">
        <v>77</v>
      </c>
      <c r="K57" s="1309" t="s">
        <v>136</v>
      </c>
      <c r="L57" s="1324"/>
      <c r="M57" s="1311" t="str">
        <f t="shared" ca="1" si="29"/>
        <v>Other</v>
      </c>
      <c r="N57" s="1311" t="str">
        <f t="shared" ca="1" si="30"/>
        <v>Average</v>
      </c>
      <c r="O57" s="1311" t="str">
        <f t="shared" ca="1" si="31"/>
        <v>RET</v>
      </c>
      <c r="P57" s="1311" t="str">
        <f t="shared" ca="1" si="32"/>
        <v>Natural gas</v>
      </c>
      <c r="Q57" s="1311" t="str">
        <f t="shared" ca="1" si="33"/>
        <v>Natural gas</v>
      </c>
      <c r="R57" s="1312">
        <f t="shared" ca="1" si="34"/>
        <v>15</v>
      </c>
      <c r="S57" s="1313">
        <f t="shared" ca="1" si="35"/>
        <v>1407.9882039729982</v>
      </c>
      <c r="T57" s="1313">
        <f t="shared" ca="1" si="36"/>
        <v>0</v>
      </c>
      <c r="U57" s="1314">
        <f t="shared" ca="1" si="37"/>
        <v>0.80255327626460893</v>
      </c>
      <c r="V57" s="1315">
        <f t="shared" ca="1" si="38"/>
        <v>0</v>
      </c>
      <c r="W57" s="1316">
        <f t="shared" ca="1" si="39"/>
        <v>21119.823059594972</v>
      </c>
      <c r="X57" s="1316">
        <f t="shared" ca="1" si="40"/>
        <v>0</v>
      </c>
      <c r="Y57" s="1316">
        <f t="shared" ca="1" si="41"/>
        <v>12.038299143969134</v>
      </c>
      <c r="Z57" s="1316">
        <f t="shared" ca="1" si="42"/>
        <v>0</v>
      </c>
      <c r="AA57" s="1317">
        <f t="shared" ca="1" si="43"/>
        <v>1794.05939333019</v>
      </c>
      <c r="AB57" s="1318">
        <f ca="1">VLOOKUP($B57&amp;$R57,'Value of Savings'!$B:$G,4,FALSE)*S57</f>
        <v>1400.1140889455419</v>
      </c>
      <c r="AC57" s="1318">
        <f ca="1">VLOOKUP($B57&amp;$R57,'Value of Savings'!$B:$G,5,FALSE)*T57</f>
        <v>0</v>
      </c>
      <c r="AD57" s="1318">
        <f ca="1">VLOOKUP($B57&amp;$R57,'Value of Savings'!$B:$G,6,FALSE)*U57</f>
        <v>393.94530438464807</v>
      </c>
    </row>
    <row r="58" spans="1:30" s="1326" customFormat="1" ht="12" x14ac:dyDescent="0.3">
      <c r="A58" s="1320" t="s">
        <v>127</v>
      </c>
      <c r="B58" s="1321" t="str">
        <f t="shared" ca="1" si="22"/>
        <v>Commercial</v>
      </c>
      <c r="C58" s="1304" t="str">
        <f t="shared" si="23"/>
        <v>Go to C-R-005</v>
      </c>
      <c r="D58" s="1305" t="str">
        <f t="shared" ca="1" si="24"/>
        <v>CommercialRefrigerator and freezer LED case lighting, Fixture</v>
      </c>
      <c r="E58" s="1305" t="str">
        <f t="shared" ca="1" si="25"/>
        <v>Refrigerator and freezer LED case lighting, Fixture</v>
      </c>
      <c r="F58" s="1305" t="str">
        <f t="shared" ca="1" si="26"/>
        <v>Refrigerator and freezer LED case lighting</v>
      </c>
      <c r="G58" s="1306" t="str">
        <f t="shared" ca="1" si="27"/>
        <v>Fixture</v>
      </c>
      <c r="H58" s="1307" t="str">
        <f t="shared" ca="1" si="28"/>
        <v>Refrigeration - Lighting</v>
      </c>
      <c r="I58" s="1325"/>
      <c r="J58" s="1309" t="s">
        <v>69</v>
      </c>
      <c r="K58" s="1309" t="s">
        <v>128</v>
      </c>
      <c r="L58" s="1310"/>
      <c r="M58" s="1311" t="str">
        <f t="shared" ca="1" si="29"/>
        <v>Other</v>
      </c>
      <c r="N58" s="1311" t="str">
        <f t="shared" ca="1" si="30"/>
        <v>Average</v>
      </c>
      <c r="O58" s="1311" t="str">
        <f t="shared" ca="1" si="31"/>
        <v>RET</v>
      </c>
      <c r="P58" s="1311" t="str">
        <f t="shared" ca="1" si="32"/>
        <v>Natural gas</v>
      </c>
      <c r="Q58" s="1311" t="str">
        <f t="shared" ca="1" si="33"/>
        <v>Natural gas</v>
      </c>
      <c r="R58" s="1312">
        <f t="shared" ca="1" si="34"/>
        <v>10</v>
      </c>
      <c r="S58" s="1313">
        <f t="shared" ca="1" si="35"/>
        <v>403.23192499999999</v>
      </c>
      <c r="T58" s="1313">
        <f t="shared" ca="1" si="36"/>
        <v>0</v>
      </c>
      <c r="U58" s="1314">
        <f t="shared" ca="1" si="37"/>
        <v>0.22984219724999999</v>
      </c>
      <c r="V58" s="1315">
        <f t="shared" ca="1" si="38"/>
        <v>0</v>
      </c>
      <c r="W58" s="1316">
        <f t="shared" ca="1" si="39"/>
        <v>4032.31925</v>
      </c>
      <c r="X58" s="1316">
        <f t="shared" ca="1" si="40"/>
        <v>0</v>
      </c>
      <c r="Y58" s="1316">
        <f t="shared" ca="1" si="41"/>
        <v>2.2984219724999999</v>
      </c>
      <c r="Z58" s="1316">
        <f t="shared" ca="1" si="42"/>
        <v>0</v>
      </c>
      <c r="AA58" s="1317">
        <f t="shared" ca="1" si="43"/>
        <v>367.71372700941629</v>
      </c>
      <c r="AB58" s="1318">
        <f ca="1">VLOOKUP($B58&amp;$R58,'Value of Savings'!$B:$G,4,FALSE)*S58</f>
        <v>285.4373839713997</v>
      </c>
      <c r="AC58" s="1318">
        <f ca="1">VLOOKUP($B58&amp;$R58,'Value of Savings'!$B:$G,5,FALSE)*T58</f>
        <v>0</v>
      </c>
      <c r="AD58" s="1318">
        <f ca="1">VLOOKUP($B58&amp;$R58,'Value of Savings'!$B:$G,6,FALSE)*U58</f>
        <v>82.276343038016591</v>
      </c>
    </row>
    <row r="59" spans="1:30" s="1326" customFormat="1" ht="12" x14ac:dyDescent="0.3">
      <c r="A59" s="1320" t="s">
        <v>151</v>
      </c>
      <c r="B59" s="1303" t="str">
        <f t="shared" ca="1" si="22"/>
        <v>Residential</v>
      </c>
      <c r="C59" s="1304" t="str">
        <f t="shared" si="23"/>
        <v>Go to R-HC-001</v>
      </c>
      <c r="D59" s="1305" t="str">
        <f t="shared" ca="1" si="24"/>
        <v>ResidentialResidential smart thermostat, kBTU/hour of Heating</v>
      </c>
      <c r="E59" s="1305" t="str">
        <f t="shared" ca="1" si="25"/>
        <v>Residential smart thermostat, kBTU/hour of Heating</v>
      </c>
      <c r="F59" s="1305" t="str">
        <f t="shared" ca="1" si="26"/>
        <v>Residential smart thermostat</v>
      </c>
      <c r="G59" s="1306" t="str">
        <f t="shared" ca="1" si="27"/>
        <v>kBTU/hour of Heating</v>
      </c>
      <c r="H59" s="1307" t="str">
        <f t="shared" ca="1" si="28"/>
        <v>HVAC - Control</v>
      </c>
      <c r="I59" s="1322"/>
      <c r="J59" s="1309" t="s">
        <v>69</v>
      </c>
      <c r="K59" s="1309" t="s">
        <v>152</v>
      </c>
      <c r="L59" s="1310"/>
      <c r="M59" s="1311" t="str">
        <f t="shared" ca="1" si="29"/>
        <v>Home - detached</v>
      </c>
      <c r="N59" s="1311" t="str">
        <f t="shared" ca="1" si="30"/>
        <v>Average</v>
      </c>
      <c r="O59" s="1311" t="str">
        <f t="shared" ca="1" si="31"/>
        <v>RET</v>
      </c>
      <c r="P59" s="1311" t="str">
        <f t="shared" ca="1" si="32"/>
        <v>Natural gas</v>
      </c>
      <c r="Q59" s="1311" t="str">
        <f t="shared" ca="1" si="33"/>
        <v>Natural gas</v>
      </c>
      <c r="R59" s="1312">
        <f t="shared" ca="1" si="34"/>
        <v>11</v>
      </c>
      <c r="S59" s="1313">
        <f t="shared" ca="1" si="35"/>
        <v>0</v>
      </c>
      <c r="T59" s="1313">
        <f t="shared" ca="1" si="36"/>
        <v>0.27294919591986566</v>
      </c>
      <c r="U59" s="1314">
        <f t="shared" ca="1" si="37"/>
        <v>1.4080630169918109E-2</v>
      </c>
      <c r="V59" s="1315">
        <f t="shared" ca="1" si="38"/>
        <v>0</v>
      </c>
      <c r="W59" s="1316">
        <f t="shared" ca="1" si="39"/>
        <v>0</v>
      </c>
      <c r="X59" s="1316">
        <f t="shared" ca="1" si="40"/>
        <v>3.0024411551185222</v>
      </c>
      <c r="Y59" s="1316">
        <f t="shared" ca="1" si="41"/>
        <v>0.15488693186909921</v>
      </c>
      <c r="Z59" s="1316" t="str">
        <f t="shared" ca="1" si="42"/>
        <v/>
      </c>
      <c r="AA59" s="1317">
        <f t="shared" ca="1" si="43"/>
        <v>16.716623594523213</v>
      </c>
      <c r="AB59" s="1318">
        <f ca="1">VLOOKUP($B59&amp;$R59,'Value of Savings'!$B:$G,4,FALSE)*S59</f>
        <v>0</v>
      </c>
      <c r="AC59" s="1318">
        <f ca="1">VLOOKUP($B59&amp;$R59,'Value of Savings'!$B:$G,5,FALSE)*T59</f>
        <v>11.264564208062696</v>
      </c>
      <c r="AD59" s="1318">
        <f ca="1">VLOOKUP($B59&amp;$R59,'Value of Savings'!$B:$G,6,FALSE)*U59</f>
        <v>5.4520593864605171</v>
      </c>
    </row>
    <row r="60" spans="1:30" s="1326" customFormat="1" ht="12" x14ac:dyDescent="0.3">
      <c r="A60" s="1303" t="s">
        <v>180</v>
      </c>
      <c r="B60" s="1303" t="str">
        <f t="shared" ca="1" si="22"/>
        <v>Residential</v>
      </c>
      <c r="C60" s="1304" t="str">
        <f t="shared" si="23"/>
        <v>Go to R-WB-004</v>
      </c>
      <c r="D60" s="1305" t="str">
        <f t="shared" ca="1" si="24"/>
        <v>ResidentialRim joist insulation, ft^2 of Insulation</v>
      </c>
      <c r="E60" s="1305" t="str">
        <f t="shared" ca="1" si="25"/>
        <v>Rim joist insulation, ft^2 of Insulation</v>
      </c>
      <c r="F60" s="1305" t="str">
        <f t="shared" ca="1" si="26"/>
        <v>Rim joist insulation</v>
      </c>
      <c r="G60" s="1306" t="str">
        <f t="shared" ca="1" si="27"/>
        <v>ft^2 of Insulation</v>
      </c>
      <c r="H60" s="1307" t="str">
        <f t="shared" ca="1" si="28"/>
        <v>Whole Building</v>
      </c>
      <c r="I60" s="1322"/>
      <c r="J60" s="1309" t="s">
        <v>77</v>
      </c>
      <c r="K60" s="1309" t="s">
        <v>171</v>
      </c>
      <c r="L60" s="1310"/>
      <c r="M60" s="1311" t="str">
        <f t="shared" ca="1" si="29"/>
        <v>Home - detached</v>
      </c>
      <c r="N60" s="1311" t="str">
        <f t="shared" ca="1" si="30"/>
        <v>Average</v>
      </c>
      <c r="O60" s="1311" t="str">
        <f t="shared" ca="1" si="31"/>
        <v>RET</v>
      </c>
      <c r="P60" s="1311" t="str">
        <f t="shared" ca="1" si="32"/>
        <v>Natural gas</v>
      </c>
      <c r="Q60" s="1311" t="str">
        <f t="shared" ca="1" si="33"/>
        <v>Natural gas</v>
      </c>
      <c r="R60" s="1312">
        <f t="shared" ca="1" si="34"/>
        <v>20</v>
      </c>
      <c r="S60" s="1313">
        <f t="shared" ca="1" si="35"/>
        <v>9.7719555981579543E-4</v>
      </c>
      <c r="T60" s="1313">
        <f t="shared" ca="1" si="36"/>
        <v>1.692092944490145E-2</v>
      </c>
      <c r="U60" s="1314">
        <f t="shared" ca="1" si="37"/>
        <v>8.7345698874322618E-4</v>
      </c>
      <c r="V60" s="1315">
        <f t="shared" ca="1" si="38"/>
        <v>0</v>
      </c>
      <c r="W60" s="1316">
        <f t="shared" ca="1" si="39"/>
        <v>1.9543911196315909E-2</v>
      </c>
      <c r="X60" s="1316">
        <f t="shared" ca="1" si="40"/>
        <v>0.338418588898029</v>
      </c>
      <c r="Y60" s="1316">
        <f t="shared" ca="1" si="41"/>
        <v>1.7469139774864525E-2</v>
      </c>
      <c r="Z60" s="1316">
        <f t="shared" ca="1" si="42"/>
        <v>0</v>
      </c>
      <c r="AA60" s="1317">
        <f t="shared" ca="1" si="43"/>
        <v>1.7067368950078361</v>
      </c>
      <c r="AB60" s="1318">
        <f ca="1">VLOOKUP($B60&amp;$R60,'Value of Savings'!$B:$G,4,FALSE)*S60</f>
        <v>1.2108426109549088E-3</v>
      </c>
      <c r="AC60" s="1318">
        <f ca="1">VLOOKUP($B60&amp;$R60,'Value of Savings'!$B:$G,5,FALSE)*T60</f>
        <v>1.1858256047985127</v>
      </c>
      <c r="AD60" s="1318">
        <f ca="1">VLOOKUP($B60&amp;$R60,'Value of Savings'!$B:$G,6,FALSE)*U60</f>
        <v>0.51970044759836842</v>
      </c>
    </row>
    <row r="61" spans="1:30" ht="12" x14ac:dyDescent="0.3">
      <c r="A61" s="1320" t="s">
        <v>71</v>
      </c>
      <c r="B61" s="1321" t="str">
        <f t="shared" ca="1" si="22"/>
        <v>Commercial</v>
      </c>
      <c r="C61" s="1304" t="str">
        <f t="shared" si="23"/>
        <v>Go to C-HC-002</v>
      </c>
      <c r="D61" s="1305" t="str">
        <f t="shared" ca="1" si="24"/>
        <v>CommercialSmall commercial smart thermostat, kBTU/hour of Capacity</v>
      </c>
      <c r="E61" s="1305" t="str">
        <f t="shared" ca="1" si="25"/>
        <v>Small commercial smart thermostat, kBTU/hour of Capacity</v>
      </c>
      <c r="F61" s="1305" t="str">
        <f t="shared" ca="1" si="26"/>
        <v>Small commercial smart thermostat</v>
      </c>
      <c r="G61" s="1306" t="str">
        <f t="shared" ca="1" si="27"/>
        <v>kBTU/hour of Capacity</v>
      </c>
      <c r="H61" s="1307" t="str">
        <f t="shared" ca="1" si="28"/>
        <v>HVAC - Control</v>
      </c>
      <c r="I61" s="1308"/>
      <c r="J61" s="1309" t="s">
        <v>72</v>
      </c>
      <c r="K61" s="1309" t="s">
        <v>73</v>
      </c>
      <c r="L61" s="1324" t="s">
        <v>74</v>
      </c>
      <c r="M61" s="1311" t="str">
        <f t="shared" ca="1" si="29"/>
        <v>Other</v>
      </c>
      <c r="N61" s="1311" t="str">
        <f t="shared" ca="1" si="30"/>
        <v>Average</v>
      </c>
      <c r="O61" s="1311" t="str">
        <f t="shared" ca="1" si="31"/>
        <v>RET</v>
      </c>
      <c r="P61" s="1311" t="str">
        <f t="shared" ca="1" si="32"/>
        <v>Natural gas</v>
      </c>
      <c r="Q61" s="1311" t="str">
        <f t="shared" ca="1" si="33"/>
        <v>Natural gas</v>
      </c>
      <c r="R61" s="1312">
        <f t="shared" ca="1" si="34"/>
        <v>11</v>
      </c>
      <c r="S61" s="1313">
        <f t="shared" ca="1" si="35"/>
        <v>1.9839378723073111</v>
      </c>
      <c r="T61" s="1313">
        <f t="shared" ca="1" si="36"/>
        <v>0.22745766326655475</v>
      </c>
      <c r="U61" s="1314">
        <f t="shared" ca="1" si="37"/>
        <v>1.2864703062146928E-2</v>
      </c>
      <c r="V61" s="1315">
        <f t="shared" ca="1" si="38"/>
        <v>0</v>
      </c>
      <c r="W61" s="1316">
        <f t="shared" ca="1" si="39"/>
        <v>21.823316595380422</v>
      </c>
      <c r="X61" s="1316">
        <f t="shared" ca="1" si="40"/>
        <v>2.5020342959321025</v>
      </c>
      <c r="Y61" s="1316">
        <f t="shared" ca="1" si="41"/>
        <v>0.14151173368361622</v>
      </c>
      <c r="Z61" s="1316">
        <f t="shared" ca="1" si="42"/>
        <v>0</v>
      </c>
      <c r="AA61" s="1317">
        <f t="shared" ca="1" si="43"/>
        <v>15.893448322315402</v>
      </c>
      <c r="AB61" s="1318">
        <f ca="1">VLOOKUP($B61&amp;$R61,'Value of Savings'!$B:$G,4,FALSE)*S61</f>
        <v>1.525062472978689</v>
      </c>
      <c r="AC61" s="1318">
        <f ca="1">VLOOKUP($B61&amp;$R61,'Value of Savings'!$B:$G,5,FALSE)*T61</f>
        <v>9.3871368400522481</v>
      </c>
      <c r="AD61" s="1318">
        <f ca="1">VLOOKUP($B61&amp;$R61,'Value of Savings'!$B:$G,6,FALSE)*U61</f>
        <v>4.9812490092844648</v>
      </c>
    </row>
    <row r="62" spans="1:30" s="1305" customFormat="1" ht="12" x14ac:dyDescent="0.3">
      <c r="A62" s="1303" t="s">
        <v>186</v>
      </c>
      <c r="B62" s="1303" t="str">
        <f t="shared" ca="1" si="22"/>
        <v>DER</v>
      </c>
      <c r="C62" s="1304" t="str">
        <f t="shared" si="23"/>
        <v>Go to DER-002</v>
      </c>
      <c r="D62" s="1305" t="str">
        <f t="shared" ca="1" si="24"/>
        <v>DERSolar thermal water heating, Custom</v>
      </c>
      <c r="E62" s="1305" t="str">
        <f t="shared" ca="1" si="25"/>
        <v>Solar thermal water heating, Custom</v>
      </c>
      <c r="F62" s="1305" t="str">
        <f t="shared" ca="1" si="26"/>
        <v>Solar thermal water heating</v>
      </c>
      <c r="G62" s="1306" t="str">
        <f t="shared" ca="1" si="27"/>
        <v>Custom</v>
      </c>
      <c r="H62" s="1307" t="str">
        <f t="shared" ca="1" si="28"/>
        <v>Alternative Energy</v>
      </c>
      <c r="I62" s="1322"/>
      <c r="J62" s="1309" t="s">
        <v>177</v>
      </c>
      <c r="K62" s="1309" t="s">
        <v>171</v>
      </c>
      <c r="L62" s="1310"/>
      <c r="M62" s="1311" t="str">
        <f t="shared" ca="1" si="29"/>
        <v>Other</v>
      </c>
      <c r="N62" s="1311" t="str">
        <f t="shared" ca="1" si="30"/>
        <v>Average</v>
      </c>
      <c r="O62" s="1311" t="str">
        <f t="shared" ca="1" si="31"/>
        <v>RET</v>
      </c>
      <c r="P62" s="1311" t="str">
        <f t="shared" ca="1" si="32"/>
        <v>Natural gas</v>
      </c>
      <c r="Q62" s="1311" t="str">
        <f t="shared" ca="1" si="33"/>
        <v>Natural gas</v>
      </c>
      <c r="R62" s="1312">
        <f t="shared" ca="1" si="34"/>
        <v>12</v>
      </c>
      <c r="S62" s="1313">
        <f t="shared" ca="1" si="35"/>
        <v>0</v>
      </c>
      <c r="T62" s="1313">
        <f t="shared" ca="1" si="36"/>
        <v>0</v>
      </c>
      <c r="U62" s="1314">
        <f t="shared" ca="1" si="37"/>
        <v>0</v>
      </c>
      <c r="V62" s="1315">
        <f t="shared" ca="1" si="38"/>
        <v>0</v>
      </c>
      <c r="W62" s="1316">
        <f t="shared" ca="1" si="39"/>
        <v>0</v>
      </c>
      <c r="X62" s="1316">
        <f t="shared" ca="1" si="40"/>
        <v>0</v>
      </c>
      <c r="Y62" s="1316">
        <f t="shared" ca="1" si="41"/>
        <v>0</v>
      </c>
      <c r="Z62" s="1316" t="str">
        <f t="shared" ca="1" si="42"/>
        <v/>
      </c>
      <c r="AA62" s="1317" t="e">
        <f t="shared" ca="1" si="43"/>
        <v>#N/A</v>
      </c>
      <c r="AB62" s="1318" t="e">
        <f ca="1">VLOOKUP($B62&amp;$R62,'Value of Savings'!$B:$G,4,FALSE)*S62</f>
        <v>#N/A</v>
      </c>
      <c r="AC62" s="1318" t="e">
        <f ca="1">VLOOKUP($B62&amp;$R62,'Value of Savings'!$B:$G,5,FALSE)*T62</f>
        <v>#N/A</v>
      </c>
      <c r="AD62" s="1318" t="e">
        <f ca="1">VLOOKUP($B62&amp;$R62,'Value of Savings'!$B:$G,6,FALSE)*U62</f>
        <v>#N/A</v>
      </c>
    </row>
    <row r="63" spans="1:30" s="1305" customFormat="1" ht="12" x14ac:dyDescent="0.3">
      <c r="A63" s="1320" t="s">
        <v>122</v>
      </c>
      <c r="B63" s="1303" t="str">
        <f t="shared" ca="1" si="22"/>
        <v>Commercial</v>
      </c>
      <c r="C63" s="1304" t="str">
        <f t="shared" si="23"/>
        <v>Go to C-R-002</v>
      </c>
      <c r="D63" s="1305" t="str">
        <f t="shared" ca="1" si="24"/>
        <v>CommercialStrip curtain for walk-in freezer, ft^2 of Doorway Area</v>
      </c>
      <c r="E63" s="1305" t="str">
        <f t="shared" ca="1" si="25"/>
        <v>Strip curtain for walk-in freezer, ft^2 of Doorway Area</v>
      </c>
      <c r="F63" s="1305" t="str">
        <f t="shared" ca="1" si="26"/>
        <v>Strip curtain for walk-in freezer</v>
      </c>
      <c r="G63" s="1306" t="str">
        <f t="shared" ca="1" si="27"/>
        <v>ft^2 of Doorway Area</v>
      </c>
      <c r="H63" s="1307" t="str">
        <f t="shared" ca="1" si="28"/>
        <v>Refrigeration - Door</v>
      </c>
      <c r="I63" s="1323"/>
      <c r="J63" s="1309" t="s">
        <v>77</v>
      </c>
      <c r="K63" s="1309" t="s">
        <v>123</v>
      </c>
      <c r="L63" s="1324"/>
      <c r="M63" s="1311" t="str">
        <f t="shared" ca="1" si="29"/>
        <v>Other</v>
      </c>
      <c r="N63" s="1311" t="str">
        <f t="shared" ca="1" si="30"/>
        <v>Average</v>
      </c>
      <c r="O63" s="1311" t="str">
        <f t="shared" ca="1" si="31"/>
        <v>RET</v>
      </c>
      <c r="P63" s="1311" t="str">
        <f t="shared" ca="1" si="32"/>
        <v>Natural gas</v>
      </c>
      <c r="Q63" s="1311" t="str">
        <f t="shared" ca="1" si="33"/>
        <v>Natural gas</v>
      </c>
      <c r="R63" s="1312">
        <f t="shared" ca="1" si="34"/>
        <v>4</v>
      </c>
      <c r="S63" s="1313">
        <f t="shared" ca="1" si="35"/>
        <v>53.666666666666664</v>
      </c>
      <c r="T63" s="1313">
        <f t="shared" ca="1" si="36"/>
        <v>0</v>
      </c>
      <c r="U63" s="1314">
        <f t="shared" ca="1" si="37"/>
        <v>3.0589999999999999E-2</v>
      </c>
      <c r="V63" s="1315">
        <f t="shared" ca="1" si="38"/>
        <v>0</v>
      </c>
      <c r="W63" s="1316">
        <f t="shared" ca="1" si="39"/>
        <v>214.66666666666666</v>
      </c>
      <c r="X63" s="1316">
        <f t="shared" ca="1" si="40"/>
        <v>0</v>
      </c>
      <c r="Y63" s="1316">
        <f t="shared" ca="1" si="41"/>
        <v>0.12236</v>
      </c>
      <c r="Z63" s="1316">
        <f t="shared" ca="1" si="42"/>
        <v>0</v>
      </c>
      <c r="AA63" s="1317">
        <f t="shared" ca="1" si="43"/>
        <v>21.2433691946508</v>
      </c>
      <c r="AB63" s="1318">
        <f ca="1">VLOOKUP($B63&amp;$R63,'Value of Savings'!$B:$G,4,FALSE)*S63</f>
        <v>16.679964882661455</v>
      </c>
      <c r="AC63" s="1318">
        <f ca="1">VLOOKUP($B63&amp;$R63,'Value of Savings'!$B:$G,5,FALSE)*T63</f>
        <v>0</v>
      </c>
      <c r="AD63" s="1318">
        <f ca="1">VLOOKUP($B63&amp;$R63,'Value of Savings'!$B:$G,6,FALSE)*U63</f>
        <v>4.5634043119893457</v>
      </c>
    </row>
    <row r="64" spans="1:30" s="1326" customFormat="1" ht="12" x14ac:dyDescent="0.3">
      <c r="A64" s="1320" t="s">
        <v>131</v>
      </c>
      <c r="B64" s="1321" t="str">
        <f t="shared" ca="1" si="22"/>
        <v>Commercial</v>
      </c>
      <c r="C64" s="1304" t="str">
        <f t="shared" si="23"/>
        <v>Go to C-R-007</v>
      </c>
      <c r="D64" s="1305" t="str">
        <f t="shared" ca="1" si="24"/>
        <v>CommercialStrip curtain for walk-in refrigerator, ft^2 of Doorway Area</v>
      </c>
      <c r="E64" s="1305" t="str">
        <f t="shared" ca="1" si="25"/>
        <v>Strip curtain for walk-in refrigerator, ft^2 of Doorway Area</v>
      </c>
      <c r="F64" s="1305" t="str">
        <f t="shared" ca="1" si="26"/>
        <v>Strip curtain for walk-in refrigerator</v>
      </c>
      <c r="G64" s="1306" t="str">
        <f t="shared" ca="1" si="27"/>
        <v>ft^2 of Doorway Area</v>
      </c>
      <c r="H64" s="1307" t="str">
        <f t="shared" ca="1" si="28"/>
        <v>Refrigeration - Door</v>
      </c>
      <c r="I64" s="1323"/>
      <c r="J64" s="1309" t="s">
        <v>77</v>
      </c>
      <c r="K64" s="1309" t="s">
        <v>123</v>
      </c>
      <c r="L64" s="1324"/>
      <c r="M64" s="1311" t="str">
        <f t="shared" ca="1" si="29"/>
        <v>Other</v>
      </c>
      <c r="N64" s="1311" t="str">
        <f t="shared" ca="1" si="30"/>
        <v>Average</v>
      </c>
      <c r="O64" s="1311" t="str">
        <f t="shared" ca="1" si="31"/>
        <v>RET</v>
      </c>
      <c r="P64" s="1311" t="str">
        <f t="shared" ca="1" si="32"/>
        <v>Natural gas</v>
      </c>
      <c r="Q64" s="1311" t="str">
        <f t="shared" ca="1" si="33"/>
        <v>Natural gas</v>
      </c>
      <c r="R64" s="1312">
        <f t="shared" ca="1" si="34"/>
        <v>4</v>
      </c>
      <c r="S64" s="1313">
        <f t="shared" ca="1" si="35"/>
        <v>128.5</v>
      </c>
      <c r="T64" s="1313">
        <f t="shared" ca="1" si="36"/>
        <v>0</v>
      </c>
      <c r="U64" s="1314">
        <f t="shared" ca="1" si="37"/>
        <v>7.3244999999999991E-2</v>
      </c>
      <c r="V64" s="1315">
        <f t="shared" ca="1" si="38"/>
        <v>0</v>
      </c>
      <c r="W64" s="1316">
        <f t="shared" ca="1" si="39"/>
        <v>514</v>
      </c>
      <c r="X64" s="1316">
        <f t="shared" ca="1" si="40"/>
        <v>0</v>
      </c>
      <c r="Y64" s="1316">
        <f t="shared" ca="1" si="41"/>
        <v>0.29297999999999996</v>
      </c>
      <c r="Z64" s="1316">
        <f t="shared" ca="1" si="42"/>
        <v>0</v>
      </c>
      <c r="AA64" s="1317">
        <f t="shared" ca="1" si="43"/>
        <v>50.865334313899901</v>
      </c>
      <c r="AB64" s="1318">
        <f ca="1">VLOOKUP($B64&amp;$R64,'Value of Savings'!$B:$G,4,FALSE)*S64</f>
        <v>39.938673678670753</v>
      </c>
      <c r="AC64" s="1318">
        <f ca="1">VLOOKUP($B64&amp;$R64,'Value of Savings'!$B:$G,5,FALSE)*T64</f>
        <v>0</v>
      </c>
      <c r="AD64" s="1318">
        <f ca="1">VLOOKUP($B64&amp;$R64,'Value of Savings'!$B:$G,6,FALSE)*U64</f>
        <v>10.926660635229146</v>
      </c>
    </row>
    <row r="65" spans="1:30" s="1326" customFormat="1" ht="12" x14ac:dyDescent="0.3">
      <c r="A65" s="1320" t="s">
        <v>139</v>
      </c>
      <c r="B65" s="1303" t="str">
        <f t="shared" ca="1" si="22"/>
        <v>Commercial</v>
      </c>
      <c r="C65" s="1304" t="str">
        <f t="shared" si="23"/>
        <v>Go to C-W-001</v>
      </c>
      <c r="D65" s="1305" t="str">
        <f t="shared" ca="1" si="24"/>
        <v>CommercialTankless natural gas water heater, Water Heater</v>
      </c>
      <c r="E65" s="1305" t="str">
        <f t="shared" ca="1" si="25"/>
        <v>Tankless natural gas water heater, Water Heater</v>
      </c>
      <c r="F65" s="1305" t="str">
        <f t="shared" ca="1" si="26"/>
        <v>Tankless natural gas water heater</v>
      </c>
      <c r="G65" s="1306" t="str">
        <f t="shared" ca="1" si="27"/>
        <v>Water Heater</v>
      </c>
      <c r="H65" s="1307" t="str">
        <f t="shared" ca="1" si="28"/>
        <v>Water - Heating</v>
      </c>
      <c r="I65" s="1325"/>
      <c r="J65" s="1309" t="s">
        <v>77</v>
      </c>
      <c r="K65" s="1309" t="s">
        <v>140</v>
      </c>
      <c r="L65" s="1310"/>
      <c r="M65" s="1311" t="str">
        <f t="shared" ca="1" si="29"/>
        <v>Other</v>
      </c>
      <c r="N65" s="1311" t="str">
        <f t="shared" ca="1" si="30"/>
        <v>Average</v>
      </c>
      <c r="O65" s="1311" t="str">
        <f t="shared" ca="1" si="31"/>
        <v>RET</v>
      </c>
      <c r="P65" s="1311" t="str">
        <f t="shared" ca="1" si="32"/>
        <v>Natural gas</v>
      </c>
      <c r="Q65" s="1311" t="str">
        <f t="shared" ca="1" si="33"/>
        <v>Natural gas</v>
      </c>
      <c r="R65" s="1312">
        <f t="shared" ca="1" si="34"/>
        <v>20</v>
      </c>
      <c r="S65" s="1313">
        <f t="shared" ca="1" si="35"/>
        <v>0</v>
      </c>
      <c r="T65" s="1313">
        <f t="shared" ca="1" si="36"/>
        <v>3.8230293031526403</v>
      </c>
      <c r="U65" s="1314">
        <f t="shared" ca="1" si="37"/>
        <v>0.19721861266173527</v>
      </c>
      <c r="V65" s="1315">
        <f t="shared" ca="1" si="38"/>
        <v>0</v>
      </c>
      <c r="W65" s="1316">
        <f t="shared" ca="1" si="39"/>
        <v>0</v>
      </c>
      <c r="X65" s="1316">
        <f t="shared" ca="1" si="40"/>
        <v>76.460586063052801</v>
      </c>
      <c r="Y65" s="1316">
        <f t="shared" ca="1" si="41"/>
        <v>3.9443722532347052</v>
      </c>
      <c r="Z65" s="1316" t="str">
        <f t="shared" ca="1" si="42"/>
        <v/>
      </c>
      <c r="AA65" s="1317">
        <f t="shared" ca="1" si="43"/>
        <v>385.26306134562458</v>
      </c>
      <c r="AB65" s="1318">
        <f ca="1">VLOOKUP($B65&amp;$R65,'Value of Savings'!$B:$G,4,FALSE)*S65</f>
        <v>0</v>
      </c>
      <c r="AC65" s="1318">
        <f ca="1">VLOOKUP($B65&amp;$R65,'Value of Savings'!$B:$G,5,FALSE)*T65</f>
        <v>267.91944557982998</v>
      </c>
      <c r="AD65" s="1318">
        <f ca="1">VLOOKUP($B65&amp;$R65,'Value of Savings'!$B:$G,6,FALSE)*U65</f>
        <v>117.34361576579457</v>
      </c>
    </row>
    <row r="66" spans="1:30" s="1326" customFormat="1" ht="12" x14ac:dyDescent="0.3">
      <c r="A66" s="1320" t="s">
        <v>172</v>
      </c>
      <c r="B66" s="1303" t="str">
        <f t="shared" ca="1" si="22"/>
        <v>Residential</v>
      </c>
      <c r="C66" s="1304" t="str">
        <f t="shared" si="23"/>
        <v>Go to R-W-002</v>
      </c>
      <c r="D66" s="1305" t="str">
        <f t="shared" ca="1" si="24"/>
        <v>ResidentialTankless natural gas water heater, Water Heater</v>
      </c>
      <c r="E66" s="1305" t="str">
        <f t="shared" ca="1" si="25"/>
        <v>Tankless natural gas water heater, Water Heater</v>
      </c>
      <c r="F66" s="1305" t="str">
        <f t="shared" ca="1" si="26"/>
        <v>Tankless natural gas water heater</v>
      </c>
      <c r="G66" s="1306" t="str">
        <f t="shared" ca="1" si="27"/>
        <v>Water Heater</v>
      </c>
      <c r="H66" s="1307" t="str">
        <f t="shared" ca="1" si="28"/>
        <v>Water - Heating</v>
      </c>
      <c r="I66" s="1322"/>
      <c r="J66" s="1309" t="s">
        <v>77</v>
      </c>
      <c r="K66" s="1309" t="s">
        <v>173</v>
      </c>
      <c r="L66" s="1309"/>
      <c r="M66" s="1311" t="str">
        <f t="shared" ca="1" si="29"/>
        <v>Home - detached</v>
      </c>
      <c r="N66" s="1311" t="str">
        <f t="shared" ca="1" si="30"/>
        <v>Average</v>
      </c>
      <c r="O66" s="1311" t="str">
        <f t="shared" ca="1" si="31"/>
        <v>RET</v>
      </c>
      <c r="P66" s="1311" t="str">
        <f t="shared" ca="1" si="32"/>
        <v>Natural gas</v>
      </c>
      <c r="Q66" s="1311" t="str">
        <f t="shared" ca="1" si="33"/>
        <v>Natural gas</v>
      </c>
      <c r="R66" s="1312">
        <f t="shared" ca="1" si="34"/>
        <v>13</v>
      </c>
      <c r="S66" s="1313">
        <f t="shared" ca="1" si="35"/>
        <v>0</v>
      </c>
      <c r="T66" s="1313">
        <f t="shared" ca="1" si="36"/>
        <v>9.2747184381611625</v>
      </c>
      <c r="U66" s="1314">
        <f t="shared" ca="1" si="37"/>
        <v>0.47845490006941988</v>
      </c>
      <c r="V66" s="1315">
        <f t="shared" ca="1" si="38"/>
        <v>0</v>
      </c>
      <c r="W66" s="1316">
        <f t="shared" ca="1" si="39"/>
        <v>0</v>
      </c>
      <c r="X66" s="1316">
        <f t="shared" ca="1" si="40"/>
        <v>120.57133969609511</v>
      </c>
      <c r="Y66" s="1316">
        <f t="shared" ca="1" si="41"/>
        <v>6.2199137009024588</v>
      </c>
      <c r="Z66" s="1316" t="str">
        <f t="shared" ca="1" si="42"/>
        <v/>
      </c>
      <c r="AA66" s="1317">
        <f t="shared" ca="1" si="43"/>
        <v>660.16999295320397</v>
      </c>
      <c r="AB66" s="1318">
        <f ca="1">VLOOKUP($B66&amp;$R66,'Value of Savings'!$B:$G,4,FALSE)*S66</f>
        <v>0</v>
      </c>
      <c r="AC66" s="1318">
        <f ca="1">VLOOKUP($B66&amp;$R66,'Value of Savings'!$B:$G,5,FALSE)*T66</f>
        <v>448.90309536420409</v>
      </c>
      <c r="AD66" s="1318">
        <f ca="1">VLOOKUP($B66&amp;$R66,'Value of Savings'!$B:$G,6,FALSE)*U66</f>
        <v>211.26689758899991</v>
      </c>
    </row>
    <row r="67" spans="1:30" s="1326" customFormat="1" ht="12" x14ac:dyDescent="0.3">
      <c r="A67" s="1303" t="s">
        <v>181</v>
      </c>
      <c r="B67" s="1303" t="str">
        <f t="shared" ref="B67:B75" ca="1" si="44">INDIRECT("'"&amp;A67&amp;"'!C4")</f>
        <v>Residential</v>
      </c>
      <c r="C67" s="1304" t="str">
        <f t="shared" ref="C67:C75" si="45">HYPERLINK("#'"&amp;A67&amp;"'!A1","Go to "&amp;A67)</f>
        <v>Go to R-WB-005</v>
      </c>
      <c r="D67" s="1305" t="str">
        <f t="shared" ref="D67:D75" ca="1" si="46">B67&amp;E67</f>
        <v>ResidentialTriple pane low-e window, ft^2 of Window</v>
      </c>
      <c r="E67" s="1305" t="str">
        <f t="shared" ref="E67:E75" ca="1" si="47">F67&amp;", "&amp;G67</f>
        <v>Triple pane low-e window, ft^2 of Window</v>
      </c>
      <c r="F67" s="1305" t="str">
        <f t="shared" ref="F67:F75" ca="1" si="48">INDIRECT("'"&amp;A67&amp;"'!C5")</f>
        <v>Triple pane low-e window</v>
      </c>
      <c r="G67" s="1306" t="str">
        <f t="shared" ref="G67:G75" ca="1" si="49">INDIRECT("'"&amp;A67&amp;"'!C17")</f>
        <v>ft^2 of Window</v>
      </c>
      <c r="H67" s="1307" t="str">
        <f t="shared" ref="H67:H75" ca="1" si="50">INDIRECT("'"&amp;A67&amp;"'!C9")</f>
        <v>Whole Building</v>
      </c>
      <c r="I67" s="1308"/>
      <c r="J67" s="1309" t="s">
        <v>69</v>
      </c>
      <c r="K67" s="1309" t="s">
        <v>182</v>
      </c>
      <c r="L67" s="1310"/>
      <c r="M67" s="1311" t="str">
        <f t="shared" ref="M67:M75" ca="1" si="51">INDIRECT("'"&amp;A67&amp;"'!C28")</f>
        <v>Home - detached</v>
      </c>
      <c r="N67" s="1311" t="str">
        <f t="shared" ref="N67:N75" ca="1" si="52">INDIRECT("'"&amp;$A67&amp;"'!C26")</f>
        <v>Average</v>
      </c>
      <c r="O67" s="1311" t="str">
        <f t="shared" ref="O67:O75" ca="1" si="53">INDIRECT("'"&amp;A67&amp;"'!C27")</f>
        <v>RET</v>
      </c>
      <c r="P67" s="1311" t="str">
        <f t="shared" ref="P67:P75" ca="1" si="54">INDIRECT("'"&amp;$A67&amp;"'!C29")</f>
        <v>Natural gas</v>
      </c>
      <c r="Q67" s="1311" t="str">
        <f t="shared" ref="Q67:Q75" ca="1" si="55">INDIRECT("'"&amp;$A67&amp;"'!C30")</f>
        <v>Natural gas</v>
      </c>
      <c r="R67" s="1312">
        <f t="shared" ref="R67:R75" ca="1" si="56">ROUND(INDIRECT("'"&amp;A67&amp;"'!C18"),0)</f>
        <v>15</v>
      </c>
      <c r="S67" s="1313">
        <f t="shared" ref="S67:S75" ca="1" si="57">INDIRECT("'"&amp;A67&amp;"'!C13")</f>
        <v>0</v>
      </c>
      <c r="T67" s="1313">
        <f t="shared" ref="T67:T75" ca="1" si="58">INDIRECT("'"&amp;A67&amp;"'!C15")</f>
        <v>6.1934450588564796E-2</v>
      </c>
      <c r="U67" s="1314">
        <f t="shared" ref="U67:U75" ca="1" si="59">S67*GHG.E+T67*GHG.NG</f>
        <v>3.1950125025122923E-3</v>
      </c>
      <c r="V67" s="1315">
        <f t="shared" ref="V67:V75" ca="1" si="60">INDIRECT("'"&amp;A67&amp;"'!C16")</f>
        <v>0</v>
      </c>
      <c r="W67" s="1316">
        <f t="shared" ref="W67:W75" ca="1" si="61">$R67*S67</f>
        <v>0</v>
      </c>
      <c r="X67" s="1316">
        <f t="shared" ref="X67:X75" ca="1" si="62">$R67*T67</f>
        <v>0.9290167588284719</v>
      </c>
      <c r="Y67" s="1316">
        <f t="shared" ref="Y67:Y75" ca="1" si="63">$R67*U67</f>
        <v>4.7925187537684384E-2</v>
      </c>
      <c r="Z67" s="1316" t="str">
        <f t="shared" ref="Z67:Z75" ca="1" si="64">IF(S67&lt;=0,"",V67/(S67*R67)*100)</f>
        <v/>
      </c>
      <c r="AA67" s="1317">
        <f t="shared" ref="AA67:AA75" ca="1" si="65">SUM(AB67:AD67)</f>
        <v>4.9753315224831107</v>
      </c>
      <c r="AB67" s="1318">
        <f ca="1">VLOOKUP($B67&amp;$R67,'Value of Savings'!$B:$G,4,FALSE)*S67</f>
        <v>0</v>
      </c>
      <c r="AC67" s="1318">
        <f ca="1">VLOOKUP($B67&amp;$R67,'Value of Savings'!$B:$G,5,FALSE)*T67</f>
        <v>3.4070117485320917</v>
      </c>
      <c r="AD67" s="1318">
        <f ca="1">VLOOKUP($B67&amp;$R67,'Value of Savings'!$B:$G,6,FALSE)*U67</f>
        <v>1.5683197739510191</v>
      </c>
    </row>
    <row r="68" spans="1:30" ht="12" x14ac:dyDescent="0.3">
      <c r="A68" s="1320" t="s">
        <v>114</v>
      </c>
      <c r="B68" s="1303" t="str">
        <f t="shared" ca="1" si="44"/>
        <v>Commercial</v>
      </c>
      <c r="C68" s="1304" t="str">
        <f t="shared" si="45"/>
        <v>Go to C-L-005</v>
      </c>
      <c r="D68" s="1305" t="str">
        <f t="shared" ca="1" si="46"/>
        <v>CommercialTroffer fixture and retrofit kit, Fixture</v>
      </c>
      <c r="E68" s="1305" t="str">
        <f t="shared" ca="1" si="47"/>
        <v>Troffer fixture and retrofit kit, Fixture</v>
      </c>
      <c r="F68" s="1305" t="str">
        <f t="shared" ca="1" si="48"/>
        <v>Troffer fixture and retrofit kit</v>
      </c>
      <c r="G68" s="1306" t="str">
        <f t="shared" ca="1" si="49"/>
        <v>Fixture</v>
      </c>
      <c r="H68" s="1307" t="str">
        <f t="shared" ca="1" si="50"/>
        <v>Lighting - Indoor fixture</v>
      </c>
      <c r="I68" s="1322"/>
      <c r="J68" s="1309" t="s">
        <v>69</v>
      </c>
      <c r="K68" s="1309" t="s">
        <v>111</v>
      </c>
      <c r="L68" s="1324" t="s">
        <v>74</v>
      </c>
      <c r="M68" s="1311" t="str">
        <f t="shared" ca="1" si="51"/>
        <v>Other</v>
      </c>
      <c r="N68" s="1311" t="str">
        <f t="shared" ca="1" si="52"/>
        <v>Average</v>
      </c>
      <c r="O68" s="1311" t="str">
        <f t="shared" ca="1" si="53"/>
        <v>RET</v>
      </c>
      <c r="P68" s="1311" t="str">
        <f t="shared" ca="1" si="54"/>
        <v>Natural gas</v>
      </c>
      <c r="Q68" s="1311" t="str">
        <f t="shared" ca="1" si="55"/>
        <v>Natural gas</v>
      </c>
      <c r="R68" s="1312">
        <f t="shared" ca="1" si="56"/>
        <v>15</v>
      </c>
      <c r="S68" s="1313">
        <f t="shared" ca="1" si="57"/>
        <v>68.097201511647128</v>
      </c>
      <c r="T68" s="1313">
        <f t="shared" ca="1" si="58"/>
        <v>-0.10776382139218157</v>
      </c>
      <c r="U68" s="1314">
        <f t="shared" ca="1" si="59"/>
        <v>3.3256192607480389E-2</v>
      </c>
      <c r="V68" s="1315">
        <f t="shared" ca="1" si="60"/>
        <v>0</v>
      </c>
      <c r="W68" s="1316">
        <f t="shared" ca="1" si="61"/>
        <v>1021.458022674707</v>
      </c>
      <c r="X68" s="1316">
        <f t="shared" ca="1" si="62"/>
        <v>-1.6164573208827235</v>
      </c>
      <c r="Y68" s="1316">
        <f t="shared" ca="1" si="63"/>
        <v>0.49884288911220587</v>
      </c>
      <c r="Z68" s="1316">
        <f t="shared" ca="1" si="64"/>
        <v>0</v>
      </c>
      <c r="AA68" s="1317">
        <f t="shared" ca="1" si="65"/>
        <v>78.112587677086097</v>
      </c>
      <c r="AB68" s="1318">
        <f ca="1">VLOOKUP($B68&amp;$R68,'Value of Savings'!$B:$G,4,FALSE)*S68</f>
        <v>67.716370765879844</v>
      </c>
      <c r="AC68" s="1318">
        <f ca="1">VLOOKUP($B68&amp;$R68,'Value of Savings'!$B:$G,5,FALSE)*T68</f>
        <v>-5.9280836765453673</v>
      </c>
      <c r="AD68" s="1318">
        <f ca="1">VLOOKUP($B68&amp;$R68,'Value of Savings'!$B:$G,6,FALSE)*U68</f>
        <v>16.324300587751623</v>
      </c>
    </row>
    <row r="69" spans="1:30" ht="12" x14ac:dyDescent="0.3">
      <c r="A69" s="1320" t="s">
        <v>95</v>
      </c>
      <c r="B69" s="1303" t="str">
        <f t="shared" ca="1" si="44"/>
        <v>Commercial</v>
      </c>
      <c r="C69" s="1304" t="str">
        <f t="shared" si="45"/>
        <v>Go to C-HC-013</v>
      </c>
      <c r="D69" s="1305" t="str">
        <f t="shared" ca="1" si="46"/>
        <v>CommercialVariable speed drive for motors in chilled water pumps, Horsepower of Motor</v>
      </c>
      <c r="E69" s="1305" t="str">
        <f t="shared" ca="1" si="47"/>
        <v>Variable speed drive for motors in chilled water pumps, Horsepower of Motor</v>
      </c>
      <c r="F69" s="1307" t="str">
        <f t="shared" ca="1" si="48"/>
        <v>Variable speed drive for motors in chilled water pumps</v>
      </c>
      <c r="G69" s="1306" t="str">
        <f t="shared" ca="1" si="49"/>
        <v>Horsepower of Motor</v>
      </c>
      <c r="H69" s="1307" t="str">
        <f t="shared" ca="1" si="50"/>
        <v>Motors and drives</v>
      </c>
      <c r="I69" s="1325"/>
      <c r="J69" s="1309" t="s">
        <v>69</v>
      </c>
      <c r="K69" s="1309" t="s">
        <v>96</v>
      </c>
      <c r="L69" s="1310"/>
      <c r="M69" s="1311" t="str">
        <f t="shared" ca="1" si="51"/>
        <v>Other</v>
      </c>
      <c r="N69" s="1311" t="str">
        <f t="shared" ca="1" si="52"/>
        <v>Average</v>
      </c>
      <c r="O69" s="1311" t="str">
        <f t="shared" ca="1" si="53"/>
        <v>RET</v>
      </c>
      <c r="P69" s="1311" t="str">
        <f t="shared" ca="1" si="54"/>
        <v>Natural gas</v>
      </c>
      <c r="Q69" s="1311" t="str">
        <f t="shared" ca="1" si="55"/>
        <v>Natural gas</v>
      </c>
      <c r="R69" s="1312">
        <f t="shared" ca="1" si="56"/>
        <v>15</v>
      </c>
      <c r="S69" s="1313">
        <f t="shared" ca="1" si="57"/>
        <v>126.15064548387096</v>
      </c>
      <c r="T69" s="1313">
        <f t="shared" ca="1" si="58"/>
        <v>0</v>
      </c>
      <c r="U69" s="1314">
        <f t="shared" ca="1" si="59"/>
        <v>7.1905867925806444E-2</v>
      </c>
      <c r="V69" s="1315">
        <f t="shared" ca="1" si="60"/>
        <v>0</v>
      </c>
      <c r="W69" s="1316">
        <f t="shared" ca="1" si="61"/>
        <v>1892.2596822580645</v>
      </c>
      <c r="X69" s="1316">
        <f t="shared" ca="1" si="62"/>
        <v>0</v>
      </c>
      <c r="Y69" s="1316">
        <f t="shared" ca="1" si="63"/>
        <v>1.0785880188870967</v>
      </c>
      <c r="Z69" s="1316">
        <f t="shared" ca="1" si="64"/>
        <v>0</v>
      </c>
      <c r="AA69" s="1317">
        <f t="shared" ca="1" si="65"/>
        <v>160.74122628753622</v>
      </c>
      <c r="AB69" s="1318">
        <f ca="1">VLOOKUP($B69&amp;$R69,'Value of Savings'!$B:$G,4,FALSE)*S69</f>
        <v>125.44515328548113</v>
      </c>
      <c r="AC69" s="1318">
        <f ca="1">VLOOKUP($B69&amp;$R69,'Value of Savings'!$B:$G,5,FALSE)*T69</f>
        <v>0</v>
      </c>
      <c r="AD69" s="1318">
        <f ca="1">VLOOKUP($B69&amp;$R69,'Value of Savings'!$B:$G,6,FALSE)*U69</f>
        <v>35.296073002055088</v>
      </c>
    </row>
    <row r="70" spans="1:30" ht="12" x14ac:dyDescent="0.3">
      <c r="A70" s="1320" t="s">
        <v>98</v>
      </c>
      <c r="B70" s="1303" t="str">
        <f t="shared" ca="1" si="44"/>
        <v>Commercial</v>
      </c>
      <c r="C70" s="1304" t="str">
        <f t="shared" si="45"/>
        <v>Go to C-HC-015</v>
      </c>
      <c r="D70" s="1305" t="str">
        <f t="shared" ca="1" si="46"/>
        <v>CommercialVariable speed drive for motors in cooling tower fans, Horsepower of Motor</v>
      </c>
      <c r="E70" s="1305" t="str">
        <f t="shared" ca="1" si="47"/>
        <v>Variable speed drive for motors in cooling tower fans, Horsepower of Motor</v>
      </c>
      <c r="F70" s="1307" t="str">
        <f t="shared" ca="1" si="48"/>
        <v>Variable speed drive for motors in cooling tower fans</v>
      </c>
      <c r="G70" s="1306" t="str">
        <f t="shared" ca="1" si="49"/>
        <v>Horsepower of Motor</v>
      </c>
      <c r="H70" s="1307" t="str">
        <f t="shared" ca="1" si="50"/>
        <v>Motors and drives</v>
      </c>
      <c r="I70" s="1322"/>
      <c r="J70" s="1309" t="s">
        <v>77</v>
      </c>
      <c r="K70" s="1309" t="s">
        <v>94</v>
      </c>
      <c r="L70" s="1324"/>
      <c r="M70" s="1311" t="str">
        <f t="shared" ca="1" si="51"/>
        <v>Other</v>
      </c>
      <c r="N70" s="1311" t="str">
        <f t="shared" ca="1" si="52"/>
        <v>Average</v>
      </c>
      <c r="O70" s="1311" t="str">
        <f t="shared" ca="1" si="53"/>
        <v>RET</v>
      </c>
      <c r="P70" s="1311" t="str">
        <f t="shared" ca="1" si="54"/>
        <v>Natural gas</v>
      </c>
      <c r="Q70" s="1311" t="str">
        <f t="shared" ca="1" si="55"/>
        <v>Natural gas</v>
      </c>
      <c r="R70" s="1312">
        <f t="shared" ca="1" si="56"/>
        <v>15</v>
      </c>
      <c r="S70" s="1313">
        <f t="shared" ca="1" si="57"/>
        <v>126.15064548387096</v>
      </c>
      <c r="T70" s="1313">
        <f t="shared" ca="1" si="58"/>
        <v>0</v>
      </c>
      <c r="U70" s="1314">
        <f t="shared" ca="1" si="59"/>
        <v>7.1905867925806444E-2</v>
      </c>
      <c r="V70" s="1315">
        <f t="shared" ca="1" si="60"/>
        <v>0</v>
      </c>
      <c r="W70" s="1316">
        <f t="shared" ca="1" si="61"/>
        <v>1892.2596822580645</v>
      </c>
      <c r="X70" s="1316">
        <f t="shared" ca="1" si="62"/>
        <v>0</v>
      </c>
      <c r="Y70" s="1316">
        <f t="shared" ca="1" si="63"/>
        <v>1.0785880188870967</v>
      </c>
      <c r="Z70" s="1316">
        <f t="shared" ca="1" si="64"/>
        <v>0</v>
      </c>
      <c r="AA70" s="1317">
        <f t="shared" ca="1" si="65"/>
        <v>160.74122628753622</v>
      </c>
      <c r="AB70" s="1318">
        <f ca="1">VLOOKUP($B70&amp;$R70,'Value of Savings'!$B:$G,4,FALSE)*S70</f>
        <v>125.44515328548113</v>
      </c>
      <c r="AC70" s="1318">
        <f ca="1">VLOOKUP($B70&amp;$R70,'Value of Savings'!$B:$G,5,FALSE)*T70</f>
        <v>0</v>
      </c>
      <c r="AD70" s="1318">
        <f ca="1">VLOOKUP($B70&amp;$R70,'Value of Savings'!$B:$G,6,FALSE)*U70</f>
        <v>35.296073002055088</v>
      </c>
    </row>
    <row r="71" spans="1:30" ht="12" x14ac:dyDescent="0.3">
      <c r="A71" s="1320" t="s">
        <v>97</v>
      </c>
      <c r="B71" s="1303" t="str">
        <f t="shared" ca="1" si="44"/>
        <v>Commercial</v>
      </c>
      <c r="C71" s="1304" t="str">
        <f t="shared" si="45"/>
        <v>Go to C-HC-014</v>
      </c>
      <c r="D71" s="1305" t="str">
        <f t="shared" ca="1" si="46"/>
        <v>CommercialVariable speed drive for motors in hot water pumps, Horsepower of Motor</v>
      </c>
      <c r="E71" s="1305" t="str">
        <f t="shared" ca="1" si="47"/>
        <v>Variable speed drive for motors in hot water pumps, Horsepower of Motor</v>
      </c>
      <c r="F71" s="1307" t="str">
        <f t="shared" ca="1" si="48"/>
        <v>Variable speed drive for motors in hot water pumps</v>
      </c>
      <c r="G71" s="1306" t="str">
        <f t="shared" ca="1" si="49"/>
        <v>Horsepower of Motor</v>
      </c>
      <c r="H71" s="1307" t="str">
        <f t="shared" ca="1" si="50"/>
        <v>Motors and drives</v>
      </c>
      <c r="I71" s="1322"/>
      <c r="J71" s="1309" t="s">
        <v>77</v>
      </c>
      <c r="K71" s="1309" t="s">
        <v>94</v>
      </c>
      <c r="L71" s="1324"/>
      <c r="M71" s="1311" t="str">
        <f t="shared" ca="1" si="51"/>
        <v>Other</v>
      </c>
      <c r="N71" s="1311" t="str">
        <f t="shared" ca="1" si="52"/>
        <v>Average</v>
      </c>
      <c r="O71" s="1311" t="str">
        <f t="shared" ca="1" si="53"/>
        <v>RET</v>
      </c>
      <c r="P71" s="1311" t="str">
        <f t="shared" ca="1" si="54"/>
        <v>Natural gas</v>
      </c>
      <c r="Q71" s="1311" t="str">
        <f t="shared" ca="1" si="55"/>
        <v>Natural gas</v>
      </c>
      <c r="R71" s="1312">
        <f t="shared" ca="1" si="56"/>
        <v>15</v>
      </c>
      <c r="S71" s="1313">
        <f t="shared" ca="1" si="57"/>
        <v>212.7709916129032</v>
      </c>
      <c r="T71" s="1313">
        <f t="shared" ca="1" si="58"/>
        <v>0</v>
      </c>
      <c r="U71" s="1314">
        <f t="shared" ca="1" si="59"/>
        <v>0.12127946521935482</v>
      </c>
      <c r="V71" s="1315">
        <f t="shared" ca="1" si="60"/>
        <v>0</v>
      </c>
      <c r="W71" s="1316">
        <f t="shared" ca="1" si="61"/>
        <v>3191.5648741935479</v>
      </c>
      <c r="X71" s="1316">
        <f t="shared" ca="1" si="62"/>
        <v>0</v>
      </c>
      <c r="Y71" s="1316">
        <f t="shared" ca="1" si="63"/>
        <v>1.8191919782903223</v>
      </c>
      <c r="Z71" s="1316">
        <f t="shared" ca="1" si="64"/>
        <v>0</v>
      </c>
      <c r="AA71" s="1317">
        <f t="shared" ca="1" si="65"/>
        <v>271.11292200756861</v>
      </c>
      <c r="AB71" s="1318">
        <f ca="1">VLOOKUP($B71&amp;$R71,'Value of Savings'!$B:$G,4,FALSE)*S71</f>
        <v>211.58107875870567</v>
      </c>
      <c r="AC71" s="1318">
        <f ca="1">VLOOKUP($B71&amp;$R71,'Value of Savings'!$B:$G,5,FALSE)*T71</f>
        <v>0</v>
      </c>
      <c r="AD71" s="1318">
        <f ca="1">VLOOKUP($B71&amp;$R71,'Value of Savings'!$B:$G,6,FALSE)*U71</f>
        <v>59.531843248862913</v>
      </c>
    </row>
    <row r="72" spans="1:30" s="1326" customFormat="1" ht="12" x14ac:dyDescent="0.3">
      <c r="A72" s="1320" t="s">
        <v>93</v>
      </c>
      <c r="B72" s="1303" t="str">
        <f t="shared" ca="1" si="44"/>
        <v>Commercial</v>
      </c>
      <c r="C72" s="1304" t="str">
        <f t="shared" si="45"/>
        <v>Go to C-HC-012</v>
      </c>
      <c r="D72" s="1305" t="str">
        <f t="shared" ca="1" si="46"/>
        <v>CommercialVariable speed drive for motors in supply and return fan applications, Horsepower of Motor</v>
      </c>
      <c r="E72" s="1305" t="str">
        <f t="shared" ca="1" si="47"/>
        <v>Variable speed drive for motors in supply and return fan applications, Horsepower of Motor</v>
      </c>
      <c r="F72" s="1307" t="str">
        <f t="shared" ca="1" si="48"/>
        <v>Variable speed drive for motors in supply and return fan applications</v>
      </c>
      <c r="G72" s="1306" t="str">
        <f t="shared" ca="1" si="49"/>
        <v>Horsepower of Motor</v>
      </c>
      <c r="H72" s="1307" t="str">
        <f t="shared" ca="1" si="50"/>
        <v>Motors and drives</v>
      </c>
      <c r="I72" s="1322"/>
      <c r="J72" s="1309" t="s">
        <v>77</v>
      </c>
      <c r="K72" s="1309" t="s">
        <v>94</v>
      </c>
      <c r="L72" s="1324"/>
      <c r="M72" s="1311" t="str">
        <f t="shared" ca="1" si="51"/>
        <v>Other</v>
      </c>
      <c r="N72" s="1311" t="str">
        <f t="shared" ca="1" si="52"/>
        <v>Average</v>
      </c>
      <c r="O72" s="1311" t="str">
        <f t="shared" ca="1" si="53"/>
        <v>RET</v>
      </c>
      <c r="P72" s="1311" t="str">
        <f t="shared" ca="1" si="54"/>
        <v>Natural gas</v>
      </c>
      <c r="Q72" s="1311" t="str">
        <f t="shared" ca="1" si="55"/>
        <v>Natural gas</v>
      </c>
      <c r="R72" s="1312">
        <f t="shared" ca="1" si="56"/>
        <v>15</v>
      </c>
      <c r="S72" s="1313">
        <f t="shared" ca="1" si="57"/>
        <v>1769.516575065591</v>
      </c>
      <c r="T72" s="1313">
        <f t="shared" ca="1" si="58"/>
        <v>0</v>
      </c>
      <c r="U72" s="1314">
        <f t="shared" ca="1" si="59"/>
        <v>1.0086244477873869</v>
      </c>
      <c r="V72" s="1315">
        <f t="shared" ca="1" si="60"/>
        <v>0</v>
      </c>
      <c r="W72" s="1316">
        <f t="shared" ca="1" si="61"/>
        <v>26542.748625983866</v>
      </c>
      <c r="X72" s="1316">
        <f t="shared" ca="1" si="62"/>
        <v>0</v>
      </c>
      <c r="Y72" s="1316">
        <f t="shared" ca="1" si="63"/>
        <v>15.129366716810804</v>
      </c>
      <c r="Z72" s="1316">
        <f t="shared" ca="1" si="64"/>
        <v>0</v>
      </c>
      <c r="AA72" s="1317">
        <f t="shared" ca="1" si="65"/>
        <v>2254.71905531019</v>
      </c>
      <c r="AB72" s="1318">
        <f ca="1">VLOOKUP($B72&amp;$R72,'Value of Savings'!$B:$G,4,FALSE)*S72</f>
        <v>1759.6206277730353</v>
      </c>
      <c r="AC72" s="1318">
        <f ca="1">VLOOKUP($B72&amp;$R72,'Value of Savings'!$B:$G,5,FALSE)*T72</f>
        <v>0</v>
      </c>
      <c r="AD72" s="1318">
        <f ca="1">VLOOKUP($B72&amp;$R72,'Value of Savings'!$B:$G,6,FALSE)*U72</f>
        <v>495.09842753715486</v>
      </c>
    </row>
    <row r="73" spans="1:30" s="1326" customFormat="1" ht="12" x14ac:dyDescent="0.3">
      <c r="A73" s="1320" t="s">
        <v>89</v>
      </c>
      <c r="B73" s="1303" t="str">
        <f t="shared" ca="1" si="44"/>
        <v>Commercial</v>
      </c>
      <c r="C73" s="1304" t="str">
        <f t="shared" si="45"/>
        <v>Go to C-HC-010</v>
      </c>
      <c r="D73" s="1305" t="str">
        <f t="shared" ca="1" si="46"/>
        <v>CommercialVentilation heat/energy recovery, CFM of Ventilation</v>
      </c>
      <c r="E73" s="1305" t="str">
        <f t="shared" ca="1" si="47"/>
        <v>Ventilation heat/energy recovery, CFM of Ventilation</v>
      </c>
      <c r="F73" s="1305" t="str">
        <f t="shared" ca="1" si="48"/>
        <v>Ventilation heat/energy recovery</v>
      </c>
      <c r="G73" s="1306" t="str">
        <f t="shared" ca="1" si="49"/>
        <v>CFM of Ventilation</v>
      </c>
      <c r="H73" s="1307" t="str">
        <f t="shared" ca="1" si="50"/>
        <v>HVAC - Heating</v>
      </c>
      <c r="I73" s="1325"/>
      <c r="J73" s="1309" t="s">
        <v>77</v>
      </c>
      <c r="K73" s="1309" t="s">
        <v>90</v>
      </c>
      <c r="L73" s="1310"/>
      <c r="M73" s="1311" t="str">
        <f t="shared" ca="1" si="51"/>
        <v>Other</v>
      </c>
      <c r="N73" s="1311" t="str">
        <f t="shared" ca="1" si="52"/>
        <v>Average</v>
      </c>
      <c r="O73" s="1311" t="str">
        <f t="shared" ca="1" si="53"/>
        <v>RET</v>
      </c>
      <c r="P73" s="1311" t="str">
        <f t="shared" ca="1" si="54"/>
        <v>Natural gas</v>
      </c>
      <c r="Q73" s="1311" t="str">
        <f t="shared" ca="1" si="55"/>
        <v>Natural gas</v>
      </c>
      <c r="R73" s="1312">
        <f t="shared" ca="1" si="56"/>
        <v>15</v>
      </c>
      <c r="S73" s="1313">
        <f t="shared" ca="1" si="57"/>
        <v>30.423008572739246</v>
      </c>
      <c r="T73" s="1313">
        <f t="shared" ca="1" si="58"/>
        <v>70.71784568266807</v>
      </c>
      <c r="U73" s="1314">
        <f t="shared" ca="1" si="59"/>
        <v>3.6654626201182592</v>
      </c>
      <c r="V73" s="1315">
        <f t="shared" ca="1" si="60"/>
        <v>0</v>
      </c>
      <c r="W73" s="1316">
        <f t="shared" ca="1" si="61"/>
        <v>456.34512859108867</v>
      </c>
      <c r="X73" s="1316">
        <f t="shared" ca="1" si="62"/>
        <v>1060.7676852400211</v>
      </c>
      <c r="Y73" s="1316">
        <f t="shared" ca="1" si="63"/>
        <v>54.981939301773885</v>
      </c>
      <c r="Z73" s="1316">
        <f t="shared" ca="1" si="64"/>
        <v>0</v>
      </c>
      <c r="AA73" s="1317">
        <f t="shared" ca="1" si="65"/>
        <v>5719.6861098601748</v>
      </c>
      <c r="AB73" s="1318">
        <f ca="1">VLOOKUP($B73&amp;$R73,'Value of Savings'!$B:$G,4,FALSE)*S73</f>
        <v>30.252869172205152</v>
      </c>
      <c r="AC73" s="1318">
        <f ca="1">VLOOKUP($B73&amp;$R73,'Value of Savings'!$B:$G,5,FALSE)*T73</f>
        <v>3890.1859753675549</v>
      </c>
      <c r="AD73" s="1318">
        <f ca="1">VLOOKUP($B73&amp;$R73,'Value of Savings'!$B:$G,6,FALSE)*U73</f>
        <v>1799.2472653204152</v>
      </c>
    </row>
    <row r="74" spans="1:30" s="1326" customFormat="1" ht="12" x14ac:dyDescent="0.3">
      <c r="A74" s="1303" t="s">
        <v>178</v>
      </c>
      <c r="B74" s="1303" t="str">
        <f t="shared" ca="1" si="44"/>
        <v>Residential</v>
      </c>
      <c r="C74" s="1304" t="str">
        <f t="shared" si="45"/>
        <v>Go to R-WB-002</v>
      </c>
      <c r="D74" s="1305" t="str">
        <f t="shared" ca="1" si="46"/>
        <v>ResidentialWall insulation, ft^2 of Insulation</v>
      </c>
      <c r="E74" s="1305" t="str">
        <f t="shared" ca="1" si="47"/>
        <v>Wall insulation, ft^2 of Insulation</v>
      </c>
      <c r="F74" s="1305" t="str">
        <f t="shared" ca="1" si="48"/>
        <v>Wall insulation</v>
      </c>
      <c r="G74" s="1306" t="str">
        <f t="shared" ca="1" si="49"/>
        <v>ft^2 of Insulation</v>
      </c>
      <c r="H74" s="1307" t="str">
        <f t="shared" ca="1" si="50"/>
        <v>Whole Building</v>
      </c>
      <c r="I74" s="1322"/>
      <c r="J74" s="1309" t="s">
        <v>177</v>
      </c>
      <c r="K74" s="1309" t="s">
        <v>171</v>
      </c>
      <c r="L74" s="1310"/>
      <c r="M74" s="1311" t="str">
        <f t="shared" ca="1" si="51"/>
        <v>Home - detached</v>
      </c>
      <c r="N74" s="1311" t="str">
        <f t="shared" ca="1" si="52"/>
        <v>Average</v>
      </c>
      <c r="O74" s="1311" t="str">
        <f t="shared" ca="1" si="53"/>
        <v>RET</v>
      </c>
      <c r="P74" s="1311" t="str">
        <f t="shared" ca="1" si="54"/>
        <v>Natural gas</v>
      </c>
      <c r="Q74" s="1311" t="str">
        <f t="shared" ca="1" si="55"/>
        <v>Natural gas</v>
      </c>
      <c r="R74" s="1312">
        <f t="shared" ca="1" si="56"/>
        <v>20</v>
      </c>
      <c r="S74" s="1313">
        <f t="shared" ca="1" si="57"/>
        <v>8.7037661198168025E-4</v>
      </c>
      <c r="T74" s="1313">
        <f t="shared" ca="1" si="58"/>
        <v>1.5071273189790766E-2</v>
      </c>
      <c r="U74" s="1314">
        <f t="shared" ca="1" si="59"/>
        <v>7.7797788471056578E-4</v>
      </c>
      <c r="V74" s="1315">
        <f t="shared" ca="1" si="60"/>
        <v>0</v>
      </c>
      <c r="W74" s="1316">
        <f t="shared" ca="1" si="61"/>
        <v>1.7407532239633604E-2</v>
      </c>
      <c r="X74" s="1316">
        <f t="shared" ca="1" si="62"/>
        <v>0.30142546379581531</v>
      </c>
      <c r="Y74" s="1316">
        <f t="shared" ca="1" si="63"/>
        <v>1.5559557694211315E-2</v>
      </c>
      <c r="Z74" s="1316">
        <f t="shared" ca="1" si="64"/>
        <v>0</v>
      </c>
      <c r="AA74" s="1317">
        <f t="shared" ca="1" si="65"/>
        <v>1.5201705137721619</v>
      </c>
      <c r="AB74" s="1318">
        <f ca="1">VLOOKUP($B74&amp;$R74,'Value of Savings'!$B:$G,4,FALSE)*S74</f>
        <v>1.0784832972068014E-3</v>
      </c>
      <c r="AC74" s="1318">
        <f ca="1">VLOOKUP($B74&amp;$R74,'Value of Savings'!$B:$G,5,FALSE)*T74</f>
        <v>1.0562009435452342</v>
      </c>
      <c r="AD74" s="1318">
        <f ca="1">VLOOKUP($B74&amp;$R74,'Value of Savings'!$B:$G,6,FALSE)*U74</f>
        <v>0.46289108692972086</v>
      </c>
    </row>
    <row r="75" spans="1:30" ht="12" x14ac:dyDescent="0.3">
      <c r="A75" s="1303" t="s">
        <v>184</v>
      </c>
      <c r="B75" s="1303" t="str">
        <f t="shared" ca="1" si="44"/>
        <v>Residential</v>
      </c>
      <c r="C75" s="1304" t="str">
        <f t="shared" si="45"/>
        <v>Go to R-WB-007</v>
      </c>
      <c r="D75" s="1305" t="str">
        <f t="shared" ca="1" si="46"/>
        <v>ResidentialWindow shading device, Custom</v>
      </c>
      <c r="E75" s="1305" t="str">
        <f t="shared" ca="1" si="47"/>
        <v>Window shading device, Custom</v>
      </c>
      <c r="F75" s="1305" t="str">
        <f t="shared" ca="1" si="48"/>
        <v>Window shading device</v>
      </c>
      <c r="G75" s="1306" t="str">
        <f t="shared" ca="1" si="49"/>
        <v>Custom</v>
      </c>
      <c r="H75" s="1307" t="str">
        <f t="shared" ca="1" si="50"/>
        <v>Whole Building</v>
      </c>
      <c r="I75" s="1308"/>
      <c r="J75" s="1309" t="s">
        <v>69</v>
      </c>
      <c r="K75" s="1309" t="s">
        <v>163</v>
      </c>
      <c r="L75" s="1310"/>
      <c r="M75" s="1311" t="str">
        <f t="shared" ca="1" si="51"/>
        <v>Home - detached</v>
      </c>
      <c r="N75" s="1311" t="str">
        <f t="shared" ca="1" si="52"/>
        <v>Average</v>
      </c>
      <c r="O75" s="1311" t="str">
        <f t="shared" ca="1" si="53"/>
        <v>RET</v>
      </c>
      <c r="P75" s="1311" t="str">
        <f t="shared" ca="1" si="54"/>
        <v>Natural gas</v>
      </c>
      <c r="Q75" s="1311" t="str">
        <f t="shared" ca="1" si="55"/>
        <v>Natural gas</v>
      </c>
      <c r="R75" s="1312">
        <f t="shared" ca="1" si="56"/>
        <v>15</v>
      </c>
      <c r="S75" s="1313">
        <f t="shared" ca="1" si="57"/>
        <v>0</v>
      </c>
      <c r="T75" s="1313">
        <f t="shared" ca="1" si="58"/>
        <v>0</v>
      </c>
      <c r="U75" s="1314">
        <f t="shared" ca="1" si="59"/>
        <v>0</v>
      </c>
      <c r="V75" s="1315">
        <f t="shared" ca="1" si="60"/>
        <v>0</v>
      </c>
      <c r="W75" s="1316">
        <f t="shared" ca="1" si="61"/>
        <v>0</v>
      </c>
      <c r="X75" s="1316">
        <f t="shared" ca="1" si="62"/>
        <v>0</v>
      </c>
      <c r="Y75" s="1316">
        <f t="shared" ca="1" si="63"/>
        <v>0</v>
      </c>
      <c r="Z75" s="1316" t="str">
        <f t="shared" ca="1" si="64"/>
        <v/>
      </c>
      <c r="AA75" s="1317">
        <f t="shared" ca="1" si="65"/>
        <v>0</v>
      </c>
      <c r="AB75" s="1318">
        <f ca="1">VLOOKUP($B75&amp;$R75,'Value of Savings'!$B:$G,4,FALSE)*S75</f>
        <v>0</v>
      </c>
      <c r="AC75" s="1318">
        <f ca="1">VLOOKUP($B75&amp;$R75,'Value of Savings'!$B:$G,5,FALSE)*T75</f>
        <v>0</v>
      </c>
      <c r="AD75" s="1318">
        <f ca="1">VLOOKUP($B75&amp;$R75,'Value of Savings'!$B:$G,6,FALSE)*U75</f>
        <v>0</v>
      </c>
    </row>
  </sheetData>
  <sheetProtection algorithmName="SHA-512" hashValue="1JYVOAJcEHgw/V64k2+Phht6lChXh4M/r9SR9fUgO/w0hoCCJU3HCpPrM05x9SEy5FV9UHXj+vLmqJw2RkzZWg==" saltValue="Yxa9npgV8tPYWXnLWNujsQ==" spinCount="100000" sheet="1" objects="1" scenarios="1"/>
  <autoFilter ref="A2:AD75" xr:uid="{87A6F0A2-C0D2-4B5F-8851-5053322D02D9}">
    <sortState xmlns:xlrd2="http://schemas.microsoft.com/office/spreadsheetml/2017/richdata2" ref="A3:AD75">
      <sortCondition ref="F2:F75"/>
    </sortState>
  </autoFilter>
  <sortState xmlns:xlrd2="http://schemas.microsoft.com/office/spreadsheetml/2017/richdata2" ref="A5:AC42">
    <sortCondition ref="B5:B42"/>
  </sortState>
  <mergeCells count="7">
    <mergeCell ref="A1:C1"/>
    <mergeCell ref="D1:E1"/>
    <mergeCell ref="W1:AD1"/>
    <mergeCell ref="F1:H1"/>
    <mergeCell ref="R1:V1"/>
    <mergeCell ref="I1:J1"/>
    <mergeCell ref="M1:Q1"/>
  </mergeCells>
  <phoneticPr fontId="22" type="noConversion"/>
  <conditionalFormatting sqref="B27:B29 B48:B50 B18 B61 C54:C63 B54:B55 B2:E2 C3:C50">
    <cfRule type="containsText" dxfId="4404" priority="244" operator="containsText" text="new">
      <formula>NOT(ISERROR(SEARCH("new",B2)))</formula>
    </cfRule>
  </conditionalFormatting>
  <conditionalFormatting sqref="A2">
    <cfRule type="containsText" dxfId="4403" priority="120" operator="containsText" text="new">
      <formula>NOT(ISERROR(SEARCH("new",A2)))</formula>
    </cfRule>
  </conditionalFormatting>
  <conditionalFormatting sqref="B6:B9 B12:B25">
    <cfRule type="containsText" dxfId="4402" priority="119" operator="containsText" text="new">
      <formula>NOT(ISERROR(SEARCH("new",B6)))</formula>
    </cfRule>
  </conditionalFormatting>
  <conditionalFormatting sqref="B32">
    <cfRule type="containsText" dxfId="4401" priority="115" operator="containsText" text="new">
      <formula>NOT(ISERROR(SEARCH("new",B32)))</formula>
    </cfRule>
  </conditionalFormatting>
  <conditionalFormatting sqref="B33">
    <cfRule type="containsText" dxfId="4400" priority="111" operator="containsText" text="new">
      <formula>NOT(ISERROR(SEARCH("new",B33)))</formula>
    </cfRule>
  </conditionalFormatting>
  <conditionalFormatting sqref="B34">
    <cfRule type="containsText" dxfId="4399" priority="107" operator="containsText" text="new">
      <formula>NOT(ISERROR(SEARCH("new",B34)))</formula>
    </cfRule>
  </conditionalFormatting>
  <conditionalFormatting sqref="B35">
    <cfRule type="containsText" dxfId="4398" priority="103" operator="containsText" text="new">
      <formula>NOT(ISERROR(SEARCH("new",B35)))</formula>
    </cfRule>
  </conditionalFormatting>
  <conditionalFormatting sqref="B36">
    <cfRule type="containsText" dxfId="4397" priority="99" operator="containsText" text="new">
      <formula>NOT(ISERROR(SEARCH("new",B36)))</formula>
    </cfRule>
  </conditionalFormatting>
  <conditionalFormatting sqref="B40">
    <cfRule type="containsText" dxfId="4396" priority="96" operator="containsText" text="new">
      <formula>NOT(ISERROR(SEARCH("new",B40)))</formula>
    </cfRule>
  </conditionalFormatting>
  <conditionalFormatting sqref="B41">
    <cfRule type="containsText" dxfId="4395" priority="93" operator="containsText" text="new">
      <formula>NOT(ISERROR(SEARCH("new",B41)))</formula>
    </cfRule>
  </conditionalFormatting>
  <conditionalFormatting sqref="B42">
    <cfRule type="containsText" dxfId="4394" priority="88" operator="containsText" text="new">
      <formula>NOT(ISERROR(SEARCH("new",B42)))</formula>
    </cfRule>
  </conditionalFormatting>
  <conditionalFormatting sqref="B43">
    <cfRule type="containsText" dxfId="4393" priority="86" operator="containsText" text="new">
      <formula>NOT(ISERROR(SEARCH("new",B43)))</formula>
    </cfRule>
  </conditionalFormatting>
  <conditionalFormatting sqref="B58">
    <cfRule type="containsText" dxfId="4392" priority="83" operator="containsText" text="new">
      <formula>NOT(ISERROR(SEARCH("new",B58)))</formula>
    </cfRule>
  </conditionalFormatting>
  <conditionalFormatting sqref="B3:B4">
    <cfRule type="containsText" dxfId="4391" priority="79" operator="containsText" text="new">
      <formula>NOT(ISERROR(SEARCH("new",B3)))</formula>
    </cfRule>
  </conditionalFormatting>
  <conditionalFormatting sqref="B44">
    <cfRule type="containsText" dxfId="4390" priority="76" operator="containsText" text="new">
      <formula>NOT(ISERROR(SEARCH("new",B44)))</formula>
    </cfRule>
  </conditionalFormatting>
  <conditionalFormatting sqref="B5">
    <cfRule type="containsText" dxfId="4389" priority="74" operator="containsText" text="new">
      <formula>NOT(ISERROR(SEARCH("new",B5)))</formula>
    </cfRule>
  </conditionalFormatting>
  <conditionalFormatting sqref="B30:B31">
    <cfRule type="containsText" dxfId="4388" priority="68" operator="containsText" text="new">
      <formula>NOT(ISERROR(SEARCH("new",B30)))</formula>
    </cfRule>
  </conditionalFormatting>
  <conditionalFormatting sqref="B59:B60">
    <cfRule type="containsText" dxfId="4387" priority="62" operator="containsText" text="new">
      <formula>NOT(ISERROR(SEARCH("new",B59)))</formula>
    </cfRule>
  </conditionalFormatting>
  <conditionalFormatting sqref="B26">
    <cfRule type="containsText" dxfId="4386" priority="60" operator="containsText" text="new">
      <formula>NOT(ISERROR(SEARCH("new",B26)))</formula>
    </cfRule>
  </conditionalFormatting>
  <conditionalFormatting sqref="B10:B11">
    <cfRule type="containsText" dxfId="4385" priority="54" operator="containsText" text="new">
      <formula>NOT(ISERROR(SEARCH("new",B10)))</formula>
    </cfRule>
  </conditionalFormatting>
  <conditionalFormatting sqref="B37">
    <cfRule type="containsText" dxfId="4384" priority="50" operator="containsText" text="new">
      <formula>NOT(ISERROR(SEARCH("new",B37)))</formula>
    </cfRule>
  </conditionalFormatting>
  <conditionalFormatting sqref="B38">
    <cfRule type="containsText" dxfId="4383" priority="46" operator="containsText" text="new">
      <formula>NOT(ISERROR(SEARCH("new",B38)))</formula>
    </cfRule>
  </conditionalFormatting>
  <conditionalFormatting sqref="B39">
    <cfRule type="containsText" dxfId="4382" priority="42" operator="containsText" text="new">
      <formula>NOT(ISERROR(SEARCH("new",B39)))</formula>
    </cfRule>
  </conditionalFormatting>
  <conditionalFormatting sqref="B56">
    <cfRule type="containsText" dxfId="4381" priority="40" operator="containsText" text="new">
      <formula>NOT(ISERROR(SEARCH("new",B56)))</formula>
    </cfRule>
  </conditionalFormatting>
  <conditionalFormatting sqref="B45">
    <cfRule type="containsText" dxfId="4380" priority="38" operator="containsText" text="new">
      <formula>NOT(ISERROR(SEARCH("new",B45)))</formula>
    </cfRule>
  </conditionalFormatting>
  <conditionalFormatting sqref="B62">
    <cfRule type="containsText" dxfId="4379" priority="28" operator="containsText" text="new">
      <formula>NOT(ISERROR(SEARCH("new",B62)))</formula>
    </cfRule>
  </conditionalFormatting>
  <conditionalFormatting sqref="B63">
    <cfRule type="containsText" dxfId="4378" priority="25" operator="containsText" text="new">
      <formula>NOT(ISERROR(SEARCH("new",B63)))</formula>
    </cfRule>
  </conditionalFormatting>
  <conditionalFormatting sqref="B46:B47">
    <cfRule type="containsText" dxfId="4377" priority="24" operator="containsText" text="new">
      <formula>NOT(ISERROR(SEARCH("new",B46)))</formula>
    </cfRule>
  </conditionalFormatting>
  <conditionalFormatting sqref="B57">
    <cfRule type="containsText" dxfId="4376" priority="23" operator="containsText" text="new">
      <formula>NOT(ISERROR(SEARCH("new",B57)))</formula>
    </cfRule>
  </conditionalFormatting>
  <conditionalFormatting sqref="B53:C53">
    <cfRule type="containsText" dxfId="4375" priority="20" operator="containsText" text="new">
      <formula>NOT(ISERROR(SEARCH("new",B53)))</formula>
    </cfRule>
  </conditionalFormatting>
  <conditionalFormatting sqref="C64:C66">
    <cfRule type="containsText" dxfId="4374" priority="19" operator="containsText" text="new">
      <formula>NOT(ISERROR(SEARCH("new",C64)))</formula>
    </cfRule>
  </conditionalFormatting>
  <conditionalFormatting sqref="B64:B66">
    <cfRule type="containsText" dxfId="4373" priority="18" operator="containsText" text="new">
      <formula>NOT(ISERROR(SEARCH("new",B64)))</formula>
    </cfRule>
  </conditionalFormatting>
  <conditionalFormatting sqref="B67:C67">
    <cfRule type="containsText" dxfId="4372" priority="17" operator="containsText" text="new">
      <formula>NOT(ISERROR(SEARCH("new",B67)))</formula>
    </cfRule>
  </conditionalFormatting>
  <conditionalFormatting sqref="C68">
    <cfRule type="containsText" dxfId="4371" priority="16" operator="containsText" text="new">
      <formula>NOT(ISERROR(SEARCH("new",C68)))</formula>
    </cfRule>
  </conditionalFormatting>
  <conditionalFormatting sqref="B68">
    <cfRule type="containsText" dxfId="4370" priority="15" operator="containsText" text="new">
      <formula>NOT(ISERROR(SEARCH("new",B68)))</formula>
    </cfRule>
  </conditionalFormatting>
  <conditionalFormatting sqref="C69">
    <cfRule type="containsText" dxfId="4369" priority="14" operator="containsText" text="new">
      <formula>NOT(ISERROR(SEARCH("new",C69)))</formula>
    </cfRule>
  </conditionalFormatting>
  <conditionalFormatting sqref="B69">
    <cfRule type="containsText" dxfId="4368" priority="13" operator="containsText" text="new">
      <formula>NOT(ISERROR(SEARCH("new",B69)))</formula>
    </cfRule>
  </conditionalFormatting>
  <conditionalFormatting sqref="C70">
    <cfRule type="containsText" dxfId="4367" priority="12" operator="containsText" text="new">
      <formula>NOT(ISERROR(SEARCH("new",C70)))</formula>
    </cfRule>
  </conditionalFormatting>
  <conditionalFormatting sqref="B70">
    <cfRule type="containsText" dxfId="4366" priority="11" operator="containsText" text="new">
      <formula>NOT(ISERROR(SEARCH("new",B70)))</formula>
    </cfRule>
  </conditionalFormatting>
  <conditionalFormatting sqref="C71">
    <cfRule type="containsText" dxfId="4365" priority="10" operator="containsText" text="new">
      <formula>NOT(ISERROR(SEARCH("new",C71)))</formula>
    </cfRule>
  </conditionalFormatting>
  <conditionalFormatting sqref="B71">
    <cfRule type="containsText" dxfId="4364" priority="9" operator="containsText" text="new">
      <formula>NOT(ISERROR(SEARCH("new",B71)))</formula>
    </cfRule>
  </conditionalFormatting>
  <conditionalFormatting sqref="B51:C52">
    <cfRule type="containsText" dxfId="4363" priority="6" operator="containsText" text="new">
      <formula>NOT(ISERROR(SEARCH("new",B51)))</formula>
    </cfRule>
  </conditionalFormatting>
  <conditionalFormatting sqref="C72:C73">
    <cfRule type="containsText" dxfId="4362" priority="5" operator="containsText" text="new">
      <formula>NOT(ISERROR(SEARCH("new",C72)))</formula>
    </cfRule>
  </conditionalFormatting>
  <conditionalFormatting sqref="B72:B73">
    <cfRule type="containsText" dxfId="4361" priority="4" operator="containsText" text="new">
      <formula>NOT(ISERROR(SEARCH("new",B72)))</formula>
    </cfRule>
  </conditionalFormatting>
  <conditionalFormatting sqref="B74:C74">
    <cfRule type="containsText" dxfId="4360" priority="3" operator="containsText" text="new">
      <formula>NOT(ISERROR(SEARCH("new",B74)))</formula>
    </cfRule>
  </conditionalFormatting>
  <conditionalFormatting sqref="C75">
    <cfRule type="containsText" dxfId="4359" priority="2" operator="containsText" text="new">
      <formula>NOT(ISERROR(SEARCH("new",C75)))</formula>
    </cfRule>
  </conditionalFormatting>
  <conditionalFormatting sqref="B75">
    <cfRule type="containsText" dxfId="4358" priority="1" operator="containsText" text="new">
      <formula>NOT(ISERROR(SEARCH("new",B75)))</formula>
    </cfRule>
  </conditionalFormatting>
  <pageMargins left="0.7" right="0.7" top="0.75" bottom="0.75" header="0.3" footer="0.3"/>
  <pageSetup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F7088-0157-41B1-A9F9-112C424CD795}">
  <sheetPr codeName="Sheet41"/>
  <dimension ref="A2:R116"/>
  <sheetViews>
    <sheetView workbookViewId="0"/>
  </sheetViews>
  <sheetFormatPr defaultColWidth="9.08984375" defaultRowHeight="18.75" customHeight="1" x14ac:dyDescent="0.3"/>
  <cols>
    <col min="1" max="1" width="2.36328125" style="488" customWidth="1"/>
    <col min="2" max="2" width="44.36328125" style="488" bestFit="1" customWidth="1"/>
    <col min="3" max="3" width="21.08984375" style="488" customWidth="1"/>
    <col min="4" max="4" width="21.6328125" style="488" customWidth="1"/>
    <col min="5" max="5" width="17.7265625" style="488" customWidth="1"/>
    <col min="6" max="6" width="23.81640625" style="488" customWidth="1"/>
    <col min="7" max="7" width="19.6328125" style="488" customWidth="1"/>
    <col min="8" max="8" width="18.6328125" style="488" customWidth="1"/>
    <col min="9" max="9" width="10.36328125" style="488" customWidth="1"/>
    <col min="10" max="10" width="14.6328125" style="488" customWidth="1"/>
    <col min="11" max="12" width="9.08984375" style="488" bestFit="1"/>
    <col min="13" max="13" width="11" style="488" customWidth="1"/>
    <col min="14" max="14" width="12.36328125" style="488" customWidth="1"/>
    <col min="15" max="15" width="10.6328125" style="488" customWidth="1"/>
    <col min="16" max="17" width="9.08984375" style="488" bestFit="1"/>
    <col min="18" max="18" width="9.81640625" style="623" customWidth="1"/>
    <col min="19" max="19" width="9.08984375" style="488" bestFit="1"/>
    <col min="20" max="20" width="8.6328125" style="488" customWidth="1"/>
    <col min="21" max="16384" width="9.08984375" style="488"/>
  </cols>
  <sheetData>
    <row r="2" spans="1:18" ht="18.75" customHeight="1" x14ac:dyDescent="0.3">
      <c r="B2" s="1203" t="s">
        <v>506</v>
      </c>
      <c r="C2" s="1608" t="s">
        <v>406</v>
      </c>
      <c r="D2" s="1608"/>
      <c r="E2" s="1608"/>
      <c r="F2" s="1608"/>
    </row>
    <row r="3" spans="1:18" ht="18.75" customHeight="1" x14ac:dyDescent="0.3">
      <c r="B3" s="624" t="s">
        <v>407</v>
      </c>
      <c r="C3" s="1876" t="str">
        <f>IF(ISBLANK(C8)+ISBLANK(C10),C8,C8&amp;"_"&amp;C10)</f>
        <v>C-HC-008</v>
      </c>
      <c r="D3" s="1876"/>
      <c r="E3" s="1876"/>
      <c r="F3" s="1876"/>
    </row>
    <row r="4" spans="1:18" ht="18.75" customHeight="1" x14ac:dyDescent="0.3">
      <c r="B4" s="624" t="s">
        <v>11</v>
      </c>
      <c r="C4" s="1367" t="str" cm="1">
        <f t="array" ref="C4">_xlfn.SWITCH(LEFT(C8,1),"R","Residential","C","Commercial","ERROR")</f>
        <v>Commercial</v>
      </c>
      <c r="D4" s="1367"/>
      <c r="E4" s="1367"/>
      <c r="F4" s="1367"/>
    </row>
    <row r="5" spans="1:18" ht="23.5" customHeight="1" x14ac:dyDescent="0.3">
      <c r="B5" s="624" t="s">
        <v>408</v>
      </c>
      <c r="C5" s="1530" t="s">
        <v>217</v>
      </c>
      <c r="D5" s="1531"/>
      <c r="E5" s="1531"/>
      <c r="F5" s="1532"/>
      <c r="R5" s="488"/>
    </row>
    <row r="6" spans="1:18" ht="18.75" customHeight="1" x14ac:dyDescent="0.3">
      <c r="A6" s="573"/>
    </row>
    <row r="7" spans="1:18" ht="18.75" customHeight="1" x14ac:dyDescent="0.3">
      <c r="B7" s="1203" t="s">
        <v>507</v>
      </c>
      <c r="C7" s="625" t="s">
        <v>406</v>
      </c>
      <c r="D7" s="1608" t="s">
        <v>410</v>
      </c>
      <c r="E7" s="1608"/>
      <c r="F7" s="1608"/>
      <c r="R7" s="488"/>
    </row>
    <row r="8" spans="1:18" ht="18.75" customHeight="1" x14ac:dyDescent="0.3">
      <c r="B8" s="624" t="s">
        <v>411</v>
      </c>
      <c r="C8" s="1194" t="s">
        <v>83</v>
      </c>
      <c r="D8" s="1681"/>
      <c r="E8" s="1682"/>
      <c r="F8" s="1683"/>
      <c r="R8" s="488"/>
    </row>
    <row r="9" spans="1:18" ht="18.75" customHeight="1" x14ac:dyDescent="0.3">
      <c r="B9" s="624" t="s">
        <v>49</v>
      </c>
      <c r="C9" s="1194" t="s">
        <v>579</v>
      </c>
      <c r="D9" s="1684"/>
      <c r="E9" s="1908"/>
      <c r="F9" s="1686"/>
      <c r="R9" s="488"/>
    </row>
    <row r="10" spans="1:18" ht="18.75" customHeight="1" x14ac:dyDescent="0.3">
      <c r="B10" s="624" t="s">
        <v>412</v>
      </c>
      <c r="C10" s="1194"/>
      <c r="D10" s="1684"/>
      <c r="E10" s="1908"/>
      <c r="F10" s="1686"/>
      <c r="R10" s="488"/>
    </row>
    <row r="11" spans="1:18" ht="18.75" customHeight="1" x14ac:dyDescent="0.3">
      <c r="B11" s="624" t="s">
        <v>413</v>
      </c>
      <c r="C11" s="1194"/>
      <c r="D11" s="1684"/>
      <c r="E11" s="1908"/>
      <c r="F11" s="1686"/>
      <c r="R11" s="488"/>
    </row>
    <row r="12" spans="1:18" ht="18.75" customHeight="1" x14ac:dyDescent="0.3">
      <c r="B12" s="624" t="s">
        <v>414</v>
      </c>
      <c r="C12" s="602"/>
      <c r="D12" s="1684"/>
      <c r="E12" s="1908"/>
      <c r="F12" s="1686"/>
      <c r="R12" s="488"/>
    </row>
    <row r="13" spans="1:18" ht="18.75" customHeight="1" x14ac:dyDescent="0.3">
      <c r="B13" s="626" t="s">
        <v>415</v>
      </c>
      <c r="C13" s="495">
        <f>N43</f>
        <v>2160.8821000677308</v>
      </c>
      <c r="D13" s="1684"/>
      <c r="E13" s="1908"/>
      <c r="F13" s="1686"/>
      <c r="R13" s="488"/>
    </row>
    <row r="14" spans="1:18" ht="18.75" customHeight="1" x14ac:dyDescent="0.3">
      <c r="B14" s="626" t="s">
        <v>416</v>
      </c>
      <c r="C14" s="495">
        <f>N42</f>
        <v>0</v>
      </c>
      <c r="D14" s="1684"/>
      <c r="E14" s="1908"/>
      <c r="F14" s="1686"/>
      <c r="R14" s="488"/>
    </row>
    <row r="15" spans="1:18" ht="18.75" customHeight="1" x14ac:dyDescent="0.3">
      <c r="B15" s="626" t="s">
        <v>417</v>
      </c>
      <c r="C15" s="495">
        <f>N44</f>
        <v>0</v>
      </c>
      <c r="D15" s="1684"/>
      <c r="E15" s="1908"/>
      <c r="F15" s="1686"/>
      <c r="R15" s="488"/>
    </row>
    <row r="16" spans="1:18" ht="18.75" customHeight="1" x14ac:dyDescent="0.3">
      <c r="B16" s="626" t="s">
        <v>418</v>
      </c>
      <c r="C16" s="496">
        <f>C37</f>
        <v>0</v>
      </c>
      <c r="D16" s="1687"/>
      <c r="E16" s="1688"/>
      <c r="F16" s="1689"/>
      <c r="R16" s="488"/>
    </row>
    <row r="17" spans="2:18" ht="45.75" customHeight="1" x14ac:dyDescent="0.3">
      <c r="B17" s="624" t="s">
        <v>48</v>
      </c>
      <c r="C17" s="1194" t="s">
        <v>1267</v>
      </c>
      <c r="D17" s="1608" t="s">
        <v>419</v>
      </c>
      <c r="E17" s="1608"/>
      <c r="F17" s="1608"/>
      <c r="R17" s="488"/>
    </row>
    <row r="18" spans="2:18" ht="48" customHeight="1" x14ac:dyDescent="0.3">
      <c r="B18" s="624" t="s">
        <v>420</v>
      </c>
      <c r="C18" s="541">
        <v>15</v>
      </c>
      <c r="D18" s="1588" t="s">
        <v>1268</v>
      </c>
      <c r="E18" s="1588"/>
      <c r="F18" s="1588"/>
      <c r="R18" s="488"/>
    </row>
    <row r="19" spans="2:18" ht="18.75" customHeight="1" x14ac:dyDescent="0.3">
      <c r="B19" s="627"/>
      <c r="C19" s="576"/>
      <c r="F19" s="623"/>
      <c r="R19" s="488"/>
    </row>
    <row r="20" spans="2:18" ht="18.75" customHeight="1" x14ac:dyDescent="0.3">
      <c r="B20" s="1609" t="s">
        <v>421</v>
      </c>
      <c r="C20" s="1609"/>
      <c r="D20" s="1609"/>
      <c r="E20" s="1609"/>
      <c r="F20" s="1609"/>
      <c r="G20" s="1609"/>
      <c r="H20" s="1609"/>
      <c r="I20" s="1609"/>
      <c r="J20" s="1609"/>
      <c r="K20" s="1609"/>
      <c r="L20" s="1609"/>
      <c r="M20" s="1609"/>
      <c r="N20" s="1609"/>
      <c r="O20" s="1609"/>
      <c r="P20" s="1609"/>
      <c r="Q20" s="1609"/>
      <c r="R20" s="488"/>
    </row>
    <row r="21" spans="2:18" ht="59.25" customHeight="1" x14ac:dyDescent="0.3">
      <c r="B21" s="656" t="s">
        <v>422</v>
      </c>
      <c r="C21" s="1879" t="s">
        <v>218</v>
      </c>
      <c r="D21" s="1879"/>
      <c r="E21" s="1879"/>
      <c r="F21" s="1879"/>
      <c r="G21" s="1879"/>
      <c r="H21" s="1879"/>
      <c r="I21" s="1879"/>
      <c r="J21" s="1879"/>
      <c r="K21" s="1879"/>
      <c r="L21" s="1879"/>
      <c r="M21" s="1879"/>
      <c r="N21" s="1879"/>
      <c r="O21" s="1879"/>
      <c r="P21" s="1879"/>
      <c r="Q21" s="1879"/>
      <c r="R21" s="488"/>
    </row>
    <row r="22" spans="2:18" ht="52.9" customHeight="1" x14ac:dyDescent="0.3">
      <c r="B22" s="628" t="s">
        <v>423</v>
      </c>
      <c r="C22" s="1536" t="s">
        <v>219</v>
      </c>
      <c r="D22" s="1536"/>
      <c r="E22" s="1536"/>
      <c r="F22" s="1536"/>
      <c r="G22" s="1536"/>
      <c r="H22" s="1536"/>
      <c r="I22" s="1536"/>
      <c r="J22" s="1536"/>
      <c r="K22" s="1536"/>
      <c r="L22" s="1536"/>
      <c r="M22" s="1536"/>
      <c r="N22" s="1536"/>
      <c r="O22" s="1536"/>
      <c r="P22" s="1536"/>
      <c r="Q22" s="1536"/>
      <c r="R22" s="488"/>
    </row>
    <row r="23" spans="2:18" ht="18.75" customHeight="1" x14ac:dyDescent="0.3">
      <c r="B23" s="628" t="s">
        <v>424</v>
      </c>
      <c r="C23" s="1880"/>
      <c r="D23" s="1880"/>
      <c r="E23" s="1880"/>
      <c r="F23" s="1880"/>
      <c r="G23" s="1880"/>
      <c r="H23" s="1880"/>
      <c r="I23" s="1880"/>
      <c r="J23" s="1880"/>
      <c r="K23" s="1880"/>
      <c r="L23" s="1880"/>
      <c r="M23" s="1880"/>
      <c r="N23" s="1880"/>
      <c r="O23" s="1880"/>
      <c r="P23" s="1880"/>
      <c r="Q23" s="1880"/>
      <c r="R23" s="488"/>
    </row>
    <row r="25" spans="2:18" ht="18.75" customHeight="1" x14ac:dyDescent="0.3">
      <c r="B25" s="1203" t="s">
        <v>425</v>
      </c>
      <c r="C25" s="625" t="s">
        <v>406</v>
      </c>
      <c r="D25" s="1607" t="s">
        <v>421</v>
      </c>
      <c r="E25" s="1607"/>
      <c r="F25" s="1607"/>
      <c r="G25" s="1607"/>
      <c r="H25" s="1607"/>
      <c r="I25" s="1607"/>
      <c r="J25" s="1607"/>
      <c r="K25" s="1607"/>
      <c r="L25" s="1607"/>
      <c r="M25" s="1607"/>
      <c r="N25" s="1607"/>
      <c r="O25" s="1607"/>
      <c r="P25" s="1607"/>
      <c r="Q25" s="1607"/>
      <c r="R25" s="488"/>
    </row>
    <row r="26" spans="2:18" ht="18.75" customHeight="1" x14ac:dyDescent="0.3">
      <c r="B26" s="624"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624"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624"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624"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624"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203" t="s">
        <v>427</v>
      </c>
      <c r="C32" s="1202" t="s">
        <v>406</v>
      </c>
      <c r="D32" s="625" t="s">
        <v>428</v>
      </c>
      <c r="E32" s="1607" t="s">
        <v>419</v>
      </c>
      <c r="F32" s="1607"/>
      <c r="G32" s="1607"/>
      <c r="H32" s="1607"/>
      <c r="I32" s="1607"/>
      <c r="J32" s="1607"/>
      <c r="K32" s="1607"/>
      <c r="L32" s="1607"/>
      <c r="M32" s="1607"/>
      <c r="N32" s="1607"/>
      <c r="O32" s="1607"/>
      <c r="P32" s="1607"/>
      <c r="Q32" s="1607"/>
    </row>
    <row r="33" spans="2:18" ht="18.75" customHeight="1" x14ac:dyDescent="0.3">
      <c r="B33" s="624" t="s">
        <v>429</v>
      </c>
      <c r="C33" s="640"/>
      <c r="D33" s="586" t="s">
        <v>430</v>
      </c>
      <c r="E33" s="1604"/>
      <c r="F33" s="1605"/>
      <c r="G33" s="1605"/>
      <c r="H33" s="1605"/>
      <c r="I33" s="1605"/>
      <c r="J33" s="1605"/>
      <c r="K33" s="1605"/>
      <c r="L33" s="1605"/>
      <c r="M33" s="1605"/>
      <c r="N33" s="1605"/>
      <c r="O33" s="1605"/>
      <c r="P33" s="1605"/>
      <c r="Q33" s="1606"/>
      <c r="R33" s="488"/>
    </row>
    <row r="34" spans="2:18" ht="13" x14ac:dyDescent="0.3">
      <c r="B34" s="626" t="s">
        <v>431</v>
      </c>
      <c r="C34" s="640"/>
      <c r="D34" s="586" t="s">
        <v>430</v>
      </c>
      <c r="E34" s="1512"/>
      <c r="F34" s="1442"/>
      <c r="G34" s="1442"/>
      <c r="H34" s="1442"/>
      <c r="I34" s="1442"/>
      <c r="J34" s="1442"/>
      <c r="K34" s="1442"/>
      <c r="L34" s="1442"/>
      <c r="M34" s="1442"/>
      <c r="N34" s="1442"/>
      <c r="O34" s="1442"/>
      <c r="P34" s="1442"/>
      <c r="Q34" s="1442"/>
    </row>
    <row r="35" spans="2:18" ht="13" x14ac:dyDescent="0.3">
      <c r="B35" s="624" t="s">
        <v>432</v>
      </c>
      <c r="C35" s="640"/>
      <c r="D35" s="586" t="s">
        <v>430</v>
      </c>
      <c r="E35" s="1442"/>
      <c r="F35" s="1442"/>
      <c r="G35" s="1442"/>
      <c r="H35" s="1442"/>
      <c r="I35" s="1442"/>
      <c r="J35" s="1442"/>
      <c r="K35" s="1442"/>
      <c r="L35" s="1442"/>
      <c r="M35" s="1442"/>
      <c r="N35" s="1442"/>
      <c r="O35" s="1442"/>
      <c r="P35" s="1442"/>
      <c r="Q35" s="1442"/>
    </row>
    <row r="36" spans="2:18" ht="13" x14ac:dyDescent="0.3">
      <c r="B36" s="626" t="s">
        <v>433</v>
      </c>
      <c r="C36" s="629">
        <f>SUM(C33:C34)</f>
        <v>0</v>
      </c>
      <c r="D36" s="586" t="s">
        <v>430</v>
      </c>
      <c r="E36" s="1442"/>
      <c r="F36" s="1442"/>
      <c r="G36" s="1442"/>
      <c r="H36" s="1442"/>
      <c r="I36" s="1442"/>
      <c r="J36" s="1442"/>
      <c r="K36" s="1442"/>
      <c r="L36" s="1442"/>
      <c r="M36" s="1442"/>
      <c r="N36" s="1442"/>
      <c r="O36" s="1442"/>
      <c r="P36" s="1442"/>
      <c r="Q36" s="1442"/>
    </row>
    <row r="37" spans="2:18" ht="13" x14ac:dyDescent="0.3">
      <c r="B37" s="626" t="s">
        <v>434</v>
      </c>
      <c r="C37" s="629">
        <f>IF(C27="RET",C33+(C34-C35),C34-C35)</f>
        <v>0</v>
      </c>
      <c r="D37" s="537" t="s">
        <v>430</v>
      </c>
      <c r="E37" s="151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630" t="s">
        <v>435</v>
      </c>
      <c r="C39" s="631"/>
      <c r="D39" s="631"/>
      <c r="E39" s="631"/>
      <c r="F39" s="631"/>
      <c r="G39" s="631"/>
      <c r="H39" s="513"/>
      <c r="I39" s="513"/>
      <c r="J39" s="513"/>
      <c r="K39" s="513"/>
      <c r="L39" s="513"/>
      <c r="M39" s="513"/>
      <c r="N39" s="513"/>
      <c r="O39" s="513"/>
      <c r="P39" s="513"/>
      <c r="Q39" s="514"/>
    </row>
    <row r="41" spans="2:18" ht="18.75" customHeight="1" x14ac:dyDescent="0.3">
      <c r="B41" s="632" t="s">
        <v>436</v>
      </c>
      <c r="C41" s="1596" t="s">
        <v>437</v>
      </c>
      <c r="D41" s="1597"/>
      <c r="E41" s="1597"/>
      <c r="F41" s="1597"/>
      <c r="G41" s="1597"/>
      <c r="H41" s="1597"/>
      <c r="I41" s="1597"/>
      <c r="J41" s="1597"/>
      <c r="K41" s="1597"/>
      <c r="L41" s="1597"/>
      <c r="M41" s="1598"/>
      <c r="N41" s="1205" t="s">
        <v>406</v>
      </c>
      <c r="O41" s="1205" t="s">
        <v>428</v>
      </c>
      <c r="P41" s="1599" t="s">
        <v>419</v>
      </c>
      <c r="Q41" s="1599"/>
    </row>
    <row r="42" spans="2:18" ht="18.75" customHeight="1" x14ac:dyDescent="0.3">
      <c r="B42" s="582" t="s">
        <v>438</v>
      </c>
      <c r="C42" s="1380" t="s">
        <v>439</v>
      </c>
      <c r="D42" s="1381"/>
      <c r="E42" s="1381"/>
      <c r="F42" s="1381"/>
      <c r="G42" s="1381"/>
      <c r="H42" s="1381"/>
      <c r="I42" s="1381"/>
      <c r="J42" s="1381"/>
      <c r="K42" s="1381"/>
      <c r="L42" s="1381"/>
      <c r="M42" s="1382"/>
      <c r="N42" s="585">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2160.8821000677308</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5">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5">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623"/>
      <c r="R46" s="488"/>
    </row>
    <row r="47" spans="2:18" ht="18.75" customHeight="1" x14ac:dyDescent="0.3">
      <c r="B47" s="632" t="s">
        <v>450</v>
      </c>
      <c r="C47" s="1596" t="s">
        <v>451</v>
      </c>
      <c r="D47" s="1597"/>
      <c r="E47" s="1597"/>
      <c r="F47" s="1597"/>
      <c r="G47" s="1597"/>
      <c r="H47" s="1597"/>
      <c r="I47" s="1597"/>
      <c r="J47" s="1597"/>
      <c r="K47" s="1597"/>
      <c r="L47" s="1597"/>
      <c r="M47" s="1598"/>
      <c r="N47" s="1205" t="s">
        <v>406</v>
      </c>
      <c r="O47" s="1205" t="s">
        <v>428</v>
      </c>
      <c r="P47" s="1599" t="s">
        <v>419</v>
      </c>
      <c r="Q47" s="159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24.75" customHeight="1" x14ac:dyDescent="0.3">
      <c r="B49" s="582" t="s">
        <v>454</v>
      </c>
      <c r="C49" s="1507" t="s">
        <v>1269</v>
      </c>
      <c r="D49" s="1514"/>
      <c r="E49" s="1514"/>
      <c r="F49" s="1514"/>
      <c r="G49" s="1514"/>
      <c r="H49" s="1514"/>
      <c r="I49" s="1514"/>
      <c r="J49" s="1514"/>
      <c r="K49" s="1514"/>
      <c r="L49" s="1514"/>
      <c r="M49" s="1515"/>
      <c r="N49" s="946">
        <f>(H70*(1/H62-1/H63)*H64)+(H68/BTU_per_kWh*(1/H65-1/H66)*H67)</f>
        <v>2160.8821000677308</v>
      </c>
      <c r="O49" s="736" t="s">
        <v>443</v>
      </c>
      <c r="P49" s="1697"/>
      <c r="Q49" s="1700"/>
      <c r="R49" s="488"/>
    </row>
    <row r="50" spans="2:18" ht="24.75" customHeight="1" x14ac:dyDescent="0.3">
      <c r="B50" s="582" t="s">
        <v>456</v>
      </c>
      <c r="C50" s="1699" t="s">
        <v>636</v>
      </c>
      <c r="D50" s="1508"/>
      <c r="E50" s="1508"/>
      <c r="F50" s="1508"/>
      <c r="G50" s="1508"/>
      <c r="H50" s="1508"/>
      <c r="I50" s="1508"/>
      <c r="J50" s="1508"/>
      <c r="K50" s="1508"/>
      <c r="L50" s="1508"/>
      <c r="M50" s="1509"/>
      <c r="N50" s="620"/>
      <c r="O50" s="1243" t="s">
        <v>446</v>
      </c>
      <c r="P50" s="1603"/>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623"/>
      <c r="R52" s="488"/>
    </row>
    <row r="53" spans="2:18" ht="18.75" customHeight="1" x14ac:dyDescent="0.3">
      <c r="B53" s="632" t="s">
        <v>460</v>
      </c>
      <c r="C53" s="1596" t="s">
        <v>461</v>
      </c>
      <c r="D53" s="1597"/>
      <c r="E53" s="1597"/>
      <c r="F53" s="1597"/>
      <c r="G53" s="1597"/>
      <c r="H53" s="1597"/>
      <c r="I53" s="1597"/>
      <c r="J53" s="1597"/>
      <c r="K53" s="1597"/>
      <c r="L53" s="1597"/>
      <c r="M53" s="1598"/>
      <c r="N53" s="1205" t="s">
        <v>406</v>
      </c>
      <c r="O53" s="1205" t="s">
        <v>428</v>
      </c>
      <c r="P53" s="1599" t="s">
        <v>419</v>
      </c>
      <c r="Q53" s="1599"/>
      <c r="R53" s="488"/>
    </row>
    <row r="54" spans="2:18" ht="18.75" customHeight="1" x14ac:dyDescent="0.3">
      <c r="B54" s="582" t="s">
        <v>462</v>
      </c>
      <c r="C54" s="1504" t="s">
        <v>463</v>
      </c>
      <c r="D54" s="1505"/>
      <c r="E54" s="1505"/>
      <c r="F54" s="1505"/>
      <c r="G54" s="1505"/>
      <c r="H54" s="1505"/>
      <c r="I54" s="1505"/>
      <c r="J54" s="1505"/>
      <c r="K54" s="1505"/>
      <c r="L54" s="1505"/>
      <c r="M54" s="1506"/>
      <c r="N54" s="592"/>
      <c r="O54" s="1243" t="s">
        <v>440</v>
      </c>
      <c r="P54" s="1511"/>
      <c r="Q54" s="1511"/>
      <c r="R54" s="488"/>
    </row>
    <row r="55" spans="2:18" ht="18.75" customHeight="1" x14ac:dyDescent="0.3">
      <c r="B55" s="582" t="s">
        <v>464</v>
      </c>
      <c r="C55" s="1504" t="s">
        <v>465</v>
      </c>
      <c r="D55" s="1505"/>
      <c r="E55" s="1505"/>
      <c r="F55" s="1505"/>
      <c r="G55" s="1505"/>
      <c r="H55" s="1505"/>
      <c r="I55" s="1505"/>
      <c r="J55" s="1505"/>
      <c r="K55" s="1505"/>
      <c r="L55" s="1505"/>
      <c r="M55" s="1506"/>
      <c r="N55" s="592"/>
      <c r="O55" s="1243" t="s">
        <v>443</v>
      </c>
      <c r="P55" s="1537"/>
      <c r="Q55" s="1538"/>
      <c r="R55" s="488"/>
    </row>
    <row r="56" spans="2:18" ht="18.75" customHeight="1" x14ac:dyDescent="0.3">
      <c r="B56" s="582" t="s">
        <v>466</v>
      </c>
      <c r="C56" s="1504" t="s">
        <v>516</v>
      </c>
      <c r="D56" s="1505"/>
      <c r="E56" s="1505"/>
      <c r="F56" s="1505"/>
      <c r="G56" s="1505"/>
      <c r="H56" s="1505"/>
      <c r="I56" s="1505"/>
      <c r="J56" s="1505"/>
      <c r="K56" s="1505"/>
      <c r="L56" s="1505"/>
      <c r="M56" s="1506"/>
      <c r="N56" s="592"/>
      <c r="O56" s="1243" t="s">
        <v>446</v>
      </c>
      <c r="P56" s="1537"/>
      <c r="Q56" s="1538"/>
      <c r="R56" s="488"/>
    </row>
    <row r="57" spans="2:18" ht="18.75" customHeight="1" x14ac:dyDescent="0.3">
      <c r="B57" s="582" t="s">
        <v>468</v>
      </c>
      <c r="C57" s="1504" t="s">
        <v>469</v>
      </c>
      <c r="D57" s="1505"/>
      <c r="E57" s="1505"/>
      <c r="F57" s="1505"/>
      <c r="G57" s="1505"/>
      <c r="H57" s="1505"/>
      <c r="I57" s="1505"/>
      <c r="J57" s="1505"/>
      <c r="K57" s="1505"/>
      <c r="L57" s="1505"/>
      <c r="M57" s="1506"/>
      <c r="N57" s="592"/>
      <c r="O57" s="1243" t="s">
        <v>449</v>
      </c>
      <c r="P57" s="1511"/>
      <c r="Q57" s="1511"/>
      <c r="R57" s="488"/>
    </row>
    <row r="58" spans="2:18" ht="18.75" customHeight="1" x14ac:dyDescent="0.3">
      <c r="B58" s="599"/>
      <c r="C58" s="577"/>
      <c r="D58" s="578"/>
      <c r="E58" s="578"/>
      <c r="F58" s="578"/>
      <c r="G58" s="578"/>
      <c r="H58" s="578"/>
      <c r="I58" s="578"/>
      <c r="J58" s="578"/>
      <c r="K58" s="578"/>
      <c r="L58" s="578"/>
      <c r="M58" s="578"/>
      <c r="N58" s="578"/>
      <c r="O58" s="578"/>
    </row>
    <row r="59" spans="2:18" ht="18.75" customHeight="1" x14ac:dyDescent="0.3">
      <c r="B59" s="630" t="s">
        <v>470</v>
      </c>
      <c r="C59" s="631"/>
      <c r="D59" s="631"/>
      <c r="E59" s="631"/>
      <c r="F59" s="631"/>
      <c r="G59" s="631"/>
      <c r="H59" s="513"/>
      <c r="I59" s="513"/>
      <c r="J59" s="513"/>
      <c r="K59" s="513"/>
      <c r="L59" s="513"/>
      <c r="M59" s="513"/>
      <c r="N59" s="513"/>
      <c r="O59" s="513"/>
      <c r="P59" s="513"/>
      <c r="Q59" s="514"/>
    </row>
    <row r="61" spans="2:18" ht="18.75" customHeight="1" x14ac:dyDescent="0.3">
      <c r="B61" s="632" t="s">
        <v>471</v>
      </c>
      <c r="C61" s="632" t="s">
        <v>472</v>
      </c>
      <c r="D61" s="1592" t="s">
        <v>473</v>
      </c>
      <c r="E61" s="1592"/>
      <c r="F61" s="632" t="s">
        <v>474</v>
      </c>
      <c r="G61" s="632" t="s">
        <v>475</v>
      </c>
      <c r="H61" s="632" t="s">
        <v>406</v>
      </c>
      <c r="I61" s="632" t="s">
        <v>428</v>
      </c>
      <c r="J61" s="1593" t="s">
        <v>476</v>
      </c>
      <c r="K61" s="1594"/>
      <c r="L61" s="1594"/>
      <c r="M61" s="1594"/>
      <c r="N61" s="1594"/>
      <c r="O61" s="1594"/>
      <c r="P61" s="1594"/>
      <c r="Q61" s="1595"/>
    </row>
    <row r="62" spans="2:18" ht="42.75" customHeight="1" x14ac:dyDescent="0.3">
      <c r="B62" s="533">
        <v>1</v>
      </c>
      <c r="C62" s="546" t="s">
        <v>1270</v>
      </c>
      <c r="D62" s="1539" t="s">
        <v>1271</v>
      </c>
      <c r="E62" s="1539"/>
      <c r="F62" s="546"/>
      <c r="G62" s="1217"/>
      <c r="H62" s="690">
        <f>SpaceCoolingEfficiency.CI.SEER</f>
        <v>12</v>
      </c>
      <c r="I62" s="1217" t="s">
        <v>1272</v>
      </c>
      <c r="J62" s="1468" t="s">
        <v>1273</v>
      </c>
      <c r="K62" s="1478"/>
      <c r="L62" s="1478"/>
      <c r="M62" s="1478"/>
      <c r="N62" s="1478"/>
      <c r="O62" s="1478"/>
      <c r="P62" s="1478"/>
      <c r="Q62" s="1469"/>
      <c r="R62" s="488"/>
    </row>
    <row r="63" spans="2:18" ht="73.5" customHeight="1" x14ac:dyDescent="0.3">
      <c r="B63" s="533">
        <v>2</v>
      </c>
      <c r="C63" s="546" t="s">
        <v>1274</v>
      </c>
      <c r="D63" s="1539" t="s">
        <v>1275</v>
      </c>
      <c r="E63" s="1539"/>
      <c r="F63" s="546" t="str">
        <f>H69</f>
        <v>Water source, packaged (≥65,000 BTU/h and
&lt;135,000BTU/h)</v>
      </c>
      <c r="G63" s="1217" t="str">
        <f>C63</f>
        <v>CE_EE</v>
      </c>
      <c r="H63" s="690">
        <v>16</v>
      </c>
      <c r="I63" s="1217" t="s">
        <v>1272</v>
      </c>
      <c r="J63" s="1437" t="s">
        <v>1276</v>
      </c>
      <c r="K63" s="1448"/>
      <c r="L63" s="1448"/>
      <c r="M63" s="1448"/>
      <c r="N63" s="1448"/>
      <c r="O63" s="1448"/>
      <c r="P63" s="1448"/>
      <c r="Q63" s="1438"/>
      <c r="R63" s="488"/>
    </row>
    <row r="64" spans="2:18" ht="28.5" customHeight="1" x14ac:dyDescent="0.3">
      <c r="B64" s="533">
        <v>3</v>
      </c>
      <c r="C64" s="546" t="s">
        <v>545</v>
      </c>
      <c r="D64" s="1539" t="s">
        <v>1178</v>
      </c>
      <c r="E64" s="1539"/>
      <c r="F64" s="887" t="str">
        <f>C28</f>
        <v>Other</v>
      </c>
      <c r="G64" s="947" t="str">
        <f>$C$26</f>
        <v>Average</v>
      </c>
      <c r="H64" s="948">
        <f>INDEX(EFLC[#All],MATCH(F64,EFLC[[#All],[EFLC]],0),MATCH(G64,EFLC[#Headers],0))</f>
        <v>102.21882660823093</v>
      </c>
      <c r="I64" s="1217" t="s">
        <v>532</v>
      </c>
      <c r="J64" s="1462" t="s">
        <v>638</v>
      </c>
      <c r="K64" s="1470"/>
      <c r="L64" s="1470"/>
      <c r="M64" s="1470"/>
      <c r="N64" s="1470"/>
      <c r="O64" s="1470"/>
      <c r="P64" s="1470"/>
      <c r="Q64" s="1471"/>
      <c r="R64" s="488"/>
    </row>
    <row r="65" spans="2:18" ht="42.75" customHeight="1" x14ac:dyDescent="0.3">
      <c r="B65" s="533">
        <v>4</v>
      </c>
      <c r="C65" s="546" t="s">
        <v>1277</v>
      </c>
      <c r="D65" s="1539" t="s">
        <v>1278</v>
      </c>
      <c r="E65" s="1539"/>
      <c r="F65" s="546"/>
      <c r="G65" s="1217"/>
      <c r="H65" s="690">
        <f>SpaceHeatingEfficiency.CI.COP</f>
        <v>2.5</v>
      </c>
      <c r="I65" s="1217" t="s">
        <v>519</v>
      </c>
      <c r="J65" s="1437" t="s">
        <v>1279</v>
      </c>
      <c r="K65" s="1448"/>
      <c r="L65" s="1448"/>
      <c r="M65" s="1448"/>
      <c r="N65" s="1448"/>
      <c r="O65" s="1448"/>
      <c r="P65" s="1448"/>
      <c r="Q65" s="1438"/>
      <c r="R65" s="488"/>
    </row>
    <row r="66" spans="2:18" ht="111.75" customHeight="1" x14ac:dyDescent="0.3">
      <c r="B66" s="533">
        <v>5</v>
      </c>
      <c r="C66" s="546" t="s">
        <v>1280</v>
      </c>
      <c r="D66" s="1539" t="s">
        <v>1281</v>
      </c>
      <c r="E66" s="1539"/>
      <c r="F66" s="546" t="str">
        <f>H69</f>
        <v>Water source, packaged (≥65,000 BTU/h and
&lt;135,000BTU/h)</v>
      </c>
      <c r="G66" s="1217" t="str">
        <f>C66</f>
        <v>COP_EE</v>
      </c>
      <c r="H66" s="690">
        <f>9.5/3.412142</f>
        <v>2.7841748672827804</v>
      </c>
      <c r="I66" s="1217" t="s">
        <v>519</v>
      </c>
      <c r="J66" s="1437" t="s">
        <v>1282</v>
      </c>
      <c r="K66" s="1448"/>
      <c r="L66" s="1448"/>
      <c r="M66" s="1448"/>
      <c r="N66" s="1448"/>
      <c r="O66" s="1448"/>
      <c r="P66" s="1448"/>
      <c r="Q66" s="1438"/>
      <c r="R66" s="488"/>
    </row>
    <row r="67" spans="2:18" ht="76.5" customHeight="1" x14ac:dyDescent="0.3">
      <c r="B67" s="533">
        <v>6</v>
      </c>
      <c r="C67" s="546" t="s">
        <v>530</v>
      </c>
      <c r="D67" s="1539" t="s">
        <v>1283</v>
      </c>
      <c r="E67" s="1539"/>
      <c r="F67" s="887" t="str">
        <f>$C$28</f>
        <v>Other</v>
      </c>
      <c r="G67" s="947" t="str">
        <f>$C$26</f>
        <v>Average</v>
      </c>
      <c r="H67" s="948">
        <f>INDEX(EFLH[#All],MATCH(F67,EFLH[[#All],[EFLH]],0),MATCH(G67,EFLH[#Headers],0))</f>
        <v>2617.8472419520012</v>
      </c>
      <c r="I67" s="1217" t="s">
        <v>532</v>
      </c>
      <c r="J67" s="1437" t="s">
        <v>1284</v>
      </c>
      <c r="K67" s="1448"/>
      <c r="L67" s="1448"/>
      <c r="M67" s="1448"/>
      <c r="N67" s="1448"/>
      <c r="O67" s="1448"/>
      <c r="P67" s="1448"/>
      <c r="Q67" s="1438"/>
      <c r="R67" s="488"/>
    </row>
    <row r="68" spans="2:18" ht="38.25" customHeight="1" x14ac:dyDescent="0.3">
      <c r="B68" s="535">
        <v>7</v>
      </c>
      <c r="C68" s="551" t="s">
        <v>649</v>
      </c>
      <c r="D68" s="1543" t="s">
        <v>1285</v>
      </c>
      <c r="E68" s="1543"/>
      <c r="F68" s="551"/>
      <c r="G68" s="552"/>
      <c r="H68" s="644">
        <v>1000</v>
      </c>
      <c r="I68" s="552" t="s">
        <v>536</v>
      </c>
      <c r="J68" s="1482" t="s">
        <v>537</v>
      </c>
      <c r="K68" s="1544"/>
      <c r="L68" s="1544"/>
      <c r="M68" s="1544"/>
      <c r="N68" s="1544"/>
      <c r="O68" s="1544"/>
      <c r="P68" s="1544"/>
      <c r="Q68" s="1545"/>
      <c r="R68" s="488"/>
    </row>
    <row r="69" spans="2:18" ht="99" customHeight="1" x14ac:dyDescent="0.3">
      <c r="B69" s="533">
        <v>8</v>
      </c>
      <c r="C69" s="546" t="s">
        <v>1286</v>
      </c>
      <c r="D69" s="1539" t="s">
        <v>1287</v>
      </c>
      <c r="E69" s="1539"/>
      <c r="F69" s="546"/>
      <c r="G69" s="1217"/>
      <c r="H69" s="1217" t="s">
        <v>1288</v>
      </c>
      <c r="I69" s="1217" t="s">
        <v>597</v>
      </c>
      <c r="J69" s="1468" t="s">
        <v>1289</v>
      </c>
      <c r="K69" s="1541"/>
      <c r="L69" s="1541"/>
      <c r="M69" s="1541"/>
      <c r="N69" s="1541"/>
      <c r="O69" s="1541"/>
      <c r="P69" s="1541"/>
      <c r="Q69" s="1542"/>
      <c r="R69" s="488"/>
    </row>
    <row r="70" spans="2:18" ht="36.75" customHeight="1" x14ac:dyDescent="0.3">
      <c r="B70" s="535">
        <v>9</v>
      </c>
      <c r="C70" s="551" t="s">
        <v>610</v>
      </c>
      <c r="D70" s="1543" t="s">
        <v>1290</v>
      </c>
      <c r="E70" s="1543"/>
      <c r="F70" s="551"/>
      <c r="G70" s="552"/>
      <c r="H70" s="644">
        <f>H68</f>
        <v>1000</v>
      </c>
      <c r="I70" s="552" t="s">
        <v>536</v>
      </c>
      <c r="J70" s="1482" t="s">
        <v>1291</v>
      </c>
      <c r="K70" s="1544"/>
      <c r="L70" s="1544"/>
      <c r="M70" s="1544"/>
      <c r="N70" s="1544"/>
      <c r="O70" s="1544"/>
      <c r="P70" s="1544"/>
      <c r="Q70" s="1545"/>
      <c r="R70" s="488"/>
    </row>
    <row r="71" spans="2:18" ht="15" customHeight="1" x14ac:dyDescent="0.3">
      <c r="B71" s="533">
        <v>10</v>
      </c>
      <c r="C71" s="546"/>
      <c r="D71" s="1539"/>
      <c r="E71" s="1539"/>
      <c r="F71" s="546"/>
      <c r="G71" s="1217"/>
      <c r="H71" s="1217"/>
      <c r="I71" s="1217"/>
      <c r="J71" s="1468"/>
      <c r="K71" s="1541"/>
      <c r="L71" s="1541"/>
      <c r="M71" s="1541"/>
      <c r="N71" s="1541"/>
      <c r="O71" s="1541"/>
      <c r="P71" s="1541"/>
      <c r="Q71" s="1542"/>
      <c r="R71" s="488"/>
    </row>
    <row r="72" spans="2:18" s="634" customFormat="1" ht="15" customHeight="1" x14ac:dyDescent="0.3">
      <c r="B72" s="638">
        <v>11</v>
      </c>
      <c r="C72" s="546"/>
      <c r="D72" s="1539"/>
      <c r="E72" s="1539"/>
      <c r="F72" s="546"/>
      <c r="G72" s="1217"/>
      <c r="H72" s="554"/>
      <c r="I72" s="1217"/>
      <c r="J72" s="1468"/>
      <c r="K72" s="1541"/>
      <c r="L72" s="1541"/>
      <c r="M72" s="1541"/>
      <c r="N72" s="1541"/>
      <c r="O72" s="1541"/>
      <c r="P72" s="1541"/>
      <c r="Q72" s="1542"/>
    </row>
    <row r="73" spans="2:18" s="634" customFormat="1" ht="15" customHeight="1" x14ac:dyDescent="0.3">
      <c r="B73" s="638">
        <v>12</v>
      </c>
      <c r="C73" s="546"/>
      <c r="D73" s="1539"/>
      <c r="E73" s="1539"/>
      <c r="F73" s="546"/>
      <c r="G73" s="1217"/>
      <c r="H73" s="1217"/>
      <c r="I73" s="1217"/>
      <c r="J73" s="1468"/>
      <c r="K73" s="1541"/>
      <c r="L73" s="1541"/>
      <c r="M73" s="1541"/>
      <c r="N73" s="1541"/>
      <c r="O73" s="1541"/>
      <c r="P73" s="1541"/>
      <c r="Q73" s="1542"/>
    </row>
    <row r="74" spans="2:18" s="634" customFormat="1" ht="15" customHeight="1" x14ac:dyDescent="0.3">
      <c r="B74" s="638">
        <v>13</v>
      </c>
      <c r="C74" s="546"/>
      <c r="D74" s="1539"/>
      <c r="E74" s="1539"/>
      <c r="F74" s="546"/>
      <c r="G74" s="1217"/>
      <c r="H74" s="1217"/>
      <c r="I74" s="1217"/>
      <c r="J74" s="1468"/>
      <c r="K74" s="1541"/>
      <c r="L74" s="1541"/>
      <c r="M74" s="1541"/>
      <c r="N74" s="1541"/>
      <c r="O74" s="1541"/>
      <c r="P74" s="1541"/>
      <c r="Q74" s="1542"/>
    </row>
    <row r="75" spans="2:18" s="623" customFormat="1" ht="13.15" customHeight="1" x14ac:dyDescent="0.3">
      <c r="B75" s="638">
        <v>14</v>
      </c>
      <c r="C75" s="546"/>
      <c r="D75" s="1539"/>
      <c r="E75" s="1539"/>
      <c r="F75" s="546"/>
      <c r="G75" s="1217"/>
      <c r="H75" s="554"/>
      <c r="I75" s="1217"/>
      <c r="J75" s="1468"/>
      <c r="K75" s="1541"/>
      <c r="L75" s="1541"/>
      <c r="M75" s="1541"/>
      <c r="N75" s="1541"/>
      <c r="O75" s="1541"/>
      <c r="P75" s="1541"/>
      <c r="Q75" s="1542"/>
    </row>
    <row r="76" spans="2:18" s="623" customFormat="1" ht="14.5" customHeight="1" x14ac:dyDescent="0.3">
      <c r="B76" s="638">
        <v>15</v>
      </c>
      <c r="C76" s="647"/>
      <c r="D76" s="1539"/>
      <c r="E76" s="1539"/>
      <c r="F76" s="1217"/>
      <c r="G76" s="1217"/>
      <c r="H76" s="1217"/>
      <c r="I76" s="1217"/>
      <c r="J76" s="1468"/>
      <c r="K76" s="1541"/>
      <c r="L76" s="1541"/>
      <c r="M76" s="1541"/>
      <c r="N76" s="1541"/>
      <c r="O76" s="1541"/>
      <c r="P76" s="1541"/>
      <c r="Q76" s="1542"/>
    </row>
    <row r="77" spans="2:18" ht="18.75" customHeight="1" x14ac:dyDescent="0.3">
      <c r="R77" s="488"/>
    </row>
    <row r="78" spans="2:18" ht="18.75" customHeight="1" x14ac:dyDescent="0.3">
      <c r="B78" s="630" t="s">
        <v>477</v>
      </c>
      <c r="C78" s="631"/>
      <c r="D78" s="631"/>
      <c r="E78" s="631"/>
      <c r="F78" s="631"/>
      <c r="G78" s="631"/>
      <c r="H78" s="513"/>
      <c r="I78" s="513"/>
      <c r="J78" s="513"/>
      <c r="K78" s="513"/>
      <c r="L78" s="513"/>
      <c r="M78" s="513"/>
      <c r="N78" s="513"/>
      <c r="O78" s="513"/>
      <c r="P78" s="513"/>
      <c r="Q78" s="514"/>
      <c r="R78" s="488"/>
    </row>
    <row r="79" spans="2:18" ht="18.75" customHeight="1" x14ac:dyDescent="0.3">
      <c r="R79" s="488"/>
    </row>
    <row r="80" spans="2:18" ht="18.75" customHeight="1" x14ac:dyDescent="0.3">
      <c r="B80" s="632" t="s">
        <v>478</v>
      </c>
      <c r="C80" s="632" t="s">
        <v>479</v>
      </c>
      <c r="D80" s="1204" t="s">
        <v>406</v>
      </c>
      <c r="E80" s="1210" t="s">
        <v>428</v>
      </c>
      <c r="F80" s="1562" t="s">
        <v>476</v>
      </c>
      <c r="G80" s="1563"/>
      <c r="H80" s="1563"/>
      <c r="I80" s="1563"/>
      <c r="J80" s="1563"/>
      <c r="K80" s="1563"/>
      <c r="L80" s="1563"/>
      <c r="M80" s="1563"/>
      <c r="N80" s="1563"/>
      <c r="O80" s="1563"/>
      <c r="P80" s="1563"/>
      <c r="Q80" s="1564"/>
      <c r="R80" s="488"/>
    </row>
    <row r="81" spans="2:18" ht="13" x14ac:dyDescent="0.3">
      <c r="B81" s="639">
        <v>1</v>
      </c>
      <c r="C81" s="648" t="s">
        <v>480</v>
      </c>
      <c r="D81" s="649">
        <v>1000</v>
      </c>
      <c r="E81" s="677" t="s">
        <v>481</v>
      </c>
      <c r="F81" s="1565" t="s">
        <v>482</v>
      </c>
      <c r="G81" s="1566"/>
      <c r="H81" s="1566"/>
      <c r="I81" s="1566"/>
      <c r="J81" s="1566"/>
      <c r="K81" s="1566"/>
      <c r="L81" s="1566"/>
      <c r="M81" s="1566"/>
      <c r="N81" s="1566"/>
      <c r="O81" s="1566"/>
      <c r="P81" s="1566"/>
      <c r="Q81" s="1567"/>
      <c r="R81" s="488"/>
    </row>
    <row r="82" spans="2:18" ht="13" x14ac:dyDescent="0.3">
      <c r="B82" s="639">
        <v>2</v>
      </c>
      <c r="C82" s="648" t="s">
        <v>483</v>
      </c>
      <c r="D82" s="650">
        <f>0.03412*0.10548</f>
        <v>3.5989775999999999E-3</v>
      </c>
      <c r="E82" s="677" t="s">
        <v>484</v>
      </c>
      <c r="F82" s="1568" t="s">
        <v>485</v>
      </c>
      <c r="G82" s="1569"/>
      <c r="H82" s="1569"/>
      <c r="I82" s="1569"/>
      <c r="J82" s="1569"/>
      <c r="K82" s="1569"/>
      <c r="L82" s="1569"/>
      <c r="M82" s="1569"/>
      <c r="N82" s="1569"/>
      <c r="O82" s="1569"/>
      <c r="P82" s="1569"/>
      <c r="Q82" s="1570"/>
      <c r="R82" s="488"/>
    </row>
    <row r="83" spans="2:18" ht="13" x14ac:dyDescent="0.3">
      <c r="B83" s="639">
        <v>3</v>
      </c>
      <c r="C83" s="648" t="s">
        <v>486</v>
      </c>
      <c r="D83" s="650">
        <v>3.7854099999999999E-3</v>
      </c>
      <c r="E83" s="677" t="s">
        <v>487</v>
      </c>
      <c r="F83" s="1568" t="s">
        <v>485</v>
      </c>
      <c r="G83" s="1569"/>
      <c r="H83" s="1569"/>
      <c r="I83" s="1569"/>
      <c r="J83" s="1569"/>
      <c r="K83" s="1569"/>
      <c r="L83" s="1569"/>
      <c r="M83" s="1569"/>
      <c r="N83" s="1569"/>
      <c r="O83" s="1569"/>
      <c r="P83" s="1569"/>
      <c r="Q83" s="1570"/>
      <c r="R83" s="488"/>
    </row>
    <row r="84" spans="2:18" ht="13" x14ac:dyDescent="0.3">
      <c r="B84" s="639">
        <v>4</v>
      </c>
      <c r="C84" s="648" t="s">
        <v>488</v>
      </c>
      <c r="D84" s="650">
        <v>0.1055</v>
      </c>
      <c r="E84" s="677" t="s">
        <v>489</v>
      </c>
      <c r="F84" s="1568" t="s">
        <v>485</v>
      </c>
      <c r="G84" s="1569"/>
      <c r="H84" s="1569"/>
      <c r="I84" s="1569"/>
      <c r="J84" s="1569"/>
      <c r="K84" s="1569"/>
      <c r="L84" s="1569"/>
      <c r="M84" s="1569"/>
      <c r="N84" s="1569"/>
      <c r="O84" s="1569"/>
      <c r="P84" s="1569"/>
      <c r="Q84" s="1570"/>
      <c r="R84" s="488"/>
    </row>
    <row r="85" spans="2:18" ht="13" x14ac:dyDescent="0.3">
      <c r="B85" s="639">
        <v>5</v>
      </c>
      <c r="C85" s="648" t="s">
        <v>490</v>
      </c>
      <c r="D85" s="650">
        <v>1.0000000000000001E-5</v>
      </c>
      <c r="E85" s="677" t="s">
        <v>491</v>
      </c>
      <c r="F85" s="1568" t="s">
        <v>485</v>
      </c>
      <c r="G85" s="1569"/>
      <c r="H85" s="1569"/>
      <c r="I85" s="1569"/>
      <c r="J85" s="1569"/>
      <c r="K85" s="1569"/>
      <c r="L85" s="1569"/>
      <c r="M85" s="1569"/>
      <c r="N85" s="1569"/>
      <c r="O85" s="1569"/>
      <c r="P85" s="1569"/>
      <c r="Q85" s="1570"/>
      <c r="R85" s="488"/>
    </row>
    <row r="86" spans="2:18" ht="13" x14ac:dyDescent="0.3">
      <c r="B86" s="533">
        <v>6</v>
      </c>
      <c r="C86" s="648"/>
      <c r="D86" s="949"/>
      <c r="E86" s="677"/>
      <c r="F86" s="1565"/>
      <c r="G86" s="1566"/>
      <c r="H86" s="1566"/>
      <c r="I86" s="1566"/>
      <c r="J86" s="1566"/>
      <c r="K86" s="1566"/>
      <c r="L86" s="1566"/>
      <c r="M86" s="1566"/>
      <c r="N86" s="1566"/>
      <c r="O86" s="1566"/>
      <c r="P86" s="1566"/>
      <c r="Q86" s="1567"/>
      <c r="R86" s="488"/>
    </row>
    <row r="87" spans="2:18" ht="13" x14ac:dyDescent="0.3">
      <c r="B87" s="533">
        <v>7</v>
      </c>
      <c r="C87" s="563"/>
      <c r="D87" s="649"/>
      <c r="E87" s="677"/>
      <c r="F87" s="1576"/>
      <c r="G87" s="1566"/>
      <c r="H87" s="1566"/>
      <c r="I87" s="1566"/>
      <c r="J87" s="1566"/>
      <c r="K87" s="1566"/>
      <c r="L87" s="1566"/>
      <c r="M87" s="1566"/>
      <c r="N87" s="1566"/>
      <c r="O87" s="1566"/>
      <c r="P87" s="1566"/>
      <c r="Q87" s="1567"/>
      <c r="R87" s="488"/>
    </row>
    <row r="88" spans="2:18" ht="13" x14ac:dyDescent="0.3">
      <c r="B88" s="533">
        <v>8</v>
      </c>
      <c r="C88" s="563"/>
      <c r="D88" s="650"/>
      <c r="E88" s="677"/>
      <c r="F88" s="1568"/>
      <c r="G88" s="1569"/>
      <c r="H88" s="1569"/>
      <c r="I88" s="1569"/>
      <c r="J88" s="1569"/>
      <c r="K88" s="1569"/>
      <c r="L88" s="1569"/>
      <c r="M88" s="1569"/>
      <c r="N88" s="1569"/>
      <c r="O88" s="1569"/>
      <c r="P88" s="1569"/>
      <c r="Q88" s="1570"/>
      <c r="R88" s="488"/>
    </row>
    <row r="89" spans="2:18" ht="13" x14ac:dyDescent="0.3">
      <c r="B89" s="533">
        <v>9</v>
      </c>
      <c r="C89" s="563"/>
      <c r="D89" s="1233"/>
      <c r="E89" s="677"/>
      <c r="F89" s="1568"/>
      <c r="G89" s="1569"/>
      <c r="H89" s="1569"/>
      <c r="I89" s="1569"/>
      <c r="J89" s="1569"/>
      <c r="K89" s="1569"/>
      <c r="L89" s="1569"/>
      <c r="M89" s="1569"/>
      <c r="N89" s="1569"/>
      <c r="O89" s="1569"/>
      <c r="P89" s="1569"/>
      <c r="Q89" s="1570"/>
      <c r="R89" s="488"/>
    </row>
    <row r="90" spans="2:18" ht="13" x14ac:dyDescent="0.3">
      <c r="B90" s="533">
        <v>10</v>
      </c>
      <c r="C90" s="563"/>
      <c r="D90" s="564"/>
      <c r="E90" s="677"/>
      <c r="F90" s="1568"/>
      <c r="G90" s="1569"/>
      <c r="H90" s="1569"/>
      <c r="I90" s="1569"/>
      <c r="J90" s="1569"/>
      <c r="K90" s="1569"/>
      <c r="L90" s="1569"/>
      <c r="M90" s="1569"/>
      <c r="N90" s="1569"/>
      <c r="O90" s="1569"/>
      <c r="P90" s="1569"/>
      <c r="Q90" s="1570"/>
      <c r="R90" s="488"/>
    </row>
    <row r="91" spans="2:18" ht="18.75" customHeight="1" x14ac:dyDescent="0.3">
      <c r="R91" s="488"/>
    </row>
    <row r="92" spans="2:18" ht="18.75" customHeight="1" x14ac:dyDescent="0.3">
      <c r="B92" s="630" t="s">
        <v>492</v>
      </c>
      <c r="C92" s="631"/>
      <c r="D92" s="631"/>
      <c r="E92" s="631"/>
      <c r="F92" s="631"/>
      <c r="G92" s="631"/>
      <c r="H92" s="513"/>
      <c r="I92" s="513"/>
      <c r="J92" s="513"/>
      <c r="K92" s="513"/>
      <c r="L92" s="513"/>
      <c r="M92" s="513"/>
      <c r="N92" s="513"/>
      <c r="O92" s="513"/>
      <c r="P92" s="513"/>
      <c r="Q92" s="514"/>
      <c r="R92" s="488"/>
    </row>
    <row r="93" spans="2:18" ht="18.75" customHeight="1" x14ac:dyDescent="0.3">
      <c r="R93" s="488"/>
    </row>
    <row r="94" spans="2:18" ht="18.75" customHeight="1" x14ac:dyDescent="0.3">
      <c r="B94" s="635" t="s">
        <v>493</v>
      </c>
      <c r="E94" s="1574" t="s">
        <v>494</v>
      </c>
      <c r="F94" s="1577"/>
      <c r="G94" s="1577"/>
      <c r="H94" s="1577"/>
      <c r="I94" s="1577"/>
      <c r="J94" s="1577"/>
      <c r="K94" s="1577"/>
      <c r="L94" s="1577"/>
      <c r="M94" s="1577"/>
      <c r="N94" s="1577"/>
      <c r="O94" s="1578" t="s">
        <v>476</v>
      </c>
      <c r="P94" s="1579"/>
      <c r="Q94" s="1580"/>
      <c r="R94" s="488"/>
    </row>
    <row r="95" spans="2:18" ht="25.5" customHeight="1" x14ac:dyDescent="0.3">
      <c r="B95" s="1206" t="s">
        <v>1287</v>
      </c>
      <c r="C95" s="1207"/>
      <c r="D95" s="1208"/>
      <c r="E95" s="636" t="s">
        <v>495</v>
      </c>
      <c r="F95" s="636" t="s">
        <v>496</v>
      </c>
      <c r="G95" s="636" t="s">
        <v>497</v>
      </c>
      <c r="H95" s="636" t="s">
        <v>498</v>
      </c>
      <c r="I95" s="636" t="s">
        <v>499</v>
      </c>
      <c r="J95" s="636" t="s">
        <v>500</v>
      </c>
      <c r="K95" s="636" t="s">
        <v>501</v>
      </c>
      <c r="L95" s="636" t="s">
        <v>502</v>
      </c>
      <c r="M95" s="636" t="s">
        <v>503</v>
      </c>
      <c r="N95" s="1209" t="s">
        <v>504</v>
      </c>
      <c r="O95" s="1581"/>
      <c r="P95" s="1582"/>
      <c r="Q95" s="1583"/>
      <c r="R95" s="488"/>
    </row>
    <row r="96" spans="2:18" ht="36.75" customHeight="1" x14ac:dyDescent="0.3">
      <c r="B96" s="1205" t="s">
        <v>478</v>
      </c>
      <c r="C96" s="1574" t="s">
        <v>538</v>
      </c>
      <c r="D96" s="1575"/>
      <c r="E96" s="651" t="s">
        <v>1274</v>
      </c>
      <c r="F96" s="651" t="s">
        <v>1292</v>
      </c>
      <c r="G96" s="651" t="s">
        <v>1280</v>
      </c>
      <c r="H96" s="651" t="s">
        <v>1293</v>
      </c>
      <c r="I96" s="651"/>
      <c r="J96" s="651"/>
      <c r="K96" s="651"/>
      <c r="L96" s="651"/>
      <c r="M96" s="651"/>
      <c r="N96" s="652"/>
      <c r="O96" s="1584"/>
      <c r="P96" s="1585"/>
      <c r="Q96" s="1586"/>
      <c r="R96" s="488"/>
    </row>
    <row r="97" spans="2:18" ht="38.25" customHeight="1" x14ac:dyDescent="0.3">
      <c r="B97" s="533">
        <v>1</v>
      </c>
      <c r="C97" s="916" t="s">
        <v>1294</v>
      </c>
      <c r="D97" s="1184"/>
      <c r="E97" s="950">
        <v>12.2</v>
      </c>
      <c r="F97" s="951" t="s">
        <v>1295</v>
      </c>
      <c r="G97" s="951">
        <v>3.3</v>
      </c>
      <c r="H97" s="951" t="s">
        <v>573</v>
      </c>
      <c r="I97" s="568"/>
      <c r="J97" s="568"/>
      <c r="K97" s="568"/>
      <c r="L97" s="568"/>
      <c r="M97" s="568"/>
      <c r="N97" s="568"/>
      <c r="O97" s="1501"/>
      <c r="P97" s="1502"/>
      <c r="Q97" s="1503"/>
      <c r="R97" s="488"/>
    </row>
    <row r="98" spans="2:18" ht="51" customHeight="1" x14ac:dyDescent="0.3">
      <c r="B98" s="533">
        <v>2</v>
      </c>
      <c r="C98" s="916" t="s">
        <v>1296</v>
      </c>
      <c r="D98" s="1184"/>
      <c r="E98" s="950">
        <v>11.6</v>
      </c>
      <c r="F98" s="951" t="s">
        <v>1295</v>
      </c>
      <c r="G98" s="951">
        <v>3.2</v>
      </c>
      <c r="H98" s="951" t="s">
        <v>573</v>
      </c>
      <c r="I98" s="568"/>
      <c r="J98" s="568"/>
      <c r="K98" s="568"/>
      <c r="L98" s="568"/>
      <c r="M98" s="568"/>
      <c r="N98" s="568"/>
      <c r="O98" s="1495"/>
      <c r="P98" s="1496"/>
      <c r="Q98" s="1497"/>
      <c r="R98" s="488"/>
    </row>
    <row r="99" spans="2:18" ht="51" customHeight="1" x14ac:dyDescent="0.3">
      <c r="B99" s="533">
        <v>3</v>
      </c>
      <c r="C99" s="916" t="s">
        <v>1297</v>
      </c>
      <c r="D99" s="1184"/>
      <c r="E99" s="950">
        <v>10.4</v>
      </c>
      <c r="F99" s="951" t="s">
        <v>1295</v>
      </c>
      <c r="G99" s="951">
        <v>3.2</v>
      </c>
      <c r="H99" s="951" t="s">
        <v>573</v>
      </c>
      <c r="I99" s="568"/>
      <c r="J99" s="568"/>
      <c r="K99" s="568"/>
      <c r="L99" s="568"/>
      <c r="M99" s="568"/>
      <c r="N99" s="568"/>
      <c r="O99" s="1495"/>
      <c r="P99" s="1496"/>
      <c r="Q99" s="1497"/>
      <c r="R99" s="488"/>
    </row>
    <row r="100" spans="2:18" ht="25.5" customHeight="1" x14ac:dyDescent="0.3">
      <c r="B100" s="533">
        <v>4</v>
      </c>
      <c r="C100" s="916" t="s">
        <v>1298</v>
      </c>
      <c r="D100" s="1184"/>
      <c r="E100" s="950">
        <v>13</v>
      </c>
      <c r="F100" s="951" t="s">
        <v>572</v>
      </c>
      <c r="G100" s="951">
        <v>2.4032825322391558</v>
      </c>
      <c r="H100" s="951" t="s">
        <v>573</v>
      </c>
      <c r="I100" s="568"/>
      <c r="J100" s="568"/>
      <c r="K100" s="568"/>
      <c r="L100" s="568"/>
      <c r="M100" s="568"/>
      <c r="N100" s="568"/>
      <c r="O100" s="1495"/>
      <c r="P100" s="1496"/>
      <c r="Q100" s="1497"/>
      <c r="R100" s="488"/>
    </row>
    <row r="101" spans="2:18" ht="36" customHeight="1" x14ac:dyDescent="0.3">
      <c r="B101" s="533">
        <v>5</v>
      </c>
      <c r="C101" s="916" t="s">
        <v>1299</v>
      </c>
      <c r="D101" s="1184"/>
      <c r="E101" s="950">
        <v>14</v>
      </c>
      <c r="F101" s="951" t="s">
        <v>572</v>
      </c>
      <c r="G101" s="951">
        <v>2.4032825322391558</v>
      </c>
      <c r="H101" s="951" t="s">
        <v>573</v>
      </c>
      <c r="I101" s="568"/>
      <c r="J101" s="568"/>
      <c r="K101" s="568"/>
      <c r="L101" s="568"/>
      <c r="M101" s="568"/>
      <c r="N101" s="568"/>
      <c r="O101" s="1495"/>
      <c r="P101" s="1496"/>
      <c r="Q101" s="1497"/>
      <c r="R101" s="488"/>
    </row>
    <row r="102" spans="2:18" ht="25.5" customHeight="1" x14ac:dyDescent="0.3">
      <c r="B102" s="533">
        <v>6</v>
      </c>
      <c r="C102" s="916" t="s">
        <v>1300</v>
      </c>
      <c r="D102" s="570"/>
      <c r="E102" s="950">
        <v>12.2</v>
      </c>
      <c r="F102" s="951" t="s">
        <v>1143</v>
      </c>
      <c r="G102" s="951">
        <v>4.3</v>
      </c>
      <c r="H102" s="951" t="s">
        <v>573</v>
      </c>
      <c r="I102" s="569"/>
      <c r="J102" s="569"/>
      <c r="K102" s="569"/>
      <c r="L102" s="569"/>
      <c r="M102" s="569"/>
      <c r="N102" s="569"/>
      <c r="O102" s="1492"/>
      <c r="P102" s="1493"/>
      <c r="Q102" s="1494"/>
      <c r="R102" s="488"/>
    </row>
    <row r="103" spans="2:18" ht="38.25" customHeight="1" x14ac:dyDescent="0.3">
      <c r="B103" s="533">
        <v>7</v>
      </c>
      <c r="C103" s="916" t="s">
        <v>1301</v>
      </c>
      <c r="D103" s="570"/>
      <c r="E103" s="950">
        <v>13</v>
      </c>
      <c r="F103" s="951" t="s">
        <v>1143</v>
      </c>
      <c r="G103" s="951">
        <v>4.3</v>
      </c>
      <c r="H103" s="951" t="s">
        <v>573</v>
      </c>
      <c r="I103" s="569"/>
      <c r="J103" s="569"/>
      <c r="K103" s="569"/>
      <c r="L103" s="569"/>
      <c r="M103" s="569"/>
      <c r="N103" s="569"/>
      <c r="O103" s="1492"/>
      <c r="P103" s="1493"/>
      <c r="Q103" s="1494"/>
      <c r="R103" s="488"/>
    </row>
    <row r="104" spans="2:18" ht="38.25" customHeight="1" x14ac:dyDescent="0.3">
      <c r="B104" s="533">
        <v>8</v>
      </c>
      <c r="C104" s="916" t="s">
        <v>1302</v>
      </c>
      <c r="D104" s="570"/>
      <c r="E104" s="950">
        <v>13</v>
      </c>
      <c r="F104" s="951" t="s">
        <v>1143</v>
      </c>
      <c r="G104" s="951">
        <v>4.3</v>
      </c>
      <c r="H104" s="951" t="s">
        <v>573</v>
      </c>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sheetData>
  <sheetProtection algorithmName="SHA-512" hashValue="OKsVqwOOoBS5vIdvnZCJV+xOgi8rBpyzt6ElTZvyRbrG8jxpHRn0KjTP6nkWOhY9nhJR+Vpjqtg7hQ4OTP1BeA==" saltValue="GN4aDCQ16NAzPQ67KOkzwg==" spinCount="100000" sheet="1" objects="1" scenarios="1" selectLockedCells="1" selectUnlockedCells="1"/>
  <mergeCells count="120">
    <mergeCell ref="O116:Q116"/>
    <mergeCell ref="O110:Q110"/>
    <mergeCell ref="O111:Q111"/>
    <mergeCell ref="O112:Q112"/>
    <mergeCell ref="O113:Q113"/>
    <mergeCell ref="O114:Q114"/>
    <mergeCell ref="O115:Q115"/>
    <mergeCell ref="O104:Q104"/>
    <mergeCell ref="O105:Q105"/>
    <mergeCell ref="O106:Q106"/>
    <mergeCell ref="O107:Q107"/>
    <mergeCell ref="O108:Q108"/>
    <mergeCell ref="O109:Q109"/>
    <mergeCell ref="O98:Q98"/>
    <mergeCell ref="O99:Q99"/>
    <mergeCell ref="O100:Q100"/>
    <mergeCell ref="O101:Q101"/>
    <mergeCell ref="O102:Q102"/>
    <mergeCell ref="O103:Q103"/>
    <mergeCell ref="F90:Q90"/>
    <mergeCell ref="E94:N94"/>
    <mergeCell ref="O94:Q96"/>
    <mergeCell ref="C96:D96"/>
    <mergeCell ref="O97:Q97"/>
    <mergeCell ref="F84:Q84"/>
    <mergeCell ref="F85:Q85"/>
    <mergeCell ref="F86:Q86"/>
    <mergeCell ref="F87:Q87"/>
    <mergeCell ref="F88:Q88"/>
    <mergeCell ref="F89:Q89"/>
    <mergeCell ref="D76:E76"/>
    <mergeCell ref="J76:Q76"/>
    <mergeCell ref="F80:Q80"/>
    <mergeCell ref="F81:Q81"/>
    <mergeCell ref="F82:Q82"/>
    <mergeCell ref="F83:Q83"/>
    <mergeCell ref="D73:E73"/>
    <mergeCell ref="J73:Q73"/>
    <mergeCell ref="D74:E74"/>
    <mergeCell ref="J74:Q74"/>
    <mergeCell ref="D75:E75"/>
    <mergeCell ref="J75:Q75"/>
    <mergeCell ref="D69:E69"/>
    <mergeCell ref="J69:Q69"/>
    <mergeCell ref="D71:E71"/>
    <mergeCell ref="J71:Q71"/>
    <mergeCell ref="D72:E72"/>
    <mergeCell ref="J72:Q72"/>
    <mergeCell ref="D61:E61"/>
    <mergeCell ref="J61:Q61"/>
    <mergeCell ref="D70:E70"/>
    <mergeCell ref="J70:Q70"/>
    <mergeCell ref="D62:E62"/>
    <mergeCell ref="J62:Q62"/>
    <mergeCell ref="C55:M55"/>
    <mergeCell ref="P55:Q55"/>
    <mergeCell ref="C56:M56"/>
    <mergeCell ref="P56:Q56"/>
    <mergeCell ref="C57:M57"/>
    <mergeCell ref="P57:Q57"/>
    <mergeCell ref="D66:E66"/>
    <mergeCell ref="J66:Q66"/>
    <mergeCell ref="D67:E67"/>
    <mergeCell ref="J67:Q67"/>
    <mergeCell ref="D68:E68"/>
    <mergeCell ref="J68:Q68"/>
    <mergeCell ref="D63:E63"/>
    <mergeCell ref="J63:Q63"/>
    <mergeCell ref="D64:E64"/>
    <mergeCell ref="J64:Q64"/>
    <mergeCell ref="D65:E65"/>
    <mergeCell ref="J65:Q65"/>
    <mergeCell ref="C53:M53"/>
    <mergeCell ref="P53:Q53"/>
    <mergeCell ref="C54:M54"/>
    <mergeCell ref="P54:Q54"/>
    <mergeCell ref="C48:M48"/>
    <mergeCell ref="P48:Q48"/>
    <mergeCell ref="C49:M49"/>
    <mergeCell ref="P49:Q49"/>
    <mergeCell ref="C50:M50"/>
    <mergeCell ref="P50:Q50"/>
    <mergeCell ref="C47:M47"/>
    <mergeCell ref="P47:Q47"/>
    <mergeCell ref="C41:M41"/>
    <mergeCell ref="P41:Q41"/>
    <mergeCell ref="C42:M42"/>
    <mergeCell ref="P42:Q42"/>
    <mergeCell ref="C43:M43"/>
    <mergeCell ref="P43:Q43"/>
    <mergeCell ref="C51:M51"/>
    <mergeCell ref="P51:Q51"/>
    <mergeCell ref="E35:Q35"/>
    <mergeCell ref="E36:Q36"/>
    <mergeCell ref="E37:Q37"/>
    <mergeCell ref="D28:Q28"/>
    <mergeCell ref="D29:Q29"/>
    <mergeCell ref="D30:Q30"/>
    <mergeCell ref="C44:M44"/>
    <mergeCell ref="P44:Q44"/>
    <mergeCell ref="C45:M45"/>
    <mergeCell ref="P45:Q45"/>
    <mergeCell ref="C2:F2"/>
    <mergeCell ref="C3:F3"/>
    <mergeCell ref="C4:F4"/>
    <mergeCell ref="C5:F5"/>
    <mergeCell ref="D7:F7"/>
    <mergeCell ref="D8:F16"/>
    <mergeCell ref="E32:Q32"/>
    <mergeCell ref="E33:Q33"/>
    <mergeCell ref="E34:Q34"/>
    <mergeCell ref="D25:Q25"/>
    <mergeCell ref="D26:Q26"/>
    <mergeCell ref="D27:Q27"/>
    <mergeCell ref="D17:F17"/>
    <mergeCell ref="D18:F18"/>
    <mergeCell ref="B20:Q20"/>
    <mergeCell ref="C21:Q21"/>
    <mergeCell ref="C22:Q22"/>
    <mergeCell ref="C23:Q23"/>
  </mergeCells>
  <conditionalFormatting sqref="F109:F116 G105:H116">
    <cfRule type="expression" dxfId="3061" priority="27">
      <formula>IF(OR(#REF!="L",#REF!="C"),TRUE,FALSE)</formula>
    </cfRule>
  </conditionalFormatting>
  <conditionalFormatting sqref="E110:E116">
    <cfRule type="expression" dxfId="3060" priority="26">
      <formula>IF(OR(#REF!="L",#REF!="C"),TRUE,FALSE)</formula>
    </cfRule>
  </conditionalFormatting>
  <conditionalFormatting sqref="E107">
    <cfRule type="expression" dxfId="3059" priority="25">
      <formula>IF(OR(#REF!="L",#REF!="C"),TRUE,FALSE)</formula>
    </cfRule>
  </conditionalFormatting>
  <conditionalFormatting sqref="E108">
    <cfRule type="expression" dxfId="3058" priority="24">
      <formula>IF(OR(#REF!="L",#REF!="C"),TRUE,FALSE)</formula>
    </cfRule>
  </conditionalFormatting>
  <conditionalFormatting sqref="E109">
    <cfRule type="expression" dxfId="3057" priority="23">
      <formula>IF(OR(#REF!="L",#REF!="C"),TRUE,FALSE)</formula>
    </cfRule>
  </conditionalFormatting>
  <conditionalFormatting sqref="E106">
    <cfRule type="expression" dxfId="3056" priority="22">
      <formula>IF(OR(#REF!="L",#REF!="C"),TRUE,FALSE)</formula>
    </cfRule>
  </conditionalFormatting>
  <conditionalFormatting sqref="E95 G95 I95 K95 M95">
    <cfRule type="duplicateValues" dxfId="3055" priority="21"/>
  </conditionalFormatting>
  <conditionalFormatting sqref="M104:M116">
    <cfRule type="expression" dxfId="3054" priority="11">
      <formula>IF(OR(#REF!="L",#REF!="C"),TRUE,FALSE)</formula>
    </cfRule>
  </conditionalFormatting>
  <conditionalFormatting sqref="F105:F106">
    <cfRule type="expression" dxfId="3053" priority="20">
      <formula>IF(OR(#REF!="L",#REF!="C"),TRUE,FALSE)</formula>
    </cfRule>
  </conditionalFormatting>
  <conditionalFormatting sqref="I102:I103">
    <cfRule type="expression" dxfId="3052" priority="18">
      <formula>IF(OR(#REF!="L",#REF!="C"),TRUE,FALSE)</formula>
    </cfRule>
  </conditionalFormatting>
  <conditionalFormatting sqref="N102:N103">
    <cfRule type="expression" dxfId="3051" priority="8">
      <formula>IF(OR(#REF!="L",#REF!="C"),TRUE,FALSE)</formula>
    </cfRule>
  </conditionalFormatting>
  <conditionalFormatting sqref="I104:I116">
    <cfRule type="expression" dxfId="3050" priority="19">
      <formula>IF(OR(#REF!="L",#REF!="C"),TRUE,FALSE)</formula>
    </cfRule>
  </conditionalFormatting>
  <conditionalFormatting sqref="J102:J103">
    <cfRule type="expression" dxfId="3049" priority="16">
      <formula>IF(OR(#REF!="L",#REF!="C"),TRUE,FALSE)</formula>
    </cfRule>
  </conditionalFormatting>
  <conditionalFormatting sqref="J104:J116">
    <cfRule type="expression" dxfId="3048" priority="17">
      <formula>IF(OR(#REF!="L",#REF!="C"),TRUE,FALSE)</formula>
    </cfRule>
  </conditionalFormatting>
  <conditionalFormatting sqref="K102:K103">
    <cfRule type="expression" dxfId="3047" priority="14">
      <formula>IF(OR(#REF!="L",#REF!="C"),TRUE,FALSE)</formula>
    </cfRule>
  </conditionalFormatting>
  <conditionalFormatting sqref="K104:K116">
    <cfRule type="expression" dxfId="3046" priority="15">
      <formula>IF(OR(#REF!="L",#REF!="C"),TRUE,FALSE)</formula>
    </cfRule>
  </conditionalFormatting>
  <conditionalFormatting sqref="L102:L103">
    <cfRule type="expression" dxfId="3045" priority="12">
      <formula>IF(OR(#REF!="L",#REF!="C"),TRUE,FALSE)</formula>
    </cfRule>
  </conditionalFormatting>
  <conditionalFormatting sqref="L104:L116">
    <cfRule type="expression" dxfId="3044" priority="13">
      <formula>IF(OR(#REF!="L",#REF!="C"),TRUE,FALSE)</formula>
    </cfRule>
  </conditionalFormatting>
  <conditionalFormatting sqref="M102:M103">
    <cfRule type="expression" dxfId="3043" priority="10">
      <formula>IF(OR(#REF!="L",#REF!="C"),TRUE,FALSE)</formula>
    </cfRule>
  </conditionalFormatting>
  <conditionalFormatting sqref="N104:N116">
    <cfRule type="expression" dxfId="3042" priority="9">
      <formula>IF(OR(#REF!="L",#REF!="C"),TRUE,FALSE)</formula>
    </cfRule>
  </conditionalFormatting>
  <conditionalFormatting sqref="O104:O116">
    <cfRule type="expression" dxfId="3041" priority="7">
      <formula>IF(OR(#REF!="L",#REF!="C"),TRUE,FALSE)</formula>
    </cfRule>
  </conditionalFormatting>
  <conditionalFormatting sqref="O102:O103">
    <cfRule type="expression" dxfId="3040" priority="6">
      <formula>IF(OR(#REF!="L",#REF!="C"),TRUE,FALSE)</formula>
    </cfRule>
  </conditionalFormatting>
  <conditionalFormatting sqref="G96:N96">
    <cfRule type="duplicateValues" dxfId="3039" priority="5"/>
  </conditionalFormatting>
  <conditionalFormatting sqref="E96:F96">
    <cfRule type="duplicateValues" dxfId="3038" priority="4"/>
  </conditionalFormatting>
  <conditionalFormatting sqref="H64">
    <cfRule type="expression" dxfId="3037" priority="2">
      <formula>IF(OR(#REF!="L",#REF!="C"),TRUE,FALSE)</formula>
    </cfRule>
  </conditionalFormatting>
  <conditionalFormatting sqref="H67">
    <cfRule type="expression" dxfId="3036" priority="1">
      <formula>IF(OR(#REF!="L",#REF!="C"),TRUE,FALSE)</formula>
    </cfRule>
  </conditionalFormatting>
  <dataValidations count="8">
    <dataValidation type="list" allowBlank="1" showInputMessage="1" showErrorMessage="1" sqref="H69" xr:uid="{F406D24B-D608-4422-B37A-28BA641C1587}">
      <formula1>$C$97:$C$116</formula1>
    </dataValidation>
    <dataValidation type="list" allowBlank="1" showInputMessage="1" showErrorMessage="1" sqref="C4" xr:uid="{CBD5176E-3D6F-412A-A6C6-50D2F8B36F9C}">
      <formula1>"COM,RES"</formula1>
    </dataValidation>
    <dataValidation type="list" allowBlank="1" showInputMessage="1" showErrorMessage="1" sqref="F72:F74" xr:uid="{3D9E6902-819D-475F-AD4F-1C50FB4A4AD9}">
      <formula1>$C$102:$C$107</formula1>
    </dataValidation>
    <dataValidation type="list" allowBlank="1" showInputMessage="1" showErrorMessage="1" sqref="C9" xr:uid="{E35C73EF-0792-4C94-85D0-39F7C9DF5A81}">
      <formula1>INDIRECT("MeasureTypeList[Index]")</formula1>
    </dataValidation>
    <dataValidation type="list" allowBlank="1" showInputMessage="1" showErrorMessage="1" sqref="C26" xr:uid="{13D1BE26-D854-40C7-BB9B-5BF3DB06C423}">
      <formula1>INDIRECT("RegionList[Index]")</formula1>
    </dataValidation>
    <dataValidation type="list" allowBlank="1" showInputMessage="1" showErrorMessage="1" sqref="C27" xr:uid="{530FA3B8-809F-45BA-B714-6641B67F565D}">
      <formula1>INDIRECT("ReplacementTypeList[Index]")</formula1>
    </dataValidation>
    <dataValidation type="list" allowBlank="1" showInputMessage="1" showErrorMessage="1" sqref="C28" xr:uid="{5E6434A8-5E7A-4057-A6F0-1599AB0D2C2F}">
      <formula1>INDIRECT("BuildingType[Building]")</formula1>
    </dataValidation>
    <dataValidation type="list" allowBlank="1" showInputMessage="1" showErrorMessage="1" sqref="C29 C30" xr:uid="{B8FF057B-BDAD-4BA4-BF2D-31D3E91E0DDA}">
      <formula1>INDIRECT("FuelTypeList[Index]")</formula1>
    </dataValidation>
  </dataValidations>
  <hyperlinks>
    <hyperlink ref="F82" r:id="rId1" xr:uid="{66D6DA57-A46A-454D-B734-524A5D8298D0}"/>
    <hyperlink ref="F83" r:id="rId2" xr:uid="{EB62695A-977F-43F3-B21C-EC1388005889}"/>
    <hyperlink ref="F85" r:id="rId3" xr:uid="{0997FD23-69E4-4417-8297-80B5E804C326}"/>
    <hyperlink ref="F84" r:id="rId4" xr:uid="{CC25B834-D2CC-4556-8D9E-AD399143A959}"/>
  </hyperlinks>
  <pageMargins left="0.7" right="0.7" top="0.75" bottom="0.75" header="0.3" footer="0.3"/>
  <pageSetup orientation="portrait" r:id="rId5"/>
  <extLst>
    <ext xmlns:x14="http://schemas.microsoft.com/office/spreadsheetml/2009/9/main" uri="{CCE6A557-97BC-4b89-ADB6-D9C93CAAB3DF}">
      <x14:dataValidations xmlns:xm="http://schemas.microsoft.com/office/excel/2006/main" count="1">
        <x14:dataValidation type="list" allowBlank="1" showInputMessage="1" showErrorMessage="1" xr:uid="{FA10491D-F41E-4D5E-B977-C9DD78ED187F}">
          <x14:formula1>
            <xm:f>Validation!$B$6:$B$8</xm:f>
          </x14:formula1>
          <xm:sqref>H71</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56F14-0B8D-4EC9-89AB-C80D4BA22C23}">
  <sheetPr codeName="Sheet23"/>
  <dimension ref="A2:R116"/>
  <sheetViews>
    <sheetView workbookViewId="0"/>
  </sheetViews>
  <sheetFormatPr defaultColWidth="9.08984375" defaultRowHeight="18.75" customHeight="1" x14ac:dyDescent="0.3"/>
  <cols>
    <col min="1" max="1" width="2.36328125" style="488" customWidth="1"/>
    <col min="2" max="2" width="42.08984375" style="488" bestFit="1" customWidth="1"/>
    <col min="3" max="3" width="24.36328125" style="488" customWidth="1"/>
    <col min="4" max="4" width="21.6328125" style="488" customWidth="1"/>
    <col min="5" max="5" width="15.81640625" style="488" customWidth="1"/>
    <col min="6" max="6" width="15.6328125" style="488" customWidth="1"/>
    <col min="7" max="7" width="19.6328125" style="488" customWidth="1"/>
    <col min="8" max="8" width="16"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623" customWidth="1"/>
    <col min="19" max="19" width="9.08984375" style="488"/>
    <col min="20" max="20" width="8.6328125" style="488" customWidth="1"/>
    <col min="21" max="16384" width="9.08984375" style="488"/>
  </cols>
  <sheetData>
    <row r="2" spans="1:18" ht="18.75" customHeight="1" x14ac:dyDescent="0.3">
      <c r="B2" s="1203" t="s">
        <v>506</v>
      </c>
      <c r="C2" s="1608" t="s">
        <v>406</v>
      </c>
      <c r="D2" s="1608"/>
      <c r="E2" s="1608"/>
      <c r="F2" s="1608"/>
    </row>
    <row r="3" spans="1:18" ht="18.75" customHeight="1" x14ac:dyDescent="0.3">
      <c r="B3" s="624" t="s">
        <v>407</v>
      </c>
      <c r="C3" s="1367" t="str">
        <f>IF(ISBLANK(C8)+ISBLANK(C10),C8,C8&amp;"_"&amp;C10)</f>
        <v>C-HC-009</v>
      </c>
      <c r="D3" s="1367"/>
      <c r="E3" s="1367"/>
      <c r="F3" s="1367"/>
    </row>
    <row r="4" spans="1:18" ht="18.75" customHeight="1" x14ac:dyDescent="0.3">
      <c r="B4" s="624" t="s">
        <v>11</v>
      </c>
      <c r="C4" s="1367" t="str" cm="1">
        <f t="array" ref="C4">_xlfn.SWITCH(LEFT(C8,1),"R","Residential","C","Commercial","ERROR")</f>
        <v>Commercial</v>
      </c>
      <c r="D4" s="1367"/>
      <c r="E4" s="1367"/>
      <c r="F4" s="1367"/>
    </row>
    <row r="5" spans="1:18" ht="29.25" customHeight="1" x14ac:dyDescent="0.3">
      <c r="B5" s="624" t="s">
        <v>408</v>
      </c>
      <c r="C5" s="1458" t="s">
        <v>220</v>
      </c>
      <c r="D5" s="1459"/>
      <c r="E5" s="1459"/>
      <c r="F5" s="1460"/>
      <c r="R5" s="488"/>
    </row>
    <row r="6" spans="1:18" ht="18.75" customHeight="1" x14ac:dyDescent="0.3">
      <c r="A6" s="573"/>
    </row>
    <row r="7" spans="1:18" ht="18.75" customHeight="1" x14ac:dyDescent="0.3">
      <c r="B7" s="1203" t="s">
        <v>507</v>
      </c>
      <c r="C7" s="625" t="s">
        <v>406</v>
      </c>
      <c r="D7" s="1608" t="s">
        <v>410</v>
      </c>
      <c r="E7" s="1608"/>
      <c r="F7" s="1608"/>
      <c r="R7" s="488"/>
    </row>
    <row r="8" spans="1:18" ht="18.75" customHeight="1" x14ac:dyDescent="0.3">
      <c r="B8" s="624" t="s">
        <v>411</v>
      </c>
      <c r="C8" s="1194" t="s">
        <v>87</v>
      </c>
      <c r="D8" s="1547"/>
      <c r="E8" s="1548"/>
      <c r="F8" s="1549"/>
      <c r="R8" s="488"/>
    </row>
    <row r="9" spans="1:18" ht="18.75" customHeight="1" x14ac:dyDescent="0.3">
      <c r="B9" s="624" t="s">
        <v>49</v>
      </c>
      <c r="C9" s="1194" t="s">
        <v>579</v>
      </c>
      <c r="D9" s="1550"/>
      <c r="E9" s="1551"/>
      <c r="F9" s="1552"/>
      <c r="R9" s="488"/>
    </row>
    <row r="10" spans="1:18" ht="18.75" customHeight="1" x14ac:dyDescent="0.3">
      <c r="B10" s="624" t="s">
        <v>412</v>
      </c>
      <c r="C10" s="1194"/>
      <c r="D10" s="1550"/>
      <c r="E10" s="1551"/>
      <c r="F10" s="1552"/>
      <c r="R10" s="488"/>
    </row>
    <row r="11" spans="1:18" ht="18.75" customHeight="1" x14ac:dyDescent="0.3">
      <c r="B11" s="624" t="s">
        <v>413</v>
      </c>
      <c r="C11" s="1194"/>
      <c r="D11" s="1550"/>
      <c r="E11" s="1551"/>
      <c r="F11" s="1552"/>
      <c r="R11" s="488"/>
    </row>
    <row r="12" spans="1:18" ht="18.75" customHeight="1" x14ac:dyDescent="0.3">
      <c r="B12" s="624" t="s">
        <v>414</v>
      </c>
      <c r="C12" s="602"/>
      <c r="D12" s="1550"/>
      <c r="E12" s="1551"/>
      <c r="F12" s="1552"/>
      <c r="R12" s="488"/>
    </row>
    <row r="13" spans="1:18" ht="18.75" customHeight="1" x14ac:dyDescent="0.3">
      <c r="B13" s="952" t="s">
        <v>415</v>
      </c>
      <c r="C13" s="495">
        <f>N43</f>
        <v>0</v>
      </c>
      <c r="D13" s="1550"/>
      <c r="E13" s="1551"/>
      <c r="F13" s="1552"/>
      <c r="R13" s="488"/>
    </row>
    <row r="14" spans="1:18" ht="18.75" customHeight="1" x14ac:dyDescent="0.3">
      <c r="B14" s="626" t="s">
        <v>416</v>
      </c>
      <c r="C14" s="495">
        <f>N42</f>
        <v>0</v>
      </c>
      <c r="D14" s="1550"/>
      <c r="E14" s="1551"/>
      <c r="F14" s="1552"/>
      <c r="R14" s="488"/>
    </row>
    <row r="15" spans="1:18" ht="18.75" customHeight="1" x14ac:dyDescent="0.3">
      <c r="B15" s="626" t="s">
        <v>417</v>
      </c>
      <c r="C15" s="495">
        <f>N44</f>
        <v>0.35741314403356433</v>
      </c>
      <c r="D15" s="1550"/>
      <c r="E15" s="1551"/>
      <c r="F15" s="1552"/>
      <c r="R15" s="488"/>
    </row>
    <row r="16" spans="1:18" ht="18.75" customHeight="1" x14ac:dyDescent="0.3">
      <c r="B16" s="626" t="s">
        <v>418</v>
      </c>
      <c r="C16" s="496">
        <f>C37</f>
        <v>0</v>
      </c>
      <c r="D16" s="1553"/>
      <c r="E16" s="1554"/>
      <c r="F16" s="1555"/>
      <c r="R16" s="488"/>
    </row>
    <row r="17" spans="2:18" ht="18.75" customHeight="1" x14ac:dyDescent="0.3">
      <c r="B17" s="624" t="s">
        <v>48</v>
      </c>
      <c r="C17" s="1194" t="s">
        <v>509</v>
      </c>
      <c r="D17" s="1608" t="s">
        <v>419</v>
      </c>
      <c r="E17" s="1608"/>
      <c r="F17" s="1608"/>
      <c r="R17" s="488"/>
    </row>
    <row r="18" spans="2:18" ht="38.25" customHeight="1" x14ac:dyDescent="0.3">
      <c r="B18" s="624" t="s">
        <v>420</v>
      </c>
      <c r="C18" s="541">
        <v>16.5</v>
      </c>
      <c r="D18" s="1909" t="s">
        <v>1303</v>
      </c>
      <c r="E18" s="1909"/>
      <c r="F18" s="1909"/>
      <c r="R18" s="488"/>
    </row>
    <row r="19" spans="2:18" ht="18.75" customHeight="1" x14ac:dyDescent="0.3">
      <c r="B19" s="627"/>
      <c r="C19" s="576"/>
      <c r="F19" s="623"/>
      <c r="R19" s="488"/>
    </row>
    <row r="20" spans="2:18" ht="18.75" customHeight="1" x14ac:dyDescent="0.3">
      <c r="B20" s="1609" t="s">
        <v>421</v>
      </c>
      <c r="C20" s="1609"/>
      <c r="D20" s="1609"/>
      <c r="E20" s="1609"/>
      <c r="F20" s="1609"/>
      <c r="G20" s="1609"/>
      <c r="H20" s="1609"/>
      <c r="I20" s="1609"/>
      <c r="J20" s="1609"/>
      <c r="K20" s="1609"/>
      <c r="L20" s="1609"/>
      <c r="M20" s="1609"/>
      <c r="N20" s="1609"/>
      <c r="O20" s="1609"/>
      <c r="P20" s="1609"/>
      <c r="Q20" s="1609"/>
      <c r="R20" s="488"/>
    </row>
    <row r="21" spans="2:18" ht="27.75" customHeight="1" x14ac:dyDescent="0.3">
      <c r="B21" s="656" t="s">
        <v>422</v>
      </c>
      <c r="C21" s="1879" t="s">
        <v>221</v>
      </c>
      <c r="D21" s="1879"/>
      <c r="E21" s="1879"/>
      <c r="F21" s="1879"/>
      <c r="G21" s="1879"/>
      <c r="H21" s="1879"/>
      <c r="I21" s="1879"/>
      <c r="J21" s="1879"/>
      <c r="K21" s="1879"/>
      <c r="L21" s="1879"/>
      <c r="M21" s="1879"/>
      <c r="N21" s="1879"/>
      <c r="O21" s="1879"/>
      <c r="P21" s="1879"/>
      <c r="Q21" s="1879"/>
      <c r="R21" s="488"/>
    </row>
    <row r="22" spans="2:18" ht="27" customHeight="1" x14ac:dyDescent="0.3">
      <c r="B22" s="628" t="s">
        <v>423</v>
      </c>
      <c r="C22" s="1910" t="s">
        <v>222</v>
      </c>
      <c r="D22" s="1910"/>
      <c r="E22" s="1910"/>
      <c r="F22" s="1910"/>
      <c r="G22" s="1910"/>
      <c r="H22" s="1910"/>
      <c r="I22" s="1910"/>
      <c r="J22" s="1910"/>
      <c r="K22" s="1910"/>
      <c r="L22" s="1910"/>
      <c r="M22" s="1910"/>
      <c r="N22" s="1910"/>
      <c r="O22" s="1910"/>
      <c r="P22" s="1910"/>
      <c r="Q22" s="1910"/>
      <c r="R22" s="488"/>
    </row>
    <row r="23" spans="2:18" ht="18.75" customHeight="1" x14ac:dyDescent="0.3">
      <c r="B23" s="628"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203" t="s">
        <v>425</v>
      </c>
      <c r="C25" s="625" t="s">
        <v>406</v>
      </c>
      <c r="D25" s="1607" t="s">
        <v>421</v>
      </c>
      <c r="E25" s="1607"/>
      <c r="F25" s="1607"/>
      <c r="G25" s="1607"/>
      <c r="H25" s="1607"/>
      <c r="I25" s="1607"/>
      <c r="J25" s="1607"/>
      <c r="K25" s="1607"/>
      <c r="L25" s="1607"/>
      <c r="M25" s="1607"/>
      <c r="N25" s="1607"/>
      <c r="O25" s="1607"/>
      <c r="P25" s="1607"/>
      <c r="Q25" s="1607"/>
      <c r="R25" s="488"/>
    </row>
    <row r="26" spans="2:18" ht="18.75" customHeight="1" x14ac:dyDescent="0.3">
      <c r="B26" s="624"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624"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624"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624"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624"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203" t="s">
        <v>427</v>
      </c>
      <c r="C32" s="1202" t="s">
        <v>406</v>
      </c>
      <c r="D32" s="625" t="s">
        <v>428</v>
      </c>
      <c r="E32" s="1607" t="s">
        <v>419</v>
      </c>
      <c r="F32" s="1607"/>
      <c r="G32" s="1607"/>
      <c r="H32" s="1607"/>
      <c r="I32" s="1607"/>
      <c r="J32" s="1607"/>
      <c r="K32" s="1607"/>
      <c r="L32" s="1607"/>
      <c r="M32" s="1607"/>
      <c r="N32" s="1607"/>
      <c r="O32" s="1607"/>
      <c r="P32" s="1607"/>
      <c r="Q32" s="1607"/>
    </row>
    <row r="33" spans="2:18" ht="18.75" customHeight="1" x14ac:dyDescent="0.3">
      <c r="B33" s="624" t="s">
        <v>429</v>
      </c>
      <c r="C33" s="953"/>
      <c r="D33" s="586" t="s">
        <v>430</v>
      </c>
      <c r="E33" s="1604"/>
      <c r="F33" s="1605"/>
      <c r="G33" s="1605"/>
      <c r="H33" s="1605"/>
      <c r="I33" s="1605"/>
      <c r="J33" s="1605"/>
      <c r="K33" s="1605"/>
      <c r="L33" s="1605"/>
      <c r="M33" s="1605"/>
      <c r="N33" s="1605"/>
      <c r="O33" s="1605"/>
      <c r="P33" s="1605"/>
      <c r="Q33" s="1606"/>
      <c r="R33" s="488"/>
    </row>
    <row r="34" spans="2:18" ht="16.5" customHeight="1" x14ac:dyDescent="0.3">
      <c r="B34" s="626" t="s">
        <v>431</v>
      </c>
      <c r="C34" s="953"/>
      <c r="D34" s="586" t="s">
        <v>430</v>
      </c>
      <c r="E34" s="1512"/>
      <c r="F34" s="1442"/>
      <c r="G34" s="1442"/>
      <c r="H34" s="1442"/>
      <c r="I34" s="1442"/>
      <c r="J34" s="1442"/>
      <c r="K34" s="1442"/>
      <c r="L34" s="1442"/>
      <c r="M34" s="1442"/>
      <c r="N34" s="1442"/>
      <c r="O34" s="1442"/>
      <c r="P34" s="1442"/>
      <c r="Q34" s="1442"/>
    </row>
    <row r="35" spans="2:18" ht="18.75" customHeight="1" x14ac:dyDescent="0.3">
      <c r="B35" s="624" t="s">
        <v>432</v>
      </c>
      <c r="C35" s="953"/>
      <c r="D35" s="586" t="s">
        <v>430</v>
      </c>
      <c r="E35" s="1604"/>
      <c r="F35" s="1605"/>
      <c r="G35" s="1605"/>
      <c r="H35" s="1605"/>
      <c r="I35" s="1605"/>
      <c r="J35" s="1605"/>
      <c r="K35" s="1605"/>
      <c r="L35" s="1605"/>
      <c r="M35" s="1605"/>
      <c r="N35" s="1605"/>
      <c r="O35" s="1605"/>
      <c r="P35" s="1605"/>
      <c r="Q35" s="1606"/>
    </row>
    <row r="36" spans="2:18" ht="18.75" customHeight="1" x14ac:dyDescent="0.3">
      <c r="B36" s="626" t="s">
        <v>433</v>
      </c>
      <c r="C36" s="629">
        <f>SUM(C33:C34)</f>
        <v>0</v>
      </c>
      <c r="D36" s="586" t="s">
        <v>430</v>
      </c>
      <c r="E36" s="1442"/>
      <c r="F36" s="1442"/>
      <c r="G36" s="1442"/>
      <c r="H36" s="1442"/>
      <c r="I36" s="1442"/>
      <c r="J36" s="1442"/>
      <c r="K36" s="1442"/>
      <c r="L36" s="1442"/>
      <c r="M36" s="1442"/>
      <c r="N36" s="1442"/>
      <c r="O36" s="1442"/>
      <c r="P36" s="1442"/>
      <c r="Q36" s="1442"/>
    </row>
    <row r="37" spans="2:18" ht="21" customHeight="1" x14ac:dyDescent="0.3">
      <c r="B37" s="626" t="s">
        <v>434</v>
      </c>
      <c r="C37" s="629">
        <f>IF(C27="RET",C33+(C34-C35),C34-C35)</f>
        <v>0</v>
      </c>
      <c r="D37" s="586" t="s">
        <v>430</v>
      </c>
      <c r="E37" s="151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630" t="s">
        <v>435</v>
      </c>
      <c r="C39" s="631"/>
      <c r="D39" s="631"/>
      <c r="E39" s="631"/>
      <c r="F39" s="631"/>
      <c r="G39" s="631"/>
      <c r="H39" s="513"/>
      <c r="I39" s="513"/>
      <c r="J39" s="513"/>
      <c r="K39" s="513"/>
      <c r="L39" s="513"/>
      <c r="M39" s="513"/>
      <c r="N39" s="513"/>
      <c r="O39" s="513"/>
      <c r="P39" s="513"/>
      <c r="Q39" s="514"/>
    </row>
    <row r="41" spans="2:18" ht="18.75" customHeight="1" x14ac:dyDescent="0.3">
      <c r="B41" s="632" t="s">
        <v>436</v>
      </c>
      <c r="C41" s="1596" t="s">
        <v>437</v>
      </c>
      <c r="D41" s="1597"/>
      <c r="E41" s="1597"/>
      <c r="F41" s="1597"/>
      <c r="G41" s="1597"/>
      <c r="H41" s="1597"/>
      <c r="I41" s="1597"/>
      <c r="J41" s="1597"/>
      <c r="K41" s="1597"/>
      <c r="L41" s="1597"/>
      <c r="M41" s="1598"/>
      <c r="N41" s="1205" t="s">
        <v>406</v>
      </c>
      <c r="O41" s="1205" t="s">
        <v>428</v>
      </c>
      <c r="P41" s="1599" t="s">
        <v>419</v>
      </c>
      <c r="Q41" s="1599"/>
    </row>
    <row r="42" spans="2:18" ht="18.75" customHeight="1" x14ac:dyDescent="0.3">
      <c r="B42" s="582" t="s">
        <v>438</v>
      </c>
      <c r="C42" s="1380" t="s">
        <v>439</v>
      </c>
      <c r="D42" s="1381"/>
      <c r="E42" s="1381"/>
      <c r="F42" s="1381"/>
      <c r="G42" s="1381"/>
      <c r="H42" s="1381"/>
      <c r="I42" s="1381"/>
      <c r="J42" s="1381"/>
      <c r="K42" s="1381"/>
      <c r="L42" s="1381"/>
      <c r="M42" s="1382"/>
      <c r="N42" s="585">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0</v>
      </c>
      <c r="O43" s="756" t="s">
        <v>443</v>
      </c>
      <c r="P43" s="1510"/>
      <c r="Q43" s="1510"/>
      <c r="R43" s="488"/>
    </row>
    <row r="44" spans="2:18" ht="18.75" customHeight="1" x14ac:dyDescent="0.3">
      <c r="B44" s="582" t="s">
        <v>444</v>
      </c>
      <c r="C44" s="1380" t="s">
        <v>445</v>
      </c>
      <c r="D44" s="1381"/>
      <c r="E44" s="1381"/>
      <c r="F44" s="1381"/>
      <c r="G44" s="1381"/>
      <c r="H44" s="1381"/>
      <c r="I44" s="1381"/>
      <c r="J44" s="1381"/>
      <c r="K44" s="1381"/>
      <c r="L44" s="1381"/>
      <c r="M44" s="1382"/>
      <c r="N44" s="585">
        <f>N50+N56</f>
        <v>0.35741314403356433</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5">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623"/>
      <c r="R46" s="488"/>
    </row>
    <row r="47" spans="2:18" ht="18.75" customHeight="1" x14ac:dyDescent="0.3">
      <c r="B47" s="632" t="s">
        <v>450</v>
      </c>
      <c r="C47" s="1596" t="s">
        <v>451</v>
      </c>
      <c r="D47" s="1597"/>
      <c r="E47" s="1597"/>
      <c r="F47" s="1597"/>
      <c r="G47" s="1597"/>
      <c r="H47" s="1597"/>
      <c r="I47" s="1597"/>
      <c r="J47" s="1597"/>
      <c r="K47" s="1597"/>
      <c r="L47" s="1597"/>
      <c r="M47" s="1598"/>
      <c r="N47" s="1205" t="s">
        <v>406</v>
      </c>
      <c r="O47" s="1205" t="s">
        <v>428</v>
      </c>
      <c r="P47" s="1599" t="s">
        <v>419</v>
      </c>
      <c r="Q47" s="159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933" t="s">
        <v>454</v>
      </c>
      <c r="C49" s="1905" t="s">
        <v>455</v>
      </c>
      <c r="D49" s="1906"/>
      <c r="E49" s="1906"/>
      <c r="F49" s="1906"/>
      <c r="G49" s="1906"/>
      <c r="H49" s="1906"/>
      <c r="I49" s="1906"/>
      <c r="J49" s="1906"/>
      <c r="K49" s="1906"/>
      <c r="L49" s="1906"/>
      <c r="M49" s="1907"/>
      <c r="N49" s="592"/>
      <c r="O49" s="756" t="s">
        <v>443</v>
      </c>
      <c r="P49" s="1510"/>
      <c r="Q49" s="1510"/>
      <c r="R49" s="488"/>
    </row>
    <row r="50" spans="2:18" ht="18.75" customHeight="1" x14ac:dyDescent="0.3">
      <c r="B50" s="582" t="s">
        <v>456</v>
      </c>
      <c r="C50" s="1504" t="s">
        <v>1304</v>
      </c>
      <c r="D50" s="1505"/>
      <c r="E50" s="1505"/>
      <c r="F50" s="1505"/>
      <c r="G50" s="1505"/>
      <c r="H50" s="1505"/>
      <c r="I50" s="1505"/>
      <c r="J50" s="1505"/>
      <c r="K50" s="1505"/>
      <c r="L50" s="1505"/>
      <c r="M50" s="1506"/>
      <c r="N50" s="592">
        <f>H62*H65*((H64-H63)/H63)*D85*D84</f>
        <v>0.35741314403356433</v>
      </c>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623"/>
      <c r="R52" s="488"/>
    </row>
    <row r="53" spans="2:18" ht="18.75" customHeight="1" x14ac:dyDescent="0.3">
      <c r="B53" s="632" t="s">
        <v>460</v>
      </c>
      <c r="C53" s="1596" t="s">
        <v>461</v>
      </c>
      <c r="D53" s="1597"/>
      <c r="E53" s="1597"/>
      <c r="F53" s="1597"/>
      <c r="G53" s="1597"/>
      <c r="H53" s="1597"/>
      <c r="I53" s="1597"/>
      <c r="J53" s="1597"/>
      <c r="K53" s="1597"/>
      <c r="L53" s="1597"/>
      <c r="M53" s="1598"/>
      <c r="N53" s="1205" t="s">
        <v>406</v>
      </c>
      <c r="O53" s="1205" t="s">
        <v>428</v>
      </c>
      <c r="P53" s="1599" t="s">
        <v>419</v>
      </c>
      <c r="Q53" s="1599"/>
      <c r="R53" s="488"/>
    </row>
    <row r="54" spans="2:18" ht="18.75" customHeight="1" x14ac:dyDescent="0.3">
      <c r="B54" s="582" t="s">
        <v>462</v>
      </c>
      <c r="C54" s="1504" t="s">
        <v>463</v>
      </c>
      <c r="D54" s="1505"/>
      <c r="E54" s="1505"/>
      <c r="F54" s="1505"/>
      <c r="G54" s="1505"/>
      <c r="H54" s="1505"/>
      <c r="I54" s="1505"/>
      <c r="J54" s="1505"/>
      <c r="K54" s="1505"/>
      <c r="L54" s="1505"/>
      <c r="M54" s="1506"/>
      <c r="N54" s="592"/>
      <c r="O54" s="1243" t="s">
        <v>440</v>
      </c>
      <c r="P54" s="1511"/>
      <c r="Q54" s="1511"/>
      <c r="R54" s="488"/>
    </row>
    <row r="55" spans="2:18" ht="18.75" customHeight="1" x14ac:dyDescent="0.3">
      <c r="B55" s="582" t="s">
        <v>464</v>
      </c>
      <c r="C55" s="1504" t="s">
        <v>465</v>
      </c>
      <c r="D55" s="1505"/>
      <c r="E55" s="1505"/>
      <c r="F55" s="1505"/>
      <c r="G55" s="1505"/>
      <c r="H55" s="1505"/>
      <c r="I55" s="1505"/>
      <c r="J55" s="1505"/>
      <c r="K55" s="1505"/>
      <c r="L55" s="1505"/>
      <c r="M55" s="1506"/>
      <c r="N55" s="592"/>
      <c r="O55" s="1243" t="s">
        <v>443</v>
      </c>
      <c r="P55" s="1537"/>
      <c r="Q55" s="1538"/>
      <c r="R55" s="488"/>
    </row>
    <row r="56" spans="2:18" ht="18.75" customHeight="1" x14ac:dyDescent="0.3">
      <c r="B56" s="582" t="s">
        <v>466</v>
      </c>
      <c r="C56" s="1504" t="s">
        <v>516</v>
      </c>
      <c r="D56" s="1505"/>
      <c r="E56" s="1505"/>
      <c r="F56" s="1505"/>
      <c r="G56" s="1505"/>
      <c r="H56" s="1505"/>
      <c r="I56" s="1505"/>
      <c r="J56" s="1505"/>
      <c r="K56" s="1505"/>
      <c r="L56" s="1505"/>
      <c r="M56" s="1506"/>
      <c r="N56" s="592"/>
      <c r="O56" s="1243" t="s">
        <v>446</v>
      </c>
      <c r="P56" s="1537"/>
      <c r="Q56" s="1538"/>
      <c r="R56" s="488"/>
    </row>
    <row r="57" spans="2:18" ht="18.75" customHeight="1" x14ac:dyDescent="0.3">
      <c r="B57" s="582" t="s">
        <v>468</v>
      </c>
      <c r="C57" s="1504" t="s">
        <v>469</v>
      </c>
      <c r="D57" s="1505"/>
      <c r="E57" s="1505"/>
      <c r="F57" s="1505"/>
      <c r="G57" s="1505"/>
      <c r="H57" s="1505"/>
      <c r="I57" s="1505"/>
      <c r="J57" s="1505"/>
      <c r="K57" s="1505"/>
      <c r="L57" s="1505"/>
      <c r="M57" s="1506"/>
      <c r="N57" s="592"/>
      <c r="O57" s="1243" t="s">
        <v>449</v>
      </c>
      <c r="P57" s="1511"/>
      <c r="Q57" s="1511"/>
      <c r="R57" s="488"/>
    </row>
    <row r="58" spans="2:18" ht="18.75" customHeight="1" x14ac:dyDescent="0.3">
      <c r="B58" s="599"/>
      <c r="C58" s="577"/>
      <c r="D58" s="578"/>
      <c r="E58" s="578"/>
      <c r="F58" s="578"/>
      <c r="G58" s="578"/>
      <c r="H58" s="578"/>
      <c r="I58" s="578"/>
      <c r="J58" s="578"/>
      <c r="K58" s="578"/>
      <c r="L58" s="578"/>
      <c r="M58" s="578"/>
      <c r="N58" s="578"/>
      <c r="O58" s="578"/>
    </row>
    <row r="59" spans="2:18" ht="18.75" customHeight="1" x14ac:dyDescent="0.3">
      <c r="B59" s="630" t="s">
        <v>470</v>
      </c>
      <c r="C59" s="631"/>
      <c r="D59" s="631"/>
      <c r="E59" s="631"/>
      <c r="F59" s="631"/>
      <c r="G59" s="631"/>
      <c r="H59" s="513"/>
      <c r="I59" s="513"/>
      <c r="J59" s="513"/>
      <c r="K59" s="513"/>
      <c r="L59" s="513"/>
      <c r="M59" s="513"/>
      <c r="N59" s="513"/>
      <c r="O59" s="513"/>
      <c r="P59" s="513"/>
      <c r="Q59" s="514"/>
    </row>
    <row r="61" spans="2:18" ht="18.75" customHeight="1" x14ac:dyDescent="0.3">
      <c r="B61" s="632" t="s">
        <v>471</v>
      </c>
      <c r="C61" s="632" t="s">
        <v>472</v>
      </c>
      <c r="D61" s="1592" t="s">
        <v>473</v>
      </c>
      <c r="E61" s="1592"/>
      <c r="F61" s="632" t="s">
        <v>474</v>
      </c>
      <c r="G61" s="632" t="s">
        <v>475</v>
      </c>
      <c r="H61" s="632" t="s">
        <v>406</v>
      </c>
      <c r="I61" s="632" t="s">
        <v>428</v>
      </c>
      <c r="J61" s="1593" t="s">
        <v>476</v>
      </c>
      <c r="K61" s="1594"/>
      <c r="L61" s="1594"/>
      <c r="M61" s="1594"/>
      <c r="N61" s="1594"/>
      <c r="O61" s="1594"/>
      <c r="P61" s="1594"/>
      <c r="Q61" s="1595"/>
    </row>
    <row r="62" spans="2:18" ht="30" customHeight="1" x14ac:dyDescent="0.3">
      <c r="B62" s="533">
        <v>1</v>
      </c>
      <c r="C62" s="546" t="s">
        <v>530</v>
      </c>
      <c r="D62" s="1539" t="s">
        <v>531</v>
      </c>
      <c r="E62" s="1539"/>
      <c r="F62" s="546" t="str">
        <f>$C$28</f>
        <v>Other</v>
      </c>
      <c r="G62" s="1217" t="str">
        <f>$C$26</f>
        <v>Average</v>
      </c>
      <c r="H62" s="670">
        <f>INDEX(EFLH[#All],MATCH(F62,EFLH[[#All],[EFLH]],0),MATCH(G62,EFLH[#Headers],0))</f>
        <v>2617.8472419520012</v>
      </c>
      <c r="I62" s="1217" t="s">
        <v>532</v>
      </c>
      <c r="J62" s="1462" t="s">
        <v>533</v>
      </c>
      <c r="K62" s="1470"/>
      <c r="L62" s="1470"/>
      <c r="M62" s="1470"/>
      <c r="N62" s="1470"/>
      <c r="O62" s="1470"/>
      <c r="P62" s="1470"/>
      <c r="Q62" s="1471"/>
      <c r="R62" s="488"/>
    </row>
    <row r="63" spans="2:18" ht="34.5" customHeight="1" x14ac:dyDescent="0.3">
      <c r="B63" s="533">
        <v>2</v>
      </c>
      <c r="C63" s="549" t="s">
        <v>583</v>
      </c>
      <c r="D63" s="1556" t="s">
        <v>584</v>
      </c>
      <c r="E63" s="1556"/>
      <c r="F63" s="1238"/>
      <c r="G63" s="1238"/>
      <c r="H63" s="762">
        <f>SpaceHeatingEfficiency.CI.NG</f>
        <v>0.85</v>
      </c>
      <c r="I63" s="1238" t="s">
        <v>519</v>
      </c>
      <c r="J63" s="1437" t="s">
        <v>1029</v>
      </c>
      <c r="K63" s="1448"/>
      <c r="L63" s="1448"/>
      <c r="M63" s="1448"/>
      <c r="N63" s="1448"/>
      <c r="O63" s="1448"/>
      <c r="P63" s="1448"/>
      <c r="Q63" s="1438"/>
      <c r="R63" s="488"/>
    </row>
    <row r="64" spans="2:18" ht="39.75" customHeight="1" x14ac:dyDescent="0.3">
      <c r="B64" s="533">
        <v>3</v>
      </c>
      <c r="C64" s="546" t="s">
        <v>588</v>
      </c>
      <c r="D64" s="1539" t="s">
        <v>589</v>
      </c>
      <c r="E64" s="1539"/>
      <c r="F64" s="609" t="str">
        <f>$H$66</f>
        <v>AFUE 96%</v>
      </c>
      <c r="G64" s="1217" t="s">
        <v>517</v>
      </c>
      <c r="H64" s="954">
        <f>INDEX($B$96:$N$116,MATCH(F64,$C$96:$C$116,0),MATCH($G64,$B$96:$N$96,0))</f>
        <v>0.96</v>
      </c>
      <c r="I64" s="955" t="s">
        <v>519</v>
      </c>
      <c r="J64" s="1914" t="s">
        <v>1305</v>
      </c>
      <c r="K64" s="1915"/>
      <c r="L64" s="1915"/>
      <c r="M64" s="1915"/>
      <c r="N64" s="1915"/>
      <c r="O64" s="1915"/>
      <c r="P64" s="1915"/>
      <c r="Q64" s="1916"/>
      <c r="R64" s="488"/>
    </row>
    <row r="65" spans="2:18" ht="29.25" customHeight="1" x14ac:dyDescent="0.3">
      <c r="B65" s="535">
        <v>4</v>
      </c>
      <c r="C65" s="551" t="s">
        <v>534</v>
      </c>
      <c r="D65" s="1543" t="s">
        <v>1306</v>
      </c>
      <c r="E65" s="1543"/>
      <c r="F65" s="552"/>
      <c r="G65" s="552"/>
      <c r="H65" s="610">
        <v>1000</v>
      </c>
      <c r="I65" s="552" t="s">
        <v>536</v>
      </c>
      <c r="J65" s="1482" t="s">
        <v>537</v>
      </c>
      <c r="K65" s="1544"/>
      <c r="L65" s="1544"/>
      <c r="M65" s="1544"/>
      <c r="N65" s="1544"/>
      <c r="O65" s="1544"/>
      <c r="P65" s="1544"/>
      <c r="Q65" s="1545"/>
      <c r="R65" s="488"/>
    </row>
    <row r="66" spans="2:18" ht="13" x14ac:dyDescent="0.3">
      <c r="B66" s="533">
        <v>5</v>
      </c>
      <c r="C66" s="546" t="s">
        <v>594</v>
      </c>
      <c r="D66" s="1539" t="s">
        <v>595</v>
      </c>
      <c r="E66" s="1539"/>
      <c r="F66" s="1217"/>
      <c r="G66" s="1217"/>
      <c r="H66" s="913" t="s">
        <v>605</v>
      </c>
      <c r="I66" s="955" t="s">
        <v>597</v>
      </c>
      <c r="J66" s="1911" t="s">
        <v>1307</v>
      </c>
      <c r="K66" s="1912"/>
      <c r="L66" s="1912"/>
      <c r="M66" s="1912"/>
      <c r="N66" s="1912"/>
      <c r="O66" s="1912"/>
      <c r="P66" s="1912"/>
      <c r="Q66" s="1913"/>
      <c r="R66" s="488"/>
    </row>
    <row r="67" spans="2:18" ht="13" x14ac:dyDescent="0.3">
      <c r="B67" s="533">
        <v>6</v>
      </c>
      <c r="C67" s="546"/>
      <c r="D67" s="1539"/>
      <c r="E67" s="1539"/>
      <c r="F67" s="1217"/>
      <c r="G67" s="1217"/>
      <c r="H67" s="605"/>
      <c r="I67" s="1217"/>
      <c r="J67" s="1468"/>
      <c r="K67" s="1478"/>
      <c r="L67" s="1478"/>
      <c r="M67" s="1478"/>
      <c r="N67" s="1478"/>
      <c r="O67" s="1478"/>
      <c r="P67" s="1478"/>
      <c r="Q67" s="1469"/>
      <c r="R67" s="488"/>
    </row>
    <row r="68" spans="2:18" ht="34.5" customHeight="1" x14ac:dyDescent="0.3">
      <c r="B68" s="533">
        <v>7</v>
      </c>
      <c r="C68" s="546"/>
      <c r="D68" s="1539"/>
      <c r="E68" s="1539"/>
      <c r="F68" s="1217"/>
      <c r="G68" s="1217"/>
      <c r="H68" s="1217"/>
      <c r="I68" s="1217"/>
      <c r="J68" s="1468"/>
      <c r="K68" s="1478"/>
      <c r="L68" s="1478"/>
      <c r="M68" s="1478"/>
      <c r="N68" s="1478"/>
      <c r="O68" s="1478"/>
      <c r="P68" s="1478"/>
      <c r="Q68" s="1469"/>
      <c r="R68" s="488"/>
    </row>
    <row r="69" spans="2:18" ht="13" x14ac:dyDescent="0.3">
      <c r="B69" s="533">
        <v>8</v>
      </c>
      <c r="C69" s="546"/>
      <c r="D69" s="1539"/>
      <c r="E69" s="1539"/>
      <c r="F69" s="1217"/>
      <c r="G69" s="1217"/>
      <c r="H69" s="605"/>
      <c r="I69" s="1217"/>
      <c r="J69" s="1468"/>
      <c r="K69" s="1478"/>
      <c r="L69" s="1478"/>
      <c r="M69" s="1478"/>
      <c r="N69" s="1478"/>
      <c r="O69" s="1478"/>
      <c r="P69" s="1478"/>
      <c r="Q69" s="1469"/>
      <c r="R69" s="488"/>
    </row>
    <row r="70" spans="2:18" ht="13" x14ac:dyDescent="0.3">
      <c r="B70" s="533">
        <v>9</v>
      </c>
      <c r="C70" s="546"/>
      <c r="D70" s="1539"/>
      <c r="E70" s="1539"/>
      <c r="F70" s="1217"/>
      <c r="G70" s="1217"/>
      <c r="H70" s="956"/>
      <c r="I70" s="1217"/>
      <c r="J70" s="1468"/>
      <c r="K70" s="1478"/>
      <c r="L70" s="1478"/>
      <c r="M70" s="1478"/>
      <c r="N70" s="1478"/>
      <c r="O70" s="1478"/>
      <c r="P70" s="1478"/>
      <c r="Q70" s="1469"/>
      <c r="R70" s="488"/>
    </row>
    <row r="71" spans="2:18" ht="13" x14ac:dyDescent="0.3">
      <c r="B71" s="533">
        <v>10</v>
      </c>
      <c r="C71" s="546"/>
      <c r="D71" s="1539"/>
      <c r="E71" s="1539"/>
      <c r="F71" s="1217"/>
      <c r="G71" s="1217"/>
      <c r="H71" s="676"/>
      <c r="I71" s="1217"/>
      <c r="J71" s="1507"/>
      <c r="K71" s="1514"/>
      <c r="L71" s="1514"/>
      <c r="M71" s="1514"/>
      <c r="N71" s="1514"/>
      <c r="O71" s="1514"/>
      <c r="P71" s="1514"/>
      <c r="Q71" s="1515"/>
      <c r="R71" s="488"/>
    </row>
    <row r="72" spans="2:18" s="634" customFormat="1" ht="13" x14ac:dyDescent="0.3">
      <c r="B72" s="638">
        <v>11</v>
      </c>
      <c r="C72" s="647"/>
      <c r="D72" s="1642"/>
      <c r="E72" s="1643"/>
      <c r="F72" s="673"/>
      <c r="G72" s="674"/>
      <c r="H72" s="673"/>
      <c r="I72" s="674"/>
      <c r="J72" s="1642"/>
      <c r="K72" s="1647"/>
      <c r="L72" s="1647"/>
      <c r="M72" s="1647"/>
      <c r="N72" s="1647"/>
      <c r="O72" s="1647"/>
      <c r="P72" s="1647"/>
      <c r="Q72" s="1643"/>
    </row>
    <row r="73" spans="2:18" s="634" customFormat="1" ht="13" x14ac:dyDescent="0.3">
      <c r="B73" s="638">
        <v>12</v>
      </c>
      <c r="C73" s="647"/>
      <c r="D73" s="1642"/>
      <c r="E73" s="1643"/>
      <c r="F73" s="673"/>
      <c r="G73" s="674"/>
      <c r="H73" s="675"/>
      <c r="I73" s="674"/>
      <c r="J73" s="1644"/>
      <c r="K73" s="1645"/>
      <c r="L73" s="1645"/>
      <c r="M73" s="1645"/>
      <c r="N73" s="1645"/>
      <c r="O73" s="1645"/>
      <c r="P73" s="1645"/>
      <c r="Q73" s="1646"/>
    </row>
    <row r="74" spans="2:18" s="634" customFormat="1" ht="13" x14ac:dyDescent="0.3">
      <c r="B74" s="638">
        <v>13</v>
      </c>
      <c r="C74" s="647"/>
      <c r="D74" s="1642"/>
      <c r="E74" s="1643"/>
      <c r="F74" s="673"/>
      <c r="G74" s="674"/>
      <c r="H74" s="673"/>
      <c r="I74" s="674"/>
      <c r="J74" s="1644"/>
      <c r="K74" s="1645"/>
      <c r="L74" s="1645"/>
      <c r="M74" s="1645"/>
      <c r="N74" s="1645"/>
      <c r="O74" s="1645"/>
      <c r="P74" s="1645"/>
      <c r="Q74" s="1646"/>
    </row>
    <row r="75" spans="2:18" s="623" customFormat="1" ht="13.15" customHeight="1" x14ac:dyDescent="0.3">
      <c r="B75" s="638">
        <v>14</v>
      </c>
      <c r="C75" s="647"/>
      <c r="D75" s="1642"/>
      <c r="E75" s="1643"/>
      <c r="F75" s="673"/>
      <c r="G75" s="674"/>
      <c r="H75" s="673"/>
      <c r="I75" s="674"/>
      <c r="J75" s="1644"/>
      <c r="K75" s="1645"/>
      <c r="L75" s="1645"/>
      <c r="M75" s="1645"/>
      <c r="N75" s="1645"/>
      <c r="O75" s="1645"/>
      <c r="P75" s="1645"/>
      <c r="Q75" s="1646"/>
    </row>
    <row r="76" spans="2:18" s="623" customFormat="1" ht="13" x14ac:dyDescent="0.3">
      <c r="B76" s="638">
        <v>15</v>
      </c>
      <c r="C76" s="647"/>
      <c r="D76" s="1642"/>
      <c r="E76" s="1643"/>
      <c r="F76" s="673"/>
      <c r="G76" s="674"/>
      <c r="H76" s="676"/>
      <c r="I76" s="674"/>
      <c r="J76" s="1644"/>
      <c r="K76" s="1645"/>
      <c r="L76" s="1645"/>
      <c r="M76" s="1645"/>
      <c r="N76" s="1645"/>
      <c r="O76" s="1645"/>
      <c r="P76" s="1645"/>
      <c r="Q76" s="1646"/>
    </row>
    <row r="77" spans="2:18" ht="18.75" customHeight="1" x14ac:dyDescent="0.3">
      <c r="R77" s="488"/>
    </row>
    <row r="78" spans="2:18" ht="18.75" customHeight="1" x14ac:dyDescent="0.3">
      <c r="B78" s="630" t="s">
        <v>477</v>
      </c>
      <c r="C78" s="631"/>
      <c r="D78" s="631"/>
      <c r="E78" s="631"/>
      <c r="F78" s="631"/>
      <c r="G78" s="631"/>
      <c r="H78" s="513"/>
      <c r="I78" s="513"/>
      <c r="J78" s="513"/>
      <c r="K78" s="513"/>
      <c r="L78" s="513"/>
      <c r="M78" s="513"/>
      <c r="N78" s="513"/>
      <c r="O78" s="513"/>
      <c r="P78" s="513"/>
      <c r="Q78" s="514"/>
      <c r="R78" s="488"/>
    </row>
    <row r="79" spans="2:18" ht="18.75" customHeight="1" x14ac:dyDescent="0.3">
      <c r="R79" s="488"/>
    </row>
    <row r="80" spans="2:18" ht="18.75" customHeight="1" x14ac:dyDescent="0.3">
      <c r="B80" s="632" t="s">
        <v>478</v>
      </c>
      <c r="C80" s="632" t="s">
        <v>479</v>
      </c>
      <c r="D80" s="1204" t="s">
        <v>406</v>
      </c>
      <c r="E80" s="1210" t="s">
        <v>428</v>
      </c>
      <c r="F80" s="1562" t="s">
        <v>476</v>
      </c>
      <c r="G80" s="1563"/>
      <c r="H80" s="1563"/>
      <c r="I80" s="1563"/>
      <c r="J80" s="1563"/>
      <c r="K80" s="1563"/>
      <c r="L80" s="1563"/>
      <c r="M80" s="1563"/>
      <c r="N80" s="1563"/>
      <c r="O80" s="1563"/>
      <c r="P80" s="1563"/>
      <c r="Q80" s="1564"/>
      <c r="R80" s="488"/>
    </row>
    <row r="81" spans="2:18" ht="13" x14ac:dyDescent="0.3">
      <c r="B81" s="639">
        <v>1</v>
      </c>
      <c r="C81" s="648" t="s">
        <v>480</v>
      </c>
      <c r="D81" s="649">
        <v>1000</v>
      </c>
      <c r="E81" s="1211" t="s">
        <v>481</v>
      </c>
      <c r="F81" s="1565" t="s">
        <v>482</v>
      </c>
      <c r="G81" s="1566"/>
      <c r="H81" s="1566"/>
      <c r="I81" s="1566"/>
      <c r="J81" s="1566"/>
      <c r="K81" s="1566"/>
      <c r="L81" s="1566"/>
      <c r="M81" s="1566"/>
      <c r="N81" s="1566"/>
      <c r="O81" s="1566"/>
      <c r="P81" s="1566"/>
      <c r="Q81" s="1567"/>
      <c r="R81" s="488"/>
    </row>
    <row r="82" spans="2:18" ht="13" x14ac:dyDescent="0.3">
      <c r="B82" s="639">
        <v>2</v>
      </c>
      <c r="C82" s="648" t="s">
        <v>483</v>
      </c>
      <c r="D82" s="650">
        <f>0.03412*0.10548</f>
        <v>3.5989775999999999E-3</v>
      </c>
      <c r="E82" s="1211" t="s">
        <v>484</v>
      </c>
      <c r="F82" s="1568" t="s">
        <v>485</v>
      </c>
      <c r="G82" s="1569"/>
      <c r="H82" s="1569"/>
      <c r="I82" s="1569"/>
      <c r="J82" s="1569"/>
      <c r="K82" s="1569"/>
      <c r="L82" s="1569"/>
      <c r="M82" s="1569"/>
      <c r="N82" s="1569"/>
      <c r="O82" s="1569"/>
      <c r="P82" s="1569"/>
      <c r="Q82" s="1570"/>
      <c r="R82" s="488"/>
    </row>
    <row r="83" spans="2:18" ht="13" x14ac:dyDescent="0.3">
      <c r="B83" s="639">
        <v>3</v>
      </c>
      <c r="C83" s="648" t="s">
        <v>486</v>
      </c>
      <c r="D83" s="650">
        <v>3.7854099999999999E-3</v>
      </c>
      <c r="E83" s="1211" t="s">
        <v>487</v>
      </c>
      <c r="F83" s="1568" t="s">
        <v>485</v>
      </c>
      <c r="G83" s="1569"/>
      <c r="H83" s="1569"/>
      <c r="I83" s="1569"/>
      <c r="J83" s="1569"/>
      <c r="K83" s="1569"/>
      <c r="L83" s="1569"/>
      <c r="M83" s="1569"/>
      <c r="N83" s="1569"/>
      <c r="O83" s="1569"/>
      <c r="P83" s="1569"/>
      <c r="Q83" s="1570"/>
      <c r="R83" s="488"/>
    </row>
    <row r="84" spans="2:18" ht="13" x14ac:dyDescent="0.3">
      <c r="B84" s="639">
        <v>4</v>
      </c>
      <c r="C84" s="648" t="s">
        <v>488</v>
      </c>
      <c r="D84" s="650">
        <v>0.1055</v>
      </c>
      <c r="E84" s="1211" t="s">
        <v>489</v>
      </c>
      <c r="F84" s="1568" t="s">
        <v>485</v>
      </c>
      <c r="G84" s="1569"/>
      <c r="H84" s="1569"/>
      <c r="I84" s="1569"/>
      <c r="J84" s="1569"/>
      <c r="K84" s="1569"/>
      <c r="L84" s="1569"/>
      <c r="M84" s="1569"/>
      <c r="N84" s="1569"/>
      <c r="O84" s="1569"/>
      <c r="P84" s="1569"/>
      <c r="Q84" s="1570"/>
      <c r="R84" s="488"/>
    </row>
    <row r="85" spans="2:18" ht="13" x14ac:dyDescent="0.3">
      <c r="B85" s="639">
        <v>5</v>
      </c>
      <c r="C85" s="648" t="s">
        <v>490</v>
      </c>
      <c r="D85" s="650">
        <v>1.0000000000000001E-5</v>
      </c>
      <c r="E85" s="1211" t="s">
        <v>491</v>
      </c>
      <c r="F85" s="1568" t="s">
        <v>485</v>
      </c>
      <c r="G85" s="1569"/>
      <c r="H85" s="1569"/>
      <c r="I85" s="1569"/>
      <c r="J85" s="1569"/>
      <c r="K85" s="1569"/>
      <c r="L85" s="1569"/>
      <c r="M85" s="1569"/>
      <c r="N85" s="1569"/>
      <c r="O85" s="1569"/>
      <c r="P85" s="1569"/>
      <c r="Q85" s="1570"/>
      <c r="R85" s="488"/>
    </row>
    <row r="86" spans="2:18" ht="13" x14ac:dyDescent="0.3">
      <c r="B86" s="533">
        <v>6</v>
      </c>
      <c r="C86" s="563"/>
      <c r="D86" s="564"/>
      <c r="E86" s="1211"/>
      <c r="F86" s="1568"/>
      <c r="G86" s="1569"/>
      <c r="H86" s="1569"/>
      <c r="I86" s="1569"/>
      <c r="J86" s="1569"/>
      <c r="K86" s="1569"/>
      <c r="L86" s="1569"/>
      <c r="M86" s="1569"/>
      <c r="N86" s="1569"/>
      <c r="O86" s="1569"/>
      <c r="P86" s="1569"/>
      <c r="Q86" s="1570"/>
      <c r="R86" s="488"/>
    </row>
    <row r="87" spans="2:18" ht="13" x14ac:dyDescent="0.3">
      <c r="B87" s="533">
        <v>7</v>
      </c>
      <c r="C87" s="563"/>
      <c r="D87" s="1233"/>
      <c r="E87" s="1211"/>
      <c r="F87" s="1568"/>
      <c r="G87" s="1569"/>
      <c r="H87" s="1569"/>
      <c r="I87" s="1569"/>
      <c r="J87" s="1569"/>
      <c r="K87" s="1569"/>
      <c r="L87" s="1569"/>
      <c r="M87" s="1569"/>
      <c r="N87" s="1569"/>
      <c r="O87" s="1569"/>
      <c r="P87" s="1569"/>
      <c r="Q87" s="1570"/>
      <c r="R87" s="488"/>
    </row>
    <row r="88" spans="2:18" ht="13" x14ac:dyDescent="0.3">
      <c r="B88" s="533">
        <v>8</v>
      </c>
      <c r="C88" s="563"/>
      <c r="D88" s="564"/>
      <c r="E88" s="1211"/>
      <c r="F88" s="1568"/>
      <c r="G88" s="1569"/>
      <c r="H88" s="1569"/>
      <c r="I88" s="1569"/>
      <c r="J88" s="1569"/>
      <c r="K88" s="1569"/>
      <c r="L88" s="1569"/>
      <c r="M88" s="1569"/>
      <c r="N88" s="1569"/>
      <c r="O88" s="1569"/>
      <c r="P88" s="1569"/>
      <c r="Q88" s="1570"/>
      <c r="R88" s="488"/>
    </row>
    <row r="89" spans="2:18" ht="13" x14ac:dyDescent="0.3">
      <c r="B89" s="533">
        <v>9</v>
      </c>
      <c r="C89" s="563"/>
      <c r="D89" s="1233"/>
      <c r="E89" s="1211"/>
      <c r="F89" s="1568"/>
      <c r="G89" s="1569"/>
      <c r="H89" s="1569"/>
      <c r="I89" s="1569"/>
      <c r="J89" s="1569"/>
      <c r="K89" s="1569"/>
      <c r="L89" s="1569"/>
      <c r="M89" s="1569"/>
      <c r="N89" s="1569"/>
      <c r="O89" s="1569"/>
      <c r="P89" s="1569"/>
      <c r="Q89" s="1570"/>
      <c r="R89" s="488"/>
    </row>
    <row r="90" spans="2:18" ht="13" x14ac:dyDescent="0.3">
      <c r="B90" s="533">
        <v>10</v>
      </c>
      <c r="C90" s="563"/>
      <c r="D90" s="564"/>
      <c r="E90" s="1211"/>
      <c r="F90" s="1568"/>
      <c r="G90" s="1569"/>
      <c r="H90" s="1569"/>
      <c r="I90" s="1569"/>
      <c r="J90" s="1569"/>
      <c r="K90" s="1569"/>
      <c r="L90" s="1569"/>
      <c r="M90" s="1569"/>
      <c r="N90" s="1569"/>
      <c r="O90" s="1569"/>
      <c r="P90" s="1569"/>
      <c r="Q90" s="1570"/>
      <c r="R90" s="488"/>
    </row>
    <row r="91" spans="2:18" ht="18.75" customHeight="1" x14ac:dyDescent="0.3">
      <c r="R91" s="488"/>
    </row>
    <row r="92" spans="2:18" ht="18.75" customHeight="1" x14ac:dyDescent="0.3">
      <c r="B92" s="630" t="s">
        <v>492</v>
      </c>
      <c r="C92" s="631"/>
      <c r="D92" s="631"/>
      <c r="E92" s="631"/>
      <c r="F92" s="631"/>
      <c r="G92" s="631"/>
      <c r="H92" s="513"/>
      <c r="I92" s="513"/>
      <c r="J92" s="513"/>
      <c r="K92" s="513"/>
      <c r="L92" s="513"/>
      <c r="M92" s="513"/>
      <c r="N92" s="513"/>
      <c r="O92" s="513"/>
      <c r="P92" s="513"/>
      <c r="Q92" s="514"/>
      <c r="R92" s="488"/>
    </row>
    <row r="93" spans="2:18" ht="18.75" customHeight="1" x14ac:dyDescent="0.3">
      <c r="R93" s="488"/>
    </row>
    <row r="94" spans="2:18" ht="18.75" customHeight="1" x14ac:dyDescent="0.3">
      <c r="B94" s="635" t="s">
        <v>493</v>
      </c>
      <c r="E94" s="1574" t="s">
        <v>494</v>
      </c>
      <c r="F94" s="1577"/>
      <c r="G94" s="1577"/>
      <c r="H94" s="1577"/>
      <c r="I94" s="1577"/>
      <c r="J94" s="1577"/>
      <c r="K94" s="1577"/>
      <c r="L94" s="1577"/>
      <c r="M94" s="1577"/>
      <c r="N94" s="1577"/>
      <c r="O94" s="1578" t="s">
        <v>476</v>
      </c>
      <c r="P94" s="1579"/>
      <c r="Q94" s="1580"/>
      <c r="R94" s="488"/>
    </row>
    <row r="95" spans="2:18" ht="25.5" customHeight="1" x14ac:dyDescent="0.3">
      <c r="B95" s="1206" t="s">
        <v>1308</v>
      </c>
      <c r="C95" s="1207"/>
      <c r="D95" s="1208"/>
      <c r="E95" s="636" t="s">
        <v>495</v>
      </c>
      <c r="F95" s="636" t="s">
        <v>496</v>
      </c>
      <c r="G95" s="636" t="s">
        <v>497</v>
      </c>
      <c r="H95" s="636" t="s">
        <v>498</v>
      </c>
      <c r="I95" s="636" t="s">
        <v>499</v>
      </c>
      <c r="J95" s="636" t="s">
        <v>500</v>
      </c>
      <c r="K95" s="636" t="s">
        <v>501</v>
      </c>
      <c r="L95" s="636" t="s">
        <v>502</v>
      </c>
      <c r="M95" s="636" t="s">
        <v>503</v>
      </c>
      <c r="N95" s="1209" t="s">
        <v>504</v>
      </c>
      <c r="O95" s="1581"/>
      <c r="P95" s="1582"/>
      <c r="Q95" s="1583"/>
      <c r="R95" s="488"/>
    </row>
    <row r="96" spans="2:18" ht="36.75" customHeight="1" x14ac:dyDescent="0.3">
      <c r="B96" s="1205" t="s">
        <v>478</v>
      </c>
      <c r="C96" s="1574" t="s">
        <v>538</v>
      </c>
      <c r="D96" s="1575"/>
      <c r="E96" s="651" t="s">
        <v>431</v>
      </c>
      <c r="F96" s="651" t="s">
        <v>432</v>
      </c>
      <c r="G96" s="651" t="s">
        <v>434</v>
      </c>
      <c r="H96" s="651" t="s">
        <v>517</v>
      </c>
      <c r="I96" s="651"/>
      <c r="J96" s="651"/>
      <c r="K96" s="651"/>
      <c r="L96" s="651"/>
      <c r="M96" s="651"/>
      <c r="N96" s="652"/>
      <c r="O96" s="1584"/>
      <c r="P96" s="1585"/>
      <c r="Q96" s="1586"/>
      <c r="R96" s="488"/>
    </row>
    <row r="97" spans="2:18" ht="13" x14ac:dyDescent="0.3">
      <c r="B97" s="533">
        <v>1</v>
      </c>
      <c r="C97" s="1217" t="s">
        <v>599</v>
      </c>
      <c r="D97" s="1184"/>
      <c r="E97" s="612">
        <v>2011</v>
      </c>
      <c r="F97" s="612"/>
      <c r="G97" s="612"/>
      <c r="H97" s="676">
        <v>0.8</v>
      </c>
      <c r="I97" s="568"/>
      <c r="J97" s="568"/>
      <c r="K97" s="568"/>
      <c r="L97" s="568"/>
      <c r="M97" s="568"/>
      <c r="N97" s="568"/>
      <c r="O97" s="1501" t="s">
        <v>1309</v>
      </c>
      <c r="P97" s="1502"/>
      <c r="Q97" s="1503"/>
      <c r="R97" s="488"/>
    </row>
    <row r="98" spans="2:18" ht="13" x14ac:dyDescent="0.3">
      <c r="B98" s="533">
        <v>2</v>
      </c>
      <c r="C98" s="1217" t="s">
        <v>600</v>
      </c>
      <c r="D98" s="1184"/>
      <c r="E98" s="612">
        <v>2641</v>
      </c>
      <c r="F98" s="612">
        <f t="shared" ref="F98:F104" si="0">E98-G98</f>
        <v>2011</v>
      </c>
      <c r="G98" s="612">
        <v>630</v>
      </c>
      <c r="H98" s="676">
        <v>0.9</v>
      </c>
      <c r="I98" s="568"/>
      <c r="J98" s="568"/>
      <c r="K98" s="568"/>
      <c r="L98" s="568"/>
      <c r="M98" s="568"/>
      <c r="N98" s="568"/>
      <c r="O98" s="1501" t="s">
        <v>1309</v>
      </c>
      <c r="P98" s="1502"/>
      <c r="Q98" s="1503"/>
      <c r="R98" s="488"/>
    </row>
    <row r="99" spans="2:18" ht="13" x14ac:dyDescent="0.3">
      <c r="B99" s="533">
        <v>3</v>
      </c>
      <c r="C99" s="1217" t="s">
        <v>601</v>
      </c>
      <c r="D99" s="1184"/>
      <c r="E99" s="612">
        <v>2727</v>
      </c>
      <c r="F99" s="612">
        <f t="shared" si="0"/>
        <v>2011</v>
      </c>
      <c r="G99" s="612">
        <v>716</v>
      </c>
      <c r="H99" s="676">
        <v>0.91</v>
      </c>
      <c r="I99" s="568"/>
      <c r="J99" s="568"/>
      <c r="K99" s="568"/>
      <c r="L99" s="568"/>
      <c r="M99" s="568"/>
      <c r="N99" s="568"/>
      <c r="O99" s="1501" t="s">
        <v>1309</v>
      </c>
      <c r="P99" s="1502"/>
      <c r="Q99" s="1503"/>
      <c r="R99" s="488"/>
    </row>
    <row r="100" spans="2:18" ht="13" x14ac:dyDescent="0.3">
      <c r="B100" s="533">
        <v>4</v>
      </c>
      <c r="C100" s="1217" t="s">
        <v>602</v>
      </c>
      <c r="D100" s="1184"/>
      <c r="E100" s="612">
        <v>2813</v>
      </c>
      <c r="F100" s="612">
        <f t="shared" si="0"/>
        <v>2011</v>
      </c>
      <c r="G100" s="612">
        <v>802</v>
      </c>
      <c r="H100" s="676">
        <v>0.92</v>
      </c>
      <c r="I100" s="568"/>
      <c r="J100" s="568"/>
      <c r="K100" s="568"/>
      <c r="L100" s="568"/>
      <c r="M100" s="568"/>
      <c r="N100" s="568"/>
      <c r="O100" s="1501" t="s">
        <v>1309</v>
      </c>
      <c r="P100" s="1502"/>
      <c r="Q100" s="1503"/>
      <c r="R100" s="488"/>
    </row>
    <row r="101" spans="2:18" ht="13" x14ac:dyDescent="0.3">
      <c r="B101" s="533">
        <v>5</v>
      </c>
      <c r="C101" s="1217" t="s">
        <v>603</v>
      </c>
      <c r="D101" s="1184"/>
      <c r="E101" s="612">
        <v>3049</v>
      </c>
      <c r="F101" s="612">
        <f t="shared" si="0"/>
        <v>2011</v>
      </c>
      <c r="G101" s="612">
        <v>1038</v>
      </c>
      <c r="H101" s="676">
        <v>0.93</v>
      </c>
      <c r="I101" s="568"/>
      <c r="J101" s="568"/>
      <c r="K101" s="568"/>
      <c r="L101" s="568"/>
      <c r="M101" s="568"/>
      <c r="N101" s="568"/>
      <c r="O101" s="1501" t="s">
        <v>1309</v>
      </c>
      <c r="P101" s="1502"/>
      <c r="Q101" s="1503"/>
      <c r="R101" s="488"/>
    </row>
    <row r="102" spans="2:18" ht="13" x14ac:dyDescent="0.3">
      <c r="B102" s="533">
        <v>6</v>
      </c>
      <c r="C102" s="1217" t="s">
        <v>604</v>
      </c>
      <c r="D102" s="570"/>
      <c r="E102" s="612">
        <v>3286</v>
      </c>
      <c r="F102" s="612">
        <f t="shared" si="0"/>
        <v>2011</v>
      </c>
      <c r="G102" s="612">
        <v>1275</v>
      </c>
      <c r="H102" s="676">
        <v>0.94</v>
      </c>
      <c r="I102" s="569"/>
      <c r="J102" s="569"/>
      <c r="K102" s="569"/>
      <c r="L102" s="569"/>
      <c r="M102" s="569"/>
      <c r="N102" s="569"/>
      <c r="O102" s="1501" t="s">
        <v>1309</v>
      </c>
      <c r="P102" s="1502"/>
      <c r="Q102" s="1503"/>
      <c r="R102" s="488"/>
    </row>
    <row r="103" spans="2:18" ht="13" x14ac:dyDescent="0.3">
      <c r="B103" s="533">
        <v>7</v>
      </c>
      <c r="C103" s="1217" t="s">
        <v>596</v>
      </c>
      <c r="D103" s="570"/>
      <c r="E103" s="612">
        <v>3522</v>
      </c>
      <c r="F103" s="612">
        <f t="shared" si="0"/>
        <v>2011</v>
      </c>
      <c r="G103" s="612">
        <v>1511</v>
      </c>
      <c r="H103" s="676">
        <v>0.95</v>
      </c>
      <c r="I103" s="569"/>
      <c r="J103" s="569"/>
      <c r="K103" s="569"/>
      <c r="L103" s="569"/>
      <c r="M103" s="569"/>
      <c r="N103" s="569"/>
      <c r="O103" s="1501" t="s">
        <v>1309</v>
      </c>
      <c r="P103" s="1502"/>
      <c r="Q103" s="1503"/>
      <c r="R103" s="488"/>
    </row>
    <row r="104" spans="2:18" ht="13" x14ac:dyDescent="0.3">
      <c r="B104" s="533">
        <v>8</v>
      </c>
      <c r="C104" s="1217" t="s">
        <v>605</v>
      </c>
      <c r="D104" s="570"/>
      <c r="E104" s="612">
        <v>3758</v>
      </c>
      <c r="F104" s="612">
        <f t="shared" si="0"/>
        <v>2011</v>
      </c>
      <c r="G104" s="612">
        <v>1747</v>
      </c>
      <c r="H104" s="676">
        <v>0.96</v>
      </c>
      <c r="I104" s="569"/>
      <c r="J104" s="569"/>
      <c r="K104" s="569"/>
      <c r="L104" s="569"/>
      <c r="M104" s="569"/>
      <c r="N104" s="569"/>
      <c r="O104" s="1501" t="s">
        <v>1309</v>
      </c>
      <c r="P104" s="1502"/>
      <c r="Q104" s="1503"/>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sheetData>
  <sheetProtection algorithmName="SHA-512" hashValue="A2x4dGWvsBm4eTqErbReNhje/WIoAwJ2c3HWmLSJR38YBbWrp5oZXAiBuPq7FpMo/arS9GINfgxGnl/8BpLwag==" saltValue="qVlapHRa1vkwszPzY6TGdQ==" spinCount="100000" sheet="1" objects="1" scenarios="1" selectLockedCells="1" selectUnlockedCells="1"/>
  <mergeCells count="120">
    <mergeCell ref="O113:Q113"/>
    <mergeCell ref="O114:Q114"/>
    <mergeCell ref="O115:Q115"/>
    <mergeCell ref="O116:Q116"/>
    <mergeCell ref="D68:E68"/>
    <mergeCell ref="J68:Q68"/>
    <mergeCell ref="O107:Q107"/>
    <mergeCell ref="O108:Q108"/>
    <mergeCell ref="O109:Q109"/>
    <mergeCell ref="O110:Q110"/>
    <mergeCell ref="O111:Q111"/>
    <mergeCell ref="O112:Q112"/>
    <mergeCell ref="O101:Q101"/>
    <mergeCell ref="O102:Q102"/>
    <mergeCell ref="O103:Q103"/>
    <mergeCell ref="O104:Q104"/>
    <mergeCell ref="O105:Q105"/>
    <mergeCell ref="O106:Q106"/>
    <mergeCell ref="C96:D96"/>
    <mergeCell ref="O97:Q97"/>
    <mergeCell ref="O98:Q98"/>
    <mergeCell ref="O99:Q99"/>
    <mergeCell ref="O100:Q100"/>
    <mergeCell ref="F86:Q86"/>
    <mergeCell ref="F87:Q87"/>
    <mergeCell ref="F88:Q88"/>
    <mergeCell ref="F89:Q89"/>
    <mergeCell ref="F90:Q90"/>
    <mergeCell ref="E94:N94"/>
    <mergeCell ref="O94:Q96"/>
    <mergeCell ref="F80:Q80"/>
    <mergeCell ref="F81:Q81"/>
    <mergeCell ref="F82:Q82"/>
    <mergeCell ref="F83:Q83"/>
    <mergeCell ref="F84:Q84"/>
    <mergeCell ref="F85:Q85"/>
    <mergeCell ref="D75:E75"/>
    <mergeCell ref="J75:Q75"/>
    <mergeCell ref="D76:E76"/>
    <mergeCell ref="J76:Q76"/>
    <mergeCell ref="D71:E71"/>
    <mergeCell ref="J71:Q71"/>
    <mergeCell ref="D72:E72"/>
    <mergeCell ref="J72:Q72"/>
    <mergeCell ref="D73:E73"/>
    <mergeCell ref="J73:Q73"/>
    <mergeCell ref="D69:E69"/>
    <mergeCell ref="J69:Q69"/>
    <mergeCell ref="D70:E70"/>
    <mergeCell ref="J70:Q70"/>
    <mergeCell ref="D64:E64"/>
    <mergeCell ref="J64:Q64"/>
    <mergeCell ref="D65:E65"/>
    <mergeCell ref="J65:Q65"/>
    <mergeCell ref="D74:E74"/>
    <mergeCell ref="J74:Q74"/>
    <mergeCell ref="D62:E62"/>
    <mergeCell ref="J62:Q62"/>
    <mergeCell ref="D63:E63"/>
    <mergeCell ref="J63:Q63"/>
    <mergeCell ref="D67:E67"/>
    <mergeCell ref="J67:Q67"/>
    <mergeCell ref="C56:M56"/>
    <mergeCell ref="P56:Q56"/>
    <mergeCell ref="C57:M57"/>
    <mergeCell ref="P57:Q57"/>
    <mergeCell ref="D61:E61"/>
    <mergeCell ref="J61:Q61"/>
    <mergeCell ref="D66:E66"/>
    <mergeCell ref="J66:Q66"/>
    <mergeCell ref="C53:M53"/>
    <mergeCell ref="P53:Q53"/>
    <mergeCell ref="C54:M54"/>
    <mergeCell ref="P54:Q54"/>
    <mergeCell ref="C55:M55"/>
    <mergeCell ref="P55:Q55"/>
    <mergeCell ref="C49:M49"/>
    <mergeCell ref="P49:Q49"/>
    <mergeCell ref="C50:M50"/>
    <mergeCell ref="P50:Q50"/>
    <mergeCell ref="C51:M51"/>
    <mergeCell ref="P51:Q51"/>
    <mergeCell ref="C45:M45"/>
    <mergeCell ref="P45:Q45"/>
    <mergeCell ref="C47:M47"/>
    <mergeCell ref="P47:Q47"/>
    <mergeCell ref="C48:M48"/>
    <mergeCell ref="P48:Q48"/>
    <mergeCell ref="C42:M42"/>
    <mergeCell ref="P42:Q42"/>
    <mergeCell ref="C43:M43"/>
    <mergeCell ref="P43:Q43"/>
    <mergeCell ref="C44:M44"/>
    <mergeCell ref="P44:Q44"/>
    <mergeCell ref="E34:Q34"/>
    <mergeCell ref="E35:Q35"/>
    <mergeCell ref="E36:Q36"/>
    <mergeCell ref="E37:Q37"/>
    <mergeCell ref="C41:M41"/>
    <mergeCell ref="P41:Q41"/>
    <mergeCell ref="D25:Q25"/>
    <mergeCell ref="D26:Q26"/>
    <mergeCell ref="D27:Q27"/>
    <mergeCell ref="D28:Q28"/>
    <mergeCell ref="E32:Q32"/>
    <mergeCell ref="E33:Q33"/>
    <mergeCell ref="D29:Q29"/>
    <mergeCell ref="D30:Q30"/>
    <mergeCell ref="D17:F17"/>
    <mergeCell ref="D18:F18"/>
    <mergeCell ref="B20:Q20"/>
    <mergeCell ref="C21:Q21"/>
    <mergeCell ref="C22:Q22"/>
    <mergeCell ref="C23:Q23"/>
    <mergeCell ref="C2:F2"/>
    <mergeCell ref="C3:F3"/>
    <mergeCell ref="C4:F4"/>
    <mergeCell ref="C5:F5"/>
    <mergeCell ref="D7:F7"/>
    <mergeCell ref="D8:F16"/>
  </mergeCells>
  <conditionalFormatting sqref="H71">
    <cfRule type="expression" dxfId="3035" priority="40">
      <formula>IF(OR(#REF!="L",#REF!="C"),TRUE,FALSE)</formula>
    </cfRule>
  </conditionalFormatting>
  <conditionalFormatting sqref="H69">
    <cfRule type="expression" dxfId="3034" priority="39">
      <formula>IF(OR(#REF!="L",#REF!="C"),TRUE,FALSE)</formula>
    </cfRule>
  </conditionalFormatting>
  <conditionalFormatting sqref="H70">
    <cfRule type="expression" dxfId="3033" priority="38">
      <formula>IF(OR(#REF!="L",#REF!="C"),TRUE,FALSE)</formula>
    </cfRule>
  </conditionalFormatting>
  <conditionalFormatting sqref="F109:F116 G105:H116">
    <cfRule type="expression" dxfId="3032" priority="37">
      <formula>IF(OR(#REF!="L",#REF!="C"),TRUE,FALSE)</formula>
    </cfRule>
  </conditionalFormatting>
  <conditionalFormatting sqref="E110:E116">
    <cfRule type="expression" dxfId="3031" priority="36">
      <formula>IF(OR(#REF!="L",#REF!="C"),TRUE,FALSE)</formula>
    </cfRule>
  </conditionalFormatting>
  <conditionalFormatting sqref="E107">
    <cfRule type="expression" dxfId="3030" priority="35">
      <formula>IF(OR(#REF!="L",#REF!="C"),TRUE,FALSE)</formula>
    </cfRule>
  </conditionalFormatting>
  <conditionalFormatting sqref="E108">
    <cfRule type="expression" dxfId="3029" priority="34">
      <formula>IF(OR(#REF!="L",#REF!="C"),TRUE,FALSE)</formula>
    </cfRule>
  </conditionalFormatting>
  <conditionalFormatting sqref="E109">
    <cfRule type="expression" dxfId="3028" priority="33">
      <formula>IF(OR(#REF!="L",#REF!="C"),TRUE,FALSE)</formula>
    </cfRule>
  </conditionalFormatting>
  <conditionalFormatting sqref="E106">
    <cfRule type="expression" dxfId="3027" priority="32">
      <formula>IF(OR(#REF!="L",#REF!="C"),TRUE,FALSE)</formula>
    </cfRule>
  </conditionalFormatting>
  <conditionalFormatting sqref="E95 G95 I95 K95 M95">
    <cfRule type="duplicateValues" dxfId="3026" priority="31"/>
  </conditionalFormatting>
  <conditionalFormatting sqref="M104:M116">
    <cfRule type="expression" dxfId="3025" priority="21">
      <formula>IF(OR(#REF!="L",#REF!="C"),TRUE,FALSE)</formula>
    </cfRule>
  </conditionalFormatting>
  <conditionalFormatting sqref="F105:F106">
    <cfRule type="expression" dxfId="3024" priority="30">
      <formula>IF(OR(#REF!="L",#REF!="C"),TRUE,FALSE)</formula>
    </cfRule>
  </conditionalFormatting>
  <conditionalFormatting sqref="I102:I103">
    <cfRule type="expression" dxfId="3023" priority="28">
      <formula>IF(OR(#REF!="L",#REF!="C"),TRUE,FALSE)</formula>
    </cfRule>
  </conditionalFormatting>
  <conditionalFormatting sqref="N102:N103">
    <cfRule type="expression" dxfId="3022" priority="18">
      <formula>IF(OR(#REF!="L",#REF!="C"),TRUE,FALSE)</formula>
    </cfRule>
  </conditionalFormatting>
  <conditionalFormatting sqref="I104:I116">
    <cfRule type="expression" dxfId="3021" priority="29">
      <formula>IF(OR(#REF!="L",#REF!="C"),TRUE,FALSE)</formula>
    </cfRule>
  </conditionalFormatting>
  <conditionalFormatting sqref="J102:J103">
    <cfRule type="expression" dxfId="3020" priority="26">
      <formula>IF(OR(#REF!="L",#REF!="C"),TRUE,FALSE)</formula>
    </cfRule>
  </conditionalFormatting>
  <conditionalFormatting sqref="J104:J116">
    <cfRule type="expression" dxfId="3019" priority="27">
      <formula>IF(OR(#REF!="L",#REF!="C"),TRUE,FALSE)</formula>
    </cfRule>
  </conditionalFormatting>
  <conditionalFormatting sqref="K102:K103">
    <cfRule type="expression" dxfId="3018" priority="24">
      <formula>IF(OR(#REF!="L",#REF!="C"),TRUE,FALSE)</formula>
    </cfRule>
  </conditionalFormatting>
  <conditionalFormatting sqref="K104:K116">
    <cfRule type="expression" dxfId="3017" priority="25">
      <formula>IF(OR(#REF!="L",#REF!="C"),TRUE,FALSE)</formula>
    </cfRule>
  </conditionalFormatting>
  <conditionalFormatting sqref="L102:L103">
    <cfRule type="expression" dxfId="3016" priority="22">
      <formula>IF(OR(#REF!="L",#REF!="C"),TRUE,FALSE)</formula>
    </cfRule>
  </conditionalFormatting>
  <conditionalFormatting sqref="L104:L116">
    <cfRule type="expression" dxfId="3015" priority="23">
      <formula>IF(OR(#REF!="L",#REF!="C"),TRUE,FALSE)</formula>
    </cfRule>
  </conditionalFormatting>
  <conditionalFormatting sqref="M102:M103">
    <cfRule type="expression" dxfId="3014" priority="20">
      <formula>IF(OR(#REF!="L",#REF!="C"),TRUE,FALSE)</formula>
    </cfRule>
  </conditionalFormatting>
  <conditionalFormatting sqref="N104:N116">
    <cfRule type="expression" dxfId="3013" priority="19">
      <formula>IF(OR(#REF!="L",#REF!="C"),TRUE,FALSE)</formula>
    </cfRule>
  </conditionalFormatting>
  <conditionalFormatting sqref="O105:O116">
    <cfRule type="expression" dxfId="3012" priority="17">
      <formula>IF(OR(#REF!="L",#REF!="C"),TRUE,FALSE)</formula>
    </cfRule>
  </conditionalFormatting>
  <conditionalFormatting sqref="I96:N96">
    <cfRule type="duplicateValues" dxfId="3011" priority="15"/>
  </conditionalFormatting>
  <conditionalFormatting sqref="E96">
    <cfRule type="duplicateValues" dxfId="3010" priority="14"/>
  </conditionalFormatting>
  <conditionalFormatting sqref="H65">
    <cfRule type="expression" dxfId="3009" priority="13">
      <formula>IF(OR(#REF!="L",#REF!="C"),TRUE,FALSE)</formula>
    </cfRule>
  </conditionalFormatting>
  <conditionalFormatting sqref="H72">
    <cfRule type="expression" dxfId="3008" priority="11">
      <formula>IF(OR(#REF!="L",#REF!="C"),TRUE,FALSE)</formula>
    </cfRule>
  </conditionalFormatting>
  <conditionalFormatting sqref="H73">
    <cfRule type="expression" dxfId="3007" priority="10">
      <formula>IF(OR(#REF!="L",#REF!="C"),TRUE,FALSE)</formula>
    </cfRule>
  </conditionalFormatting>
  <conditionalFormatting sqref="H74">
    <cfRule type="expression" dxfId="3006" priority="9">
      <formula>IF(OR(#REF!="L",#REF!="C"),TRUE,FALSE)</formula>
    </cfRule>
  </conditionalFormatting>
  <conditionalFormatting sqref="H75">
    <cfRule type="expression" dxfId="3005" priority="8">
      <formula>IF(OR(#REF!="L",#REF!="C"),TRUE,FALSE)</formula>
    </cfRule>
  </conditionalFormatting>
  <conditionalFormatting sqref="H76">
    <cfRule type="expression" dxfId="3004" priority="7">
      <formula>IF(OR(#REF!="L",#REF!="C"),TRUE,FALSE)</formula>
    </cfRule>
  </conditionalFormatting>
  <conditionalFormatting sqref="H66">
    <cfRule type="expression" dxfId="3003" priority="6">
      <formula>IF(OR(#REF!="L",#REF!="C"),TRUE,FALSE)</formula>
    </cfRule>
  </conditionalFormatting>
  <conditionalFormatting sqref="H96">
    <cfRule type="duplicateValues" dxfId="3002" priority="5"/>
  </conditionalFormatting>
  <conditionalFormatting sqref="G96">
    <cfRule type="duplicateValues" dxfId="3001" priority="4"/>
  </conditionalFormatting>
  <conditionalFormatting sqref="F96">
    <cfRule type="duplicateValues" dxfId="3000" priority="3"/>
  </conditionalFormatting>
  <conditionalFormatting sqref="H67:H68">
    <cfRule type="expression" dxfId="2999" priority="1">
      <formula>IF(OR(#REF!="L",#REF!="C"),TRUE,FALSE)</formula>
    </cfRule>
  </conditionalFormatting>
  <dataValidations count="8">
    <dataValidation type="list" allowBlank="1" showInputMessage="1" showErrorMessage="1" sqref="H66" xr:uid="{F73169F8-FE74-441C-B188-74A0810EA83E}">
      <formula1>$C$97:$C$116</formula1>
    </dataValidation>
    <dataValidation type="list" allowBlank="1" showInputMessage="1" showErrorMessage="1" sqref="C4" xr:uid="{B5317437-B110-444F-98A3-B9CF6D3F7B1E}">
      <formula1>"COM,RES"</formula1>
    </dataValidation>
    <dataValidation type="list" allowBlank="1" showInputMessage="1" showErrorMessage="1" sqref="F72:F74" xr:uid="{510BAC55-6506-4761-A0D5-44E9DB6BB237}">
      <formula1>$C$102:$C$107</formula1>
    </dataValidation>
    <dataValidation type="list" allowBlank="1" showInputMessage="1" showErrorMessage="1" sqref="C9" xr:uid="{6604EE17-296C-40E8-A07D-D29BB19A405E}">
      <formula1>INDIRECT("MeasureTypeList[Index]")</formula1>
    </dataValidation>
    <dataValidation type="list" allowBlank="1" showInputMessage="1" showErrorMessage="1" sqref="C26" xr:uid="{909DF093-7AE6-4530-9C19-2E7C174964AA}">
      <formula1>INDIRECT("RegionList[Index]")</formula1>
    </dataValidation>
    <dataValidation type="list" allowBlank="1" showInputMessage="1" showErrorMessage="1" sqref="C27" xr:uid="{93275658-F5B6-4942-8426-B630B33E2835}">
      <formula1>INDIRECT("ReplacementTypeList[Index]")</formula1>
    </dataValidation>
    <dataValidation type="list" allowBlank="1" showInputMessage="1" showErrorMessage="1" sqref="C28" xr:uid="{4BA89EB4-14C0-49A8-859A-3D2FA401FF98}">
      <formula1>INDIRECT("BuildingType[Building]")</formula1>
    </dataValidation>
    <dataValidation type="list" allowBlank="1" showInputMessage="1" showErrorMessage="1" sqref="C29 C30" xr:uid="{43F0391D-E007-4E6E-A5E7-D29137F9FF99}">
      <formula1>INDIRECT("FuelTypeList[Index]")</formula1>
    </dataValidation>
  </dataValidations>
  <hyperlinks>
    <hyperlink ref="F82" r:id="rId1" xr:uid="{C0C26E59-903B-468F-8C9A-91A40F3A3869}"/>
    <hyperlink ref="F83" r:id="rId2" xr:uid="{FD74BDF2-223B-469C-A6CA-F0EE63C26D13}"/>
    <hyperlink ref="F85" r:id="rId3" xr:uid="{A6115BAA-8E62-49DF-BCB2-B1A4366694DE}"/>
    <hyperlink ref="F84" r:id="rId4" xr:uid="{D03C4A67-54FB-4E61-A729-7FCC15DB454A}"/>
  </hyperlinks>
  <pageMargins left="0.7" right="0.7" top="0.75" bottom="0.75" header="0.3" footer="0.3"/>
  <pageSetup orientation="portrait" r:id="rId5"/>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8B72D-9F08-423D-82C4-EEDC45D84576}">
  <sheetPr codeName="Sheet35"/>
  <dimension ref="A2:R164"/>
  <sheetViews>
    <sheetView topLeftCell="A7" workbookViewId="0">
      <selection activeCell="C21" sqref="C21:Q21"/>
    </sheetView>
  </sheetViews>
  <sheetFormatPr defaultColWidth="9.08984375" defaultRowHeight="18.75" customHeight="1" x14ac:dyDescent="0.3"/>
  <cols>
    <col min="1" max="1" width="2.36328125" style="488" customWidth="1"/>
    <col min="2" max="2" width="42.08984375" style="488" bestFit="1" customWidth="1"/>
    <col min="3" max="3" width="30.6328125" style="488" customWidth="1"/>
    <col min="4" max="4" width="21.6328125" style="488" customWidth="1"/>
    <col min="5" max="5" width="15.81640625" style="488" customWidth="1"/>
    <col min="6" max="6" width="15.6328125" style="488" customWidth="1"/>
    <col min="7" max="7" width="19.6328125" style="488" customWidth="1"/>
    <col min="8" max="8" width="16" style="488" customWidth="1"/>
    <col min="9" max="9" width="12.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C-HC-010</v>
      </c>
      <c r="D3" s="1367"/>
      <c r="E3" s="1367"/>
      <c r="F3" s="1367"/>
    </row>
    <row r="4" spans="1:18" ht="18.75" customHeight="1" x14ac:dyDescent="0.3">
      <c r="B4" s="490" t="s">
        <v>11</v>
      </c>
      <c r="C4" s="1367" t="str" cm="1">
        <f t="array" ref="C4">_xlfn.SWITCH(LEFT(C8,1),"R","Residential","C","Commercial","ERROR")</f>
        <v>Commercial</v>
      </c>
      <c r="D4" s="1367"/>
      <c r="E4" s="1367"/>
      <c r="F4" s="1367"/>
    </row>
    <row r="5" spans="1:18" ht="29.25" customHeight="1" x14ac:dyDescent="0.3">
      <c r="B5" s="490" t="s">
        <v>408</v>
      </c>
      <c r="C5" s="1530" t="s">
        <v>223</v>
      </c>
      <c r="D5" s="1531"/>
      <c r="E5" s="1531"/>
      <c r="F5" s="1532"/>
      <c r="R5" s="488"/>
    </row>
    <row r="6" spans="1:18" ht="18.75" customHeight="1" x14ac:dyDescent="0.3">
      <c r="A6" s="573"/>
    </row>
    <row r="7" spans="1:18" ht="18.75" customHeight="1" x14ac:dyDescent="0.3">
      <c r="B7" s="1193" t="s">
        <v>507</v>
      </c>
      <c r="C7" s="493" t="s">
        <v>406</v>
      </c>
      <c r="D7" s="1366" t="s">
        <v>410</v>
      </c>
      <c r="E7" s="1366"/>
      <c r="F7" s="1366"/>
      <c r="R7" s="488"/>
    </row>
    <row r="8" spans="1:18" ht="18.75" customHeight="1" x14ac:dyDescent="0.3">
      <c r="B8" s="490" t="s">
        <v>411</v>
      </c>
      <c r="C8" s="1194" t="s">
        <v>89</v>
      </c>
      <c r="D8" s="1521" t="s">
        <v>1310</v>
      </c>
      <c r="E8" s="1522"/>
      <c r="F8" s="1523"/>
      <c r="R8" s="488"/>
    </row>
    <row r="9" spans="1:18" ht="18.75" customHeight="1" x14ac:dyDescent="0.3">
      <c r="B9" s="490" t="s">
        <v>49</v>
      </c>
      <c r="C9" s="1194" t="s">
        <v>579</v>
      </c>
      <c r="D9" s="1524"/>
      <c r="E9" s="1525"/>
      <c r="F9" s="1526"/>
      <c r="R9" s="488"/>
    </row>
    <row r="10" spans="1:18" ht="18.75" customHeight="1" x14ac:dyDescent="0.3">
      <c r="B10" s="490" t="s">
        <v>412</v>
      </c>
      <c r="C10" s="1194"/>
      <c r="D10" s="1524"/>
      <c r="E10" s="1525"/>
      <c r="F10" s="1526"/>
      <c r="R10" s="488"/>
    </row>
    <row r="11" spans="1:18" ht="18.75" customHeight="1" x14ac:dyDescent="0.3">
      <c r="B11" s="490" t="s">
        <v>413</v>
      </c>
      <c r="C11" s="1194"/>
      <c r="D11" s="1524"/>
      <c r="E11" s="1525"/>
      <c r="F11" s="1526"/>
      <c r="R11" s="488"/>
    </row>
    <row r="12" spans="1:18" ht="18.75" customHeight="1" x14ac:dyDescent="0.3">
      <c r="B12" s="490" t="s">
        <v>414</v>
      </c>
      <c r="C12" s="602"/>
      <c r="D12" s="1524"/>
      <c r="E12" s="1525"/>
      <c r="F12" s="1526"/>
      <c r="R12" s="488"/>
    </row>
    <row r="13" spans="1:18" ht="18.75" customHeight="1" x14ac:dyDescent="0.3">
      <c r="B13" s="494" t="s">
        <v>415</v>
      </c>
      <c r="C13" s="495">
        <f>N43</f>
        <v>30.423008572739246</v>
      </c>
      <c r="D13" s="1524"/>
      <c r="E13" s="1525"/>
      <c r="F13" s="1526"/>
      <c r="R13" s="488"/>
    </row>
    <row r="14" spans="1:18" ht="18.75" customHeight="1" x14ac:dyDescent="0.3">
      <c r="B14" s="494" t="s">
        <v>416</v>
      </c>
      <c r="C14" s="495">
        <f>N42</f>
        <v>0</v>
      </c>
      <c r="D14" s="1524"/>
      <c r="E14" s="1525"/>
      <c r="F14" s="1526"/>
      <c r="R14" s="488"/>
    </row>
    <row r="15" spans="1:18" ht="18.75" customHeight="1" x14ac:dyDescent="0.3">
      <c r="B15" s="494" t="s">
        <v>417</v>
      </c>
      <c r="C15" s="495">
        <f>N44</f>
        <v>70.71784568266807</v>
      </c>
      <c r="D15" s="1524"/>
      <c r="E15" s="1525"/>
      <c r="F15" s="1526"/>
      <c r="R15" s="488"/>
    </row>
    <row r="16" spans="1:18" ht="18.75" customHeight="1" x14ac:dyDescent="0.3">
      <c r="B16" s="494" t="s">
        <v>418</v>
      </c>
      <c r="C16" s="496">
        <f>C37</f>
        <v>0</v>
      </c>
      <c r="D16" s="1527"/>
      <c r="E16" s="1528"/>
      <c r="F16" s="1529"/>
      <c r="R16" s="488"/>
    </row>
    <row r="17" spans="2:18" ht="18.75" customHeight="1" x14ac:dyDescent="0.3">
      <c r="B17" s="490" t="s">
        <v>48</v>
      </c>
      <c r="C17" s="1194" t="s">
        <v>1311</v>
      </c>
      <c r="D17" s="1366" t="s">
        <v>419</v>
      </c>
      <c r="E17" s="1366"/>
      <c r="F17" s="1366"/>
      <c r="R17" s="488"/>
    </row>
    <row r="18" spans="2:18" ht="18.75" customHeight="1" x14ac:dyDescent="0.3">
      <c r="B18" s="490" t="s">
        <v>420</v>
      </c>
      <c r="C18" s="1194">
        <v>15</v>
      </c>
      <c r="D18" s="958" t="s">
        <v>1312</v>
      </c>
      <c r="E18" s="958"/>
      <c r="F18" s="958"/>
      <c r="R18" s="488"/>
    </row>
    <row r="19" spans="2:18" ht="18.75" customHeight="1" x14ac:dyDescent="0.3">
      <c r="B19" s="497"/>
      <c r="C19" s="576"/>
      <c r="F19" s="489"/>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27.75" customHeight="1" x14ac:dyDescent="0.3">
      <c r="B21" s="499" t="s">
        <v>422</v>
      </c>
      <c r="C21" s="1879" t="s">
        <v>224</v>
      </c>
      <c r="D21" s="1879"/>
      <c r="E21" s="1879"/>
      <c r="F21" s="1879"/>
      <c r="G21" s="1879"/>
      <c r="H21" s="1879"/>
      <c r="I21" s="1879"/>
      <c r="J21" s="1879"/>
      <c r="K21" s="1879"/>
      <c r="L21" s="1879"/>
      <c r="M21" s="1879"/>
      <c r="N21" s="1879"/>
      <c r="O21" s="1879"/>
      <c r="P21" s="1879"/>
      <c r="Q21" s="1879"/>
      <c r="R21" s="488"/>
    </row>
    <row r="22" spans="2:18" ht="27" customHeight="1" x14ac:dyDescent="0.3">
      <c r="B22" s="500" t="s">
        <v>423</v>
      </c>
      <c r="C22" s="1535" t="s">
        <v>225</v>
      </c>
      <c r="D22" s="1535"/>
      <c r="E22" s="1535"/>
      <c r="F22" s="1535"/>
      <c r="G22" s="1535"/>
      <c r="H22" s="1535"/>
      <c r="I22" s="1535"/>
      <c r="J22" s="1535"/>
      <c r="K22" s="1535"/>
      <c r="L22" s="1535"/>
      <c r="M22" s="1535"/>
      <c r="N22" s="1535"/>
      <c r="O22" s="1535"/>
      <c r="P22" s="1535"/>
      <c r="Q22" s="1535"/>
      <c r="R22" s="488"/>
    </row>
    <row r="23" spans="2:18" ht="18.75" customHeight="1"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3" x14ac:dyDescent="0.3">
      <c r="B33" s="490" t="s">
        <v>429</v>
      </c>
      <c r="C33" s="959"/>
      <c r="D33" s="586" t="s">
        <v>430</v>
      </c>
      <c r="E33" s="1475"/>
      <c r="F33" s="1476"/>
      <c r="G33" s="1476"/>
      <c r="H33" s="1476"/>
      <c r="I33" s="1476"/>
      <c r="J33" s="1476"/>
      <c r="K33" s="1476"/>
      <c r="L33" s="1476"/>
      <c r="M33" s="1476"/>
      <c r="N33" s="1476"/>
      <c r="O33" s="1476"/>
      <c r="P33" s="1476"/>
      <c r="Q33" s="1477"/>
      <c r="R33" s="488"/>
    </row>
    <row r="34" spans="2:18" ht="13" x14ac:dyDescent="0.3">
      <c r="B34" s="494" t="s">
        <v>431</v>
      </c>
      <c r="C34" s="959"/>
      <c r="D34" s="586" t="s">
        <v>430</v>
      </c>
      <c r="E34" s="1475"/>
      <c r="F34" s="1476"/>
      <c r="G34" s="1476"/>
      <c r="H34" s="1476"/>
      <c r="I34" s="1476"/>
      <c r="J34" s="1476"/>
      <c r="K34" s="1476"/>
      <c r="L34" s="1476"/>
      <c r="M34" s="1476"/>
      <c r="N34" s="1476"/>
      <c r="O34" s="1476"/>
      <c r="P34" s="1476"/>
      <c r="Q34" s="1477"/>
    </row>
    <row r="35" spans="2:18" ht="13" x14ac:dyDescent="0.3">
      <c r="B35" s="490" t="s">
        <v>432</v>
      </c>
      <c r="C35" s="959"/>
      <c r="D35" s="586" t="s">
        <v>430</v>
      </c>
      <c r="E35" s="1475"/>
      <c r="F35" s="1476"/>
      <c r="G35" s="1476"/>
      <c r="H35" s="1476"/>
      <c r="I35" s="1476"/>
      <c r="J35" s="1476"/>
      <c r="K35" s="1476"/>
      <c r="L35" s="1476"/>
      <c r="M35" s="1476"/>
      <c r="N35" s="1476"/>
      <c r="O35" s="1476"/>
      <c r="P35" s="1476"/>
      <c r="Q35" s="1477"/>
    </row>
    <row r="36" spans="2:18" ht="13" x14ac:dyDescent="0.3">
      <c r="B36" s="494" t="s">
        <v>433</v>
      </c>
      <c r="C36" s="504">
        <f>SUM(C33:C34)</f>
        <v>0</v>
      </c>
      <c r="D36" s="586" t="s">
        <v>430</v>
      </c>
      <c r="E36" s="1442"/>
      <c r="F36" s="1442"/>
      <c r="G36" s="1442"/>
      <c r="H36" s="1442"/>
      <c r="I36" s="1442"/>
      <c r="J36" s="1442"/>
      <c r="K36" s="1442"/>
      <c r="L36" s="1442"/>
      <c r="M36" s="1442"/>
      <c r="N36" s="1442"/>
      <c r="O36" s="1442"/>
      <c r="P36" s="1442"/>
      <c r="Q36" s="1442"/>
    </row>
    <row r="37" spans="2:18" ht="13" x14ac:dyDescent="0.3">
      <c r="B37" s="494" t="s">
        <v>434</v>
      </c>
      <c r="C37" s="504">
        <f>IF(C27="RET",C33+(C34-C35),C34-C35)</f>
        <v>0</v>
      </c>
      <c r="D37" s="586" t="s">
        <v>430</v>
      </c>
      <c r="E37" s="151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5">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30.423008572739246</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5">
        <f>N50+N56</f>
        <v>70.71784568266807</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5">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1313</v>
      </c>
      <c r="D49" s="1505"/>
      <c r="E49" s="1505"/>
      <c r="F49" s="1505"/>
      <c r="G49" s="1505"/>
      <c r="H49" s="1505"/>
      <c r="I49" s="1505"/>
      <c r="J49" s="1505"/>
      <c r="K49" s="1505"/>
      <c r="L49" s="1505"/>
      <c r="M49" s="1506"/>
      <c r="N49" s="592">
        <f>H64 * (1 - H65) * H63</f>
        <v>30.423008572739246</v>
      </c>
      <c r="O49" s="1243" t="s">
        <v>443</v>
      </c>
      <c r="P49" s="1511" t="s">
        <v>1314</v>
      </c>
      <c r="Q49" s="1511"/>
      <c r="R49" s="488"/>
    </row>
    <row r="50" spans="2:18" ht="34.15" customHeight="1" x14ac:dyDescent="0.3">
      <c r="B50" s="582" t="s">
        <v>456</v>
      </c>
      <c r="C50" s="1600" t="s">
        <v>1315</v>
      </c>
      <c r="D50" s="1601"/>
      <c r="E50" s="1601"/>
      <c r="F50" s="1601"/>
      <c r="G50" s="1601"/>
      <c r="H50" s="1601"/>
      <c r="I50" s="1601"/>
      <c r="J50" s="1601"/>
      <c r="K50" s="1601"/>
      <c r="L50" s="1601"/>
      <c r="M50" s="1602"/>
      <c r="N50" s="592">
        <f>(H67 - H68)/DeltaC_per_DeltaF * D88 * H64 * (1 - H65) * H66 * H62 * H69 / 24 / H70 *GJ_per_BTU</f>
        <v>70.71784568266807</v>
      </c>
      <c r="O50" s="1243" t="s">
        <v>446</v>
      </c>
      <c r="P50" s="1511" t="s">
        <v>1314</v>
      </c>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c r="R53" s="488"/>
    </row>
    <row r="54" spans="2:18" ht="18.75" customHeight="1" x14ac:dyDescent="0.3">
      <c r="B54" s="582" t="s">
        <v>462</v>
      </c>
      <c r="C54" s="1504" t="s">
        <v>463</v>
      </c>
      <c r="D54" s="1505"/>
      <c r="E54" s="1505"/>
      <c r="F54" s="1505"/>
      <c r="G54" s="1505"/>
      <c r="H54" s="1505"/>
      <c r="I54" s="1505"/>
      <c r="J54" s="1505"/>
      <c r="K54" s="1505"/>
      <c r="L54" s="1505"/>
      <c r="M54" s="1506"/>
      <c r="N54" s="592"/>
      <c r="O54" s="1243" t="s">
        <v>440</v>
      </c>
      <c r="P54" s="1511"/>
      <c r="Q54" s="1511"/>
      <c r="R54" s="488"/>
    </row>
    <row r="55" spans="2:18" ht="18.75" customHeight="1" x14ac:dyDescent="0.3">
      <c r="B55" s="582" t="s">
        <v>464</v>
      </c>
      <c r="C55" s="1504" t="s">
        <v>465</v>
      </c>
      <c r="D55" s="1505"/>
      <c r="E55" s="1505"/>
      <c r="F55" s="1505"/>
      <c r="G55" s="1505"/>
      <c r="H55" s="1505"/>
      <c r="I55" s="1505"/>
      <c r="J55" s="1505"/>
      <c r="K55" s="1505"/>
      <c r="L55" s="1505"/>
      <c r="M55" s="1506"/>
      <c r="N55" s="592"/>
      <c r="O55" s="1243" t="s">
        <v>443</v>
      </c>
      <c r="P55" s="1537"/>
      <c r="Q55" s="1538"/>
      <c r="R55" s="488"/>
    </row>
    <row r="56" spans="2:18" ht="18.75" customHeight="1" x14ac:dyDescent="0.3">
      <c r="B56" s="582" t="s">
        <v>466</v>
      </c>
      <c r="C56" s="1504" t="s">
        <v>516</v>
      </c>
      <c r="D56" s="1505"/>
      <c r="E56" s="1505"/>
      <c r="F56" s="1505"/>
      <c r="G56" s="1505"/>
      <c r="H56" s="1505"/>
      <c r="I56" s="1505"/>
      <c r="J56" s="1505"/>
      <c r="K56" s="1505"/>
      <c r="L56" s="1505"/>
      <c r="M56" s="1506"/>
      <c r="N56" s="592"/>
      <c r="O56" s="1243" t="s">
        <v>446</v>
      </c>
      <c r="P56" s="1537"/>
      <c r="Q56" s="1538"/>
      <c r="R56" s="488"/>
    </row>
    <row r="57" spans="2:18" ht="18.75" customHeight="1" x14ac:dyDescent="0.3">
      <c r="B57" s="582" t="s">
        <v>468</v>
      </c>
      <c r="C57" s="1504" t="s">
        <v>469</v>
      </c>
      <c r="D57" s="1505"/>
      <c r="E57" s="1505"/>
      <c r="F57" s="1505"/>
      <c r="G57" s="1505"/>
      <c r="H57" s="1505"/>
      <c r="I57" s="1505"/>
      <c r="J57" s="1505"/>
      <c r="K57" s="1505"/>
      <c r="L57" s="1505"/>
      <c r="M57" s="1506"/>
      <c r="N57" s="592"/>
      <c r="O57" s="1243" t="s">
        <v>449</v>
      </c>
      <c r="P57" s="1511"/>
      <c r="Q57" s="1511"/>
      <c r="R57" s="488"/>
    </row>
    <row r="58" spans="2:18" ht="18.75" customHeight="1" x14ac:dyDescent="0.3">
      <c r="B58" s="599"/>
      <c r="C58" s="577"/>
      <c r="D58" s="578"/>
      <c r="E58" s="578"/>
      <c r="F58" s="578"/>
      <c r="G58" s="578"/>
      <c r="H58" s="578"/>
      <c r="I58" s="578"/>
      <c r="J58" s="578"/>
      <c r="K58" s="578"/>
      <c r="L58" s="578"/>
      <c r="M58" s="578"/>
      <c r="N58" s="578"/>
      <c r="O58" s="578"/>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506" t="s">
        <v>406</v>
      </c>
      <c r="I61" s="506" t="s">
        <v>428</v>
      </c>
      <c r="J61" s="1396" t="s">
        <v>476</v>
      </c>
      <c r="K61" s="1397"/>
      <c r="L61" s="1397"/>
      <c r="M61" s="1397"/>
      <c r="N61" s="1397"/>
      <c r="O61" s="1397"/>
      <c r="P61" s="1397"/>
      <c r="Q61" s="1398"/>
    </row>
    <row r="62" spans="2:18" ht="24" customHeight="1" x14ac:dyDescent="0.3">
      <c r="B62" s="533">
        <v>1</v>
      </c>
      <c r="C62" s="546" t="s">
        <v>530</v>
      </c>
      <c r="D62" s="1539" t="s">
        <v>531</v>
      </c>
      <c r="E62" s="1539"/>
      <c r="F62" s="569" t="str">
        <f>$C$28</f>
        <v>Other</v>
      </c>
      <c r="G62" s="1217" t="str">
        <f>$C$26</f>
        <v>Average</v>
      </c>
      <c r="H62" s="670">
        <f>INDEX(EFLH[#All],MATCH(F62,EFLH[[#All],[EFLH]],0),MATCH(G62,EFLH[#Headers],0))</f>
        <v>2617.8472419520012</v>
      </c>
      <c r="I62" s="1217" t="s">
        <v>532</v>
      </c>
      <c r="J62" s="1462" t="s">
        <v>533</v>
      </c>
      <c r="K62" s="1470"/>
      <c r="L62" s="1470"/>
      <c r="M62" s="1470"/>
      <c r="N62" s="1470"/>
      <c r="O62" s="1470"/>
      <c r="P62" s="1470"/>
      <c r="Q62" s="1471"/>
      <c r="R62" s="488"/>
    </row>
    <row r="63" spans="2:18" ht="40.5" customHeight="1" x14ac:dyDescent="0.3">
      <c r="B63" s="533">
        <v>2</v>
      </c>
      <c r="C63" s="546" t="s">
        <v>1316</v>
      </c>
      <c r="D63" s="1539" t="s">
        <v>1317</v>
      </c>
      <c r="E63" s="1539"/>
      <c r="F63" s="569" t="str">
        <f>$H$72</f>
        <v>Other</v>
      </c>
      <c r="G63" s="1217" t="str">
        <f>$C$26</f>
        <v>Average</v>
      </c>
      <c r="H63" s="671">
        <f>IFERROR(IF(ISNUMBER(SEARCH("*wheel*",H71)),INDEX($B$120:$N$140,MATCH(F63,$C$120:$C$140,0),MATCH($G63,$B$120:$N$120,0))),0)
+
IFERROR(IF(ISNUMBER(SEARCH("*plate*",H71)),INDEX($B$144:$N$164,MATCH(F63,$C$144:$C$164,0),MATCH($G63,$B$144:$N$144,0))),0)</f>
        <v>3.2024219550251837E-2</v>
      </c>
      <c r="I63" s="1217" t="s">
        <v>1318</v>
      </c>
      <c r="J63" s="1468" t="s">
        <v>1319</v>
      </c>
      <c r="K63" s="1541"/>
      <c r="L63" s="1541"/>
      <c r="M63" s="1541"/>
      <c r="N63" s="1541"/>
      <c r="O63" s="1541"/>
      <c r="P63" s="1541"/>
      <c r="Q63" s="1542"/>
      <c r="R63" s="488"/>
    </row>
    <row r="64" spans="2:18" ht="27" customHeight="1" x14ac:dyDescent="0.3">
      <c r="B64" s="535">
        <v>3</v>
      </c>
      <c r="C64" s="551" t="s">
        <v>1320</v>
      </c>
      <c r="D64" s="1543" t="s">
        <v>1321</v>
      </c>
      <c r="E64" s="1543"/>
      <c r="F64" s="552"/>
      <c r="G64" s="552"/>
      <c r="H64" s="885">
        <v>1000</v>
      </c>
      <c r="I64" s="552" t="s">
        <v>1322</v>
      </c>
      <c r="J64" s="1482" t="s">
        <v>1323</v>
      </c>
      <c r="K64" s="1544"/>
      <c r="L64" s="1544"/>
      <c r="M64" s="1544"/>
      <c r="N64" s="1544"/>
      <c r="O64" s="1544"/>
      <c r="P64" s="1544"/>
      <c r="Q64" s="1545"/>
      <c r="R64" s="488"/>
    </row>
    <row r="65" spans="2:18" ht="41.25" customHeight="1" x14ac:dyDescent="0.3">
      <c r="B65" s="533">
        <v>4</v>
      </c>
      <c r="C65" s="546" t="s">
        <v>1324</v>
      </c>
      <c r="D65" s="1723" t="s">
        <v>1325</v>
      </c>
      <c r="E65" s="1724"/>
      <c r="F65" s="1217"/>
      <c r="G65" s="1217"/>
      <c r="H65" s="554">
        <v>0.05</v>
      </c>
      <c r="I65" s="1217" t="s">
        <v>519</v>
      </c>
      <c r="J65" s="1468" t="s">
        <v>1326</v>
      </c>
      <c r="K65" s="1541"/>
      <c r="L65" s="1541"/>
      <c r="M65" s="1541"/>
      <c r="N65" s="1541"/>
      <c r="O65" s="1541"/>
      <c r="P65" s="1541"/>
      <c r="Q65" s="1542"/>
      <c r="R65" s="488"/>
    </row>
    <row r="66" spans="2:18" ht="29.25" customHeight="1" x14ac:dyDescent="0.3">
      <c r="B66" s="533">
        <v>5</v>
      </c>
      <c r="C66" s="546" t="s">
        <v>1327</v>
      </c>
      <c r="D66" s="1539" t="s">
        <v>1328</v>
      </c>
      <c r="E66" s="1539"/>
      <c r="F66" s="609" t="str">
        <f>$H$71</f>
        <v>Rotary wheel</v>
      </c>
      <c r="G66" s="1217" t="s">
        <v>1329</v>
      </c>
      <c r="H66" s="609">
        <f>INDEX($B$96:$N$116,MATCH(F66,$C$96:$C$116,0),MATCH($G66,$B$96:$N$96,0))</f>
        <v>0.68</v>
      </c>
      <c r="I66" s="1217" t="s">
        <v>519</v>
      </c>
      <c r="J66" s="1468" t="s">
        <v>1330</v>
      </c>
      <c r="K66" s="1541"/>
      <c r="L66" s="1541"/>
      <c r="M66" s="1541"/>
      <c r="N66" s="1541"/>
      <c r="O66" s="1541"/>
      <c r="P66" s="1541"/>
      <c r="Q66" s="1542"/>
      <c r="R66" s="488"/>
    </row>
    <row r="67" spans="2:18" ht="14.5" customHeight="1" x14ac:dyDescent="0.3">
      <c r="B67" s="533">
        <v>6</v>
      </c>
      <c r="C67" s="546" t="s">
        <v>1331</v>
      </c>
      <c r="D67" s="1539" t="s">
        <v>1332</v>
      </c>
      <c r="E67" s="1539"/>
      <c r="F67" s="1217"/>
      <c r="G67" s="1217"/>
      <c r="H67" s="710">
        <f>Air.T.Indoor.SI</f>
        <v>21</v>
      </c>
      <c r="I67" s="1217" t="s">
        <v>781</v>
      </c>
      <c r="J67" s="1468" t="s">
        <v>1333</v>
      </c>
      <c r="K67" s="1541"/>
      <c r="L67" s="1541"/>
      <c r="M67" s="1541"/>
      <c r="N67" s="1541"/>
      <c r="O67" s="1541"/>
      <c r="P67" s="1541"/>
      <c r="Q67" s="1542"/>
      <c r="R67" s="488"/>
    </row>
    <row r="68" spans="2:18" ht="45" customHeight="1" x14ac:dyDescent="0.3">
      <c r="B68" s="533">
        <v>7</v>
      </c>
      <c r="C68" s="546" t="s">
        <v>1334</v>
      </c>
      <c r="D68" s="1468" t="s">
        <v>1335</v>
      </c>
      <c r="E68" s="1469"/>
      <c r="F68" s="1217" t="str">
        <f>$C$26</f>
        <v>Average</v>
      </c>
      <c r="G68" s="1217" t="s">
        <v>1336</v>
      </c>
      <c r="H68" s="710">
        <f>INDEX(ClimateData[#All],MATCH(F68,ClimateData[[#All],[Region]],0),MATCH(G68,ClimateData[#Headers],0))</f>
        <v>-32.172727272727265</v>
      </c>
      <c r="I68" s="1217" t="s">
        <v>781</v>
      </c>
      <c r="J68" s="1462" t="s">
        <v>1337</v>
      </c>
      <c r="K68" s="1470"/>
      <c r="L68" s="1470"/>
      <c r="M68" s="1470"/>
      <c r="N68" s="1470"/>
      <c r="O68" s="1470"/>
      <c r="P68" s="1470"/>
      <c r="Q68" s="1471"/>
      <c r="R68" s="488"/>
    </row>
    <row r="69" spans="2:18" ht="15" customHeight="1" x14ac:dyDescent="0.3">
      <c r="B69" s="533">
        <v>8</v>
      </c>
      <c r="C69" s="546" t="s">
        <v>1338</v>
      </c>
      <c r="D69" s="1539" t="s">
        <v>1339</v>
      </c>
      <c r="E69" s="1539"/>
      <c r="F69" s="546" t="str">
        <f>$C$28</f>
        <v>Other</v>
      </c>
      <c r="G69" s="1217" t="s">
        <v>1340</v>
      </c>
      <c r="H69" s="622">
        <f>INDEX(BuildingType[],MATCH($C$28,BuildingType[Building],0),MATCH($G$69,BuildingType[#Headers],0))/Days_per_Year</f>
        <v>7.8220396988364138</v>
      </c>
      <c r="I69" s="1217" t="s">
        <v>981</v>
      </c>
      <c r="J69" s="1462" t="s">
        <v>1341</v>
      </c>
      <c r="K69" s="1470"/>
      <c r="L69" s="1470"/>
      <c r="M69" s="1470"/>
      <c r="N69" s="1470"/>
      <c r="O69" s="1470"/>
      <c r="P69" s="1470"/>
      <c r="Q69" s="1471"/>
      <c r="R69" s="488"/>
    </row>
    <row r="70" spans="2:18" ht="15" customHeight="1" x14ac:dyDescent="0.3">
      <c r="B70" s="533">
        <v>9</v>
      </c>
      <c r="C70" s="546" t="s">
        <v>517</v>
      </c>
      <c r="D70" s="1539" t="s">
        <v>1342</v>
      </c>
      <c r="E70" s="1539"/>
      <c r="F70" s="1217"/>
      <c r="G70" s="1217"/>
      <c r="H70" s="559">
        <f>SpaceHeatingEfficiency.CI.NG</f>
        <v>0.85</v>
      </c>
      <c r="I70" s="1217" t="s">
        <v>519</v>
      </c>
      <c r="J70" s="1437" t="s">
        <v>1029</v>
      </c>
      <c r="K70" s="1448"/>
      <c r="L70" s="1448"/>
      <c r="M70" s="1448"/>
      <c r="N70" s="1448"/>
      <c r="O70" s="1448"/>
      <c r="P70" s="1448"/>
      <c r="Q70" s="1438"/>
      <c r="R70" s="488"/>
    </row>
    <row r="71" spans="2:18" ht="28.5" customHeight="1" x14ac:dyDescent="0.3">
      <c r="B71" s="534">
        <v>10</v>
      </c>
      <c r="C71" s="549" t="s">
        <v>1343</v>
      </c>
      <c r="D71" s="1556" t="s">
        <v>1344</v>
      </c>
      <c r="E71" s="1556"/>
      <c r="F71" s="1238"/>
      <c r="G71" s="1238"/>
      <c r="H71" s="548" t="s">
        <v>1345</v>
      </c>
      <c r="I71" s="1238" t="s">
        <v>597</v>
      </c>
      <c r="J71" s="1701" t="s">
        <v>1346</v>
      </c>
      <c r="K71" s="1917"/>
      <c r="L71" s="1917"/>
      <c r="M71" s="1917"/>
      <c r="N71" s="1917"/>
      <c r="O71" s="1917"/>
      <c r="P71" s="1917"/>
      <c r="Q71" s="1918"/>
      <c r="R71" s="488"/>
    </row>
    <row r="72" spans="2:18" s="491" customFormat="1" ht="36" customHeight="1" x14ac:dyDescent="0.3">
      <c r="B72" s="536">
        <v>11</v>
      </c>
      <c r="C72" s="546" t="s">
        <v>1347</v>
      </c>
      <c r="D72" s="1437" t="s">
        <v>1348</v>
      </c>
      <c r="E72" s="1438"/>
      <c r="F72" s="556"/>
      <c r="G72" s="557"/>
      <c r="H72" s="556" t="str">
        <f>IF(COUNTIF(C121:C140,$C$28),C28,"Other")</f>
        <v>Other</v>
      </c>
      <c r="I72" s="557" t="s">
        <v>482</v>
      </c>
      <c r="J72" s="1437" t="s">
        <v>1349</v>
      </c>
      <c r="K72" s="1448"/>
      <c r="L72" s="1448"/>
      <c r="M72" s="1448"/>
      <c r="N72" s="1448"/>
      <c r="O72" s="1448"/>
      <c r="P72" s="1448"/>
      <c r="Q72" s="1438"/>
    </row>
    <row r="73" spans="2:18" s="491" customFormat="1" ht="13" x14ac:dyDescent="0.3">
      <c r="B73" s="536">
        <v>12</v>
      </c>
      <c r="C73" s="555"/>
      <c r="D73" s="1437"/>
      <c r="E73" s="1438"/>
      <c r="F73" s="556"/>
      <c r="G73" s="557"/>
      <c r="H73" s="556"/>
      <c r="I73" s="557"/>
      <c r="J73" s="1472"/>
      <c r="K73" s="1473"/>
      <c r="L73" s="1473"/>
      <c r="M73" s="1473"/>
      <c r="N73" s="1473"/>
      <c r="O73" s="1473"/>
      <c r="P73" s="1473"/>
      <c r="Q73" s="1474"/>
    </row>
    <row r="74" spans="2:18" s="491" customFormat="1" ht="13" x14ac:dyDescent="0.3">
      <c r="B74" s="536">
        <v>13</v>
      </c>
      <c r="C74" s="555"/>
      <c r="D74" s="1437"/>
      <c r="E74" s="1438"/>
      <c r="F74" s="556"/>
      <c r="G74" s="557"/>
      <c r="H74" s="556"/>
      <c r="I74" s="557"/>
      <c r="J74" s="1472"/>
      <c r="K74" s="1473"/>
      <c r="L74" s="1473"/>
      <c r="M74" s="1473"/>
      <c r="N74" s="1473"/>
      <c r="O74" s="1473"/>
      <c r="P74" s="1473"/>
      <c r="Q74" s="1474"/>
    </row>
    <row r="75" spans="2:18" s="489" customFormat="1" ht="13.15" customHeight="1" x14ac:dyDescent="0.3">
      <c r="B75" s="536">
        <v>14</v>
      </c>
      <c r="C75" s="555"/>
      <c r="D75" s="1437"/>
      <c r="E75" s="1438"/>
      <c r="F75" s="556"/>
      <c r="G75" s="557"/>
      <c r="H75" s="556"/>
      <c r="I75" s="557"/>
      <c r="J75" s="1472"/>
      <c r="K75" s="1473"/>
      <c r="L75" s="1473"/>
      <c r="M75" s="1473"/>
      <c r="N75" s="1473"/>
      <c r="O75" s="1473"/>
      <c r="P75" s="1473"/>
      <c r="Q75" s="1474"/>
    </row>
    <row r="76" spans="2:18" s="489" customFormat="1" ht="13" x14ac:dyDescent="0.3">
      <c r="B76" s="536">
        <v>15</v>
      </c>
      <c r="C76" s="555"/>
      <c r="D76" s="1437"/>
      <c r="E76" s="1438"/>
      <c r="F76" s="556"/>
      <c r="G76" s="557"/>
      <c r="H76" s="559"/>
      <c r="I76" s="557"/>
      <c r="J76" s="1472"/>
      <c r="K76" s="1473"/>
      <c r="L76" s="1473"/>
      <c r="M76" s="1473"/>
      <c r="N76" s="1473"/>
      <c r="O76" s="1473"/>
      <c r="P76" s="1473"/>
      <c r="Q76" s="1474"/>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734"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734"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734"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734"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734" t="s">
        <v>491</v>
      </c>
      <c r="F85" s="1489" t="s">
        <v>485</v>
      </c>
      <c r="G85" s="1490"/>
      <c r="H85" s="1490"/>
      <c r="I85" s="1490"/>
      <c r="J85" s="1490"/>
      <c r="K85" s="1490"/>
      <c r="L85" s="1490"/>
      <c r="M85" s="1490"/>
      <c r="N85" s="1490"/>
      <c r="O85" s="1490"/>
      <c r="P85" s="1490"/>
      <c r="Q85" s="1491"/>
      <c r="R85" s="488"/>
    </row>
    <row r="86" spans="2:18" ht="13" x14ac:dyDescent="0.3">
      <c r="B86" s="533">
        <v>6</v>
      </c>
      <c r="C86" s="563" t="s">
        <v>1350</v>
      </c>
      <c r="D86" s="562">
        <f>HDD_CDD!D69/HDD_CDD!C69</f>
        <v>9.6852510188155758E-2</v>
      </c>
      <c r="E86" s="734" t="s">
        <v>482</v>
      </c>
      <c r="F86" s="1489"/>
      <c r="G86" s="1490"/>
      <c r="H86" s="1490"/>
      <c r="I86" s="1490"/>
      <c r="J86" s="1490"/>
      <c r="K86" s="1490"/>
      <c r="L86" s="1490"/>
      <c r="M86" s="1490"/>
      <c r="N86" s="1490"/>
      <c r="O86" s="1490"/>
      <c r="P86" s="1490"/>
      <c r="Q86" s="1491"/>
      <c r="R86" s="488"/>
    </row>
    <row r="87" spans="2:18" ht="13" x14ac:dyDescent="0.3">
      <c r="B87" s="533">
        <v>7</v>
      </c>
      <c r="C87" s="563" t="s">
        <v>1351</v>
      </c>
      <c r="D87" s="562">
        <f>HDD_CDD!G69/HDD_CDD!C69</f>
        <v>4.9510101448018699E-2</v>
      </c>
      <c r="E87" s="734" t="s">
        <v>482</v>
      </c>
      <c r="F87" s="1489"/>
      <c r="G87" s="1490"/>
      <c r="H87" s="1490"/>
      <c r="I87" s="1490"/>
      <c r="J87" s="1490"/>
      <c r="K87" s="1490"/>
      <c r="L87" s="1490"/>
      <c r="M87" s="1490"/>
      <c r="N87" s="1490"/>
      <c r="O87" s="1490"/>
      <c r="P87" s="1490"/>
      <c r="Q87" s="1491"/>
      <c r="R87" s="488"/>
    </row>
    <row r="88" spans="2:18" ht="13" x14ac:dyDescent="0.3">
      <c r="B88" s="533">
        <v>8</v>
      </c>
      <c r="C88" s="563" t="s">
        <v>1352</v>
      </c>
      <c r="D88" s="562">
        <v>1.08</v>
      </c>
      <c r="E88" s="734" t="s">
        <v>1353</v>
      </c>
      <c r="F88" s="1486" t="s">
        <v>1354</v>
      </c>
      <c r="G88" s="1487"/>
      <c r="H88" s="1487"/>
      <c r="I88" s="1487"/>
      <c r="J88" s="1487"/>
      <c r="K88" s="1487"/>
      <c r="L88" s="1487"/>
      <c r="M88" s="1487"/>
      <c r="N88" s="1487"/>
      <c r="O88" s="1487"/>
      <c r="P88" s="1487"/>
      <c r="Q88" s="1488"/>
      <c r="R88" s="488"/>
    </row>
    <row r="89" spans="2:18" ht="13" x14ac:dyDescent="0.3">
      <c r="B89" s="533">
        <v>9</v>
      </c>
      <c r="C89" s="563"/>
      <c r="D89" s="1233"/>
      <c r="E89" s="1182"/>
      <c r="F89" s="1489"/>
      <c r="G89" s="1490"/>
      <c r="H89" s="1490"/>
      <c r="I89" s="1490"/>
      <c r="J89" s="1490"/>
      <c r="K89" s="1490"/>
      <c r="L89" s="1490"/>
      <c r="M89" s="1490"/>
      <c r="N89" s="1490"/>
      <c r="O89" s="1490"/>
      <c r="P89" s="1490"/>
      <c r="Q89" s="1491"/>
      <c r="R89" s="488"/>
    </row>
    <row r="90" spans="2:18" ht="13" x14ac:dyDescent="0.3">
      <c r="B90" s="533">
        <v>10</v>
      </c>
      <c r="C90" s="563"/>
      <c r="D90" s="564"/>
      <c r="E90" s="1182"/>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t="s">
        <v>1355</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c r="R95" s="488"/>
    </row>
    <row r="96" spans="2:18" ht="36.75" customHeight="1" x14ac:dyDescent="0.3">
      <c r="B96" s="1188" t="s">
        <v>478</v>
      </c>
      <c r="C96" s="1402" t="s">
        <v>538</v>
      </c>
      <c r="D96" s="1431"/>
      <c r="E96" s="565" t="s">
        <v>1329</v>
      </c>
      <c r="F96" s="565" t="s">
        <v>1356</v>
      </c>
      <c r="G96" s="565"/>
      <c r="H96" s="565"/>
      <c r="I96" s="565"/>
      <c r="J96" s="565"/>
      <c r="K96" s="565"/>
      <c r="L96" s="565"/>
      <c r="M96" s="565"/>
      <c r="N96" s="566"/>
      <c r="O96" s="1410"/>
      <c r="P96" s="1411"/>
      <c r="Q96" s="1412"/>
      <c r="R96" s="488"/>
    </row>
    <row r="97" spans="2:18" ht="13" x14ac:dyDescent="0.3">
      <c r="B97" s="533">
        <v>1</v>
      </c>
      <c r="C97" s="1217" t="s">
        <v>1357</v>
      </c>
      <c r="D97" s="1184"/>
      <c r="E97" s="554">
        <v>0.65</v>
      </c>
      <c r="F97" s="612">
        <v>3.75</v>
      </c>
      <c r="G97" s="612"/>
      <c r="H97" s="559"/>
      <c r="I97" s="568"/>
      <c r="J97" s="568"/>
      <c r="K97" s="568"/>
      <c r="L97" s="568"/>
      <c r="M97" s="568"/>
      <c r="N97" s="568"/>
      <c r="O97" s="1501" t="s">
        <v>1358</v>
      </c>
      <c r="P97" s="1502"/>
      <c r="Q97" s="1503"/>
      <c r="R97" s="488"/>
    </row>
    <row r="98" spans="2:18" ht="13" x14ac:dyDescent="0.3">
      <c r="B98" s="533">
        <v>2</v>
      </c>
      <c r="C98" s="1217" t="s">
        <v>1345</v>
      </c>
      <c r="D98" s="1184"/>
      <c r="E98" s="554">
        <v>0.68</v>
      </c>
      <c r="F98" s="612">
        <v>3.75</v>
      </c>
      <c r="G98" s="612"/>
      <c r="H98" s="559"/>
      <c r="I98" s="568"/>
      <c r="J98" s="568"/>
      <c r="K98" s="568"/>
      <c r="L98" s="568"/>
      <c r="M98" s="568"/>
      <c r="N98" s="568"/>
      <c r="O98" s="1501" t="s">
        <v>1358</v>
      </c>
      <c r="P98" s="1502"/>
      <c r="Q98" s="1503"/>
      <c r="R98" s="488"/>
    </row>
    <row r="99" spans="2:18" ht="13" x14ac:dyDescent="0.3">
      <c r="B99" s="533">
        <v>3</v>
      </c>
      <c r="C99" s="1217" t="s">
        <v>1359</v>
      </c>
      <c r="D99" s="1184"/>
      <c r="E99" s="554">
        <v>0.55000000000000004</v>
      </c>
      <c r="F99" s="612">
        <v>3.75</v>
      </c>
      <c r="G99" s="612"/>
      <c r="H99" s="559"/>
      <c r="I99" s="568"/>
      <c r="J99" s="568"/>
      <c r="K99" s="568"/>
      <c r="L99" s="568"/>
      <c r="M99" s="568"/>
      <c r="N99" s="568"/>
      <c r="O99" s="1501" t="s">
        <v>1358</v>
      </c>
      <c r="P99" s="1502"/>
      <c r="Q99" s="1503"/>
      <c r="R99" s="488"/>
    </row>
    <row r="100" spans="2:18" ht="13" x14ac:dyDescent="0.3">
      <c r="B100" s="533">
        <v>4</v>
      </c>
      <c r="C100" s="1217"/>
      <c r="D100" s="1184"/>
      <c r="E100" s="612"/>
      <c r="F100" s="612"/>
      <c r="G100" s="612"/>
      <c r="H100" s="559"/>
      <c r="I100" s="568"/>
      <c r="J100" s="568"/>
      <c r="K100" s="568"/>
      <c r="L100" s="568"/>
      <c r="M100" s="568"/>
      <c r="N100" s="568"/>
      <c r="O100" s="1495"/>
      <c r="P100" s="1496"/>
      <c r="Q100" s="1497"/>
      <c r="R100" s="488"/>
    </row>
    <row r="101" spans="2:18" ht="13" x14ac:dyDescent="0.3">
      <c r="B101" s="533">
        <v>5</v>
      </c>
      <c r="C101" s="1217"/>
      <c r="D101" s="1184"/>
      <c r="E101" s="612"/>
      <c r="F101" s="612"/>
      <c r="G101" s="612"/>
      <c r="H101" s="559"/>
      <c r="I101" s="568"/>
      <c r="J101" s="568"/>
      <c r="K101" s="568"/>
      <c r="L101" s="568"/>
      <c r="M101" s="568"/>
      <c r="N101" s="568"/>
      <c r="O101" s="1495"/>
      <c r="P101" s="1496"/>
      <c r="Q101" s="1497"/>
      <c r="R101" s="488"/>
    </row>
    <row r="102" spans="2:18" ht="13" x14ac:dyDescent="0.3">
      <c r="B102" s="533">
        <v>6</v>
      </c>
      <c r="C102" s="1217"/>
      <c r="D102" s="570"/>
      <c r="E102" s="612"/>
      <c r="F102" s="612"/>
      <c r="G102" s="612"/>
      <c r="H102" s="559"/>
      <c r="I102" s="569"/>
      <c r="J102" s="569"/>
      <c r="K102" s="569"/>
      <c r="L102" s="569"/>
      <c r="M102" s="569"/>
      <c r="N102" s="569"/>
      <c r="O102" s="1492"/>
      <c r="P102" s="1493"/>
      <c r="Q102" s="1494"/>
      <c r="R102" s="488"/>
    </row>
    <row r="103" spans="2:18" ht="13" x14ac:dyDescent="0.3">
      <c r="B103" s="533">
        <v>7</v>
      </c>
      <c r="C103" s="1217"/>
      <c r="D103" s="570"/>
      <c r="E103" s="612"/>
      <c r="F103" s="612"/>
      <c r="G103" s="612"/>
      <c r="H103" s="559"/>
      <c r="I103" s="569"/>
      <c r="J103" s="569"/>
      <c r="K103" s="569"/>
      <c r="L103" s="569"/>
      <c r="M103" s="569"/>
      <c r="N103" s="569"/>
      <c r="O103" s="1492"/>
      <c r="P103" s="1493"/>
      <c r="Q103" s="1494"/>
      <c r="R103" s="488"/>
    </row>
    <row r="104" spans="2:18" ht="13" x14ac:dyDescent="0.3">
      <c r="B104" s="533">
        <v>8</v>
      </c>
      <c r="C104" s="1217"/>
      <c r="D104" s="570"/>
      <c r="E104" s="612"/>
      <c r="F104" s="612"/>
      <c r="G104" s="612"/>
      <c r="H104" s="55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row r="118" spans="2:18" ht="18.75" customHeight="1" x14ac:dyDescent="0.3">
      <c r="B118" s="702" t="s">
        <v>493</v>
      </c>
      <c r="E118" s="1662" t="s">
        <v>494</v>
      </c>
      <c r="F118" s="1663"/>
      <c r="G118" s="1663"/>
      <c r="H118" s="1663"/>
      <c r="I118" s="1663"/>
      <c r="J118" s="1663"/>
      <c r="K118" s="1663"/>
      <c r="L118" s="1663"/>
      <c r="M118" s="1663"/>
      <c r="N118" s="1663"/>
      <c r="O118" s="1664" t="s">
        <v>476</v>
      </c>
      <c r="P118" s="1665"/>
      <c r="Q118" s="1666"/>
    </row>
    <row r="119" spans="2:18" ht="60" customHeight="1" x14ac:dyDescent="0.3">
      <c r="B119" s="1673" t="s">
        <v>1360</v>
      </c>
      <c r="C119" s="1674"/>
      <c r="D119" s="1675"/>
      <c r="E119" s="703" t="s">
        <v>495</v>
      </c>
      <c r="F119" s="703" t="s">
        <v>496</v>
      </c>
      <c r="G119" s="703" t="s">
        <v>497</v>
      </c>
      <c r="H119" s="703" t="s">
        <v>498</v>
      </c>
      <c r="I119" s="703" t="s">
        <v>499</v>
      </c>
      <c r="J119" s="703" t="s">
        <v>500</v>
      </c>
      <c r="K119" s="703" t="s">
        <v>501</v>
      </c>
      <c r="L119" s="703" t="s">
        <v>502</v>
      </c>
      <c r="M119" s="703" t="s">
        <v>503</v>
      </c>
      <c r="N119" s="1213" t="s">
        <v>504</v>
      </c>
      <c r="O119" s="1667"/>
      <c r="P119" s="1668"/>
      <c r="Q119" s="1669"/>
    </row>
    <row r="120" spans="2:18" ht="18.75" customHeight="1" x14ac:dyDescent="0.3">
      <c r="B120" s="704" t="s">
        <v>478</v>
      </c>
      <c r="C120" s="1662" t="s">
        <v>538</v>
      </c>
      <c r="D120" s="1676"/>
      <c r="E120" s="525" t="s">
        <v>1361</v>
      </c>
      <c r="F120" s="525" t="s">
        <v>1362</v>
      </c>
      <c r="G120" s="525" t="s">
        <v>10</v>
      </c>
      <c r="H120" s="525" t="s">
        <v>1363</v>
      </c>
      <c r="I120" s="525" t="s">
        <v>1364</v>
      </c>
      <c r="J120" s="525"/>
      <c r="K120" s="525"/>
      <c r="L120" s="525"/>
      <c r="M120" s="525"/>
      <c r="N120" s="1214"/>
      <c r="O120" s="1670"/>
      <c r="P120" s="1671"/>
      <c r="Q120" s="1672"/>
    </row>
    <row r="121" spans="2:18" ht="36.75" customHeight="1" x14ac:dyDescent="0.3">
      <c r="B121" s="1240">
        <v>1</v>
      </c>
      <c r="C121" s="1247" t="s">
        <v>1365</v>
      </c>
      <c r="D121" s="600"/>
      <c r="E121" s="957">
        <f>$H121*$D$86</f>
        <v>0.15021824330182956</v>
      </c>
      <c r="F121" s="957">
        <f>$H121*$D$87</f>
        <v>7.6790167345877E-2</v>
      </c>
      <c r="G121" s="957">
        <f>AVERAGE(E121:F121)</f>
        <v>0.11350420532385327</v>
      </c>
      <c r="H121" s="957">
        <v>1.5509999999999999</v>
      </c>
      <c r="I121" s="739">
        <v>1.0485981125233975E-3</v>
      </c>
      <c r="J121" s="527"/>
      <c r="K121" s="527"/>
      <c r="L121" s="527"/>
      <c r="M121" s="527"/>
      <c r="N121" s="527"/>
      <c r="O121" s="1432" t="s">
        <v>1358</v>
      </c>
      <c r="P121" s="1433"/>
      <c r="Q121" s="1434"/>
    </row>
    <row r="122" spans="2:18" ht="36.75" customHeight="1" x14ac:dyDescent="0.3">
      <c r="B122" s="1240">
        <v>2</v>
      </c>
      <c r="C122" s="1247" t="s">
        <v>1366</v>
      </c>
      <c r="D122" s="600"/>
      <c r="E122" s="957">
        <f>$H122*$D$86</f>
        <v>0.21094476718980323</v>
      </c>
      <c r="F122" s="957">
        <f t="shared" ref="F122:F137" si="0">$H122*$D$87</f>
        <v>0.10783300095378473</v>
      </c>
      <c r="G122" s="957">
        <f t="shared" ref="G122:G137" si="1">AVERAGE(E122:F122)</f>
        <v>0.15938888407179397</v>
      </c>
      <c r="H122" s="957">
        <v>2.1779999999999999</v>
      </c>
      <c r="I122" s="739">
        <v>2.018796366166541E-2</v>
      </c>
      <c r="J122" s="527"/>
      <c r="K122" s="527"/>
      <c r="L122" s="527"/>
      <c r="M122" s="527"/>
      <c r="N122" s="527"/>
      <c r="O122" s="1432" t="s">
        <v>1358</v>
      </c>
      <c r="P122" s="1433"/>
      <c r="Q122" s="1434"/>
    </row>
    <row r="123" spans="2:18" ht="36.75" customHeight="1" x14ac:dyDescent="0.3">
      <c r="B123" s="1240">
        <v>3</v>
      </c>
      <c r="C123" s="1247" t="s">
        <v>811</v>
      </c>
      <c r="D123" s="600"/>
      <c r="E123" s="957">
        <f t="shared" ref="E123:E137" si="2">$H123*$D$86</f>
        <v>0.21094476718980323</v>
      </c>
      <c r="F123" s="957">
        <f t="shared" si="0"/>
        <v>0.10783300095378473</v>
      </c>
      <c r="G123" s="957">
        <f t="shared" si="1"/>
        <v>0.15938888407179397</v>
      </c>
      <c r="H123" s="957">
        <v>2.1779999999999999</v>
      </c>
      <c r="I123" s="739">
        <v>5.977989239619369E-3</v>
      </c>
      <c r="J123" s="527"/>
      <c r="K123" s="527"/>
      <c r="L123" s="527"/>
      <c r="M123" s="527"/>
      <c r="N123" s="527"/>
      <c r="O123" s="1432" t="s">
        <v>1358</v>
      </c>
      <c r="P123" s="1433"/>
      <c r="Q123" s="1434"/>
    </row>
    <row r="124" spans="2:18" ht="36.75" customHeight="1" x14ac:dyDescent="0.3">
      <c r="B124" s="1240">
        <v>4</v>
      </c>
      <c r="C124" s="1247" t="s">
        <v>812</v>
      </c>
      <c r="D124" s="600"/>
      <c r="E124" s="957">
        <f t="shared" si="2"/>
        <v>0.21094476718980323</v>
      </c>
      <c r="F124" s="957">
        <f t="shared" si="0"/>
        <v>0.10783300095378473</v>
      </c>
      <c r="G124" s="957">
        <f t="shared" si="1"/>
        <v>0.15938888407179397</v>
      </c>
      <c r="H124" s="957">
        <v>2.1779999999999999</v>
      </c>
      <c r="I124" s="739">
        <v>0</v>
      </c>
      <c r="J124" s="527"/>
      <c r="K124" s="527"/>
      <c r="L124" s="527"/>
      <c r="M124" s="527"/>
      <c r="N124" s="527"/>
      <c r="O124" s="1432" t="s">
        <v>1358</v>
      </c>
      <c r="P124" s="1433"/>
      <c r="Q124" s="1434"/>
    </row>
    <row r="125" spans="2:18" ht="36.75" customHeight="1" x14ac:dyDescent="0.3">
      <c r="B125" s="1240">
        <v>5</v>
      </c>
      <c r="C125" s="1247" t="s">
        <v>1367</v>
      </c>
      <c r="D125" s="600"/>
      <c r="E125" s="957">
        <f t="shared" si="2"/>
        <v>0.21094476718980323</v>
      </c>
      <c r="F125" s="957">
        <f t="shared" si="0"/>
        <v>0.10783300095378473</v>
      </c>
      <c r="G125" s="957">
        <f t="shared" si="1"/>
        <v>0.15938888407179397</v>
      </c>
      <c r="H125" s="957">
        <v>2.1779999999999999</v>
      </c>
      <c r="I125" s="739">
        <v>0</v>
      </c>
      <c r="J125" s="527"/>
      <c r="K125" s="527"/>
      <c r="L125" s="527"/>
      <c r="M125" s="527"/>
      <c r="N125" s="527"/>
      <c r="O125" s="1432" t="s">
        <v>1358</v>
      </c>
      <c r="P125" s="1433"/>
      <c r="Q125" s="1434"/>
    </row>
    <row r="126" spans="2:18" ht="36.75" customHeight="1" x14ac:dyDescent="0.3">
      <c r="B126" s="1240">
        <v>6</v>
      </c>
      <c r="C126" s="1247" t="s">
        <v>569</v>
      </c>
      <c r="D126" s="1189"/>
      <c r="E126" s="957">
        <f t="shared" si="2"/>
        <v>0.21094476718980323</v>
      </c>
      <c r="F126" s="957">
        <f t="shared" si="0"/>
        <v>0.10783300095378473</v>
      </c>
      <c r="G126" s="957">
        <f t="shared" si="1"/>
        <v>0.15938888407179397</v>
      </c>
      <c r="H126" s="957">
        <v>2.1779999999999999</v>
      </c>
      <c r="I126" s="739">
        <v>0</v>
      </c>
      <c r="J126" s="528"/>
      <c r="K126" s="528"/>
      <c r="L126" s="528"/>
      <c r="M126" s="528"/>
      <c r="N126" s="528"/>
      <c r="O126" s="1432" t="s">
        <v>1358</v>
      </c>
      <c r="P126" s="1433"/>
      <c r="Q126" s="1434"/>
    </row>
    <row r="127" spans="2:18" ht="36.75" customHeight="1" x14ac:dyDescent="0.3">
      <c r="B127" s="1240">
        <v>7</v>
      </c>
      <c r="C127" s="1247" t="s">
        <v>1368</v>
      </c>
      <c r="D127" s="1189"/>
      <c r="E127" s="957">
        <f t="shared" si="2"/>
        <v>0.15021824330182956</v>
      </c>
      <c r="F127" s="957">
        <f t="shared" si="0"/>
        <v>7.6790167345877E-2</v>
      </c>
      <c r="G127" s="957">
        <f t="shared" si="1"/>
        <v>0.11350420532385327</v>
      </c>
      <c r="H127" s="957">
        <v>1.5509999999999999</v>
      </c>
      <c r="I127" s="739">
        <v>5.1939906508168281E-4</v>
      </c>
      <c r="J127" s="528"/>
      <c r="K127" s="528"/>
      <c r="L127" s="528"/>
      <c r="M127" s="528"/>
      <c r="N127" s="528"/>
      <c r="O127" s="1432" t="s">
        <v>1358</v>
      </c>
      <c r="P127" s="1433"/>
      <c r="Q127" s="1434"/>
    </row>
    <row r="128" spans="2:18" ht="36.75" customHeight="1" x14ac:dyDescent="0.3">
      <c r="B128" s="1240">
        <v>8</v>
      </c>
      <c r="C128" s="1247" t="s">
        <v>1369</v>
      </c>
      <c r="D128" s="1189"/>
      <c r="E128" s="957">
        <f t="shared" si="2"/>
        <v>9.4334344923263702E-2</v>
      </c>
      <c r="F128" s="957">
        <f t="shared" si="0"/>
        <v>4.8222838810370212E-2</v>
      </c>
      <c r="G128" s="957">
        <f t="shared" si="1"/>
        <v>7.1278591866816954E-2</v>
      </c>
      <c r="H128" s="957">
        <v>0.97399999999999998</v>
      </c>
      <c r="I128" s="739">
        <v>0.1707156927117531</v>
      </c>
      <c r="J128" s="528"/>
      <c r="K128" s="528"/>
      <c r="L128" s="528"/>
      <c r="M128" s="528"/>
      <c r="N128" s="528"/>
      <c r="O128" s="1432" t="s">
        <v>1358</v>
      </c>
      <c r="P128" s="1433"/>
      <c r="Q128" s="1434"/>
    </row>
    <row r="129" spans="2:17" ht="36.75" customHeight="1" x14ac:dyDescent="0.3">
      <c r="B129" s="1240">
        <v>9</v>
      </c>
      <c r="C129" s="1247" t="s">
        <v>1370</v>
      </c>
      <c r="D129" s="1189"/>
      <c r="E129" s="957">
        <f t="shared" si="2"/>
        <v>9.4334344923263702E-2</v>
      </c>
      <c r="F129" s="957">
        <f t="shared" si="0"/>
        <v>4.8222838810370212E-2</v>
      </c>
      <c r="G129" s="957">
        <f t="shared" si="1"/>
        <v>7.1278591866816954E-2</v>
      </c>
      <c r="H129" s="957">
        <v>0.97399999999999998</v>
      </c>
      <c r="I129" s="739">
        <v>2.8419948844092081E-2</v>
      </c>
      <c r="J129" s="528"/>
      <c r="K129" s="528"/>
      <c r="L129" s="528"/>
      <c r="M129" s="528"/>
      <c r="N129" s="528"/>
      <c r="O129" s="1432" t="s">
        <v>1358</v>
      </c>
      <c r="P129" s="1433"/>
      <c r="Q129" s="1434"/>
    </row>
    <row r="130" spans="2:17" ht="36.75" customHeight="1" x14ac:dyDescent="0.3">
      <c r="B130" s="1240">
        <v>10</v>
      </c>
      <c r="C130" s="1247" t="s">
        <v>1371</v>
      </c>
      <c r="D130" s="1189"/>
      <c r="E130" s="957">
        <f t="shared" si="2"/>
        <v>9.4334344923263702E-2</v>
      </c>
      <c r="F130" s="957">
        <f t="shared" si="0"/>
        <v>4.8222838810370212E-2</v>
      </c>
      <c r="G130" s="957">
        <f t="shared" si="1"/>
        <v>7.1278591866816954E-2</v>
      </c>
      <c r="H130" s="957">
        <v>0.97399999999999998</v>
      </c>
      <c r="I130" s="739">
        <v>1.4209974422046041E-2</v>
      </c>
      <c r="J130" s="528"/>
      <c r="K130" s="528"/>
      <c r="L130" s="528"/>
      <c r="M130" s="528"/>
      <c r="N130" s="528"/>
      <c r="O130" s="1432" t="s">
        <v>1358</v>
      </c>
      <c r="P130" s="1433"/>
      <c r="Q130" s="1434"/>
    </row>
    <row r="131" spans="2:17" ht="36.75" customHeight="1" x14ac:dyDescent="0.3">
      <c r="B131" s="1240">
        <v>11</v>
      </c>
      <c r="C131" s="1247" t="s">
        <v>1372</v>
      </c>
      <c r="D131" s="1189"/>
      <c r="E131" s="957">
        <f t="shared" si="2"/>
        <v>0</v>
      </c>
      <c r="F131" s="957">
        <f t="shared" si="0"/>
        <v>0</v>
      </c>
      <c r="G131" s="957">
        <f t="shared" si="1"/>
        <v>0</v>
      </c>
      <c r="H131" s="957">
        <v>0</v>
      </c>
      <c r="I131" s="739">
        <v>2.6851951666487E-2</v>
      </c>
      <c r="J131" s="528"/>
      <c r="K131" s="528"/>
      <c r="L131" s="528"/>
      <c r="M131" s="528"/>
      <c r="N131" s="528"/>
      <c r="O131" s="1432" t="s">
        <v>1358</v>
      </c>
      <c r="P131" s="1433"/>
      <c r="Q131" s="1434"/>
    </row>
    <row r="132" spans="2:17" ht="36.75" customHeight="1" x14ac:dyDescent="0.3">
      <c r="B132" s="1240">
        <v>12</v>
      </c>
      <c r="C132" s="1247" t="s">
        <v>1373</v>
      </c>
      <c r="D132" s="1189"/>
      <c r="E132" s="957">
        <f t="shared" si="2"/>
        <v>4.6489204890314767E-3</v>
      </c>
      <c r="F132" s="957">
        <f t="shared" si="0"/>
        <v>2.3764848695048977E-3</v>
      </c>
      <c r="G132" s="957">
        <f t="shared" si="1"/>
        <v>3.5127026792681872E-3</v>
      </c>
      <c r="H132" s="957">
        <v>4.8000000000000001E-2</v>
      </c>
      <c r="I132" s="739">
        <v>2.3911956958477476E-2</v>
      </c>
      <c r="J132" s="528"/>
      <c r="K132" s="528"/>
      <c r="L132" s="528"/>
      <c r="M132" s="528"/>
      <c r="N132" s="528"/>
      <c r="O132" s="1432" t="s">
        <v>1358</v>
      </c>
      <c r="P132" s="1433"/>
      <c r="Q132" s="1434"/>
    </row>
    <row r="133" spans="2:17" ht="36.75" customHeight="1" x14ac:dyDescent="0.3">
      <c r="B133" s="1240">
        <v>13</v>
      </c>
      <c r="C133" s="1247" t="s">
        <v>1374</v>
      </c>
      <c r="D133" s="1189"/>
      <c r="E133" s="957">
        <f t="shared" si="2"/>
        <v>4.6489204890314767E-3</v>
      </c>
      <c r="F133" s="957">
        <f t="shared" si="0"/>
        <v>2.3764848695048977E-3</v>
      </c>
      <c r="G133" s="957">
        <f t="shared" si="1"/>
        <v>3.5127026792681872E-3</v>
      </c>
      <c r="H133" s="957">
        <v>4.8000000000000001E-2</v>
      </c>
      <c r="I133" s="739">
        <v>8.8474240746366659E-2</v>
      </c>
      <c r="J133" s="528"/>
      <c r="K133" s="528"/>
      <c r="L133" s="528"/>
      <c r="M133" s="528"/>
      <c r="N133" s="528"/>
      <c r="O133" s="1432" t="s">
        <v>1358</v>
      </c>
      <c r="P133" s="1433"/>
      <c r="Q133" s="1434"/>
    </row>
    <row r="134" spans="2:17" ht="36.75" customHeight="1" x14ac:dyDescent="0.3">
      <c r="B134" s="1240">
        <v>14</v>
      </c>
      <c r="C134" s="1247" t="s">
        <v>1375</v>
      </c>
      <c r="D134" s="1189"/>
      <c r="E134" s="957">
        <f t="shared" si="2"/>
        <v>0</v>
      </c>
      <c r="F134" s="957">
        <f t="shared" si="0"/>
        <v>0</v>
      </c>
      <c r="G134" s="957">
        <f t="shared" si="1"/>
        <v>0</v>
      </c>
      <c r="H134" s="957">
        <v>0</v>
      </c>
      <c r="I134" s="739">
        <v>0.21334561597789123</v>
      </c>
      <c r="J134" s="528"/>
      <c r="K134" s="528"/>
      <c r="L134" s="528"/>
      <c r="M134" s="528"/>
      <c r="N134" s="528"/>
      <c r="O134" s="1432" t="s">
        <v>1358</v>
      </c>
      <c r="P134" s="1433"/>
      <c r="Q134" s="1434"/>
    </row>
    <row r="135" spans="2:17" ht="36.75" customHeight="1" x14ac:dyDescent="0.3">
      <c r="B135" s="1240">
        <v>15</v>
      </c>
      <c r="C135" s="1247" t="s">
        <v>1376</v>
      </c>
      <c r="D135" s="1189"/>
      <c r="E135" s="957">
        <f t="shared" si="2"/>
        <v>0</v>
      </c>
      <c r="F135" s="957">
        <f t="shared" si="0"/>
        <v>0</v>
      </c>
      <c r="G135" s="957">
        <f t="shared" si="1"/>
        <v>0</v>
      </c>
      <c r="H135" s="957">
        <v>0</v>
      </c>
      <c r="I135" s="739">
        <v>2.1981360433551218E-2</v>
      </c>
      <c r="J135" s="528"/>
      <c r="K135" s="528"/>
      <c r="L135" s="528"/>
      <c r="M135" s="528"/>
      <c r="N135" s="528"/>
      <c r="O135" s="1432" t="s">
        <v>1358</v>
      </c>
      <c r="P135" s="1433"/>
      <c r="Q135" s="1434"/>
    </row>
    <row r="136" spans="2:17" ht="36.75" customHeight="1" x14ac:dyDescent="0.3">
      <c r="B136" s="1240">
        <v>16</v>
      </c>
      <c r="C136" s="1247" t="s">
        <v>1377</v>
      </c>
      <c r="D136" s="1189"/>
      <c r="E136" s="957">
        <f t="shared" si="2"/>
        <v>0</v>
      </c>
      <c r="F136" s="957">
        <f t="shared" si="0"/>
        <v>0</v>
      </c>
      <c r="G136" s="957">
        <f t="shared" si="1"/>
        <v>0</v>
      </c>
      <c r="H136" s="957">
        <v>0</v>
      </c>
      <c r="I136" s="739">
        <v>7.3303868053037503E-3</v>
      </c>
      <c r="J136" s="528"/>
      <c r="K136" s="528"/>
      <c r="L136" s="528"/>
      <c r="M136" s="528"/>
      <c r="N136" s="528"/>
      <c r="O136" s="1432" t="s">
        <v>1358</v>
      </c>
      <c r="P136" s="1433"/>
      <c r="Q136" s="1434"/>
    </row>
    <row r="137" spans="2:17" ht="36.75" customHeight="1" x14ac:dyDescent="0.3">
      <c r="B137" s="1240">
        <v>17</v>
      </c>
      <c r="C137" s="1247" t="s">
        <v>32</v>
      </c>
      <c r="D137" s="1189"/>
      <c r="E137" s="957">
        <f t="shared" si="2"/>
        <v>4.2382764499563165E-2</v>
      </c>
      <c r="F137" s="957">
        <f t="shared" si="0"/>
        <v>2.1665674600940509E-2</v>
      </c>
      <c r="G137" s="957">
        <f t="shared" si="1"/>
        <v>3.2024219550251837E-2</v>
      </c>
      <c r="H137" s="957">
        <f>SUMPRODUCT(H121:H136,I121:I136)/I137</f>
        <v>0.43760109487328724</v>
      </c>
      <c r="I137" s="739">
        <f>SUM(I121:I136)</f>
        <v>0.62297507864485846</v>
      </c>
      <c r="J137" s="528"/>
      <c r="K137" s="528"/>
      <c r="L137" s="528"/>
      <c r="M137" s="528"/>
      <c r="N137" s="528"/>
      <c r="O137" s="1432" t="s">
        <v>1358</v>
      </c>
      <c r="P137" s="1433"/>
      <c r="Q137" s="1434"/>
    </row>
    <row r="138" spans="2:17" ht="18.75" customHeight="1" x14ac:dyDescent="0.3">
      <c r="B138" s="1240">
        <v>18</v>
      </c>
      <c r="C138" s="515"/>
      <c r="D138" s="1189"/>
      <c r="E138" s="530"/>
      <c r="F138" s="530"/>
      <c r="G138" s="957"/>
      <c r="H138" s="957"/>
      <c r="I138" s="528"/>
      <c r="J138" s="528"/>
      <c r="K138" s="528"/>
      <c r="L138" s="528"/>
      <c r="M138" s="528"/>
      <c r="N138" s="528"/>
      <c r="O138" s="1425"/>
      <c r="P138" s="1426"/>
      <c r="Q138" s="1427"/>
    </row>
    <row r="139" spans="2:17" ht="18.75" customHeight="1" x14ac:dyDescent="0.3">
      <c r="B139" s="1240">
        <v>19</v>
      </c>
      <c r="C139" s="515"/>
      <c r="D139" s="1189"/>
      <c r="E139" s="530"/>
      <c r="F139" s="530"/>
      <c r="G139" s="957"/>
      <c r="H139" s="957"/>
      <c r="I139" s="528"/>
      <c r="J139" s="528"/>
      <c r="K139" s="528"/>
      <c r="L139" s="528"/>
      <c r="M139" s="528"/>
      <c r="N139" s="528"/>
      <c r="O139" s="1425"/>
      <c r="P139" s="1426"/>
      <c r="Q139" s="1427"/>
    </row>
    <row r="140" spans="2:17" ht="18.75" customHeight="1" x14ac:dyDescent="0.3">
      <c r="B140" s="1240">
        <v>20</v>
      </c>
      <c r="C140" s="515"/>
      <c r="D140" s="1189"/>
      <c r="E140" s="530"/>
      <c r="F140" s="530"/>
      <c r="G140" s="957"/>
      <c r="H140" s="957"/>
      <c r="I140" s="528"/>
      <c r="J140" s="528"/>
      <c r="K140" s="528"/>
      <c r="L140" s="528"/>
      <c r="M140" s="528"/>
      <c r="N140" s="528"/>
      <c r="O140" s="1425"/>
      <c r="P140" s="1426"/>
      <c r="Q140" s="1427"/>
    </row>
    <row r="142" spans="2:17" ht="18.75" customHeight="1" x14ac:dyDescent="0.3">
      <c r="B142" s="702" t="s">
        <v>493</v>
      </c>
      <c r="E142" s="1662" t="s">
        <v>494</v>
      </c>
      <c r="F142" s="1663"/>
      <c r="G142" s="1663"/>
      <c r="H142" s="1663"/>
      <c r="I142" s="1663"/>
      <c r="J142" s="1663"/>
      <c r="K142" s="1663"/>
      <c r="L142" s="1663"/>
      <c r="M142" s="1663"/>
      <c r="N142" s="1663"/>
      <c r="O142" s="1664" t="s">
        <v>476</v>
      </c>
      <c r="P142" s="1665"/>
      <c r="Q142" s="1666"/>
    </row>
    <row r="143" spans="2:17" ht="60" customHeight="1" x14ac:dyDescent="0.3">
      <c r="B143" s="1673" t="s">
        <v>1378</v>
      </c>
      <c r="C143" s="1674"/>
      <c r="D143" s="1675"/>
      <c r="E143" s="703" t="s">
        <v>495</v>
      </c>
      <c r="F143" s="703" t="s">
        <v>496</v>
      </c>
      <c r="G143" s="703" t="s">
        <v>497</v>
      </c>
      <c r="H143" s="703" t="s">
        <v>498</v>
      </c>
      <c r="I143" s="703" t="s">
        <v>499</v>
      </c>
      <c r="J143" s="703" t="s">
        <v>500</v>
      </c>
      <c r="K143" s="703" t="s">
        <v>501</v>
      </c>
      <c r="L143" s="703" t="s">
        <v>502</v>
      </c>
      <c r="M143" s="703" t="s">
        <v>503</v>
      </c>
      <c r="N143" s="1213" t="s">
        <v>504</v>
      </c>
      <c r="O143" s="1667"/>
      <c r="P143" s="1668"/>
      <c r="Q143" s="1669"/>
    </row>
    <row r="144" spans="2:17" ht="18.75" customHeight="1" x14ac:dyDescent="0.3">
      <c r="B144" s="704" t="s">
        <v>478</v>
      </c>
      <c r="C144" s="1662" t="s">
        <v>538</v>
      </c>
      <c r="D144" s="1676"/>
      <c r="E144" s="525" t="s">
        <v>1361</v>
      </c>
      <c r="F144" s="525" t="s">
        <v>1362</v>
      </c>
      <c r="G144" s="525" t="s">
        <v>10</v>
      </c>
      <c r="H144" s="525" t="s">
        <v>1363</v>
      </c>
      <c r="I144" s="525" t="s">
        <v>1364</v>
      </c>
      <c r="J144" s="525"/>
      <c r="K144" s="525"/>
      <c r="L144" s="525"/>
      <c r="M144" s="525"/>
      <c r="N144" s="1214"/>
      <c r="O144" s="1670"/>
      <c r="P144" s="1671"/>
      <c r="Q144" s="1672"/>
    </row>
    <row r="145" spans="2:17" ht="36.75" customHeight="1" x14ac:dyDescent="0.3">
      <c r="B145" s="1240">
        <v>1</v>
      </c>
      <c r="C145" s="1247" t="s">
        <v>1365</v>
      </c>
      <c r="D145" s="600"/>
      <c r="E145" s="957">
        <f>$H145*$D$86</f>
        <v>8.9394866903667769E-2</v>
      </c>
      <c r="F145" s="957">
        <f>$H145*$D$87</f>
        <v>4.5697823636521265E-2</v>
      </c>
      <c r="G145" s="957">
        <f>AVERAGE(E145:F145)</f>
        <v>6.754634527009451E-2</v>
      </c>
      <c r="H145" s="957">
        <v>0.92300000000000004</v>
      </c>
      <c r="I145" s="739">
        <v>1.0485981125233975E-3</v>
      </c>
      <c r="J145" s="527"/>
      <c r="K145" s="527"/>
      <c r="L145" s="527"/>
      <c r="M145" s="527"/>
      <c r="N145" s="527"/>
      <c r="O145" s="1432" t="s">
        <v>1358</v>
      </c>
      <c r="P145" s="1433"/>
      <c r="Q145" s="1434"/>
    </row>
    <row r="146" spans="2:17" ht="36.75" customHeight="1" x14ac:dyDescent="0.3">
      <c r="B146" s="1240">
        <v>2</v>
      </c>
      <c r="C146" s="1247" t="s">
        <v>1366</v>
      </c>
      <c r="D146" s="600"/>
      <c r="E146" s="957">
        <f t="shared" ref="E146:E161" si="3">$H146*$D$86</f>
        <v>6.0726523887973657E-2</v>
      </c>
      <c r="F146" s="957">
        <f t="shared" ref="F146:F161" si="4">$H146*$D$87</f>
        <v>3.1042833607907723E-2</v>
      </c>
      <c r="G146" s="957">
        <f t="shared" ref="G146:G161" si="5">AVERAGE(E146:F146)</f>
        <v>4.5884678747940694E-2</v>
      </c>
      <c r="H146" s="957">
        <v>0.627</v>
      </c>
      <c r="I146" s="739">
        <v>2.018796366166541E-2</v>
      </c>
      <c r="J146" s="527"/>
      <c r="K146" s="527"/>
      <c r="L146" s="527"/>
      <c r="M146" s="527"/>
      <c r="N146" s="527"/>
      <c r="O146" s="1432" t="s">
        <v>1358</v>
      </c>
      <c r="P146" s="1433"/>
      <c r="Q146" s="1434"/>
    </row>
    <row r="147" spans="2:17" ht="36.75" customHeight="1" x14ac:dyDescent="0.3">
      <c r="B147" s="1240">
        <v>3</v>
      </c>
      <c r="C147" s="1247" t="s">
        <v>811</v>
      </c>
      <c r="D147" s="600"/>
      <c r="E147" s="957">
        <f t="shared" si="3"/>
        <v>6.0726523887973657E-2</v>
      </c>
      <c r="F147" s="957">
        <f t="shared" si="4"/>
        <v>3.1042833607907723E-2</v>
      </c>
      <c r="G147" s="957">
        <f t="shared" si="5"/>
        <v>4.5884678747940694E-2</v>
      </c>
      <c r="H147" s="957">
        <v>0.627</v>
      </c>
      <c r="I147" s="739">
        <v>5.977989239619369E-3</v>
      </c>
      <c r="J147" s="527"/>
      <c r="K147" s="527"/>
      <c r="L147" s="527"/>
      <c r="M147" s="527"/>
      <c r="N147" s="527"/>
      <c r="O147" s="1432" t="s">
        <v>1358</v>
      </c>
      <c r="P147" s="1433"/>
      <c r="Q147" s="1434"/>
    </row>
    <row r="148" spans="2:17" ht="36.75" customHeight="1" x14ac:dyDescent="0.3">
      <c r="B148" s="1240">
        <v>4</v>
      </c>
      <c r="C148" s="1247" t="s">
        <v>812</v>
      </c>
      <c r="D148" s="600"/>
      <c r="E148" s="957">
        <f t="shared" si="3"/>
        <v>6.0726523887973657E-2</v>
      </c>
      <c r="F148" s="957">
        <f t="shared" si="4"/>
        <v>3.1042833607907723E-2</v>
      </c>
      <c r="G148" s="957">
        <f t="shared" si="5"/>
        <v>4.5884678747940694E-2</v>
      </c>
      <c r="H148" s="957">
        <v>0.627</v>
      </c>
      <c r="I148" s="739">
        <v>0</v>
      </c>
      <c r="J148" s="527"/>
      <c r="K148" s="527"/>
      <c r="L148" s="527"/>
      <c r="M148" s="527"/>
      <c r="N148" s="527"/>
      <c r="O148" s="1432" t="s">
        <v>1358</v>
      </c>
      <c r="P148" s="1433"/>
      <c r="Q148" s="1434"/>
    </row>
    <row r="149" spans="2:17" ht="36.75" customHeight="1" x14ac:dyDescent="0.3">
      <c r="B149" s="1240">
        <v>5</v>
      </c>
      <c r="C149" s="1247" t="s">
        <v>1367</v>
      </c>
      <c r="D149" s="600"/>
      <c r="E149" s="957">
        <f t="shared" si="3"/>
        <v>6.0726523887973657E-2</v>
      </c>
      <c r="F149" s="957">
        <f t="shared" si="4"/>
        <v>3.1042833607907723E-2</v>
      </c>
      <c r="G149" s="957">
        <f t="shared" si="5"/>
        <v>4.5884678747940694E-2</v>
      </c>
      <c r="H149" s="957">
        <v>0.627</v>
      </c>
      <c r="I149" s="739">
        <v>0</v>
      </c>
      <c r="J149" s="527"/>
      <c r="K149" s="527"/>
      <c r="L149" s="527"/>
      <c r="M149" s="527"/>
      <c r="N149" s="527"/>
      <c r="O149" s="1432" t="s">
        <v>1358</v>
      </c>
      <c r="P149" s="1433"/>
      <c r="Q149" s="1434"/>
    </row>
    <row r="150" spans="2:17" ht="36.75" customHeight="1" x14ac:dyDescent="0.3">
      <c r="B150" s="1240">
        <v>6</v>
      </c>
      <c r="C150" s="1247" t="s">
        <v>569</v>
      </c>
      <c r="D150" s="1189"/>
      <c r="E150" s="957">
        <f t="shared" si="3"/>
        <v>6.0726523887973657E-2</v>
      </c>
      <c r="F150" s="957">
        <f t="shared" si="4"/>
        <v>3.1042833607907723E-2</v>
      </c>
      <c r="G150" s="957">
        <f t="shared" si="5"/>
        <v>4.5884678747940694E-2</v>
      </c>
      <c r="H150" s="957">
        <v>0.627</v>
      </c>
      <c r="I150" s="739">
        <v>0</v>
      </c>
      <c r="J150" s="528"/>
      <c r="K150" s="528"/>
      <c r="L150" s="528"/>
      <c r="M150" s="528"/>
      <c r="N150" s="528"/>
      <c r="O150" s="1432" t="s">
        <v>1358</v>
      </c>
      <c r="P150" s="1433"/>
      <c r="Q150" s="1434"/>
    </row>
    <row r="151" spans="2:17" ht="36.75" customHeight="1" x14ac:dyDescent="0.3">
      <c r="B151" s="1240">
        <v>7</v>
      </c>
      <c r="C151" s="1247" t="s">
        <v>1368</v>
      </c>
      <c r="D151" s="1189"/>
      <c r="E151" s="957">
        <f t="shared" si="3"/>
        <v>8.9394866903667769E-2</v>
      </c>
      <c r="F151" s="957">
        <f t="shared" si="4"/>
        <v>4.5697823636521265E-2</v>
      </c>
      <c r="G151" s="957">
        <f t="shared" si="5"/>
        <v>6.754634527009451E-2</v>
      </c>
      <c r="H151" s="957">
        <v>0.92300000000000004</v>
      </c>
      <c r="I151" s="739">
        <v>5.1939906508168281E-4</v>
      </c>
      <c r="J151" s="528"/>
      <c r="K151" s="528"/>
      <c r="L151" s="528"/>
      <c r="M151" s="528"/>
      <c r="N151" s="528"/>
      <c r="O151" s="1432" t="s">
        <v>1358</v>
      </c>
      <c r="P151" s="1433"/>
      <c r="Q151" s="1434"/>
    </row>
    <row r="152" spans="2:17" ht="36.75" customHeight="1" x14ac:dyDescent="0.3">
      <c r="B152" s="1240">
        <v>8</v>
      </c>
      <c r="C152" s="1247" t="s">
        <v>1369</v>
      </c>
      <c r="D152" s="1189"/>
      <c r="E152" s="957">
        <f t="shared" si="3"/>
        <v>2.9927425648140129E-2</v>
      </c>
      <c r="F152" s="957">
        <f t="shared" si="4"/>
        <v>1.5298621347437778E-2</v>
      </c>
      <c r="G152" s="957">
        <f t="shared" si="5"/>
        <v>2.2613023497788952E-2</v>
      </c>
      <c r="H152" s="957">
        <v>0.309</v>
      </c>
      <c r="I152" s="739">
        <v>0.1707156927117531</v>
      </c>
      <c r="J152" s="528"/>
      <c r="K152" s="528"/>
      <c r="L152" s="528"/>
      <c r="M152" s="528"/>
      <c r="N152" s="528"/>
      <c r="O152" s="1432" t="s">
        <v>1358</v>
      </c>
      <c r="P152" s="1433"/>
      <c r="Q152" s="1434"/>
    </row>
    <row r="153" spans="2:17" ht="36.75" customHeight="1" x14ac:dyDescent="0.3">
      <c r="B153" s="1240">
        <v>9</v>
      </c>
      <c r="C153" s="1247" t="s">
        <v>1370</v>
      </c>
      <c r="D153" s="1189"/>
      <c r="E153" s="957">
        <f t="shared" si="3"/>
        <v>2.9927425648140129E-2</v>
      </c>
      <c r="F153" s="957">
        <f t="shared" si="4"/>
        <v>1.5298621347437778E-2</v>
      </c>
      <c r="G153" s="957">
        <f t="shared" si="5"/>
        <v>2.2613023497788952E-2</v>
      </c>
      <c r="H153" s="957">
        <v>0.309</v>
      </c>
      <c r="I153" s="739">
        <v>2.8419948844092081E-2</v>
      </c>
      <c r="J153" s="528"/>
      <c r="K153" s="528"/>
      <c r="L153" s="528"/>
      <c r="M153" s="528"/>
      <c r="N153" s="528"/>
      <c r="O153" s="1432" t="s">
        <v>1358</v>
      </c>
      <c r="P153" s="1433"/>
      <c r="Q153" s="1434"/>
    </row>
    <row r="154" spans="2:17" ht="36.75" customHeight="1" x14ac:dyDescent="0.3">
      <c r="B154" s="1240">
        <v>10</v>
      </c>
      <c r="C154" s="1247" t="s">
        <v>1371</v>
      </c>
      <c r="D154" s="1189"/>
      <c r="E154" s="957">
        <f t="shared" si="3"/>
        <v>2.9927425648140129E-2</v>
      </c>
      <c r="F154" s="957">
        <f t="shared" si="4"/>
        <v>1.5298621347437778E-2</v>
      </c>
      <c r="G154" s="957">
        <f t="shared" si="5"/>
        <v>2.2613023497788952E-2</v>
      </c>
      <c r="H154" s="957">
        <v>0.309</v>
      </c>
      <c r="I154" s="739">
        <v>1.4209974422046041E-2</v>
      </c>
      <c r="J154" s="528"/>
      <c r="K154" s="528"/>
      <c r="L154" s="528"/>
      <c r="M154" s="528"/>
      <c r="N154" s="528"/>
      <c r="O154" s="1432" t="s">
        <v>1358</v>
      </c>
      <c r="P154" s="1433"/>
      <c r="Q154" s="1434"/>
    </row>
    <row r="155" spans="2:17" ht="36.75" customHeight="1" x14ac:dyDescent="0.3">
      <c r="B155" s="1240">
        <v>11</v>
      </c>
      <c r="C155" s="1247" t="s">
        <v>1372</v>
      </c>
      <c r="D155" s="1189"/>
      <c r="E155" s="957">
        <f t="shared" si="3"/>
        <v>0</v>
      </c>
      <c r="F155" s="957">
        <f t="shared" si="4"/>
        <v>0</v>
      </c>
      <c r="G155" s="957">
        <f t="shared" si="5"/>
        <v>0</v>
      </c>
      <c r="H155" s="957">
        <v>0</v>
      </c>
      <c r="I155" s="739">
        <v>2.6851951666487E-2</v>
      </c>
      <c r="J155" s="528"/>
      <c r="K155" s="528"/>
      <c r="L155" s="528"/>
      <c r="M155" s="528"/>
      <c r="N155" s="528"/>
      <c r="O155" s="1432" t="s">
        <v>1358</v>
      </c>
      <c r="P155" s="1433"/>
      <c r="Q155" s="1434"/>
    </row>
    <row r="156" spans="2:17" ht="36.75" customHeight="1" x14ac:dyDescent="0.3">
      <c r="B156" s="1240">
        <v>12</v>
      </c>
      <c r="C156" s="1247" t="s">
        <v>1373</v>
      </c>
      <c r="D156" s="1189"/>
      <c r="E156" s="957">
        <f t="shared" si="3"/>
        <v>0</v>
      </c>
      <c r="F156" s="957">
        <f t="shared" si="4"/>
        <v>0</v>
      </c>
      <c r="G156" s="957">
        <f t="shared" si="5"/>
        <v>0</v>
      </c>
      <c r="H156" s="957">
        <v>0</v>
      </c>
      <c r="I156" s="739">
        <v>2.3911956958477476E-2</v>
      </c>
      <c r="J156" s="528"/>
      <c r="K156" s="528"/>
      <c r="L156" s="528"/>
      <c r="M156" s="528"/>
      <c r="N156" s="528"/>
      <c r="O156" s="1432" t="s">
        <v>1358</v>
      </c>
      <c r="P156" s="1433"/>
      <c r="Q156" s="1434"/>
    </row>
    <row r="157" spans="2:17" ht="36.75" customHeight="1" x14ac:dyDescent="0.3">
      <c r="B157" s="1240">
        <v>13</v>
      </c>
      <c r="C157" s="1247" t="s">
        <v>1374</v>
      </c>
      <c r="D157" s="1189"/>
      <c r="E157" s="957">
        <f t="shared" si="3"/>
        <v>0</v>
      </c>
      <c r="F157" s="957">
        <f t="shared" si="4"/>
        <v>0</v>
      </c>
      <c r="G157" s="957">
        <f t="shared" si="5"/>
        <v>0</v>
      </c>
      <c r="H157" s="957">
        <v>0</v>
      </c>
      <c r="I157" s="739">
        <v>8.8474240746366659E-2</v>
      </c>
      <c r="J157" s="528"/>
      <c r="K157" s="528"/>
      <c r="L157" s="528"/>
      <c r="M157" s="528"/>
      <c r="N157" s="528"/>
      <c r="O157" s="1432" t="s">
        <v>1358</v>
      </c>
      <c r="P157" s="1433"/>
      <c r="Q157" s="1434"/>
    </row>
    <row r="158" spans="2:17" ht="36.75" customHeight="1" x14ac:dyDescent="0.3">
      <c r="B158" s="1240">
        <v>14</v>
      </c>
      <c r="C158" s="1247" t="s">
        <v>1375</v>
      </c>
      <c r="D158" s="1189"/>
      <c r="E158" s="957">
        <f t="shared" si="3"/>
        <v>0</v>
      </c>
      <c r="F158" s="957">
        <f t="shared" si="4"/>
        <v>0</v>
      </c>
      <c r="G158" s="957">
        <f t="shared" si="5"/>
        <v>0</v>
      </c>
      <c r="H158" s="957">
        <v>0</v>
      </c>
      <c r="I158" s="739">
        <v>0.21334561597789123</v>
      </c>
      <c r="J158" s="528"/>
      <c r="K158" s="528"/>
      <c r="L158" s="528"/>
      <c r="M158" s="528"/>
      <c r="N158" s="528"/>
      <c r="O158" s="1432" t="s">
        <v>1358</v>
      </c>
      <c r="P158" s="1433"/>
      <c r="Q158" s="1434"/>
    </row>
    <row r="159" spans="2:17" ht="36.75" customHeight="1" x14ac:dyDescent="0.3">
      <c r="B159" s="1240">
        <v>15</v>
      </c>
      <c r="C159" s="1247" t="s">
        <v>1376</v>
      </c>
      <c r="D159" s="1189"/>
      <c r="E159" s="957">
        <f t="shared" si="3"/>
        <v>0</v>
      </c>
      <c r="F159" s="957">
        <f t="shared" si="4"/>
        <v>0</v>
      </c>
      <c r="G159" s="957">
        <f t="shared" si="5"/>
        <v>0</v>
      </c>
      <c r="H159" s="957">
        <v>0</v>
      </c>
      <c r="I159" s="739">
        <v>2.1981360433551218E-2</v>
      </c>
      <c r="J159" s="528"/>
      <c r="K159" s="528"/>
      <c r="L159" s="528"/>
      <c r="M159" s="528"/>
      <c r="N159" s="528"/>
      <c r="O159" s="1432" t="s">
        <v>1358</v>
      </c>
      <c r="P159" s="1433"/>
      <c r="Q159" s="1434"/>
    </row>
    <row r="160" spans="2:17" ht="36.75" customHeight="1" x14ac:dyDescent="0.3">
      <c r="B160" s="1240">
        <v>16</v>
      </c>
      <c r="C160" s="1247" t="s">
        <v>1377</v>
      </c>
      <c r="D160" s="1189"/>
      <c r="E160" s="957">
        <f t="shared" si="3"/>
        <v>0</v>
      </c>
      <c r="F160" s="957">
        <f t="shared" si="4"/>
        <v>0</v>
      </c>
      <c r="G160" s="957">
        <f t="shared" si="5"/>
        <v>0</v>
      </c>
      <c r="H160" s="957">
        <v>0</v>
      </c>
      <c r="I160" s="739">
        <v>7.3303868053037503E-3</v>
      </c>
      <c r="J160" s="528"/>
      <c r="K160" s="528"/>
      <c r="L160" s="528"/>
      <c r="M160" s="528"/>
      <c r="N160" s="528"/>
      <c r="O160" s="1432" t="s">
        <v>1358</v>
      </c>
      <c r="P160" s="1433"/>
      <c r="Q160" s="1434"/>
    </row>
    <row r="161" spans="2:17" ht="36.75" customHeight="1" x14ac:dyDescent="0.3">
      <c r="B161" s="1240">
        <v>17</v>
      </c>
      <c r="C161" s="1247" t="s">
        <v>32</v>
      </c>
      <c r="D161" s="1189"/>
      <c r="E161" s="957">
        <f t="shared" si="3"/>
        <v>1.3024635496004138E-2</v>
      </c>
      <c r="F161" s="957">
        <f t="shared" si="4"/>
        <v>6.6580723976887701E-3</v>
      </c>
      <c r="G161" s="957">
        <f t="shared" si="5"/>
        <v>9.8413539468464543E-3</v>
      </c>
      <c r="H161" s="957">
        <f>SUMPRODUCT(H145:H160,I145:I160)/I161</f>
        <v>0.13447906998694331</v>
      </c>
      <c r="I161" s="739">
        <f>SUM(I145:I160)</f>
        <v>0.62297507864485846</v>
      </c>
      <c r="J161" s="528"/>
      <c r="K161" s="528"/>
      <c r="L161" s="528"/>
      <c r="M161" s="528"/>
      <c r="N161" s="528"/>
      <c r="O161" s="1432" t="s">
        <v>1358</v>
      </c>
      <c r="P161" s="1433"/>
      <c r="Q161" s="1434"/>
    </row>
    <row r="162" spans="2:17" ht="18.75" customHeight="1" x14ac:dyDescent="0.3">
      <c r="B162" s="1240">
        <v>18</v>
      </c>
      <c r="C162" s="515"/>
      <c r="D162" s="1189"/>
      <c r="E162" s="530"/>
      <c r="F162" s="530"/>
      <c r="G162" s="957"/>
      <c r="H162" s="957"/>
      <c r="I162" s="528"/>
      <c r="J162" s="528"/>
      <c r="K162" s="528"/>
      <c r="L162" s="528"/>
      <c r="M162" s="528"/>
      <c r="N162" s="528"/>
      <c r="O162" s="1425"/>
      <c r="P162" s="1426"/>
      <c r="Q162" s="1427"/>
    </row>
    <row r="163" spans="2:17" ht="18.75" customHeight="1" x14ac:dyDescent="0.3">
      <c r="B163" s="1240">
        <v>19</v>
      </c>
      <c r="C163" s="515"/>
      <c r="D163" s="1189"/>
      <c r="E163" s="530"/>
      <c r="F163" s="530"/>
      <c r="G163" s="957"/>
      <c r="H163" s="957"/>
      <c r="I163" s="528"/>
      <c r="J163" s="528"/>
      <c r="K163" s="528"/>
      <c r="L163" s="528"/>
      <c r="M163" s="528"/>
      <c r="N163" s="528"/>
      <c r="O163" s="1425"/>
      <c r="P163" s="1426"/>
      <c r="Q163" s="1427"/>
    </row>
    <row r="164" spans="2:17" ht="18.75" customHeight="1" x14ac:dyDescent="0.3">
      <c r="B164" s="1240">
        <v>20</v>
      </c>
      <c r="C164" s="515"/>
      <c r="D164" s="1189"/>
      <c r="E164" s="530"/>
      <c r="F164" s="530"/>
      <c r="G164" s="957"/>
      <c r="H164" s="957"/>
      <c r="I164" s="528"/>
      <c r="J164" s="528"/>
      <c r="K164" s="528"/>
      <c r="L164" s="528"/>
      <c r="M164" s="528"/>
      <c r="N164" s="528"/>
      <c r="O164" s="1425"/>
      <c r="P164" s="1426"/>
      <c r="Q164" s="1427"/>
    </row>
  </sheetData>
  <sheetProtection algorithmName="SHA-512" hashValue="0gCoROJlebfbaQ3KSUldQE178XrymJYriS8QniAWnDVMDiYYuWpwx9kAvCLI1vcPw43WK5bkjKmfUP9GCajQIg==" saltValue="7awH8qThxVUxJY2X/xPm4Q==" spinCount="100000" sheet="1" objects="1" scenarios="1" selectLockedCells="1" selectUnlockedCells="1"/>
  <mergeCells count="168">
    <mergeCell ref="O163:Q163"/>
    <mergeCell ref="O164:Q164"/>
    <mergeCell ref="O157:Q157"/>
    <mergeCell ref="O158:Q158"/>
    <mergeCell ref="O159:Q159"/>
    <mergeCell ref="O160:Q160"/>
    <mergeCell ref="O161:Q161"/>
    <mergeCell ref="O162:Q162"/>
    <mergeCell ref="O151:Q151"/>
    <mergeCell ref="O152:Q152"/>
    <mergeCell ref="O153:Q153"/>
    <mergeCell ref="O154:Q154"/>
    <mergeCell ref="O155:Q155"/>
    <mergeCell ref="O156:Q156"/>
    <mergeCell ref="O145:Q145"/>
    <mergeCell ref="O146:Q146"/>
    <mergeCell ref="O147:Q147"/>
    <mergeCell ref="O148:Q148"/>
    <mergeCell ref="O149:Q149"/>
    <mergeCell ref="O150:Q150"/>
    <mergeCell ref="O139:Q139"/>
    <mergeCell ref="O140:Q140"/>
    <mergeCell ref="E142:N142"/>
    <mergeCell ref="O142:Q144"/>
    <mergeCell ref="B143:D143"/>
    <mergeCell ref="C144:D144"/>
    <mergeCell ref="O133:Q133"/>
    <mergeCell ref="O134:Q134"/>
    <mergeCell ref="O135:Q135"/>
    <mergeCell ref="O136:Q136"/>
    <mergeCell ref="O137:Q137"/>
    <mergeCell ref="O138:Q138"/>
    <mergeCell ref="O127:Q127"/>
    <mergeCell ref="O128:Q128"/>
    <mergeCell ref="O129:Q129"/>
    <mergeCell ref="O130:Q130"/>
    <mergeCell ref="O131:Q131"/>
    <mergeCell ref="O132:Q132"/>
    <mergeCell ref="O121:Q121"/>
    <mergeCell ref="O122:Q122"/>
    <mergeCell ref="O123:Q123"/>
    <mergeCell ref="O124:Q124"/>
    <mergeCell ref="O125:Q125"/>
    <mergeCell ref="O126:Q126"/>
    <mergeCell ref="D65:E65"/>
    <mergeCell ref="J65:Q65"/>
    <mergeCell ref="E118:N118"/>
    <mergeCell ref="O118:Q120"/>
    <mergeCell ref="B119:D119"/>
    <mergeCell ref="C120:D120"/>
    <mergeCell ref="O113:Q113"/>
    <mergeCell ref="O114:Q114"/>
    <mergeCell ref="O115:Q115"/>
    <mergeCell ref="O116:Q116"/>
    <mergeCell ref="D68:E68"/>
    <mergeCell ref="J68:Q68"/>
    <mergeCell ref="O107:Q107"/>
    <mergeCell ref="O108:Q108"/>
    <mergeCell ref="O109:Q109"/>
    <mergeCell ref="O110:Q110"/>
    <mergeCell ref="O111:Q111"/>
    <mergeCell ref="O112:Q112"/>
    <mergeCell ref="O101:Q101"/>
    <mergeCell ref="O102:Q102"/>
    <mergeCell ref="O103:Q103"/>
    <mergeCell ref="O104:Q104"/>
    <mergeCell ref="O105:Q105"/>
    <mergeCell ref="O106:Q106"/>
    <mergeCell ref="B95:D95"/>
    <mergeCell ref="C96:D96"/>
    <mergeCell ref="O97:Q97"/>
    <mergeCell ref="O98:Q98"/>
    <mergeCell ref="O99:Q99"/>
    <mergeCell ref="O100:Q100"/>
    <mergeCell ref="F86:Q86"/>
    <mergeCell ref="F87:Q87"/>
    <mergeCell ref="F88:Q88"/>
    <mergeCell ref="F89:Q89"/>
    <mergeCell ref="F90:Q90"/>
    <mergeCell ref="E94:N94"/>
    <mergeCell ref="O94:Q96"/>
    <mergeCell ref="F80:Q80"/>
    <mergeCell ref="F81:Q81"/>
    <mergeCell ref="F82:Q82"/>
    <mergeCell ref="F83:Q83"/>
    <mergeCell ref="F84:Q84"/>
    <mergeCell ref="F85:Q85"/>
    <mergeCell ref="D74:E74"/>
    <mergeCell ref="J74:Q74"/>
    <mergeCell ref="D75:E75"/>
    <mergeCell ref="J75:Q75"/>
    <mergeCell ref="D76:E76"/>
    <mergeCell ref="J76:Q76"/>
    <mergeCell ref="D71:E71"/>
    <mergeCell ref="J71:Q71"/>
    <mergeCell ref="D72:E72"/>
    <mergeCell ref="J72:Q72"/>
    <mergeCell ref="D73:E73"/>
    <mergeCell ref="J73:Q73"/>
    <mergeCell ref="J66:Q66"/>
    <mergeCell ref="D69:E69"/>
    <mergeCell ref="J69:Q69"/>
    <mergeCell ref="D70:E70"/>
    <mergeCell ref="J70:Q70"/>
    <mergeCell ref="D67:E67"/>
    <mergeCell ref="J67:Q67"/>
    <mergeCell ref="D66:E66"/>
    <mergeCell ref="D62:E62"/>
    <mergeCell ref="J62:Q62"/>
    <mergeCell ref="D63:E63"/>
    <mergeCell ref="J63:Q63"/>
    <mergeCell ref="D64:E64"/>
    <mergeCell ref="J64:Q64"/>
    <mergeCell ref="C56:M56"/>
    <mergeCell ref="P56:Q56"/>
    <mergeCell ref="C57:M57"/>
    <mergeCell ref="P57:Q57"/>
    <mergeCell ref="D61:E61"/>
    <mergeCell ref="J61:Q61"/>
    <mergeCell ref="C53:M53"/>
    <mergeCell ref="P53:Q53"/>
    <mergeCell ref="C54:M54"/>
    <mergeCell ref="P54:Q54"/>
    <mergeCell ref="C55:M55"/>
    <mergeCell ref="P55:Q55"/>
    <mergeCell ref="C49:M49"/>
    <mergeCell ref="P49:Q49"/>
    <mergeCell ref="C50:M50"/>
    <mergeCell ref="P50:Q50"/>
    <mergeCell ref="C51:M51"/>
    <mergeCell ref="P51:Q51"/>
    <mergeCell ref="C45:M45"/>
    <mergeCell ref="P45:Q45"/>
    <mergeCell ref="C47:M47"/>
    <mergeCell ref="P47:Q47"/>
    <mergeCell ref="C48:M48"/>
    <mergeCell ref="P48:Q48"/>
    <mergeCell ref="C42:M42"/>
    <mergeCell ref="P42:Q42"/>
    <mergeCell ref="C43:M43"/>
    <mergeCell ref="P43:Q43"/>
    <mergeCell ref="C44:M44"/>
    <mergeCell ref="P44:Q44"/>
    <mergeCell ref="E34:Q34"/>
    <mergeCell ref="E35:Q35"/>
    <mergeCell ref="E36:Q36"/>
    <mergeCell ref="E37:Q37"/>
    <mergeCell ref="C41:M41"/>
    <mergeCell ref="P41:Q41"/>
    <mergeCell ref="D28:Q28"/>
    <mergeCell ref="E32:Q32"/>
    <mergeCell ref="E33:Q33"/>
    <mergeCell ref="D17:F17"/>
    <mergeCell ref="B20:Q20"/>
    <mergeCell ref="C21:Q21"/>
    <mergeCell ref="C22:Q22"/>
    <mergeCell ref="C23:Q23"/>
    <mergeCell ref="D29:Q29"/>
    <mergeCell ref="D30:Q30"/>
    <mergeCell ref="C2:F2"/>
    <mergeCell ref="C3:F3"/>
    <mergeCell ref="C4:F4"/>
    <mergeCell ref="C5:F5"/>
    <mergeCell ref="D7:F7"/>
    <mergeCell ref="D8:F16"/>
    <mergeCell ref="D25:Q25"/>
    <mergeCell ref="D26:Q26"/>
    <mergeCell ref="D27:Q27"/>
  </mergeCells>
  <conditionalFormatting sqref="H71">
    <cfRule type="expression" dxfId="2998" priority="96">
      <formula>IF(OR(#REF!="L",#REF!="C"),TRUE,FALSE)</formula>
    </cfRule>
  </conditionalFormatting>
  <conditionalFormatting sqref="H69">
    <cfRule type="expression" dxfId="2997" priority="95">
      <formula>IF(OR(#REF!="L",#REF!="C"),TRUE,FALSE)</formula>
    </cfRule>
  </conditionalFormatting>
  <conditionalFormatting sqref="H70">
    <cfRule type="expression" dxfId="2996" priority="94">
      <formula>IF(OR(#REF!="L",#REF!="C"),TRUE,FALSE)</formula>
    </cfRule>
  </conditionalFormatting>
  <conditionalFormatting sqref="F109:F116 G105:H116">
    <cfRule type="expression" dxfId="2995" priority="93">
      <formula>IF(OR(#REF!="L",#REF!="C"),TRUE,FALSE)</formula>
    </cfRule>
  </conditionalFormatting>
  <conditionalFormatting sqref="E110:E116">
    <cfRule type="expression" dxfId="2994" priority="92">
      <formula>IF(OR(#REF!="L",#REF!="C"),TRUE,FALSE)</formula>
    </cfRule>
  </conditionalFormatting>
  <conditionalFormatting sqref="E107">
    <cfRule type="expression" dxfId="2993" priority="91">
      <formula>IF(OR(#REF!="L",#REF!="C"),TRUE,FALSE)</formula>
    </cfRule>
  </conditionalFormatting>
  <conditionalFormatting sqref="E108">
    <cfRule type="expression" dxfId="2992" priority="90">
      <formula>IF(OR(#REF!="L",#REF!="C"),TRUE,FALSE)</formula>
    </cfRule>
  </conditionalFormatting>
  <conditionalFormatting sqref="E109">
    <cfRule type="expression" dxfId="2991" priority="89">
      <formula>IF(OR(#REF!="L",#REF!="C"),TRUE,FALSE)</formula>
    </cfRule>
  </conditionalFormatting>
  <conditionalFormatting sqref="E106">
    <cfRule type="expression" dxfId="2990" priority="88">
      <formula>IF(OR(#REF!="L",#REF!="C"),TRUE,FALSE)</formula>
    </cfRule>
  </conditionalFormatting>
  <conditionalFormatting sqref="E95 G95 I95 K95 M95">
    <cfRule type="duplicateValues" dxfId="2989" priority="87"/>
  </conditionalFormatting>
  <conditionalFormatting sqref="M104:M116">
    <cfRule type="expression" dxfId="2988" priority="77">
      <formula>IF(OR(#REF!="L",#REF!="C"),TRUE,FALSE)</formula>
    </cfRule>
  </conditionalFormatting>
  <conditionalFormatting sqref="F105:F106">
    <cfRule type="expression" dxfId="2987" priority="86">
      <formula>IF(OR(#REF!="L",#REF!="C"),TRUE,FALSE)</formula>
    </cfRule>
  </conditionalFormatting>
  <conditionalFormatting sqref="I102:I103">
    <cfRule type="expression" dxfId="2986" priority="84">
      <formula>IF(OR(#REF!="L",#REF!="C"),TRUE,FALSE)</formula>
    </cfRule>
  </conditionalFormatting>
  <conditionalFormatting sqref="N102:N103">
    <cfRule type="expression" dxfId="2985" priority="74">
      <formula>IF(OR(#REF!="L",#REF!="C"),TRUE,FALSE)</formula>
    </cfRule>
  </conditionalFormatting>
  <conditionalFormatting sqref="I104:I116">
    <cfRule type="expression" dxfId="2984" priority="85">
      <formula>IF(OR(#REF!="L",#REF!="C"),TRUE,FALSE)</formula>
    </cfRule>
  </conditionalFormatting>
  <conditionalFormatting sqref="J102:J103">
    <cfRule type="expression" dxfId="2983" priority="82">
      <formula>IF(OR(#REF!="L",#REF!="C"),TRUE,FALSE)</formula>
    </cfRule>
  </conditionalFormatting>
  <conditionalFormatting sqref="J104:J116">
    <cfRule type="expression" dxfId="2982" priority="83">
      <formula>IF(OR(#REF!="L",#REF!="C"),TRUE,FALSE)</formula>
    </cfRule>
  </conditionalFormatting>
  <conditionalFormatting sqref="K102:K103">
    <cfRule type="expression" dxfId="2981" priority="80">
      <formula>IF(OR(#REF!="L",#REF!="C"),TRUE,FALSE)</formula>
    </cfRule>
  </conditionalFormatting>
  <conditionalFormatting sqref="K104:K116">
    <cfRule type="expression" dxfId="2980" priority="81">
      <formula>IF(OR(#REF!="L",#REF!="C"),TRUE,FALSE)</formula>
    </cfRule>
  </conditionalFormatting>
  <conditionalFormatting sqref="L102:L103">
    <cfRule type="expression" dxfId="2979" priority="78">
      <formula>IF(OR(#REF!="L",#REF!="C"),TRUE,FALSE)</formula>
    </cfRule>
  </conditionalFormatting>
  <conditionalFormatting sqref="L104:L116">
    <cfRule type="expression" dxfId="2978" priority="79">
      <formula>IF(OR(#REF!="L",#REF!="C"),TRUE,FALSE)</formula>
    </cfRule>
  </conditionalFormatting>
  <conditionalFormatting sqref="M102:M103">
    <cfRule type="expression" dxfId="2977" priority="76">
      <formula>IF(OR(#REF!="L",#REF!="C"),TRUE,FALSE)</formula>
    </cfRule>
  </conditionalFormatting>
  <conditionalFormatting sqref="N104:N116">
    <cfRule type="expression" dxfId="2976" priority="75">
      <formula>IF(OR(#REF!="L",#REF!="C"),TRUE,FALSE)</formula>
    </cfRule>
  </conditionalFormatting>
  <conditionalFormatting sqref="O104:O116">
    <cfRule type="expression" dxfId="2975" priority="73">
      <formula>IF(OR(#REF!="L",#REF!="C"),TRUE,FALSE)</formula>
    </cfRule>
  </conditionalFormatting>
  <conditionalFormatting sqref="O102:O103">
    <cfRule type="expression" dxfId="2974" priority="72">
      <formula>IF(OR(#REF!="L",#REF!="C"),TRUE,FALSE)</formula>
    </cfRule>
  </conditionalFormatting>
  <conditionalFormatting sqref="I96:N96">
    <cfRule type="duplicateValues" dxfId="2973" priority="71"/>
  </conditionalFormatting>
  <conditionalFormatting sqref="E96">
    <cfRule type="duplicateValues" dxfId="2972" priority="70"/>
  </conditionalFormatting>
  <conditionalFormatting sqref="H74">
    <cfRule type="expression" dxfId="2971" priority="66">
      <formula>IF(OR(#REF!="L",#REF!="C"),TRUE,FALSE)</formula>
    </cfRule>
  </conditionalFormatting>
  <conditionalFormatting sqref="H72">
    <cfRule type="expression" dxfId="2970" priority="68">
      <formula>IF(OR(#REF!="L",#REF!="C"),TRUE,FALSE)</formula>
    </cfRule>
  </conditionalFormatting>
  <conditionalFormatting sqref="H75">
    <cfRule type="expression" dxfId="2969" priority="65">
      <formula>IF(OR(#REF!="L",#REF!="C"),TRUE,FALSE)</formula>
    </cfRule>
  </conditionalFormatting>
  <conditionalFormatting sqref="H76">
    <cfRule type="expression" dxfId="2968" priority="64">
      <formula>IF(OR(#REF!="L",#REF!="C"),TRUE,FALSE)</formula>
    </cfRule>
  </conditionalFormatting>
  <conditionalFormatting sqref="H96">
    <cfRule type="duplicateValues" dxfId="2967" priority="62"/>
  </conditionalFormatting>
  <conditionalFormatting sqref="G96">
    <cfRule type="duplicateValues" dxfId="2966" priority="61"/>
  </conditionalFormatting>
  <conditionalFormatting sqref="F96">
    <cfRule type="duplicateValues" dxfId="2965" priority="58"/>
  </conditionalFormatting>
  <conditionalFormatting sqref="H68">
    <cfRule type="expression" dxfId="2964" priority="57">
      <formula>IF(OR(#REF!="L",#REF!="C"),TRUE,FALSE)</formula>
    </cfRule>
  </conditionalFormatting>
  <conditionalFormatting sqref="H65">
    <cfRule type="expression" dxfId="2963" priority="55">
      <formula>IF(OR(#REF!="L",#REF!="C"),TRUE,FALSE)</formula>
    </cfRule>
  </conditionalFormatting>
  <conditionalFormatting sqref="H68">
    <cfRule type="expression" dxfId="2962" priority="54">
      <formula>IF(OR(#REF!="L",#REF!="C"),TRUE,FALSE)</formula>
    </cfRule>
  </conditionalFormatting>
  <conditionalFormatting sqref="F138:F140">
    <cfRule type="expression" dxfId="2961" priority="53">
      <formula>IF(OR(#REF!="L",#REF!="C"),TRUE,FALSE)</formula>
    </cfRule>
  </conditionalFormatting>
  <conditionalFormatting sqref="E138:E140">
    <cfRule type="expression" dxfId="2960" priority="52">
      <formula>IF(OR(#REF!="L",#REF!="C"),TRUE,FALSE)</formula>
    </cfRule>
  </conditionalFormatting>
  <conditionalFormatting sqref="F162:F164">
    <cfRule type="expression" dxfId="2959" priority="26">
      <formula>IF(OR(#REF!="L",#REF!="C"),TRUE,FALSE)</formula>
    </cfRule>
  </conditionalFormatting>
  <conditionalFormatting sqref="E119 G119 I119 K119 M119">
    <cfRule type="duplicateValues" dxfId="2958" priority="47"/>
  </conditionalFormatting>
  <conditionalFormatting sqref="M128:M140">
    <cfRule type="expression" dxfId="2957" priority="37">
      <formula>IF(OR(#REF!="L",#REF!="C"),TRUE,FALSE)</formula>
    </cfRule>
  </conditionalFormatting>
  <conditionalFormatting sqref="J152:J164">
    <cfRule type="expression" dxfId="2956" priority="22">
      <formula>IF(OR(#REF!="L",#REF!="C"),TRUE,FALSE)</formula>
    </cfRule>
  </conditionalFormatting>
  <conditionalFormatting sqref="N126:N127">
    <cfRule type="expression" dxfId="2955" priority="34">
      <formula>IF(OR(#REF!="L",#REF!="C"),TRUE,FALSE)</formula>
    </cfRule>
  </conditionalFormatting>
  <conditionalFormatting sqref="I138:I140">
    <cfRule type="expression" dxfId="2954" priority="45">
      <formula>IF(OR(#REF!="L",#REF!="C"),TRUE,FALSE)</formula>
    </cfRule>
  </conditionalFormatting>
  <conditionalFormatting sqref="J126:J127">
    <cfRule type="expression" dxfId="2953" priority="42">
      <formula>IF(OR(#REF!="L",#REF!="C"),TRUE,FALSE)</formula>
    </cfRule>
  </conditionalFormatting>
  <conditionalFormatting sqref="J128:J140">
    <cfRule type="expression" dxfId="2952" priority="43">
      <formula>IF(OR(#REF!="L",#REF!="C"),TRUE,FALSE)</formula>
    </cfRule>
  </conditionalFormatting>
  <conditionalFormatting sqref="K126:K127">
    <cfRule type="expression" dxfId="2951" priority="40">
      <formula>IF(OR(#REF!="L",#REF!="C"),TRUE,FALSE)</formula>
    </cfRule>
  </conditionalFormatting>
  <conditionalFormatting sqref="K128:K140">
    <cfRule type="expression" dxfId="2950" priority="41">
      <formula>IF(OR(#REF!="L",#REF!="C"),TRUE,FALSE)</formula>
    </cfRule>
  </conditionalFormatting>
  <conditionalFormatting sqref="L126:L127">
    <cfRule type="expression" dxfId="2949" priority="38">
      <formula>IF(OR(#REF!="L",#REF!="C"),TRUE,FALSE)</formula>
    </cfRule>
  </conditionalFormatting>
  <conditionalFormatting sqref="L128:L140">
    <cfRule type="expression" dxfId="2948" priority="39">
      <formula>IF(OR(#REF!="L",#REF!="C"),TRUE,FALSE)</formula>
    </cfRule>
  </conditionalFormatting>
  <conditionalFormatting sqref="M126:M127">
    <cfRule type="expression" dxfId="2947" priority="36">
      <formula>IF(OR(#REF!="L",#REF!="C"),TRUE,FALSE)</formula>
    </cfRule>
  </conditionalFormatting>
  <conditionalFormatting sqref="N128:N140">
    <cfRule type="expression" dxfId="2946" priority="35">
      <formula>IF(OR(#REF!="L",#REF!="C"),TRUE,FALSE)</formula>
    </cfRule>
  </conditionalFormatting>
  <conditionalFormatting sqref="O138:O140">
    <cfRule type="expression" dxfId="2945" priority="33">
      <formula>IF(OR(#REF!="L",#REF!="C"),TRUE,FALSE)</formula>
    </cfRule>
  </conditionalFormatting>
  <conditionalFormatting sqref="J120:N120">
    <cfRule type="duplicateValues" dxfId="2944" priority="31"/>
  </conditionalFormatting>
  <conditionalFormatting sqref="E120">
    <cfRule type="duplicateValues" dxfId="2943" priority="30"/>
  </conditionalFormatting>
  <conditionalFormatting sqref="H120">
    <cfRule type="duplicateValues" dxfId="2942" priority="29"/>
  </conditionalFormatting>
  <conditionalFormatting sqref="G120">
    <cfRule type="duplicateValues" dxfId="2941" priority="28"/>
  </conditionalFormatting>
  <conditionalFormatting sqref="F120">
    <cfRule type="duplicateValues" dxfId="2940" priority="27"/>
  </conditionalFormatting>
  <conditionalFormatting sqref="E162:E164">
    <cfRule type="expression" dxfId="2939" priority="25">
      <formula>IF(OR(#REF!="L",#REF!="C"),TRUE,FALSE)</formula>
    </cfRule>
  </conditionalFormatting>
  <conditionalFormatting sqref="E143 G143 I143 K143 M143">
    <cfRule type="duplicateValues" dxfId="2938" priority="24"/>
  </conditionalFormatting>
  <conditionalFormatting sqref="M152:M164">
    <cfRule type="expression" dxfId="2937" priority="16">
      <formula>IF(OR(#REF!="L",#REF!="C"),TRUE,FALSE)</formula>
    </cfRule>
  </conditionalFormatting>
  <conditionalFormatting sqref="N150:N151">
    <cfRule type="expression" dxfId="2936" priority="13">
      <formula>IF(OR(#REF!="L",#REF!="C"),TRUE,FALSE)</formula>
    </cfRule>
  </conditionalFormatting>
  <conditionalFormatting sqref="I162:I164">
    <cfRule type="expression" dxfId="2935" priority="23">
      <formula>IF(OR(#REF!="L",#REF!="C"),TRUE,FALSE)</formula>
    </cfRule>
  </conditionalFormatting>
  <conditionalFormatting sqref="J150:J151">
    <cfRule type="expression" dxfId="2934" priority="21">
      <formula>IF(OR(#REF!="L",#REF!="C"),TRUE,FALSE)</formula>
    </cfRule>
  </conditionalFormatting>
  <conditionalFormatting sqref="K150:K151">
    <cfRule type="expression" dxfId="2933" priority="19">
      <formula>IF(OR(#REF!="L",#REF!="C"),TRUE,FALSE)</formula>
    </cfRule>
  </conditionalFormatting>
  <conditionalFormatting sqref="K152:K164">
    <cfRule type="expression" dxfId="2932" priority="20">
      <formula>IF(OR(#REF!="L",#REF!="C"),TRUE,FALSE)</formula>
    </cfRule>
  </conditionalFormatting>
  <conditionalFormatting sqref="L150:L151">
    <cfRule type="expression" dxfId="2931" priority="17">
      <formula>IF(OR(#REF!="L",#REF!="C"),TRUE,FALSE)</formula>
    </cfRule>
  </conditionalFormatting>
  <conditionalFormatting sqref="L152:L164">
    <cfRule type="expression" dxfId="2930" priority="18">
      <formula>IF(OR(#REF!="L",#REF!="C"),TRUE,FALSE)</formula>
    </cfRule>
  </conditionalFormatting>
  <conditionalFormatting sqref="M150:M151">
    <cfRule type="expression" dxfId="2929" priority="15">
      <formula>IF(OR(#REF!="L",#REF!="C"),TRUE,FALSE)</formula>
    </cfRule>
  </conditionalFormatting>
  <conditionalFormatting sqref="N152:N164">
    <cfRule type="expression" dxfId="2928" priority="14">
      <formula>IF(OR(#REF!="L",#REF!="C"),TRUE,FALSE)</formula>
    </cfRule>
  </conditionalFormatting>
  <conditionalFormatting sqref="O162:O164">
    <cfRule type="expression" dxfId="2927" priority="12">
      <formula>IF(OR(#REF!="L",#REF!="C"),TRUE,FALSE)</formula>
    </cfRule>
  </conditionalFormatting>
  <conditionalFormatting sqref="I144:N144">
    <cfRule type="duplicateValues" dxfId="2926" priority="11"/>
  </conditionalFormatting>
  <conditionalFormatting sqref="E144">
    <cfRule type="duplicateValues" dxfId="2925" priority="10"/>
  </conditionalFormatting>
  <conditionalFormatting sqref="H144">
    <cfRule type="duplicateValues" dxfId="2924" priority="9"/>
  </conditionalFormatting>
  <conditionalFormatting sqref="F144">
    <cfRule type="duplicateValues" dxfId="2923" priority="7"/>
  </conditionalFormatting>
  <conditionalFormatting sqref="I120">
    <cfRule type="duplicateValues" dxfId="2922" priority="6"/>
  </conditionalFormatting>
  <conditionalFormatting sqref="H67">
    <cfRule type="expression" dxfId="2921" priority="4">
      <formula>IF(OR(#REF!="L",#REF!="C"),TRUE,FALSE)</formula>
    </cfRule>
  </conditionalFormatting>
  <conditionalFormatting sqref="H67">
    <cfRule type="expression" dxfId="2920" priority="3">
      <formula>IF(OR(#REF!="L",#REF!="C"),TRUE,FALSE)</formula>
    </cfRule>
  </conditionalFormatting>
  <conditionalFormatting sqref="G144">
    <cfRule type="duplicateValues" dxfId="2919" priority="2"/>
  </conditionalFormatting>
  <conditionalFormatting sqref="H73">
    <cfRule type="expression" dxfId="2918" priority="1">
      <formula>IF(OR(#REF!="L",#REF!="C"),TRUE,FALSE)</formula>
    </cfRule>
  </conditionalFormatting>
  <dataValidations count="8">
    <dataValidation type="list" allowBlank="1" showInputMessage="1" showErrorMessage="1" sqref="F72:F74" xr:uid="{12A7028F-1E1B-40E0-A08A-C44688A1273D}">
      <formula1>$C$102:$C$107</formula1>
    </dataValidation>
    <dataValidation type="list" allowBlank="1" showInputMessage="1" showErrorMessage="1" sqref="C4" xr:uid="{87E39819-17FE-4CDB-A68A-5E2D5FADC64B}">
      <formula1>"COM,RES"</formula1>
    </dataValidation>
    <dataValidation type="list" allowBlank="1" showInputMessage="1" showErrorMessage="1" sqref="H71" xr:uid="{DF917D46-95E8-4841-99FB-CB0AA912ABE8}">
      <formula1>$C$97:$C$116</formula1>
    </dataValidation>
    <dataValidation type="list" allowBlank="1" showInputMessage="1" showErrorMessage="1" sqref="C9" xr:uid="{35E99CC3-31A7-4470-9EE5-DB47F1E04C72}">
      <formula1>INDIRECT("MeasureTypeList[Index]")</formula1>
    </dataValidation>
    <dataValidation type="list" allowBlank="1" showInputMessage="1" showErrorMessage="1" sqref="C26" xr:uid="{80093F9A-805D-4880-BC5C-CF647F35A5A6}">
      <formula1>INDIRECT("RegionList[Index]")</formula1>
    </dataValidation>
    <dataValidation type="list" allowBlank="1" showInputMessage="1" showErrorMessage="1" sqref="C27" xr:uid="{078FFCE9-F18C-4054-A10B-014F19CDBCE6}">
      <formula1>INDIRECT("ReplacementTypeList[Index]")</formula1>
    </dataValidation>
    <dataValidation type="list" allowBlank="1" showInputMessage="1" showErrorMessage="1" sqref="C28" xr:uid="{FABCF42C-8565-42E7-BF15-1B4DA3880C30}">
      <formula1>INDIRECT("BuildingType[Building]")</formula1>
    </dataValidation>
    <dataValidation type="list" allowBlank="1" showInputMessage="1" showErrorMessage="1" sqref="C29 C30" xr:uid="{959B5C7A-206A-4DBA-8944-C2F338D5248B}">
      <formula1>INDIRECT("FuelTypeList[Index]")</formula1>
    </dataValidation>
  </dataValidations>
  <hyperlinks>
    <hyperlink ref="F82" r:id="rId1" xr:uid="{4047437A-F7A6-42E4-881F-1D716F40D7D0}"/>
    <hyperlink ref="F83" r:id="rId2" xr:uid="{7FEDFD40-F098-4989-A4F8-7CDC14275516}"/>
    <hyperlink ref="F85" r:id="rId3" xr:uid="{47ABD2F6-86E3-4231-9341-57B05C8D4638}"/>
    <hyperlink ref="F84" r:id="rId4" xr:uid="{673FC8B7-6915-4D7F-B7EB-E161AAB96151}"/>
  </hyperlinks>
  <pageMargins left="0.7" right="0.7" top="0.75" bottom="0.75" header="0.3" footer="0.3"/>
  <pageSetup orientation="portrait" r:id="rId5"/>
  <legacyDrawing r:id="rId6"/>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DEE36-FDF6-4089-B30A-7E5EA36DE8FA}">
  <sheetPr codeName="Sheet36"/>
  <dimension ref="A2:R124"/>
  <sheetViews>
    <sheetView workbookViewId="0"/>
  </sheetViews>
  <sheetFormatPr defaultColWidth="9.08984375" defaultRowHeight="18.75" customHeight="1" x14ac:dyDescent="0.3"/>
  <cols>
    <col min="1" max="1" width="2.36328125" style="488" customWidth="1"/>
    <col min="2" max="2" width="42.08984375" style="488" bestFit="1" customWidth="1"/>
    <col min="3" max="3" width="21.08984375" style="488" customWidth="1"/>
    <col min="4" max="4" width="21.6328125" style="488" customWidth="1"/>
    <col min="5" max="5" width="15.81640625" style="488" customWidth="1"/>
    <col min="6" max="6" width="15.6328125" style="488" customWidth="1"/>
    <col min="7" max="7" width="19.6328125" style="488" customWidth="1"/>
    <col min="8" max="8" width="16" style="488" customWidth="1"/>
    <col min="9" max="9" width="13.6328125" style="488" customWidth="1"/>
    <col min="10" max="10" width="14.6328125" style="488" customWidth="1"/>
    <col min="11" max="12" width="9.08984375" style="488"/>
    <col min="13" max="13" width="11" style="488" customWidth="1"/>
    <col min="14" max="14" width="12.6328125" style="488" bestFit="1"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C-HC-011</v>
      </c>
      <c r="D3" s="1367"/>
      <c r="E3" s="1367"/>
      <c r="F3" s="1367"/>
    </row>
    <row r="4" spans="1:18" ht="18.75" customHeight="1" x14ac:dyDescent="0.3">
      <c r="B4" s="490" t="s">
        <v>11</v>
      </c>
      <c r="C4" s="1367" t="str" cm="1">
        <f t="array" ref="C4">_xlfn.SWITCH(LEFT(C8,1),"R","Residential","C","Commercial","ERROR")</f>
        <v>Commercial</v>
      </c>
      <c r="D4" s="1367"/>
      <c r="E4" s="1367"/>
      <c r="F4" s="1367"/>
    </row>
    <row r="5" spans="1:18" ht="29.25" customHeight="1" x14ac:dyDescent="0.3">
      <c r="B5" s="490" t="s">
        <v>408</v>
      </c>
      <c r="C5" s="1530" t="s">
        <v>226</v>
      </c>
      <c r="D5" s="1531"/>
      <c r="E5" s="1531"/>
      <c r="F5" s="1532"/>
      <c r="R5" s="488"/>
    </row>
    <row r="6" spans="1:18" ht="18.75" customHeight="1" x14ac:dyDescent="0.3">
      <c r="A6" s="573"/>
    </row>
    <row r="7" spans="1:18" ht="18.75" customHeight="1" x14ac:dyDescent="0.3">
      <c r="B7" s="1193" t="s">
        <v>507</v>
      </c>
      <c r="C7" s="493" t="s">
        <v>406</v>
      </c>
      <c r="D7" s="1366" t="s">
        <v>410</v>
      </c>
      <c r="E7" s="1366"/>
      <c r="F7" s="1366"/>
      <c r="R7" s="488"/>
    </row>
    <row r="8" spans="1:18" ht="18.75" customHeight="1" x14ac:dyDescent="0.3">
      <c r="B8" s="490" t="s">
        <v>411</v>
      </c>
      <c r="C8" s="1194" t="s">
        <v>91</v>
      </c>
      <c r="D8" s="1547"/>
      <c r="E8" s="1548"/>
      <c r="F8" s="1549"/>
      <c r="R8" s="488"/>
    </row>
    <row r="9" spans="1:18" ht="18.75" customHeight="1" x14ac:dyDescent="0.3">
      <c r="B9" s="490" t="s">
        <v>49</v>
      </c>
      <c r="C9" s="1194" t="s">
        <v>579</v>
      </c>
      <c r="D9" s="1550"/>
      <c r="E9" s="1551"/>
      <c r="F9" s="1552"/>
      <c r="R9" s="488"/>
    </row>
    <row r="10" spans="1:18" ht="18.75" customHeight="1" x14ac:dyDescent="0.3">
      <c r="B10" s="490" t="s">
        <v>412</v>
      </c>
      <c r="C10" s="1194"/>
      <c r="D10" s="1550"/>
      <c r="E10" s="1551"/>
      <c r="F10" s="1552"/>
      <c r="R10" s="488"/>
    </row>
    <row r="11" spans="1:18" ht="18.75" customHeight="1" x14ac:dyDescent="0.3">
      <c r="B11" s="490" t="s">
        <v>413</v>
      </c>
      <c r="C11" s="1194"/>
      <c r="D11" s="1550"/>
      <c r="E11" s="1551"/>
      <c r="F11" s="1552"/>
      <c r="R11" s="488"/>
    </row>
    <row r="12" spans="1:18" ht="18.75" customHeight="1" x14ac:dyDescent="0.3">
      <c r="B12" s="490" t="s">
        <v>414</v>
      </c>
      <c r="C12" s="602"/>
      <c r="D12" s="1550"/>
      <c r="E12" s="1551"/>
      <c r="F12" s="1552"/>
      <c r="R12" s="488"/>
    </row>
    <row r="13" spans="1:18" ht="18.75" customHeight="1" x14ac:dyDescent="0.3">
      <c r="B13" s="494" t="s">
        <v>415</v>
      </c>
      <c r="C13" s="495">
        <f>N43</f>
        <v>-8.383215962441315E-2</v>
      </c>
      <c r="D13" s="1550"/>
      <c r="E13" s="1551"/>
      <c r="F13" s="1552"/>
      <c r="R13" s="488"/>
    </row>
    <row r="14" spans="1:18" ht="18.75" customHeight="1" x14ac:dyDescent="0.3">
      <c r="B14" s="494" t="s">
        <v>416</v>
      </c>
      <c r="C14" s="495">
        <f>N42</f>
        <v>0</v>
      </c>
      <c r="D14" s="1550"/>
      <c r="E14" s="1551"/>
      <c r="F14" s="1552"/>
      <c r="R14" s="488"/>
    </row>
    <row r="15" spans="1:18" ht="18.75" customHeight="1" x14ac:dyDescent="0.3">
      <c r="B15" s="494" t="s">
        <v>417</v>
      </c>
      <c r="C15" s="495">
        <f>N44</f>
        <v>2.3350771572655589E-2</v>
      </c>
      <c r="D15" s="1550"/>
      <c r="E15" s="1551"/>
      <c r="F15" s="1552"/>
      <c r="R15" s="488"/>
    </row>
    <row r="16" spans="1:18" ht="18.75" customHeight="1" x14ac:dyDescent="0.3">
      <c r="B16" s="494" t="s">
        <v>418</v>
      </c>
      <c r="C16" s="496">
        <f>C37</f>
        <v>0</v>
      </c>
      <c r="D16" s="1553"/>
      <c r="E16" s="1554"/>
      <c r="F16" s="1555"/>
      <c r="R16" s="488"/>
    </row>
    <row r="17" spans="2:18" ht="18.75" customHeight="1" x14ac:dyDescent="0.3">
      <c r="B17" s="490" t="s">
        <v>48</v>
      </c>
      <c r="C17" s="1194" t="s">
        <v>1311</v>
      </c>
      <c r="D17" s="1366" t="s">
        <v>419</v>
      </c>
      <c r="E17" s="1366"/>
      <c r="F17" s="1366"/>
      <c r="R17" s="488"/>
    </row>
    <row r="18" spans="2:18" ht="40.9" customHeight="1" x14ac:dyDescent="0.3">
      <c r="B18" s="490" t="s">
        <v>420</v>
      </c>
      <c r="C18" s="541">
        <v>15</v>
      </c>
      <c r="D18" s="1909" t="s">
        <v>1379</v>
      </c>
      <c r="E18" s="1909"/>
      <c r="F18" s="1909"/>
      <c r="R18" s="488"/>
    </row>
    <row r="19" spans="2:18" ht="18.75" customHeight="1" x14ac:dyDescent="0.3">
      <c r="B19" s="497"/>
      <c r="C19" s="576"/>
      <c r="F19" s="489"/>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27.75" customHeight="1" x14ac:dyDescent="0.3">
      <c r="B21" s="499" t="s">
        <v>422</v>
      </c>
      <c r="C21" s="1879" t="s">
        <v>227</v>
      </c>
      <c r="D21" s="1879"/>
      <c r="E21" s="1879"/>
      <c r="F21" s="1879"/>
      <c r="G21" s="1879"/>
      <c r="H21" s="1879"/>
      <c r="I21" s="1879"/>
      <c r="J21" s="1879"/>
      <c r="K21" s="1879"/>
      <c r="L21" s="1879"/>
      <c r="M21" s="1879"/>
      <c r="N21" s="1879"/>
      <c r="O21" s="1879"/>
      <c r="P21" s="1879"/>
      <c r="Q21" s="1879"/>
      <c r="R21" s="488"/>
    </row>
    <row r="22" spans="2:18" ht="27" customHeight="1" x14ac:dyDescent="0.3">
      <c r="B22" s="500" t="s">
        <v>423</v>
      </c>
      <c r="C22" s="1910" t="s">
        <v>228</v>
      </c>
      <c r="D22" s="1910"/>
      <c r="E22" s="1910"/>
      <c r="F22" s="1910"/>
      <c r="G22" s="1910"/>
      <c r="H22" s="1910"/>
      <c r="I22" s="1910"/>
      <c r="J22" s="1910"/>
      <c r="K22" s="1910"/>
      <c r="L22" s="1910"/>
      <c r="M22" s="1910"/>
      <c r="N22" s="1910"/>
      <c r="O22" s="1910"/>
      <c r="P22" s="1910"/>
      <c r="Q22" s="1910"/>
      <c r="R22" s="488"/>
    </row>
    <row r="23" spans="2:18" ht="18.75" customHeight="1"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603"/>
      <c r="D33" s="586" t="s">
        <v>430</v>
      </c>
      <c r="E33" s="1475"/>
      <c r="F33" s="1476"/>
      <c r="G33" s="1476"/>
      <c r="H33" s="1476"/>
      <c r="I33" s="1476"/>
      <c r="J33" s="1476"/>
      <c r="K33" s="1476"/>
      <c r="L33" s="1476"/>
      <c r="M33" s="1476"/>
      <c r="N33" s="1476"/>
      <c r="O33" s="1476"/>
      <c r="P33" s="1476"/>
      <c r="Q33" s="1477"/>
      <c r="R33" s="488"/>
    </row>
    <row r="34" spans="2:18" ht="42" customHeight="1" x14ac:dyDescent="0.3">
      <c r="B34" s="494" t="s">
        <v>431</v>
      </c>
      <c r="C34" s="603"/>
      <c r="D34" s="586" t="s">
        <v>430</v>
      </c>
      <c r="E34" s="1475"/>
      <c r="F34" s="1476"/>
      <c r="G34" s="1476"/>
      <c r="H34" s="1476"/>
      <c r="I34" s="1476"/>
      <c r="J34" s="1476"/>
      <c r="K34" s="1476"/>
      <c r="L34" s="1476"/>
      <c r="M34" s="1476"/>
      <c r="N34" s="1476"/>
      <c r="O34" s="1476"/>
      <c r="P34" s="1476"/>
      <c r="Q34" s="1477"/>
    </row>
    <row r="35" spans="2:18" ht="18.75" customHeight="1" x14ac:dyDescent="0.3">
      <c r="B35" s="490" t="s">
        <v>432</v>
      </c>
      <c r="C35" s="603"/>
      <c r="D35" s="586" t="s">
        <v>430</v>
      </c>
      <c r="E35" s="1475"/>
      <c r="F35" s="1476"/>
      <c r="G35" s="1476"/>
      <c r="H35" s="1476"/>
      <c r="I35" s="1476"/>
      <c r="J35" s="1476"/>
      <c r="K35" s="1476"/>
      <c r="L35" s="1476"/>
      <c r="M35" s="1476"/>
      <c r="N35" s="1476"/>
      <c r="O35" s="1476"/>
      <c r="P35" s="1476"/>
      <c r="Q35" s="1477"/>
    </row>
    <row r="36" spans="2:18" ht="18.75" customHeight="1" x14ac:dyDescent="0.3">
      <c r="B36" s="494" t="s">
        <v>433</v>
      </c>
      <c r="C36" s="504">
        <f>SUM(C33:C34)</f>
        <v>0</v>
      </c>
      <c r="D36" s="586" t="s">
        <v>430</v>
      </c>
      <c r="E36" s="1442"/>
      <c r="F36" s="1442"/>
      <c r="G36" s="1442"/>
      <c r="H36" s="1442"/>
      <c r="I36" s="1442"/>
      <c r="J36" s="1442"/>
      <c r="K36" s="1442"/>
      <c r="L36" s="1442"/>
      <c r="M36" s="1442"/>
      <c r="N36" s="1442"/>
      <c r="O36" s="1442"/>
      <c r="P36" s="1442"/>
      <c r="Q36" s="1442"/>
    </row>
    <row r="37" spans="2:18" ht="13" x14ac:dyDescent="0.3">
      <c r="B37" s="494" t="s">
        <v>434</v>
      </c>
      <c r="C37" s="504">
        <f>IF(C27="RET",C33+(C34-C35),C34-C35)</f>
        <v>0</v>
      </c>
      <c r="D37" s="586" t="s">
        <v>430</v>
      </c>
      <c r="E37" s="151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5">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-8.383215962441315E-2</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5">
        <f>N50+N56</f>
        <v>2.3350771572655589E-2</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5">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455</v>
      </c>
      <c r="D49" s="1505"/>
      <c r="E49" s="1505"/>
      <c r="F49" s="1505"/>
      <c r="G49" s="1505"/>
      <c r="H49" s="1505"/>
      <c r="I49" s="1505"/>
      <c r="J49" s="1505"/>
      <c r="K49" s="1505"/>
      <c r="L49" s="1505"/>
      <c r="M49" s="1506"/>
      <c r="N49" s="962"/>
      <c r="O49" s="1243" t="s">
        <v>443</v>
      </c>
      <c r="P49" s="1511"/>
      <c r="Q49" s="1511"/>
      <c r="R49" s="488"/>
    </row>
    <row r="50" spans="2:18" ht="18.75" customHeight="1" x14ac:dyDescent="0.3">
      <c r="B50" s="582" t="s">
        <v>456</v>
      </c>
      <c r="C50" s="1504" t="s">
        <v>1380</v>
      </c>
      <c r="D50" s="1505"/>
      <c r="E50" s="1505"/>
      <c r="F50" s="1505"/>
      <c r="G50" s="1505"/>
      <c r="H50" s="1505"/>
      <c r="I50" s="1505"/>
      <c r="J50" s="1505"/>
      <c r="K50" s="1505"/>
      <c r="L50" s="1505"/>
      <c r="M50" s="1506"/>
      <c r="N50" s="594">
        <f xml:space="preserve"> H62 * H65 * (1/H63 - 1/H64) * GJ_per_BTU</f>
        <v>2.3350771572655589E-2</v>
      </c>
      <c r="O50" s="1243" t="s">
        <v>446</v>
      </c>
      <c r="P50" s="1511" t="s">
        <v>1381</v>
      </c>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c r="R53" s="488"/>
    </row>
    <row r="54" spans="2:18" ht="18.75" customHeight="1" x14ac:dyDescent="0.3">
      <c r="B54" s="582" t="s">
        <v>462</v>
      </c>
      <c r="C54" s="1504" t="s">
        <v>463</v>
      </c>
      <c r="D54" s="1505"/>
      <c r="E54" s="1505"/>
      <c r="F54" s="1505"/>
      <c r="G54" s="1505"/>
      <c r="H54" s="1505"/>
      <c r="I54" s="1505"/>
      <c r="J54" s="1505"/>
      <c r="K54" s="1505"/>
      <c r="L54" s="1505"/>
      <c r="M54" s="1506"/>
      <c r="N54" s="592"/>
      <c r="O54" s="1243" t="s">
        <v>440</v>
      </c>
      <c r="P54" s="1511"/>
      <c r="Q54" s="1511"/>
      <c r="R54" s="488"/>
    </row>
    <row r="55" spans="2:18" ht="18.75" customHeight="1" x14ac:dyDescent="0.3">
      <c r="B55" s="582" t="s">
        <v>464</v>
      </c>
      <c r="C55" s="1504" t="s">
        <v>1382</v>
      </c>
      <c r="D55" s="1505"/>
      <c r="E55" s="1505"/>
      <c r="F55" s="1505"/>
      <c r="G55" s="1505"/>
      <c r="H55" s="1505"/>
      <c r="I55" s="1505"/>
      <c r="J55" s="1505"/>
      <c r="K55" s="1505"/>
      <c r="L55" s="1505"/>
      <c r="M55" s="1506"/>
      <c r="N55" s="962">
        <f>- (H67 * H65 * H68 ) / (H69 * H70)</f>
        <v>-8.383215962441315E-2</v>
      </c>
      <c r="O55" s="1243" t="s">
        <v>443</v>
      </c>
      <c r="P55" s="1537" t="s">
        <v>1381</v>
      </c>
      <c r="Q55" s="1538"/>
      <c r="R55" s="488"/>
    </row>
    <row r="56" spans="2:18" ht="18.75" customHeight="1" x14ac:dyDescent="0.3">
      <c r="B56" s="582" t="s">
        <v>466</v>
      </c>
      <c r="C56" s="1504" t="s">
        <v>516</v>
      </c>
      <c r="D56" s="1505"/>
      <c r="E56" s="1505"/>
      <c r="F56" s="1505"/>
      <c r="G56" s="1505"/>
      <c r="H56" s="1505"/>
      <c r="I56" s="1505"/>
      <c r="J56" s="1505"/>
      <c r="K56" s="1505"/>
      <c r="L56" s="1505"/>
      <c r="M56" s="1506"/>
      <c r="N56" s="592"/>
      <c r="O56" s="1243" t="s">
        <v>446</v>
      </c>
      <c r="P56" s="1537"/>
      <c r="Q56" s="1538"/>
      <c r="R56" s="488"/>
    </row>
    <row r="57" spans="2:18" ht="18.75" customHeight="1" x14ac:dyDescent="0.3">
      <c r="B57" s="582" t="s">
        <v>468</v>
      </c>
      <c r="C57" s="1504" t="s">
        <v>469</v>
      </c>
      <c r="D57" s="1505"/>
      <c r="E57" s="1505"/>
      <c r="F57" s="1505"/>
      <c r="G57" s="1505"/>
      <c r="H57" s="1505"/>
      <c r="I57" s="1505"/>
      <c r="J57" s="1505"/>
      <c r="K57" s="1505"/>
      <c r="L57" s="1505"/>
      <c r="M57" s="1506"/>
      <c r="N57" s="592"/>
      <c r="O57" s="1243" t="s">
        <v>449</v>
      </c>
      <c r="P57" s="1511"/>
      <c r="Q57" s="1511"/>
      <c r="R57" s="488"/>
    </row>
    <row r="58" spans="2:18" ht="18.75" customHeight="1" x14ac:dyDescent="0.3">
      <c r="B58" s="599"/>
      <c r="C58" s="577"/>
      <c r="D58" s="578"/>
      <c r="E58" s="578"/>
      <c r="F58" s="578"/>
      <c r="G58" s="578"/>
      <c r="H58" s="578"/>
      <c r="I58" s="578"/>
      <c r="J58" s="578"/>
      <c r="K58" s="578"/>
      <c r="L58" s="578"/>
      <c r="M58" s="578"/>
      <c r="N58" s="578"/>
      <c r="O58" s="578"/>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506" t="s">
        <v>406</v>
      </c>
      <c r="I61" s="506" t="s">
        <v>428</v>
      </c>
      <c r="J61" s="1396" t="s">
        <v>476</v>
      </c>
      <c r="K61" s="1397"/>
      <c r="L61" s="1397"/>
      <c r="M61" s="1397"/>
      <c r="N61" s="1397"/>
      <c r="O61" s="1397"/>
      <c r="P61" s="1397"/>
      <c r="Q61" s="1398"/>
    </row>
    <row r="62" spans="2:18" ht="15" customHeight="1" x14ac:dyDescent="0.3">
      <c r="B62" s="719">
        <v>1</v>
      </c>
      <c r="C62" s="720" t="s">
        <v>1383</v>
      </c>
      <c r="D62" s="1885" t="s">
        <v>1384</v>
      </c>
      <c r="E62" s="1885"/>
      <c r="F62" s="963" t="str">
        <f>H71</f>
        <v>29 °C</v>
      </c>
      <c r="G62" s="1224" t="str">
        <f>C26</f>
        <v>Average</v>
      </c>
      <c r="H62" s="670">
        <f>$H$73*INDEX(HeatLoadCFM[#All],MATCH(F62,HeatLoadCFM[[#All],[Degrees C]],0),MATCH(G62,HeatLoadCFM[#Headers],0))</f>
        <v>164180.49127138796</v>
      </c>
      <c r="I62" s="1224" t="s">
        <v>1026</v>
      </c>
      <c r="J62" s="1462" t="s">
        <v>1385</v>
      </c>
      <c r="K62" s="1470"/>
      <c r="L62" s="1470"/>
      <c r="M62" s="1470"/>
      <c r="N62" s="1470"/>
      <c r="O62" s="1470"/>
      <c r="P62" s="1470"/>
      <c r="Q62" s="1471"/>
      <c r="R62" s="488"/>
    </row>
    <row r="63" spans="2:18" ht="30" customHeight="1" x14ac:dyDescent="0.3">
      <c r="B63" s="534">
        <v>2</v>
      </c>
      <c r="C63" s="549" t="s">
        <v>583</v>
      </c>
      <c r="D63" s="1556" t="s">
        <v>1386</v>
      </c>
      <c r="E63" s="1556"/>
      <c r="F63" s="1238"/>
      <c r="G63" s="1238"/>
      <c r="H63" s="762">
        <f>SpaceHeatingEfficiency.CI.NG</f>
        <v>0.85</v>
      </c>
      <c r="I63" s="1238" t="s">
        <v>519</v>
      </c>
      <c r="J63" s="1468" t="s">
        <v>1029</v>
      </c>
      <c r="K63" s="1541"/>
      <c r="L63" s="1541"/>
      <c r="M63" s="1541"/>
      <c r="N63" s="1541"/>
      <c r="O63" s="1541"/>
      <c r="P63" s="1541"/>
      <c r="Q63" s="1542"/>
      <c r="R63" s="488"/>
    </row>
    <row r="64" spans="2:18" ht="31.15" customHeight="1" x14ac:dyDescent="0.3">
      <c r="B64" s="534">
        <v>3</v>
      </c>
      <c r="C64" s="549" t="s">
        <v>588</v>
      </c>
      <c r="D64" s="1556" t="s">
        <v>1387</v>
      </c>
      <c r="E64" s="1556"/>
      <c r="F64" s="1238"/>
      <c r="G64" s="1238"/>
      <c r="H64" s="762">
        <v>0.96</v>
      </c>
      <c r="I64" s="1238" t="s">
        <v>519</v>
      </c>
      <c r="J64" s="1462" t="s">
        <v>1388</v>
      </c>
      <c r="K64" s="1470"/>
      <c r="L64" s="1470"/>
      <c r="M64" s="1470"/>
      <c r="N64" s="1470"/>
      <c r="O64" s="1470"/>
      <c r="P64" s="1470"/>
      <c r="Q64" s="1471"/>
      <c r="R64" s="488"/>
    </row>
    <row r="65" spans="2:18" ht="27" customHeight="1" x14ac:dyDescent="0.3">
      <c r="B65" s="535">
        <v>4</v>
      </c>
      <c r="C65" s="551" t="s">
        <v>1322</v>
      </c>
      <c r="D65" s="1482" t="s">
        <v>1389</v>
      </c>
      <c r="E65" s="1483"/>
      <c r="F65" s="552"/>
      <c r="G65" s="552"/>
      <c r="H65" s="610">
        <v>1</v>
      </c>
      <c r="I65" s="552" t="s">
        <v>1322</v>
      </c>
      <c r="J65" s="1482" t="s">
        <v>1323</v>
      </c>
      <c r="K65" s="1544"/>
      <c r="L65" s="1544"/>
      <c r="M65" s="1544"/>
      <c r="N65" s="1544"/>
      <c r="O65" s="1544"/>
      <c r="P65" s="1544"/>
      <c r="Q65" s="1545"/>
      <c r="R65" s="488"/>
    </row>
    <row r="66" spans="2:18" ht="29.25" customHeight="1" x14ac:dyDescent="0.3">
      <c r="B66" s="534">
        <v>5</v>
      </c>
      <c r="C66" s="549" t="s">
        <v>1390</v>
      </c>
      <c r="D66" s="1462" t="s">
        <v>1391</v>
      </c>
      <c r="E66" s="1463"/>
      <c r="F66" s="1238"/>
      <c r="G66" s="1238"/>
      <c r="H66" s="548" cm="1">
        <f t="array" ref="H66">INDEX(C97:C116,MATCH(MIN(ABS(C97:C116-H72)),ABS(C97:C116-H72),0))</f>
        <v>0.44646118721461187</v>
      </c>
      <c r="I66" s="1238" t="s">
        <v>519</v>
      </c>
      <c r="J66" s="1462" t="s">
        <v>1392</v>
      </c>
      <c r="K66" s="1470"/>
      <c r="L66" s="1470"/>
      <c r="M66" s="1470"/>
      <c r="N66" s="1470"/>
      <c r="O66" s="1470"/>
      <c r="P66" s="1470"/>
      <c r="Q66" s="1471"/>
      <c r="R66" s="488"/>
    </row>
    <row r="67" spans="2:18" ht="29.5" customHeight="1" x14ac:dyDescent="0.3">
      <c r="B67" s="533">
        <v>6</v>
      </c>
      <c r="C67" s="546" t="s">
        <v>1393</v>
      </c>
      <c r="D67" s="1468" t="s">
        <v>1394</v>
      </c>
      <c r="E67" s="1469"/>
      <c r="F67" s="1217"/>
      <c r="G67" s="1217"/>
      <c r="H67" s="964">
        <f>H72*8760</f>
        <v>2857</v>
      </c>
      <c r="I67" s="1217" t="s">
        <v>532</v>
      </c>
      <c r="J67" s="1472" t="s">
        <v>1395</v>
      </c>
      <c r="K67" s="1473"/>
      <c r="L67" s="1473"/>
      <c r="M67" s="1473"/>
      <c r="N67" s="1473"/>
      <c r="O67" s="1473"/>
      <c r="P67" s="1473"/>
      <c r="Q67" s="1474"/>
      <c r="R67" s="488"/>
    </row>
    <row r="68" spans="2:18" ht="28.9" customHeight="1" x14ac:dyDescent="0.3">
      <c r="B68" s="534">
        <v>7</v>
      </c>
      <c r="C68" s="549" t="s">
        <v>1396</v>
      </c>
      <c r="D68" s="1462" t="s">
        <v>1397</v>
      </c>
      <c r="E68" s="1463"/>
      <c r="F68" s="1238"/>
      <c r="G68" s="1238"/>
      <c r="H68" s="642">
        <v>0.15</v>
      </c>
      <c r="I68" s="1238" t="s">
        <v>1398</v>
      </c>
      <c r="J68" s="1462" t="s">
        <v>1399</v>
      </c>
      <c r="K68" s="1464"/>
      <c r="L68" s="1464"/>
      <c r="M68" s="1464"/>
      <c r="N68" s="1464"/>
      <c r="O68" s="1464"/>
      <c r="P68" s="1464"/>
      <c r="Q68" s="1463"/>
      <c r="R68" s="488"/>
    </row>
    <row r="69" spans="2:18" ht="31.5" customHeight="1" x14ac:dyDescent="0.3">
      <c r="B69" s="534">
        <v>8</v>
      </c>
      <c r="C69" s="549" t="s">
        <v>1400</v>
      </c>
      <c r="D69" s="1462" t="s">
        <v>1401</v>
      </c>
      <c r="E69" s="1463"/>
      <c r="F69" s="1238"/>
      <c r="G69" s="1238"/>
      <c r="H69" s="548">
        <v>0.6</v>
      </c>
      <c r="I69" s="1238" t="s">
        <v>519</v>
      </c>
      <c r="J69" s="1701" t="s">
        <v>1402</v>
      </c>
      <c r="K69" s="1917"/>
      <c r="L69" s="1917"/>
      <c r="M69" s="1917"/>
      <c r="N69" s="1917"/>
      <c r="O69" s="1917"/>
      <c r="P69" s="1917"/>
      <c r="Q69" s="1918"/>
      <c r="R69" s="488"/>
    </row>
    <row r="70" spans="2:18" ht="70.5" customHeight="1" x14ac:dyDescent="0.3">
      <c r="B70" s="533">
        <v>9</v>
      </c>
      <c r="C70" s="555" t="s">
        <v>1403</v>
      </c>
      <c r="D70" s="1468" t="s">
        <v>1404</v>
      </c>
      <c r="E70" s="1469"/>
      <c r="F70" s="1217"/>
      <c r="G70" s="1217"/>
      <c r="H70" s="622">
        <v>8520</v>
      </c>
      <c r="I70" s="1217" t="s">
        <v>1405</v>
      </c>
      <c r="J70" s="1472" t="s">
        <v>1406</v>
      </c>
      <c r="K70" s="1473"/>
      <c r="L70" s="1473"/>
      <c r="M70" s="1473"/>
      <c r="N70" s="1473"/>
      <c r="O70" s="1473"/>
      <c r="P70" s="1473"/>
      <c r="Q70" s="1474"/>
      <c r="R70" s="488"/>
    </row>
    <row r="71" spans="2:18" ht="13" x14ac:dyDescent="0.3">
      <c r="B71" s="534">
        <v>10</v>
      </c>
      <c r="C71" s="549" t="s">
        <v>1407</v>
      </c>
      <c r="D71" s="1462" t="s">
        <v>1408</v>
      </c>
      <c r="E71" s="1463"/>
      <c r="F71" s="598"/>
      <c r="G71" s="1238"/>
      <c r="H71" s="965" t="s">
        <v>1409</v>
      </c>
      <c r="I71" s="1238" t="s">
        <v>597</v>
      </c>
      <c r="J71" s="1462" t="s">
        <v>1410</v>
      </c>
      <c r="K71" s="1470"/>
      <c r="L71" s="1470"/>
      <c r="M71" s="1470"/>
      <c r="N71" s="1470"/>
      <c r="O71" s="1470"/>
      <c r="P71" s="1470"/>
      <c r="Q71" s="1471"/>
      <c r="R71" s="488"/>
    </row>
    <row r="72" spans="2:18" s="491" customFormat="1" ht="32.5" customHeight="1" x14ac:dyDescent="0.3">
      <c r="B72" s="536">
        <v>11</v>
      </c>
      <c r="C72" s="555" t="s">
        <v>1411</v>
      </c>
      <c r="D72" s="1437" t="s">
        <v>1412</v>
      </c>
      <c r="E72" s="1438"/>
      <c r="F72" s="546" t="str">
        <f>$C$28</f>
        <v>Other</v>
      </c>
      <c r="G72" s="1217" t="s">
        <v>1413</v>
      </c>
      <c r="H72" s="554">
        <f>INDEX(BuildingType[],MATCH($C$28,BuildingType[Building],0),MATCH($G$72,BuildingType[#Headers],0))</f>
        <v>0.32614155251141552</v>
      </c>
      <c r="I72" s="1217" t="s">
        <v>519</v>
      </c>
      <c r="J72" s="1472" t="s">
        <v>1414</v>
      </c>
      <c r="K72" s="1473"/>
      <c r="L72" s="1473"/>
      <c r="M72" s="1473"/>
      <c r="N72" s="1473"/>
      <c r="O72" s="1473"/>
      <c r="P72" s="1473"/>
      <c r="Q72" s="1474"/>
    </row>
    <row r="73" spans="2:18" s="491" customFormat="1" ht="30.65" customHeight="1" x14ac:dyDescent="0.3">
      <c r="B73" s="536">
        <v>12</v>
      </c>
      <c r="C73" s="555" t="s">
        <v>1415</v>
      </c>
      <c r="D73" s="1437" t="s">
        <v>1416</v>
      </c>
      <c r="E73" s="1438"/>
      <c r="F73" s="559">
        <f>$H$66</f>
        <v>0.44646118721461187</v>
      </c>
      <c r="G73" s="955" t="s">
        <v>1417</v>
      </c>
      <c r="H73" s="559">
        <f>INDEX($B$96:$N$116,MATCH(F73,$C$96:$C$116,0),MATCH($G73,$B$96:$N$96,0))</f>
        <v>0.39866310160427804</v>
      </c>
      <c r="I73" s="559" t="s">
        <v>519</v>
      </c>
      <c r="J73" s="1472" t="s">
        <v>1418</v>
      </c>
      <c r="K73" s="1473"/>
      <c r="L73" s="1473"/>
      <c r="M73" s="1473"/>
      <c r="N73" s="1473"/>
      <c r="O73" s="1473"/>
      <c r="P73" s="1473"/>
      <c r="Q73" s="1474"/>
    </row>
    <row r="74" spans="2:18" s="491" customFormat="1" ht="13" x14ac:dyDescent="0.3">
      <c r="B74" s="536">
        <v>13</v>
      </c>
      <c r="C74" s="555"/>
      <c r="D74" s="1437"/>
      <c r="E74" s="1438"/>
      <c r="F74" s="556"/>
      <c r="G74" s="557"/>
      <c r="H74" s="556"/>
      <c r="I74" s="557"/>
      <c r="J74" s="1472"/>
      <c r="K74" s="1473"/>
      <c r="L74" s="1473"/>
      <c r="M74" s="1473"/>
      <c r="N74" s="1473"/>
      <c r="O74" s="1473"/>
      <c r="P74" s="1473"/>
      <c r="Q74" s="1474"/>
    </row>
    <row r="75" spans="2:18" s="489" customFormat="1" ht="13.15" customHeight="1" x14ac:dyDescent="0.3">
      <c r="B75" s="536">
        <v>14</v>
      </c>
      <c r="C75" s="555"/>
      <c r="D75" s="1437"/>
      <c r="E75" s="1438"/>
      <c r="F75" s="556"/>
      <c r="G75" s="557"/>
      <c r="H75" s="556"/>
      <c r="I75" s="557"/>
      <c r="J75" s="1472"/>
      <c r="K75" s="1473"/>
      <c r="L75" s="1473"/>
      <c r="M75" s="1473"/>
      <c r="N75" s="1473"/>
      <c r="O75" s="1473"/>
      <c r="P75" s="1473"/>
      <c r="Q75" s="1474"/>
    </row>
    <row r="76" spans="2:18" s="489" customFormat="1" ht="13" x14ac:dyDescent="0.3">
      <c r="B76" s="536">
        <v>15</v>
      </c>
      <c r="C76" s="555"/>
      <c r="D76" s="1437"/>
      <c r="E76" s="1438"/>
      <c r="F76" s="556"/>
      <c r="G76" s="557"/>
      <c r="H76" s="559"/>
      <c r="I76" s="557"/>
      <c r="J76" s="1472"/>
      <c r="K76" s="1473"/>
      <c r="L76" s="1473"/>
      <c r="M76" s="1473"/>
      <c r="N76" s="1473"/>
      <c r="O76" s="1473"/>
      <c r="P76" s="1473"/>
      <c r="Q76" s="1474"/>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182"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182"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c r="R85" s="488"/>
    </row>
    <row r="86" spans="2:18" ht="13" x14ac:dyDescent="0.3">
      <c r="B86" s="533">
        <v>6</v>
      </c>
      <c r="C86" s="563"/>
      <c r="D86" s="564"/>
      <c r="E86" s="1182"/>
      <c r="F86" s="1489"/>
      <c r="G86" s="1490"/>
      <c r="H86" s="1490"/>
      <c r="I86" s="1490"/>
      <c r="J86" s="1490"/>
      <c r="K86" s="1490"/>
      <c r="L86" s="1490"/>
      <c r="M86" s="1490"/>
      <c r="N86" s="1490"/>
      <c r="O86" s="1490"/>
      <c r="P86" s="1490"/>
      <c r="Q86" s="1491"/>
      <c r="R86" s="488"/>
    </row>
    <row r="87" spans="2:18" ht="13" x14ac:dyDescent="0.3">
      <c r="B87" s="533">
        <v>7</v>
      </c>
      <c r="C87" s="563"/>
      <c r="D87" s="1233"/>
      <c r="E87" s="1182"/>
      <c r="F87" s="1489"/>
      <c r="G87" s="1490"/>
      <c r="H87" s="1490"/>
      <c r="I87" s="1490"/>
      <c r="J87" s="1490"/>
      <c r="K87" s="1490"/>
      <c r="L87" s="1490"/>
      <c r="M87" s="1490"/>
      <c r="N87" s="1490"/>
      <c r="O87" s="1490"/>
      <c r="P87" s="1490"/>
      <c r="Q87" s="1491"/>
      <c r="R87" s="488"/>
    </row>
    <row r="88" spans="2:18" ht="13" x14ac:dyDescent="0.3">
      <c r="B88" s="533">
        <v>8</v>
      </c>
      <c r="C88" s="563"/>
      <c r="D88" s="564"/>
      <c r="E88" s="1182"/>
      <c r="F88" s="1489"/>
      <c r="G88" s="1490"/>
      <c r="H88" s="1490"/>
      <c r="I88" s="1490"/>
      <c r="J88" s="1490"/>
      <c r="K88" s="1490"/>
      <c r="L88" s="1490"/>
      <c r="M88" s="1490"/>
      <c r="N88" s="1490"/>
      <c r="O88" s="1490"/>
      <c r="P88" s="1490"/>
      <c r="Q88" s="1491"/>
      <c r="R88" s="488"/>
    </row>
    <row r="89" spans="2:18" ht="13" x14ac:dyDescent="0.3">
      <c r="B89" s="533">
        <v>9</v>
      </c>
      <c r="C89" s="563"/>
      <c r="D89" s="1233"/>
      <c r="E89" s="1182"/>
      <c r="F89" s="1489"/>
      <c r="G89" s="1490"/>
      <c r="H89" s="1490"/>
      <c r="I89" s="1490"/>
      <c r="J89" s="1490"/>
      <c r="K89" s="1490"/>
      <c r="L89" s="1490"/>
      <c r="M89" s="1490"/>
      <c r="N89" s="1490"/>
      <c r="O89" s="1490"/>
      <c r="P89" s="1490"/>
      <c r="Q89" s="1491"/>
      <c r="R89" s="488"/>
    </row>
    <row r="90" spans="2:18" ht="13" x14ac:dyDescent="0.3">
      <c r="B90" s="533">
        <v>10</v>
      </c>
      <c r="C90" s="563"/>
      <c r="D90" s="564"/>
      <c r="E90" s="1182"/>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42.75" customHeight="1" x14ac:dyDescent="0.3">
      <c r="B95" s="1498" t="s">
        <v>1419</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c r="R95" s="488"/>
    </row>
    <row r="96" spans="2:18" ht="36.75" customHeight="1" x14ac:dyDescent="0.3">
      <c r="B96" s="1188" t="s">
        <v>478</v>
      </c>
      <c r="C96" s="1402" t="s">
        <v>538</v>
      </c>
      <c r="D96" s="1431"/>
      <c r="E96" s="565" t="s">
        <v>1417</v>
      </c>
      <c r="F96" s="565"/>
      <c r="G96" s="565"/>
      <c r="H96" s="565"/>
      <c r="I96" s="565"/>
      <c r="J96" s="565"/>
      <c r="K96" s="565"/>
      <c r="L96" s="565"/>
      <c r="M96" s="565"/>
      <c r="N96" s="566"/>
      <c r="O96" s="1410"/>
      <c r="P96" s="1411"/>
      <c r="Q96" s="1412"/>
      <c r="R96" s="488"/>
    </row>
    <row r="97" spans="2:18" ht="15" customHeight="1" x14ac:dyDescent="0.3">
      <c r="B97" s="533">
        <v>1</v>
      </c>
      <c r="C97" s="554">
        <v>1</v>
      </c>
      <c r="D97" s="1184"/>
      <c r="E97" s="966">
        <v>1</v>
      </c>
      <c r="F97" s="967"/>
      <c r="G97" s="967"/>
      <c r="H97" s="968"/>
      <c r="I97" s="568"/>
      <c r="J97" s="568"/>
      <c r="K97" s="568"/>
      <c r="L97" s="568"/>
      <c r="M97" s="568"/>
      <c r="N97" s="568"/>
      <c r="O97" s="1878" t="s">
        <v>1420</v>
      </c>
      <c r="P97" s="1878"/>
      <c r="Q97" s="1878"/>
      <c r="R97" s="488"/>
    </row>
    <row r="98" spans="2:18" ht="15" customHeight="1" x14ac:dyDescent="0.3">
      <c r="B98" s="533">
        <v>2</v>
      </c>
      <c r="C98" s="554">
        <v>0.83333333333333337</v>
      </c>
      <c r="D98" s="1184"/>
      <c r="E98" s="966">
        <v>0.8042780748663102</v>
      </c>
      <c r="F98" s="967"/>
      <c r="G98" s="967"/>
      <c r="H98" s="968"/>
      <c r="I98" s="568"/>
      <c r="J98" s="568"/>
      <c r="K98" s="568"/>
      <c r="L98" s="568"/>
      <c r="M98" s="568"/>
      <c r="N98" s="568"/>
      <c r="O98" s="1878" t="s">
        <v>1420</v>
      </c>
      <c r="P98" s="1878"/>
      <c r="Q98" s="1878"/>
      <c r="R98" s="488"/>
    </row>
    <row r="99" spans="2:18" ht="15" customHeight="1" x14ac:dyDescent="0.3">
      <c r="B99" s="533">
        <v>3</v>
      </c>
      <c r="C99" s="554">
        <v>0.60114155251141554</v>
      </c>
      <c r="D99" s="1184"/>
      <c r="E99" s="966">
        <v>0.46524064171122997</v>
      </c>
      <c r="F99" s="967"/>
      <c r="G99" s="967"/>
      <c r="H99" s="968"/>
      <c r="I99" s="568"/>
      <c r="J99" s="568"/>
      <c r="K99" s="568"/>
      <c r="L99" s="568"/>
      <c r="M99" s="568"/>
      <c r="N99" s="568"/>
      <c r="O99" s="1878" t="s">
        <v>1420</v>
      </c>
      <c r="P99" s="1878"/>
      <c r="Q99" s="1878"/>
      <c r="R99" s="488"/>
    </row>
    <row r="100" spans="2:18" ht="15" customHeight="1" x14ac:dyDescent="0.3">
      <c r="B100" s="533">
        <v>4</v>
      </c>
      <c r="C100" s="554">
        <v>0.44646118721461187</v>
      </c>
      <c r="D100" s="1184"/>
      <c r="E100" s="966">
        <v>0.39866310160427804</v>
      </c>
      <c r="F100" s="967"/>
      <c r="G100" s="967"/>
      <c r="H100" s="968"/>
      <c r="I100" s="568"/>
      <c r="J100" s="568"/>
      <c r="K100" s="568"/>
      <c r="L100" s="568"/>
      <c r="M100" s="568"/>
      <c r="N100" s="568"/>
      <c r="O100" s="1878" t="s">
        <v>1420</v>
      </c>
      <c r="P100" s="1878"/>
      <c r="Q100" s="1878"/>
      <c r="R100" s="488"/>
    </row>
    <row r="101" spans="2:18" ht="13" x14ac:dyDescent="0.3">
      <c r="B101" s="533">
        <v>5</v>
      </c>
      <c r="C101" s="1217"/>
      <c r="D101" s="1184"/>
      <c r="E101" s="612"/>
      <c r="F101" s="612"/>
      <c r="G101" s="612"/>
      <c r="H101" s="559"/>
      <c r="I101" s="568"/>
      <c r="J101" s="568"/>
      <c r="K101" s="568"/>
      <c r="L101" s="568"/>
      <c r="M101" s="568"/>
      <c r="N101" s="568"/>
      <c r="O101" s="1501"/>
      <c r="P101" s="1502"/>
      <c r="Q101" s="1503"/>
      <c r="R101" s="488"/>
    </row>
    <row r="102" spans="2:18" ht="13" x14ac:dyDescent="0.3">
      <c r="B102" s="533">
        <v>6</v>
      </c>
      <c r="C102" s="1217"/>
      <c r="D102" s="570"/>
      <c r="E102" s="612"/>
      <c r="F102" s="612"/>
      <c r="G102" s="612"/>
      <c r="H102" s="559"/>
      <c r="I102" s="569"/>
      <c r="J102" s="569"/>
      <c r="K102" s="569"/>
      <c r="L102" s="569"/>
      <c r="M102" s="569"/>
      <c r="N102" s="569"/>
      <c r="O102" s="1501"/>
      <c r="P102" s="1502"/>
      <c r="Q102" s="1503"/>
      <c r="R102" s="488"/>
    </row>
    <row r="103" spans="2:18" ht="13" x14ac:dyDescent="0.3">
      <c r="B103" s="533">
        <v>7</v>
      </c>
      <c r="C103" s="1217"/>
      <c r="D103" s="570"/>
      <c r="E103" s="612"/>
      <c r="F103" s="612"/>
      <c r="G103" s="612"/>
      <c r="H103" s="559"/>
      <c r="I103" s="569"/>
      <c r="J103" s="569"/>
      <c r="K103" s="569"/>
      <c r="L103" s="569"/>
      <c r="M103" s="569"/>
      <c r="N103" s="569"/>
      <c r="O103" s="1501"/>
      <c r="P103" s="1502"/>
      <c r="Q103" s="1503"/>
      <c r="R103" s="488"/>
    </row>
    <row r="104" spans="2:18" ht="13" x14ac:dyDescent="0.3">
      <c r="B104" s="533">
        <v>8</v>
      </c>
      <c r="C104" s="1217"/>
      <c r="D104" s="570"/>
      <c r="E104" s="612"/>
      <c r="F104" s="612"/>
      <c r="G104" s="612"/>
      <c r="H104" s="559"/>
      <c r="I104" s="569"/>
      <c r="J104" s="569"/>
      <c r="K104" s="569"/>
      <c r="L104" s="569"/>
      <c r="M104" s="569"/>
      <c r="N104" s="569"/>
      <c r="O104" s="1501"/>
      <c r="P104" s="1502"/>
      <c r="Q104" s="1503"/>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row r="118" spans="2:18" ht="18.75" customHeight="1" x14ac:dyDescent="0.3">
      <c r="C118" s="926"/>
      <c r="D118" s="926"/>
      <c r="E118" s="926"/>
      <c r="F118" s="926"/>
    </row>
    <row r="119" spans="2:18" ht="18.75" customHeight="1" x14ac:dyDescent="0.3">
      <c r="C119" s="926"/>
      <c r="D119" s="926"/>
      <c r="E119" s="926"/>
      <c r="F119" s="926"/>
    </row>
    <row r="120" spans="2:18" ht="18.75" customHeight="1" x14ac:dyDescent="0.3">
      <c r="C120" s="960" t="s">
        <v>698</v>
      </c>
      <c r="D120" s="960" t="s">
        <v>1026</v>
      </c>
      <c r="E120" s="960" t="s">
        <v>1421</v>
      </c>
      <c r="F120" s="960" t="s">
        <v>1422</v>
      </c>
    </row>
    <row r="121" spans="2:18" ht="18.75" customHeight="1" x14ac:dyDescent="0.3">
      <c r="C121" s="960">
        <f>24*365</f>
        <v>8760</v>
      </c>
      <c r="D121" s="960">
        <v>374</v>
      </c>
      <c r="E121" s="961">
        <v>1</v>
      </c>
      <c r="F121" s="961">
        <f>D121/D121</f>
        <v>1</v>
      </c>
    </row>
    <row r="122" spans="2:18" ht="18.75" customHeight="1" x14ac:dyDescent="0.3">
      <c r="C122" s="960">
        <v>7300</v>
      </c>
      <c r="D122" s="960">
        <v>300.8</v>
      </c>
      <c r="E122" s="961">
        <f>C122/C121</f>
        <v>0.83333333333333337</v>
      </c>
      <c r="F122" s="961">
        <f>D122/D121</f>
        <v>0.8042780748663102</v>
      </c>
    </row>
    <row r="123" spans="2:18" ht="18.75" customHeight="1" x14ac:dyDescent="0.3">
      <c r="C123" s="960">
        <v>5266</v>
      </c>
      <c r="D123" s="960">
        <v>174</v>
      </c>
      <c r="E123" s="961">
        <f>C123/C121</f>
        <v>0.60114155251141554</v>
      </c>
      <c r="F123" s="961">
        <f>D123/D121</f>
        <v>0.46524064171122997</v>
      </c>
    </row>
    <row r="124" spans="2:18" ht="18.75" customHeight="1" x14ac:dyDescent="0.3">
      <c r="C124" s="960">
        <v>3911</v>
      </c>
      <c r="D124" s="960">
        <v>149.1</v>
      </c>
      <c r="E124" s="961">
        <f>C124/C121</f>
        <v>0.44646118721461187</v>
      </c>
      <c r="F124" s="961">
        <f>D124/D121</f>
        <v>0.39866310160427804</v>
      </c>
    </row>
  </sheetData>
  <sheetProtection algorithmName="SHA-512" hashValue="JxKjOjRizQi2bm+8Af8WPC1Eaya6is2QK4DdWVKd2N/uWoLIw9hpPJwMyEIhlcnPTBkM1cXKJ6ljeFSeYpAsLg==" saltValue="3GYE0sbnM3po1eaPMvhLsg==" spinCount="100000" sheet="1" objects="1" scenarios="1" selectLockedCells="1" selectUnlockedCells="1"/>
  <mergeCells count="121">
    <mergeCell ref="O113:Q113"/>
    <mergeCell ref="O114:Q114"/>
    <mergeCell ref="O115:Q115"/>
    <mergeCell ref="O116:Q116"/>
    <mergeCell ref="D71:E71"/>
    <mergeCell ref="J71:Q71"/>
    <mergeCell ref="O107:Q107"/>
    <mergeCell ref="O108:Q108"/>
    <mergeCell ref="O109:Q109"/>
    <mergeCell ref="O110:Q110"/>
    <mergeCell ref="O111:Q111"/>
    <mergeCell ref="O112:Q112"/>
    <mergeCell ref="O101:Q101"/>
    <mergeCell ref="O102:Q102"/>
    <mergeCell ref="O103:Q103"/>
    <mergeCell ref="O104:Q104"/>
    <mergeCell ref="O105:Q105"/>
    <mergeCell ref="O106:Q106"/>
    <mergeCell ref="B95:D95"/>
    <mergeCell ref="C96:D96"/>
    <mergeCell ref="O97:Q97"/>
    <mergeCell ref="O98:Q98"/>
    <mergeCell ref="O99:Q99"/>
    <mergeCell ref="O100:Q100"/>
    <mergeCell ref="F86:Q86"/>
    <mergeCell ref="F87:Q87"/>
    <mergeCell ref="F88:Q88"/>
    <mergeCell ref="F89:Q89"/>
    <mergeCell ref="F90:Q90"/>
    <mergeCell ref="E94:N94"/>
    <mergeCell ref="O94:Q96"/>
    <mergeCell ref="F80:Q80"/>
    <mergeCell ref="F81:Q81"/>
    <mergeCell ref="F82:Q82"/>
    <mergeCell ref="F83:Q83"/>
    <mergeCell ref="F84:Q84"/>
    <mergeCell ref="F85:Q85"/>
    <mergeCell ref="D74:E74"/>
    <mergeCell ref="J74:Q74"/>
    <mergeCell ref="D75:E75"/>
    <mergeCell ref="J75:Q75"/>
    <mergeCell ref="D76:E76"/>
    <mergeCell ref="J76:Q76"/>
    <mergeCell ref="D70:E70"/>
    <mergeCell ref="J70:Q70"/>
    <mergeCell ref="D72:E72"/>
    <mergeCell ref="J72:Q72"/>
    <mergeCell ref="D73:E73"/>
    <mergeCell ref="J73:Q73"/>
    <mergeCell ref="D68:E68"/>
    <mergeCell ref="J68:Q68"/>
    <mergeCell ref="D69:E69"/>
    <mergeCell ref="J69:Q69"/>
    <mergeCell ref="D65:E65"/>
    <mergeCell ref="J65:Q65"/>
    <mergeCell ref="D66:E66"/>
    <mergeCell ref="J66:Q66"/>
    <mergeCell ref="D67:E67"/>
    <mergeCell ref="J67:Q67"/>
    <mergeCell ref="D62:E62"/>
    <mergeCell ref="J62:Q62"/>
    <mergeCell ref="D63:E63"/>
    <mergeCell ref="J63:Q63"/>
    <mergeCell ref="D64:E64"/>
    <mergeCell ref="J64:Q64"/>
    <mergeCell ref="C56:M56"/>
    <mergeCell ref="P56:Q56"/>
    <mergeCell ref="C57:M57"/>
    <mergeCell ref="P57:Q57"/>
    <mergeCell ref="D61:E61"/>
    <mergeCell ref="J61:Q61"/>
    <mergeCell ref="C53:M53"/>
    <mergeCell ref="P53:Q53"/>
    <mergeCell ref="C54:M54"/>
    <mergeCell ref="P54:Q54"/>
    <mergeCell ref="C55:M55"/>
    <mergeCell ref="P55:Q55"/>
    <mergeCell ref="C49:M49"/>
    <mergeCell ref="P49:Q49"/>
    <mergeCell ref="C50:M50"/>
    <mergeCell ref="P50:Q50"/>
    <mergeCell ref="C51:M51"/>
    <mergeCell ref="P51:Q51"/>
    <mergeCell ref="C45:M45"/>
    <mergeCell ref="P45:Q45"/>
    <mergeCell ref="C47:M47"/>
    <mergeCell ref="P47:Q47"/>
    <mergeCell ref="C48:M48"/>
    <mergeCell ref="P48:Q48"/>
    <mergeCell ref="C42:M42"/>
    <mergeCell ref="P42:Q42"/>
    <mergeCell ref="C43:M43"/>
    <mergeCell ref="P43:Q43"/>
    <mergeCell ref="C44:M44"/>
    <mergeCell ref="P44:Q44"/>
    <mergeCell ref="E34:Q34"/>
    <mergeCell ref="E35:Q35"/>
    <mergeCell ref="E36:Q36"/>
    <mergeCell ref="E37:Q37"/>
    <mergeCell ref="C41:M41"/>
    <mergeCell ref="P41:Q41"/>
    <mergeCell ref="D25:Q25"/>
    <mergeCell ref="D26:Q26"/>
    <mergeCell ref="D27:Q27"/>
    <mergeCell ref="D28:Q28"/>
    <mergeCell ref="E32:Q32"/>
    <mergeCell ref="E33:Q33"/>
    <mergeCell ref="D29:Q29"/>
    <mergeCell ref="D30:Q30"/>
    <mergeCell ref="D17:F17"/>
    <mergeCell ref="D18:F18"/>
    <mergeCell ref="B20:Q20"/>
    <mergeCell ref="C21:Q21"/>
    <mergeCell ref="C22:Q22"/>
    <mergeCell ref="C23:Q23"/>
    <mergeCell ref="C2:F2"/>
    <mergeCell ref="C3:F3"/>
    <mergeCell ref="C4:F4"/>
    <mergeCell ref="C5:F5"/>
    <mergeCell ref="D7:F7"/>
    <mergeCell ref="D8:F16"/>
  </mergeCells>
  <conditionalFormatting sqref="H68">
    <cfRule type="expression" dxfId="2917" priority="41">
      <formula>IF(OR(#REF!="L",#REF!="C"),TRUE,FALSE)</formula>
    </cfRule>
  </conditionalFormatting>
  <conditionalFormatting sqref="H69">
    <cfRule type="expression" dxfId="2916" priority="40">
      <formula>IF(OR(#REF!="L",#REF!="C"),TRUE,FALSE)</formula>
    </cfRule>
  </conditionalFormatting>
  <conditionalFormatting sqref="F109:F116 G105:H116">
    <cfRule type="expression" dxfId="2915" priority="39">
      <formula>IF(OR(#REF!="L",#REF!="C"),TRUE,FALSE)</formula>
    </cfRule>
  </conditionalFormatting>
  <conditionalFormatting sqref="E110:E116">
    <cfRule type="expression" dxfId="2914" priority="38">
      <formula>IF(OR(#REF!="L",#REF!="C"),TRUE,FALSE)</formula>
    </cfRule>
  </conditionalFormatting>
  <conditionalFormatting sqref="E107">
    <cfRule type="expression" dxfId="2913" priority="37">
      <formula>IF(OR(#REF!="L",#REF!="C"),TRUE,FALSE)</formula>
    </cfRule>
  </conditionalFormatting>
  <conditionalFormatting sqref="E108">
    <cfRule type="expression" dxfId="2912" priority="36">
      <formula>IF(OR(#REF!="L",#REF!="C"),TRUE,FALSE)</formula>
    </cfRule>
  </conditionalFormatting>
  <conditionalFormatting sqref="E109">
    <cfRule type="expression" dxfId="2911" priority="35">
      <formula>IF(OR(#REF!="L",#REF!="C"),TRUE,FALSE)</formula>
    </cfRule>
  </conditionalFormatting>
  <conditionalFormatting sqref="E106">
    <cfRule type="expression" dxfId="2910" priority="34">
      <formula>IF(OR(#REF!="L",#REF!="C"),TRUE,FALSE)</formula>
    </cfRule>
  </conditionalFormatting>
  <conditionalFormatting sqref="E95 G95 I95 K95 M95">
    <cfRule type="duplicateValues" dxfId="2909" priority="33"/>
  </conditionalFormatting>
  <conditionalFormatting sqref="M104:M116">
    <cfRule type="expression" dxfId="2908" priority="23">
      <formula>IF(OR(#REF!="L",#REF!="C"),TRUE,FALSE)</formula>
    </cfRule>
  </conditionalFormatting>
  <conditionalFormatting sqref="F105:F106">
    <cfRule type="expression" dxfId="2907" priority="32">
      <formula>IF(OR(#REF!="L",#REF!="C"),TRUE,FALSE)</formula>
    </cfRule>
  </conditionalFormatting>
  <conditionalFormatting sqref="I102:I103">
    <cfRule type="expression" dxfId="2906" priority="30">
      <formula>IF(OR(#REF!="L",#REF!="C"),TRUE,FALSE)</formula>
    </cfRule>
  </conditionalFormatting>
  <conditionalFormatting sqref="N102:N103">
    <cfRule type="expression" dxfId="2905" priority="20">
      <formula>IF(OR(#REF!="L",#REF!="C"),TRUE,FALSE)</formula>
    </cfRule>
  </conditionalFormatting>
  <conditionalFormatting sqref="I104:I116">
    <cfRule type="expression" dxfId="2904" priority="31">
      <formula>IF(OR(#REF!="L",#REF!="C"),TRUE,FALSE)</formula>
    </cfRule>
  </conditionalFormatting>
  <conditionalFormatting sqref="J102:J103">
    <cfRule type="expression" dxfId="2903" priority="28">
      <formula>IF(OR(#REF!="L",#REF!="C"),TRUE,FALSE)</formula>
    </cfRule>
  </conditionalFormatting>
  <conditionalFormatting sqref="J104:J116">
    <cfRule type="expression" dxfId="2902" priority="29">
      <formula>IF(OR(#REF!="L",#REF!="C"),TRUE,FALSE)</formula>
    </cfRule>
  </conditionalFormatting>
  <conditionalFormatting sqref="K102:K103">
    <cfRule type="expression" dxfId="2901" priority="26">
      <formula>IF(OR(#REF!="L",#REF!="C"),TRUE,FALSE)</formula>
    </cfRule>
  </conditionalFormatting>
  <conditionalFormatting sqref="K104:K116">
    <cfRule type="expression" dxfId="2900" priority="27">
      <formula>IF(OR(#REF!="L",#REF!="C"),TRUE,FALSE)</formula>
    </cfRule>
  </conditionalFormatting>
  <conditionalFormatting sqref="L102:L103">
    <cfRule type="expression" dxfId="2899" priority="24">
      <formula>IF(OR(#REF!="L",#REF!="C"),TRUE,FALSE)</formula>
    </cfRule>
  </conditionalFormatting>
  <conditionalFormatting sqref="L104:L116">
    <cfRule type="expression" dxfId="2898" priority="25">
      <formula>IF(OR(#REF!="L",#REF!="C"),TRUE,FALSE)</formula>
    </cfRule>
  </conditionalFormatting>
  <conditionalFormatting sqref="M102:M103">
    <cfRule type="expression" dxfId="2897" priority="22">
      <formula>IF(OR(#REF!="L",#REF!="C"),TRUE,FALSE)</formula>
    </cfRule>
  </conditionalFormatting>
  <conditionalFormatting sqref="N104:N116">
    <cfRule type="expression" dxfId="2896" priority="21">
      <formula>IF(OR(#REF!="L",#REF!="C"),TRUE,FALSE)</formula>
    </cfRule>
  </conditionalFormatting>
  <conditionalFormatting sqref="O105:O116">
    <cfRule type="expression" dxfId="2895" priority="19">
      <formula>IF(OR(#REF!="L",#REF!="C"),TRUE,FALSE)</formula>
    </cfRule>
  </conditionalFormatting>
  <conditionalFormatting sqref="I96:N96">
    <cfRule type="duplicateValues" dxfId="2894" priority="18"/>
  </conditionalFormatting>
  <conditionalFormatting sqref="E96">
    <cfRule type="duplicateValues" dxfId="2893" priority="17"/>
  </conditionalFormatting>
  <conditionalFormatting sqref="H65">
    <cfRule type="expression" dxfId="2892" priority="16">
      <formula>IF(OR(#REF!="L",#REF!="C"),TRUE,FALSE)</formula>
    </cfRule>
  </conditionalFormatting>
  <conditionalFormatting sqref="H75">
    <cfRule type="expression" dxfId="2891" priority="12">
      <formula>IF(OR(#REF!="L",#REF!="C"),TRUE,FALSE)</formula>
    </cfRule>
  </conditionalFormatting>
  <conditionalFormatting sqref="H73">
    <cfRule type="expression" dxfId="2890" priority="14">
      <formula>IF(OR(#REF!="L",#REF!="C"),TRUE,FALSE)</formula>
    </cfRule>
  </conditionalFormatting>
  <conditionalFormatting sqref="H74">
    <cfRule type="expression" dxfId="2889" priority="13">
      <formula>IF(OR(#REF!="L",#REF!="C"),TRUE,FALSE)</formula>
    </cfRule>
  </conditionalFormatting>
  <conditionalFormatting sqref="H76">
    <cfRule type="expression" dxfId="2888" priority="11">
      <formula>IF(OR(#REF!="L",#REF!="C"),TRUE,FALSE)</formula>
    </cfRule>
  </conditionalFormatting>
  <conditionalFormatting sqref="H66">
    <cfRule type="expression" dxfId="2887" priority="10">
      <formula>IF(OR(#REF!="L",#REF!="C"),TRUE,FALSE)</formula>
    </cfRule>
  </conditionalFormatting>
  <conditionalFormatting sqref="H96">
    <cfRule type="duplicateValues" dxfId="2886" priority="9"/>
  </conditionalFormatting>
  <conditionalFormatting sqref="G96">
    <cfRule type="duplicateValues" dxfId="2885" priority="8"/>
  </conditionalFormatting>
  <conditionalFormatting sqref="F96">
    <cfRule type="duplicateValues" dxfId="2884" priority="7"/>
  </conditionalFormatting>
  <conditionalFormatting sqref="H67">
    <cfRule type="expression" dxfId="2883" priority="6">
      <formula>IF(OR(#REF!="L",#REF!="C"),TRUE,FALSE)</formula>
    </cfRule>
  </conditionalFormatting>
  <conditionalFormatting sqref="H70">
    <cfRule type="expression" dxfId="2882" priority="3">
      <formula>IF(OR(#REF!="L",#REF!="C"),TRUE,FALSE)</formula>
    </cfRule>
  </conditionalFormatting>
  <conditionalFormatting sqref="H71">
    <cfRule type="expression" dxfId="2881" priority="4">
      <formula>IF(OR(#REF!="L",#REF!="C"),TRUE,FALSE)</formula>
    </cfRule>
  </conditionalFormatting>
  <conditionalFormatting sqref="H72">
    <cfRule type="expression" dxfId="2880" priority="2">
      <formula>IF(OR(#REF!="L",#REF!="C"),TRUE,FALSE)</formula>
    </cfRule>
  </conditionalFormatting>
  <conditionalFormatting sqref="G73">
    <cfRule type="duplicateValues" dxfId="2879" priority="1"/>
  </conditionalFormatting>
  <dataValidations count="7">
    <dataValidation type="list" allowBlank="1" showInputMessage="1" showErrorMessage="1" sqref="F71 F74" xr:uid="{541F84B2-3976-473A-9161-6BC4B80BF926}">
      <formula1>$C$102:$C$107</formula1>
    </dataValidation>
    <dataValidation type="list" allowBlank="1" showInputMessage="1" showErrorMessage="1" sqref="C4" xr:uid="{46801EDE-5461-45C7-B2E6-9C3D2E5D0555}">
      <formula1>"COM,RES"</formula1>
    </dataValidation>
    <dataValidation type="list" allowBlank="1" showInputMessage="1" showErrorMessage="1" sqref="C9" xr:uid="{62288AAF-277D-41D6-A56E-67B820753082}">
      <formula1>INDIRECT("MeasureTypeList[Index]")</formula1>
    </dataValidation>
    <dataValidation type="list" allowBlank="1" showInputMessage="1" showErrorMessage="1" sqref="C26" xr:uid="{F4EC48C9-E47F-45CF-A271-C2E5DBB177D9}">
      <formula1>INDIRECT("RegionList[Index]")</formula1>
    </dataValidation>
    <dataValidation type="list" allowBlank="1" showInputMessage="1" showErrorMessage="1" sqref="C27" xr:uid="{ABB4BE9E-6FAC-420D-9051-B6B6AD235119}">
      <formula1>INDIRECT("ReplacementTypeList[Index]")</formula1>
    </dataValidation>
    <dataValidation type="list" allowBlank="1" showInputMessage="1" showErrorMessage="1" sqref="C28" xr:uid="{D0744D05-AF9C-48BF-BCA5-F178CE51D690}">
      <formula1>INDIRECT("BuildingType[Building]")</formula1>
    </dataValidation>
    <dataValidation type="list" allowBlank="1" showInputMessage="1" showErrorMessage="1" sqref="C29 C30" xr:uid="{2B04A10D-A65C-4B61-AAD8-D83B6BF5E8F3}">
      <formula1>INDIRECT("FuelTypeList[Index]")</formula1>
    </dataValidation>
  </dataValidations>
  <hyperlinks>
    <hyperlink ref="F82" r:id="rId1" xr:uid="{81CCAB0F-FFF3-4772-BC18-0CE6F1C6A42B}"/>
    <hyperlink ref="F83" r:id="rId2" xr:uid="{C88F0934-4B9B-4939-965E-23A41BFF4488}"/>
    <hyperlink ref="F85" r:id="rId3" xr:uid="{9AD0780E-C9A8-460B-B3C9-334C0840AF5B}"/>
    <hyperlink ref="F84" r:id="rId4" xr:uid="{B0B3B4E8-6601-48EC-A283-B9C1BBDB61D5}"/>
  </hyperlinks>
  <pageMargins left="0.7" right="0.7" top="0.75" bottom="0.75" header="0.3" footer="0.3"/>
  <pageSetup orientation="portrait" r:id="rId5"/>
  <extLst>
    <ext xmlns:x14="http://schemas.microsoft.com/office/spreadsheetml/2009/9/main" uri="{CCE6A557-97BC-4b89-ADB6-D9C93CAAB3DF}">
      <x14:dataValidations xmlns:xm="http://schemas.microsoft.com/office/excel/2006/main" count="1">
        <x14:dataValidation type="list" allowBlank="1" showInputMessage="1" showErrorMessage="1" xr:uid="{FCAC233D-E959-4A8E-9C84-23CA11BF62CC}">
          <x14:formula1>
            <xm:f>'Climate Data'!$B$258:$B$261</xm:f>
          </x14:formula1>
          <xm:sqref>H71</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6DB64-0563-4A44-B2FF-40D5052FD0BC}">
  <sheetPr codeName="Sheet37"/>
  <dimension ref="A1:R140"/>
  <sheetViews>
    <sheetView topLeftCell="A43" workbookViewId="0">
      <selection activeCell="H65" sqref="H65"/>
    </sheetView>
  </sheetViews>
  <sheetFormatPr defaultColWidth="9.08984375" defaultRowHeight="18.75" customHeight="1" x14ac:dyDescent="0.3"/>
  <cols>
    <col min="1" max="1" width="2.36328125" style="491" customWidth="1"/>
    <col min="2" max="2" width="44.36328125" style="491" bestFit="1" customWidth="1"/>
    <col min="3" max="3" width="21.08984375" style="491" customWidth="1"/>
    <col min="4" max="4" width="21.6328125" style="491" customWidth="1"/>
    <col min="5" max="5" width="14.36328125" style="491" customWidth="1"/>
    <col min="6" max="6" width="19.36328125" style="491" customWidth="1"/>
    <col min="7" max="7" width="19.6328125" style="491" customWidth="1"/>
    <col min="8" max="8" width="16" style="491" customWidth="1"/>
    <col min="9" max="9" width="10.36328125" style="491" customWidth="1"/>
    <col min="10" max="10" width="14.6328125" style="491" customWidth="1"/>
    <col min="11" max="12" width="9.08984375" style="491" bestFit="1"/>
    <col min="13" max="13" width="11" style="491" customWidth="1"/>
    <col min="14" max="14" width="12.36328125" style="491" customWidth="1"/>
    <col min="15" max="15" width="10.6328125" style="491" customWidth="1"/>
    <col min="16" max="17" width="9.08984375" style="491" bestFit="1"/>
    <col min="18" max="18" width="9.81640625" style="489" customWidth="1"/>
    <col min="19" max="19" width="9.08984375" style="491" bestFit="1"/>
    <col min="20" max="20" width="8.6328125" style="491" customWidth="1"/>
    <col min="21" max="16384" width="9.08984375" style="491"/>
  </cols>
  <sheetData>
    <row r="1" spans="1:18" s="488" customFormat="1" ht="18.75" customHeight="1" x14ac:dyDescent="0.3">
      <c r="R1" s="489"/>
    </row>
    <row r="2" spans="1:18" s="488" customFormat="1" ht="18.75" customHeight="1" x14ac:dyDescent="0.3">
      <c r="B2" s="1193" t="s">
        <v>506</v>
      </c>
      <c r="C2" s="1366" t="s">
        <v>406</v>
      </c>
      <c r="D2" s="1366"/>
      <c r="E2" s="1366"/>
      <c r="F2" s="1366"/>
      <c r="R2" s="489"/>
    </row>
    <row r="3" spans="1:18" s="488" customFormat="1" ht="18.75" customHeight="1" x14ac:dyDescent="0.3">
      <c r="B3" s="490" t="s">
        <v>407</v>
      </c>
      <c r="C3" s="1367" t="str">
        <f>IF(ISBLANK(C8)+ISBLANK(C10),C8,C8&amp;"_"&amp;C10)</f>
        <v>C-HC-012</v>
      </c>
      <c r="D3" s="1367"/>
      <c r="E3" s="1367"/>
      <c r="F3" s="1367"/>
      <c r="R3" s="489"/>
    </row>
    <row r="4" spans="1:18" s="488" customFormat="1" ht="18.75" customHeight="1" x14ac:dyDescent="0.3">
      <c r="B4" s="490" t="s">
        <v>11</v>
      </c>
      <c r="C4" s="1367" t="str" cm="1">
        <f t="array" ref="C4">_xlfn.SWITCH(LEFT(C8,1),"R","Residential","C","Commercial","ERROR")</f>
        <v>Commercial</v>
      </c>
      <c r="D4" s="1367"/>
      <c r="E4" s="1367"/>
      <c r="F4" s="1367"/>
      <c r="R4" s="489"/>
    </row>
    <row r="5" spans="1:18" ht="44.25" customHeight="1" x14ac:dyDescent="0.3">
      <c r="B5" s="490" t="s">
        <v>408</v>
      </c>
      <c r="C5" s="1458" t="s">
        <v>229</v>
      </c>
      <c r="D5" s="1459"/>
      <c r="E5" s="1459"/>
      <c r="F5" s="1460"/>
      <c r="R5" s="491"/>
    </row>
    <row r="6" spans="1:18" ht="18.75" customHeight="1" x14ac:dyDescent="0.3">
      <c r="A6" s="492"/>
    </row>
    <row r="7" spans="1:18" ht="18.75" customHeight="1" x14ac:dyDescent="0.3">
      <c r="B7" s="1193" t="s">
        <v>507</v>
      </c>
      <c r="C7" s="493" t="s">
        <v>406</v>
      </c>
      <c r="D7" s="1366" t="s">
        <v>410</v>
      </c>
      <c r="E7" s="1366"/>
      <c r="F7" s="1366"/>
      <c r="R7" s="491"/>
    </row>
    <row r="8" spans="1:18" ht="18.75" customHeight="1" x14ac:dyDescent="0.3">
      <c r="B8" s="490" t="s">
        <v>411</v>
      </c>
      <c r="C8" s="1199" t="s">
        <v>93</v>
      </c>
      <c r="D8" s="1626"/>
      <c r="E8" s="1627"/>
      <c r="F8" s="1628"/>
      <c r="R8" s="491"/>
    </row>
    <row r="9" spans="1:18" ht="18.75" customHeight="1" x14ac:dyDescent="0.3">
      <c r="B9" s="490" t="s">
        <v>49</v>
      </c>
      <c r="C9" s="1199" t="s">
        <v>1423</v>
      </c>
      <c r="D9" s="1629"/>
      <c r="E9" s="1630"/>
      <c r="F9" s="1631"/>
      <c r="R9" s="491"/>
    </row>
    <row r="10" spans="1:18" ht="18.75" customHeight="1" x14ac:dyDescent="0.3">
      <c r="B10" s="490" t="s">
        <v>412</v>
      </c>
      <c r="C10" s="1199"/>
      <c r="D10" s="1629"/>
      <c r="E10" s="1630"/>
      <c r="F10" s="1631"/>
      <c r="R10" s="491"/>
    </row>
    <row r="11" spans="1:18" ht="18.75" customHeight="1" x14ac:dyDescent="0.3">
      <c r="B11" s="490" t="s">
        <v>413</v>
      </c>
      <c r="C11" s="1199"/>
      <c r="D11" s="1629"/>
      <c r="E11" s="1630"/>
      <c r="F11" s="1631"/>
      <c r="R11" s="491"/>
    </row>
    <row r="12" spans="1:18" ht="18.75" customHeight="1" x14ac:dyDescent="0.3">
      <c r="B12" s="490" t="s">
        <v>414</v>
      </c>
      <c r="C12" s="540"/>
      <c r="D12" s="1629"/>
      <c r="E12" s="1630"/>
      <c r="F12" s="1631"/>
      <c r="R12" s="491"/>
    </row>
    <row r="13" spans="1:18" ht="18.75" customHeight="1" x14ac:dyDescent="0.3">
      <c r="B13" s="494" t="s">
        <v>415</v>
      </c>
      <c r="C13" s="495">
        <f>N43</f>
        <v>1769.516575065591</v>
      </c>
      <c r="D13" s="1629"/>
      <c r="E13" s="1630"/>
      <c r="F13" s="1631"/>
      <c r="R13" s="491"/>
    </row>
    <row r="14" spans="1:18" ht="18.75" customHeight="1" x14ac:dyDescent="0.3">
      <c r="B14" s="494" t="s">
        <v>416</v>
      </c>
      <c r="C14" s="495">
        <f>N42</f>
        <v>0</v>
      </c>
      <c r="D14" s="1629"/>
      <c r="E14" s="1630"/>
      <c r="F14" s="1631"/>
      <c r="R14" s="491"/>
    </row>
    <row r="15" spans="1:18" ht="18.75" customHeight="1" x14ac:dyDescent="0.3">
      <c r="B15" s="494" t="s">
        <v>417</v>
      </c>
      <c r="C15" s="495">
        <f>N44</f>
        <v>0</v>
      </c>
      <c r="D15" s="1629"/>
      <c r="E15" s="1630"/>
      <c r="F15" s="1631"/>
      <c r="R15" s="491"/>
    </row>
    <row r="16" spans="1:18" ht="18.75" customHeight="1" x14ac:dyDescent="0.3">
      <c r="B16" s="494" t="s">
        <v>418</v>
      </c>
      <c r="C16" s="496">
        <f>C37</f>
        <v>0</v>
      </c>
      <c r="D16" s="1632"/>
      <c r="E16" s="1633"/>
      <c r="F16" s="1634"/>
      <c r="R16" s="491"/>
    </row>
    <row r="17" spans="2:18" ht="18.75" customHeight="1" x14ac:dyDescent="0.3">
      <c r="B17" s="490" t="s">
        <v>48</v>
      </c>
      <c r="C17" s="1194" t="s">
        <v>1424</v>
      </c>
      <c r="D17" s="1366" t="s">
        <v>419</v>
      </c>
      <c r="E17" s="1366"/>
      <c r="F17" s="1366"/>
      <c r="R17" s="491"/>
    </row>
    <row r="18" spans="2:18" ht="39" customHeight="1" x14ac:dyDescent="0.3">
      <c r="B18" s="490" t="s">
        <v>420</v>
      </c>
      <c r="C18" s="541">
        <v>15</v>
      </c>
      <c r="D18" s="1919" t="s">
        <v>1425</v>
      </c>
      <c r="E18" s="1919"/>
      <c r="F18" s="1919"/>
      <c r="R18" s="491"/>
    </row>
    <row r="19" spans="2:18" ht="18.75" customHeight="1" x14ac:dyDescent="0.3">
      <c r="B19" s="497"/>
      <c r="C19" s="498"/>
      <c r="F19" s="489"/>
      <c r="R19" s="491"/>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91"/>
    </row>
    <row r="21" spans="2:18" ht="33" customHeight="1" x14ac:dyDescent="0.3">
      <c r="B21" s="499" t="s">
        <v>422</v>
      </c>
      <c r="C21" s="1440" t="s">
        <v>224</v>
      </c>
      <c r="D21" s="1440"/>
      <c r="E21" s="1440"/>
      <c r="F21" s="1440"/>
      <c r="G21" s="1440"/>
      <c r="H21" s="1440"/>
      <c r="I21" s="1440"/>
      <c r="J21" s="1440"/>
      <c r="K21" s="1440"/>
      <c r="L21" s="1440"/>
      <c r="M21" s="1440"/>
      <c r="N21" s="1440"/>
      <c r="O21" s="1440"/>
      <c r="P21" s="1440"/>
      <c r="Q21" s="1440"/>
      <c r="R21" s="491"/>
    </row>
    <row r="22" spans="2:18" ht="34.5" customHeight="1" x14ac:dyDescent="0.3">
      <c r="B22" s="500" t="s">
        <v>423</v>
      </c>
      <c r="C22" s="1440" t="s">
        <v>1426</v>
      </c>
      <c r="D22" s="1440"/>
      <c r="E22" s="1440"/>
      <c r="F22" s="1440"/>
      <c r="G22" s="1440"/>
      <c r="H22" s="1440"/>
      <c r="I22" s="1440"/>
      <c r="J22" s="1440"/>
      <c r="K22" s="1440"/>
      <c r="L22" s="1440"/>
      <c r="M22" s="1440"/>
      <c r="N22" s="1440"/>
      <c r="O22" s="1440"/>
      <c r="P22" s="1440"/>
      <c r="Q22" s="1440"/>
      <c r="R22" s="491"/>
    </row>
    <row r="23" spans="2:18" ht="18.75" customHeight="1" x14ac:dyDescent="0.3">
      <c r="B23" s="500" t="s">
        <v>424</v>
      </c>
      <c r="C23" s="1440"/>
      <c r="D23" s="1440"/>
      <c r="E23" s="1440"/>
      <c r="F23" s="1440"/>
      <c r="G23" s="1440"/>
      <c r="H23" s="1440"/>
      <c r="I23" s="1440"/>
      <c r="J23" s="1440"/>
      <c r="K23" s="1440"/>
      <c r="L23" s="1440"/>
      <c r="M23" s="1440"/>
      <c r="N23" s="1440"/>
      <c r="O23" s="1440"/>
      <c r="P23" s="1440"/>
      <c r="Q23" s="1440"/>
      <c r="R23" s="491"/>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91"/>
    </row>
    <row r="26" spans="2:18" ht="18.75" customHeight="1" x14ac:dyDescent="0.3">
      <c r="B26" s="490" t="s">
        <v>9</v>
      </c>
      <c r="C26" s="538" t="str">
        <f>Default.Region</f>
        <v>Average</v>
      </c>
      <c r="D26" s="1446"/>
      <c r="E26" s="1446"/>
      <c r="F26" s="1446"/>
      <c r="G26" s="1446"/>
      <c r="H26" s="1446"/>
      <c r="I26" s="1446"/>
      <c r="J26" s="1446"/>
      <c r="K26" s="1446"/>
      <c r="L26" s="1446"/>
      <c r="M26" s="1446"/>
      <c r="N26" s="1446"/>
      <c r="O26" s="1446"/>
      <c r="P26" s="1446"/>
      <c r="Q26" s="1446"/>
      <c r="R26" s="491"/>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91"/>
    </row>
    <row r="28" spans="2:18" ht="18.75" customHeight="1" x14ac:dyDescent="0.3">
      <c r="B28" s="490" t="s">
        <v>54</v>
      </c>
      <c r="C28" s="538" t="str">
        <f>Default.BuildingType.C</f>
        <v>Other</v>
      </c>
      <c r="D28" s="1461" t="s">
        <v>1427</v>
      </c>
      <c r="E28" s="1461"/>
      <c r="F28" s="1461"/>
      <c r="G28" s="1461"/>
      <c r="H28" s="1461"/>
      <c r="I28" s="1461"/>
      <c r="J28" s="1461"/>
      <c r="K28" s="1461"/>
      <c r="L28" s="1461"/>
      <c r="M28" s="1461"/>
      <c r="N28" s="1461"/>
      <c r="O28" s="1461"/>
      <c r="P28" s="1461"/>
      <c r="Q28" s="1461"/>
      <c r="R28" s="491"/>
    </row>
    <row r="29" spans="2:18" ht="18.75" customHeight="1" x14ac:dyDescent="0.3">
      <c r="B29" s="490" t="s">
        <v>33</v>
      </c>
      <c r="C29" s="538" t="str">
        <f>Default.SpaceHeatingFuel</f>
        <v>Natural gas</v>
      </c>
      <c r="D29" s="1446"/>
      <c r="E29" s="1446"/>
      <c r="F29" s="1446"/>
      <c r="G29" s="1446"/>
      <c r="H29" s="1446"/>
      <c r="I29" s="1446"/>
      <c r="J29" s="1446"/>
      <c r="K29" s="1446"/>
      <c r="L29" s="1446"/>
      <c r="M29" s="1446"/>
      <c r="N29" s="1446"/>
      <c r="O29" s="1446"/>
      <c r="P29" s="1446"/>
      <c r="Q29" s="1446"/>
      <c r="R29" s="491"/>
    </row>
    <row r="30" spans="2:18" ht="18.75" customHeight="1" x14ac:dyDescent="0.3">
      <c r="B30" s="490" t="s">
        <v>35</v>
      </c>
      <c r="C30" s="538" t="str">
        <f>Default.WaterHeatingFuel</f>
        <v>Natural gas</v>
      </c>
      <c r="D30" s="1446"/>
      <c r="E30" s="1446"/>
      <c r="F30" s="1446"/>
      <c r="G30" s="1446"/>
      <c r="H30" s="1446"/>
      <c r="I30" s="1446"/>
      <c r="J30" s="1446"/>
      <c r="K30" s="1446"/>
      <c r="L30" s="1446"/>
      <c r="M30" s="1446"/>
      <c r="N30" s="1446"/>
      <c r="O30" s="1446"/>
      <c r="P30" s="1446"/>
      <c r="Q30" s="1446"/>
      <c r="R30" s="491"/>
    </row>
    <row r="31" spans="2:18" ht="18.75" customHeight="1" x14ac:dyDescent="0.3">
      <c r="B31" s="502"/>
      <c r="C31" s="503"/>
      <c r="D31" s="503"/>
      <c r="E31" s="503"/>
      <c r="F31" s="503"/>
      <c r="G31" s="503"/>
      <c r="H31" s="503"/>
      <c r="I31" s="503"/>
      <c r="J31" s="503"/>
      <c r="K31" s="503"/>
      <c r="L31" s="503"/>
      <c r="M31" s="503"/>
      <c r="N31" s="503"/>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37" t="s">
        <v>430</v>
      </c>
      <c r="E33" s="1475"/>
      <c r="F33" s="1476"/>
      <c r="G33" s="1476"/>
      <c r="H33" s="1476"/>
      <c r="I33" s="1476"/>
      <c r="J33" s="1476"/>
      <c r="K33" s="1476"/>
      <c r="L33" s="1476"/>
      <c r="M33" s="1476"/>
      <c r="N33" s="1476"/>
      <c r="O33" s="1476"/>
      <c r="P33" s="1476"/>
      <c r="Q33" s="1477"/>
      <c r="R33" s="491"/>
    </row>
    <row r="34" spans="2:18" ht="18.75" customHeight="1" x14ac:dyDescent="0.3">
      <c r="B34" s="494" t="s">
        <v>431</v>
      </c>
      <c r="C34" s="542"/>
      <c r="D34" s="537" t="s">
        <v>430</v>
      </c>
      <c r="E34" s="1441"/>
      <c r="F34" s="1441"/>
      <c r="G34" s="1441"/>
      <c r="H34" s="1441"/>
      <c r="I34" s="1441"/>
      <c r="J34" s="1441"/>
      <c r="K34" s="1441"/>
      <c r="L34" s="1441"/>
      <c r="M34" s="1441"/>
      <c r="N34" s="1441"/>
      <c r="O34" s="1441"/>
      <c r="P34" s="1441"/>
      <c r="Q34" s="1441"/>
    </row>
    <row r="35" spans="2:18" ht="18.75" customHeight="1" x14ac:dyDescent="0.3">
      <c r="B35" s="490" t="s">
        <v>432</v>
      </c>
      <c r="C35" s="542"/>
      <c r="D35" s="537" t="s">
        <v>430</v>
      </c>
      <c r="E35" s="1475"/>
      <c r="F35" s="1476"/>
      <c r="G35" s="1476"/>
      <c r="H35" s="1476"/>
      <c r="I35" s="1476"/>
      <c r="J35" s="1476"/>
      <c r="K35" s="1476"/>
      <c r="L35" s="1476"/>
      <c r="M35" s="1476"/>
      <c r="N35" s="1476"/>
      <c r="O35" s="1476"/>
      <c r="P35" s="1476"/>
      <c r="Q35" s="1477"/>
    </row>
    <row r="36" spans="2:18" ht="18.75" customHeight="1" x14ac:dyDescent="0.3">
      <c r="B36" s="494" t="s">
        <v>433</v>
      </c>
      <c r="C36" s="905">
        <f>C34</f>
        <v>0</v>
      </c>
      <c r="D36" s="537" t="s">
        <v>430</v>
      </c>
      <c r="E36" s="1441"/>
      <c r="F36" s="1441"/>
      <c r="G36" s="1441"/>
      <c r="H36" s="1441"/>
      <c r="I36" s="1441"/>
      <c r="J36" s="1441"/>
      <c r="K36" s="1441"/>
      <c r="L36" s="1441"/>
      <c r="M36" s="1441"/>
      <c r="N36" s="1441"/>
      <c r="O36" s="1441"/>
      <c r="P36" s="1441"/>
      <c r="Q36" s="1441"/>
    </row>
    <row r="37" spans="2:18" ht="18.75" customHeight="1" x14ac:dyDescent="0.3">
      <c r="B37" s="494" t="s">
        <v>434</v>
      </c>
      <c r="C37" s="905">
        <f>IF(C27="RET",C33+(C34-C35),C34-C35)</f>
        <v>0</v>
      </c>
      <c r="D37" s="537" t="s">
        <v>430</v>
      </c>
      <c r="E37" s="1442"/>
      <c r="F37" s="1442"/>
      <c r="G37" s="1442"/>
      <c r="H37" s="1442"/>
      <c r="I37" s="1442"/>
      <c r="J37" s="1442"/>
      <c r="K37" s="1442"/>
      <c r="L37" s="1442"/>
      <c r="M37" s="1442"/>
      <c r="N37" s="1442"/>
      <c r="O37" s="1442"/>
      <c r="P37" s="1442"/>
      <c r="Q37" s="1442"/>
    </row>
    <row r="38" spans="2:18" ht="18.75" customHeight="1" x14ac:dyDescent="0.3">
      <c r="B38" s="502"/>
      <c r="C38" s="503"/>
      <c r="D38" s="505"/>
      <c r="E38" s="503"/>
      <c r="F38" s="503"/>
      <c r="G38" s="503"/>
      <c r="H38" s="503"/>
      <c r="I38" s="503"/>
      <c r="J38" s="503"/>
      <c r="K38" s="503"/>
      <c r="L38" s="503"/>
      <c r="M38" s="503"/>
      <c r="N38" s="503"/>
    </row>
    <row r="39" spans="2:18" ht="18.75" customHeight="1" x14ac:dyDescent="0.3">
      <c r="B39" s="511" t="s">
        <v>435</v>
      </c>
      <c r="C39" s="512"/>
      <c r="D39" s="512"/>
      <c r="E39" s="512"/>
      <c r="F39" s="512"/>
      <c r="G39" s="512"/>
      <c r="H39" s="681"/>
      <c r="I39" s="681"/>
      <c r="J39" s="681"/>
      <c r="K39" s="681"/>
      <c r="L39" s="681"/>
      <c r="M39" s="681"/>
      <c r="N39" s="681"/>
      <c r="O39" s="681"/>
      <c r="P39" s="681"/>
      <c r="Q39" s="682"/>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31" t="s">
        <v>438</v>
      </c>
      <c r="C42" s="1387" t="s">
        <v>439</v>
      </c>
      <c r="D42" s="1388"/>
      <c r="E42" s="1388"/>
      <c r="F42" s="1388"/>
      <c r="G42" s="1388"/>
      <c r="H42" s="1388"/>
      <c r="I42" s="1388"/>
      <c r="J42" s="1388"/>
      <c r="K42" s="1388"/>
      <c r="L42" s="1388"/>
      <c r="M42" s="1389"/>
      <c r="N42" s="972">
        <f>N48+N54</f>
        <v>0</v>
      </c>
      <c r="O42" s="509" t="s">
        <v>440</v>
      </c>
      <c r="P42" s="1447"/>
      <c r="Q42" s="1447"/>
      <c r="R42" s="491"/>
    </row>
    <row r="43" spans="2:18" ht="18.75" customHeight="1" x14ac:dyDescent="0.3">
      <c r="B43" s="531" t="s">
        <v>441</v>
      </c>
      <c r="C43" s="1387" t="s">
        <v>442</v>
      </c>
      <c r="D43" s="1388"/>
      <c r="E43" s="1388"/>
      <c r="F43" s="1388"/>
      <c r="G43" s="1388"/>
      <c r="H43" s="1388"/>
      <c r="I43" s="1388"/>
      <c r="J43" s="1388"/>
      <c r="K43" s="1388"/>
      <c r="L43" s="1388"/>
      <c r="M43" s="1389"/>
      <c r="N43" s="508">
        <f>N49+N55</f>
        <v>1769.516575065591</v>
      </c>
      <c r="O43" s="509" t="s">
        <v>443</v>
      </c>
      <c r="P43" s="1447"/>
      <c r="Q43" s="1447"/>
      <c r="R43" s="491"/>
    </row>
    <row r="44" spans="2:18" ht="18.75" customHeight="1" x14ac:dyDescent="0.3">
      <c r="B44" s="531" t="s">
        <v>444</v>
      </c>
      <c r="C44" s="1387" t="s">
        <v>445</v>
      </c>
      <c r="D44" s="1388"/>
      <c r="E44" s="1388"/>
      <c r="F44" s="1388"/>
      <c r="G44" s="1388"/>
      <c r="H44" s="1388"/>
      <c r="I44" s="1388"/>
      <c r="J44" s="1388"/>
      <c r="K44" s="1388"/>
      <c r="L44" s="1388"/>
      <c r="M44" s="1389"/>
      <c r="N44" s="972">
        <f>N50+N56</f>
        <v>0</v>
      </c>
      <c r="O44" s="509" t="s">
        <v>446</v>
      </c>
      <c r="P44" s="1447"/>
      <c r="Q44" s="1447"/>
      <c r="R44" s="491"/>
    </row>
    <row r="45" spans="2:18" ht="18.75" customHeight="1" x14ac:dyDescent="0.3">
      <c r="B45" s="531" t="s">
        <v>447</v>
      </c>
      <c r="C45" s="1387" t="s">
        <v>448</v>
      </c>
      <c r="D45" s="1388"/>
      <c r="E45" s="1388"/>
      <c r="F45" s="1388"/>
      <c r="G45" s="1388"/>
      <c r="H45" s="1388"/>
      <c r="I45" s="1388"/>
      <c r="J45" s="1388"/>
      <c r="K45" s="1388"/>
      <c r="L45" s="1388"/>
      <c r="M45" s="1389"/>
      <c r="N45" s="972">
        <f>N51+N57</f>
        <v>0</v>
      </c>
      <c r="O45" s="509" t="s">
        <v>449</v>
      </c>
      <c r="P45" s="1447"/>
      <c r="Q45" s="1447"/>
      <c r="R45" s="491"/>
    </row>
    <row r="46" spans="2:18" ht="18.75" customHeight="1" x14ac:dyDescent="0.3">
      <c r="B46" s="532"/>
      <c r="C46" s="503"/>
      <c r="D46" s="503"/>
      <c r="E46" s="503"/>
      <c r="F46" s="503"/>
      <c r="G46" s="503"/>
      <c r="H46" s="503"/>
      <c r="I46" s="503"/>
      <c r="J46" s="503"/>
      <c r="K46" s="503"/>
      <c r="L46" s="503"/>
      <c r="M46" s="503"/>
      <c r="Q46" s="489"/>
      <c r="R46" s="491"/>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91"/>
    </row>
    <row r="48" spans="2:18" ht="18.75" customHeight="1" x14ac:dyDescent="0.3">
      <c r="B48" s="531" t="s">
        <v>452</v>
      </c>
      <c r="C48" s="1449" t="s">
        <v>453</v>
      </c>
      <c r="D48" s="1450"/>
      <c r="E48" s="1450"/>
      <c r="F48" s="1450"/>
      <c r="G48" s="1450"/>
      <c r="H48" s="1450"/>
      <c r="I48" s="1450"/>
      <c r="J48" s="1450"/>
      <c r="K48" s="1450"/>
      <c r="L48" s="1450"/>
      <c r="M48" s="1451"/>
      <c r="N48" s="543"/>
      <c r="O48" s="509" t="s">
        <v>440</v>
      </c>
      <c r="P48" s="1447"/>
      <c r="Q48" s="1447"/>
      <c r="R48" s="491"/>
    </row>
    <row r="49" spans="2:18" ht="18.75" customHeight="1" x14ac:dyDescent="0.3">
      <c r="B49" s="531" t="s">
        <v>454</v>
      </c>
      <c r="C49" s="1449" t="s">
        <v>1428</v>
      </c>
      <c r="D49" s="1450"/>
      <c r="E49" s="1450"/>
      <c r="F49" s="1450"/>
      <c r="G49" s="1450"/>
      <c r="H49" s="1450"/>
      <c r="I49" s="1450"/>
      <c r="J49" s="1450"/>
      <c r="K49" s="1450"/>
      <c r="L49" s="1450"/>
      <c r="M49" s="1451"/>
      <c r="N49" s="545">
        <f>H69 * D86 * H63 / H62 * (H66 - H65) * (1 + H70) * H64</f>
        <v>1769.516575065591</v>
      </c>
      <c r="O49" s="509" t="s">
        <v>443</v>
      </c>
      <c r="P49" s="1447"/>
      <c r="Q49" s="1447"/>
      <c r="R49" s="491"/>
    </row>
    <row r="50" spans="2:18" ht="18.75" customHeight="1" x14ac:dyDescent="0.3">
      <c r="B50" s="531" t="s">
        <v>456</v>
      </c>
      <c r="C50" s="1449" t="s">
        <v>457</v>
      </c>
      <c r="D50" s="1450"/>
      <c r="E50" s="1450"/>
      <c r="F50" s="1450"/>
      <c r="G50" s="1450"/>
      <c r="H50" s="1450"/>
      <c r="I50" s="1450"/>
      <c r="J50" s="1450"/>
      <c r="K50" s="1450"/>
      <c r="L50" s="1450"/>
      <c r="M50" s="1451"/>
      <c r="N50" s="543"/>
      <c r="O50" s="509" t="s">
        <v>446</v>
      </c>
      <c r="P50" s="1447"/>
      <c r="Q50" s="1447"/>
      <c r="R50" s="491"/>
    </row>
    <row r="51" spans="2:18" ht="18.75" customHeight="1" x14ac:dyDescent="0.3">
      <c r="B51" s="531" t="s">
        <v>458</v>
      </c>
      <c r="C51" s="1449" t="s">
        <v>459</v>
      </c>
      <c r="D51" s="1450"/>
      <c r="E51" s="1450"/>
      <c r="F51" s="1450"/>
      <c r="G51" s="1450"/>
      <c r="H51" s="1450"/>
      <c r="I51" s="1450"/>
      <c r="J51" s="1450"/>
      <c r="K51" s="1450"/>
      <c r="L51" s="1450"/>
      <c r="M51" s="1451"/>
      <c r="N51" s="543"/>
      <c r="O51" s="509" t="s">
        <v>449</v>
      </c>
      <c r="P51" s="1447"/>
      <c r="Q51" s="1447"/>
      <c r="R51" s="491"/>
    </row>
    <row r="52" spans="2:18" ht="18.75" customHeight="1" x14ac:dyDescent="0.3">
      <c r="B52" s="532"/>
      <c r="C52" s="503"/>
      <c r="D52" s="503"/>
      <c r="E52" s="503"/>
      <c r="F52" s="503"/>
      <c r="G52" s="503"/>
      <c r="H52" s="503"/>
      <c r="I52" s="503"/>
      <c r="J52" s="503"/>
      <c r="K52" s="503"/>
      <c r="L52" s="503"/>
      <c r="M52" s="503"/>
      <c r="Q52" s="489"/>
      <c r="R52" s="491"/>
    </row>
    <row r="53" spans="2:18"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c r="R53" s="491"/>
    </row>
    <row r="54" spans="2:18" ht="18.75" customHeight="1" x14ac:dyDescent="0.3">
      <c r="B54" s="531" t="s">
        <v>462</v>
      </c>
      <c r="C54" s="1449" t="s">
        <v>463</v>
      </c>
      <c r="D54" s="1450"/>
      <c r="E54" s="1450"/>
      <c r="F54" s="1450"/>
      <c r="G54" s="1450"/>
      <c r="H54" s="1450"/>
      <c r="I54" s="1450"/>
      <c r="J54" s="1450"/>
      <c r="K54" s="1450"/>
      <c r="L54" s="1450"/>
      <c r="M54" s="1451"/>
      <c r="N54" s="543"/>
      <c r="O54" s="509" t="s">
        <v>440</v>
      </c>
      <c r="P54" s="1447"/>
      <c r="Q54" s="1447"/>
      <c r="R54" s="491"/>
    </row>
    <row r="55" spans="2:18" ht="18.75" customHeight="1" x14ac:dyDescent="0.3">
      <c r="B55" s="531" t="s">
        <v>464</v>
      </c>
      <c r="C55" s="1449" t="s">
        <v>465</v>
      </c>
      <c r="D55" s="1450"/>
      <c r="E55" s="1450"/>
      <c r="F55" s="1450"/>
      <c r="G55" s="1450"/>
      <c r="H55" s="1450"/>
      <c r="I55" s="1450"/>
      <c r="J55" s="1450"/>
      <c r="K55" s="1450"/>
      <c r="L55" s="1450"/>
      <c r="M55" s="1451"/>
      <c r="N55" s="593"/>
      <c r="O55" s="509" t="s">
        <v>443</v>
      </c>
      <c r="P55" s="1447"/>
      <c r="Q55" s="1447"/>
      <c r="R55" s="491"/>
    </row>
    <row r="56" spans="2:18" ht="18.75" customHeight="1" x14ac:dyDescent="0.3">
      <c r="B56" s="531" t="s">
        <v>466</v>
      </c>
      <c r="C56" s="1449" t="s">
        <v>457</v>
      </c>
      <c r="D56" s="1450"/>
      <c r="E56" s="1450"/>
      <c r="F56" s="1450"/>
      <c r="G56" s="1450"/>
      <c r="H56" s="1450"/>
      <c r="I56" s="1450"/>
      <c r="J56" s="1450"/>
      <c r="K56" s="1450"/>
      <c r="L56" s="1450"/>
      <c r="M56" s="1451"/>
      <c r="N56" s="973"/>
      <c r="O56" s="509" t="s">
        <v>446</v>
      </c>
      <c r="P56" s="1447"/>
      <c r="Q56" s="1447"/>
      <c r="R56" s="491"/>
    </row>
    <row r="57" spans="2:18" ht="18.75" customHeight="1" x14ac:dyDescent="0.3">
      <c r="B57" s="531" t="s">
        <v>468</v>
      </c>
      <c r="C57" s="1449" t="s">
        <v>469</v>
      </c>
      <c r="D57" s="1450"/>
      <c r="E57" s="1450"/>
      <c r="F57" s="1450"/>
      <c r="G57" s="1450"/>
      <c r="H57" s="1450"/>
      <c r="I57" s="1450"/>
      <c r="J57" s="1450"/>
      <c r="K57" s="1450"/>
      <c r="L57" s="1450"/>
      <c r="M57" s="1451"/>
      <c r="N57" s="595"/>
      <c r="O57" s="509" t="s">
        <v>449</v>
      </c>
      <c r="P57" s="1447"/>
      <c r="Q57" s="1447"/>
      <c r="R57" s="491"/>
    </row>
    <row r="58" spans="2:18" ht="18.75" customHeight="1" x14ac:dyDescent="0.3">
      <c r="B58" s="510"/>
      <c r="C58" s="502"/>
      <c r="D58" s="503"/>
      <c r="E58" s="503"/>
      <c r="F58" s="503"/>
      <c r="G58" s="503"/>
      <c r="H58" s="503"/>
      <c r="I58" s="503"/>
      <c r="J58" s="503"/>
      <c r="K58" s="503"/>
      <c r="L58" s="503"/>
      <c r="M58" s="503"/>
      <c r="N58" s="503"/>
      <c r="O58" s="503"/>
    </row>
    <row r="59" spans="2:18" ht="18.75" customHeight="1" x14ac:dyDescent="0.3">
      <c r="B59" s="511" t="s">
        <v>470</v>
      </c>
      <c r="C59" s="512"/>
      <c r="D59" s="512"/>
      <c r="E59" s="512"/>
      <c r="F59" s="512"/>
      <c r="G59" s="512"/>
      <c r="H59" s="681"/>
      <c r="I59" s="681"/>
      <c r="J59" s="681"/>
      <c r="K59" s="681"/>
      <c r="L59" s="681"/>
      <c r="M59" s="681"/>
      <c r="N59" s="681"/>
      <c r="O59" s="681"/>
      <c r="P59" s="681"/>
      <c r="Q59" s="682"/>
    </row>
    <row r="61" spans="2:18" ht="18.75" customHeight="1" x14ac:dyDescent="0.3">
      <c r="B61" s="506" t="s">
        <v>471</v>
      </c>
      <c r="C61" s="506" t="s">
        <v>472</v>
      </c>
      <c r="D61" s="1395" t="s">
        <v>473</v>
      </c>
      <c r="E61" s="1395"/>
      <c r="F61" s="506" t="s">
        <v>474</v>
      </c>
      <c r="G61" s="506" t="s">
        <v>475</v>
      </c>
      <c r="H61" s="506" t="s">
        <v>406</v>
      </c>
      <c r="I61" s="506" t="s">
        <v>428</v>
      </c>
      <c r="J61" s="1396" t="s">
        <v>476</v>
      </c>
      <c r="K61" s="1397"/>
      <c r="L61" s="1397"/>
      <c r="M61" s="1397"/>
      <c r="N61" s="1397"/>
      <c r="O61" s="1397"/>
      <c r="P61" s="1397"/>
      <c r="Q61" s="1398"/>
    </row>
    <row r="62" spans="2:18" ht="52.5" customHeight="1" x14ac:dyDescent="0.3">
      <c r="B62" s="536">
        <v>1</v>
      </c>
      <c r="C62" s="555" t="s">
        <v>1400</v>
      </c>
      <c r="D62" s="1587" t="s">
        <v>1429</v>
      </c>
      <c r="E62" s="1587"/>
      <c r="F62" s="557"/>
      <c r="G62" s="557"/>
      <c r="H62" s="559">
        <v>0.93</v>
      </c>
      <c r="I62" s="557" t="s">
        <v>519</v>
      </c>
      <c r="J62" s="1437" t="s">
        <v>1430</v>
      </c>
      <c r="K62" s="1448"/>
      <c r="L62" s="1448"/>
      <c r="M62" s="1448"/>
      <c r="N62" s="1448"/>
      <c r="O62" s="1448"/>
      <c r="P62" s="1448"/>
      <c r="Q62" s="1438"/>
      <c r="R62" s="491"/>
    </row>
    <row r="63" spans="2:18" ht="15" customHeight="1" x14ac:dyDescent="0.3">
      <c r="B63" s="535">
        <v>2</v>
      </c>
      <c r="C63" s="551" t="s">
        <v>1431</v>
      </c>
      <c r="D63" s="1543" t="s">
        <v>1432</v>
      </c>
      <c r="E63" s="1543"/>
      <c r="F63" s="552"/>
      <c r="G63" s="552"/>
      <c r="H63" s="938">
        <v>1</v>
      </c>
      <c r="I63" s="552" t="s">
        <v>1018</v>
      </c>
      <c r="J63" s="1482" t="s">
        <v>1019</v>
      </c>
      <c r="K63" s="1544"/>
      <c r="L63" s="1544"/>
      <c r="M63" s="1544"/>
      <c r="N63" s="1544"/>
      <c r="O63" s="1544"/>
      <c r="P63" s="1544"/>
      <c r="Q63" s="1545"/>
      <c r="R63" s="491"/>
    </row>
    <row r="64" spans="2:18" ht="28.5" customHeight="1" x14ac:dyDescent="0.3">
      <c r="B64" s="536">
        <v>3</v>
      </c>
      <c r="C64" s="555" t="s">
        <v>1433</v>
      </c>
      <c r="D64" s="1587" t="s">
        <v>1434</v>
      </c>
      <c r="E64" s="1587"/>
      <c r="F64" s="1217" t="s">
        <v>789</v>
      </c>
      <c r="G64" s="1217" t="s">
        <v>1435</v>
      </c>
      <c r="H64" s="974">
        <f>INDEX(BuildingType[],MATCH($C$28,BuildingType[Building],0),MATCH($G$64,BuildingType[#Headers],0))</f>
        <v>6241</v>
      </c>
      <c r="I64" s="557" t="s">
        <v>532</v>
      </c>
      <c r="J64" s="1472" t="s">
        <v>1436</v>
      </c>
      <c r="K64" s="1473"/>
      <c r="L64" s="1473"/>
      <c r="M64" s="1473"/>
      <c r="N64" s="1473"/>
      <c r="O64" s="1473"/>
      <c r="P64" s="1473"/>
      <c r="Q64" s="1474"/>
      <c r="R64" s="491"/>
    </row>
    <row r="65" spans="2:18" ht="41.25" customHeight="1" x14ac:dyDescent="0.3">
      <c r="B65" s="536">
        <v>4</v>
      </c>
      <c r="C65" s="555" t="s">
        <v>1437</v>
      </c>
      <c r="D65" s="1587" t="s">
        <v>1438</v>
      </c>
      <c r="E65" s="1587"/>
      <c r="F65" s="557" t="str">
        <f>H67</f>
        <v>Outlet Damper, FC Fans</v>
      </c>
      <c r="G65" s="557" t="s">
        <v>1439</v>
      </c>
      <c r="H65" s="559">
        <f>INDEX($B$96:$N$116,MATCH($F65,$C$96:$C$116,0),MATCH($G65,$B$96:$N$96,0))</f>
        <v>0.53</v>
      </c>
      <c r="I65" s="557" t="s">
        <v>519</v>
      </c>
      <c r="J65" s="1701" t="s">
        <v>1425</v>
      </c>
      <c r="K65" s="1917"/>
      <c r="L65" s="1917"/>
      <c r="M65" s="1917"/>
      <c r="N65" s="1917"/>
      <c r="O65" s="1917"/>
      <c r="P65" s="1917"/>
      <c r="Q65" s="1918"/>
      <c r="R65" s="491"/>
    </row>
    <row r="66" spans="2:18" ht="33.75" customHeight="1" x14ac:dyDescent="0.3">
      <c r="B66" s="536">
        <v>5</v>
      </c>
      <c r="C66" s="555" t="s">
        <v>1440</v>
      </c>
      <c r="D66" s="1587" t="s">
        <v>1441</v>
      </c>
      <c r="E66" s="1587"/>
      <c r="F66" s="557" t="str">
        <f>H68</f>
        <v>No Control or Bypass Damper</v>
      </c>
      <c r="G66" s="557" t="s">
        <v>1439</v>
      </c>
      <c r="H66" s="559">
        <f>INDEX($B$96:$N$116,MATCH($F66,$C$96:$C$116,0),MATCH($G66,$B$96:$N$96,0))</f>
        <v>1</v>
      </c>
      <c r="I66" s="557" t="s">
        <v>519</v>
      </c>
      <c r="J66" s="1701" t="s">
        <v>1425</v>
      </c>
      <c r="K66" s="1917"/>
      <c r="L66" s="1917"/>
      <c r="M66" s="1917"/>
      <c r="N66" s="1917"/>
      <c r="O66" s="1917"/>
      <c r="P66" s="1917"/>
      <c r="Q66" s="1918"/>
      <c r="R66" s="491"/>
    </row>
    <row r="67" spans="2:18" ht="26" x14ac:dyDescent="0.3">
      <c r="B67" s="534">
        <v>6</v>
      </c>
      <c r="C67" s="549" t="s">
        <v>1442</v>
      </c>
      <c r="D67" s="1556" t="s">
        <v>1443</v>
      </c>
      <c r="E67" s="1556"/>
      <c r="F67" s="975"/>
      <c r="G67" s="1238"/>
      <c r="H67" s="1238" t="s">
        <v>1444</v>
      </c>
      <c r="I67" s="1238" t="s">
        <v>597</v>
      </c>
      <c r="J67" s="1701" t="s">
        <v>1445</v>
      </c>
      <c r="K67" s="1917"/>
      <c r="L67" s="1917"/>
      <c r="M67" s="1917"/>
      <c r="N67" s="1917"/>
      <c r="O67" s="1917"/>
      <c r="P67" s="1917"/>
      <c r="Q67" s="1918"/>
      <c r="R67" s="491"/>
    </row>
    <row r="68" spans="2:18" ht="26" x14ac:dyDescent="0.3">
      <c r="B68" s="536">
        <v>7</v>
      </c>
      <c r="C68" s="555" t="s">
        <v>1446</v>
      </c>
      <c r="D68" s="1587" t="s">
        <v>1447</v>
      </c>
      <c r="E68" s="1587"/>
      <c r="F68" s="557"/>
      <c r="G68" s="557"/>
      <c r="H68" s="557" t="s">
        <v>1448</v>
      </c>
      <c r="I68" s="557" t="s">
        <v>597</v>
      </c>
      <c r="J68" s="1701" t="s">
        <v>1445</v>
      </c>
      <c r="K68" s="1917"/>
      <c r="L68" s="1917"/>
      <c r="M68" s="1917"/>
      <c r="N68" s="1917"/>
      <c r="O68" s="1917"/>
      <c r="P68" s="1917"/>
      <c r="Q68" s="1918"/>
      <c r="R68" s="491"/>
    </row>
    <row r="69" spans="2:18" ht="13" x14ac:dyDescent="0.3">
      <c r="B69" s="536">
        <v>8</v>
      </c>
      <c r="C69" s="555" t="s">
        <v>1449</v>
      </c>
      <c r="D69" s="1587" t="s">
        <v>1450</v>
      </c>
      <c r="E69" s="1587"/>
      <c r="F69" s="557"/>
      <c r="G69" s="557"/>
      <c r="H69" s="609">
        <v>0.65</v>
      </c>
      <c r="I69" s="557" t="s">
        <v>519</v>
      </c>
      <c r="J69" s="1472" t="s">
        <v>1451</v>
      </c>
      <c r="K69" s="1473"/>
      <c r="L69" s="1473"/>
      <c r="M69" s="1473"/>
      <c r="N69" s="1473"/>
      <c r="O69" s="1473"/>
      <c r="P69" s="1473"/>
      <c r="Q69" s="1474"/>
      <c r="R69" s="491"/>
    </row>
    <row r="70" spans="2:18" ht="13" x14ac:dyDescent="0.3">
      <c r="B70" s="536">
        <v>9</v>
      </c>
      <c r="C70" s="555" t="s">
        <v>1452</v>
      </c>
      <c r="D70" s="1587" t="s">
        <v>1453</v>
      </c>
      <c r="E70" s="1587"/>
      <c r="F70" s="557"/>
      <c r="G70" s="557"/>
      <c r="H70" s="976">
        <v>0.157</v>
      </c>
      <c r="I70" s="557" t="s">
        <v>519</v>
      </c>
      <c r="J70" s="1472" t="s">
        <v>1454</v>
      </c>
      <c r="K70" s="1473"/>
      <c r="L70" s="1473"/>
      <c r="M70" s="1473"/>
      <c r="N70" s="1473"/>
      <c r="O70" s="1473"/>
      <c r="P70" s="1473"/>
      <c r="Q70" s="1474"/>
      <c r="R70" s="491"/>
    </row>
    <row r="71" spans="2:18" ht="13" x14ac:dyDescent="0.3">
      <c r="B71" s="536">
        <v>10</v>
      </c>
      <c r="C71" s="555"/>
      <c r="D71" s="1587"/>
      <c r="E71" s="1587"/>
      <c r="F71" s="557"/>
      <c r="G71" s="557"/>
      <c r="H71" s="689"/>
      <c r="I71" s="557"/>
      <c r="J71" s="1472"/>
      <c r="K71" s="1473"/>
      <c r="L71" s="1473"/>
      <c r="M71" s="1473"/>
      <c r="N71" s="1473"/>
      <c r="O71" s="1473"/>
      <c r="P71" s="1473"/>
      <c r="Q71" s="1474"/>
      <c r="R71" s="491"/>
    </row>
    <row r="72" spans="2:18" ht="13" x14ac:dyDescent="0.3">
      <c r="B72" s="536">
        <v>11</v>
      </c>
      <c r="C72" s="555"/>
      <c r="D72" s="1437"/>
      <c r="E72" s="1438"/>
      <c r="F72" s="556"/>
      <c r="G72" s="557"/>
      <c r="H72" s="556"/>
      <c r="I72" s="557"/>
      <c r="J72" s="1472"/>
      <c r="K72" s="1473"/>
      <c r="L72" s="1473"/>
      <c r="M72" s="1473"/>
      <c r="N72" s="1473"/>
      <c r="O72" s="1473"/>
      <c r="P72" s="1473"/>
      <c r="Q72" s="1474"/>
      <c r="R72" s="491"/>
    </row>
    <row r="73" spans="2:18" ht="13" x14ac:dyDescent="0.3">
      <c r="B73" s="536">
        <v>12</v>
      </c>
      <c r="C73" s="555"/>
      <c r="D73" s="1437"/>
      <c r="E73" s="1438"/>
      <c r="F73" s="556"/>
      <c r="G73" s="557"/>
      <c r="H73" s="558"/>
      <c r="I73" s="557"/>
      <c r="J73" s="1472"/>
      <c r="K73" s="1473"/>
      <c r="L73" s="1473"/>
      <c r="M73" s="1473"/>
      <c r="N73" s="1473"/>
      <c r="O73" s="1473"/>
      <c r="P73" s="1473"/>
      <c r="Q73" s="1474"/>
      <c r="R73" s="491"/>
    </row>
    <row r="74" spans="2:18" ht="13" x14ac:dyDescent="0.3">
      <c r="B74" s="536">
        <v>13</v>
      </c>
      <c r="C74" s="555"/>
      <c r="D74" s="1437"/>
      <c r="E74" s="1438"/>
      <c r="F74" s="556"/>
      <c r="G74" s="557"/>
      <c r="H74" s="556"/>
      <c r="I74" s="557"/>
      <c r="J74" s="1472"/>
      <c r="K74" s="1473"/>
      <c r="L74" s="1473"/>
      <c r="M74" s="1473"/>
      <c r="N74" s="1473"/>
      <c r="O74" s="1473"/>
      <c r="P74" s="1473"/>
      <c r="Q74" s="1474"/>
      <c r="R74" s="491"/>
    </row>
    <row r="75" spans="2:18" s="489" customFormat="1" ht="13.15" customHeight="1" x14ac:dyDescent="0.3">
      <c r="B75" s="536">
        <v>14</v>
      </c>
      <c r="C75" s="555"/>
      <c r="D75" s="1437"/>
      <c r="E75" s="1438"/>
      <c r="F75" s="556"/>
      <c r="G75" s="557"/>
      <c r="H75" s="556"/>
      <c r="I75" s="557"/>
      <c r="J75" s="1472"/>
      <c r="K75" s="1473"/>
      <c r="L75" s="1473"/>
      <c r="M75" s="1473"/>
      <c r="N75" s="1473"/>
      <c r="O75" s="1473"/>
      <c r="P75" s="1473"/>
      <c r="Q75" s="1474"/>
    </row>
    <row r="76" spans="2:18" s="489" customFormat="1" ht="13" x14ac:dyDescent="0.3">
      <c r="B76" s="536">
        <v>15</v>
      </c>
      <c r="C76" s="555"/>
      <c r="D76" s="1437"/>
      <c r="E76" s="1438"/>
      <c r="F76" s="556"/>
      <c r="G76" s="557"/>
      <c r="H76" s="559"/>
      <c r="I76" s="557"/>
      <c r="J76" s="1472"/>
      <c r="K76" s="1473"/>
      <c r="L76" s="1473"/>
      <c r="M76" s="1473"/>
      <c r="N76" s="1473"/>
      <c r="O76" s="1473"/>
      <c r="P76" s="1473"/>
      <c r="Q76" s="1474"/>
    </row>
    <row r="77" spans="2:18" ht="18.75" customHeight="1" x14ac:dyDescent="0.3">
      <c r="R77" s="491"/>
    </row>
    <row r="78" spans="2:18" ht="18.75" customHeight="1" x14ac:dyDescent="0.3">
      <c r="B78" s="511" t="s">
        <v>477</v>
      </c>
      <c r="C78" s="512"/>
      <c r="D78" s="512"/>
      <c r="E78" s="512"/>
      <c r="F78" s="512"/>
      <c r="G78" s="512"/>
      <c r="H78" s="513"/>
      <c r="I78" s="513"/>
      <c r="J78" s="513"/>
      <c r="K78" s="513"/>
      <c r="L78" s="513"/>
      <c r="M78" s="513"/>
      <c r="N78" s="513"/>
      <c r="O78" s="513"/>
      <c r="P78" s="513"/>
      <c r="Q78" s="514"/>
      <c r="R78" s="491"/>
    </row>
    <row r="79" spans="2:18" ht="18.75" customHeight="1" x14ac:dyDescent="0.3">
      <c r="B79" s="488"/>
      <c r="C79" s="488"/>
      <c r="D79" s="488"/>
      <c r="E79" s="488"/>
      <c r="F79" s="488"/>
      <c r="G79" s="488"/>
      <c r="H79" s="488"/>
      <c r="I79" s="488"/>
      <c r="J79" s="488"/>
      <c r="K79" s="488"/>
      <c r="L79" s="488"/>
      <c r="M79" s="488"/>
      <c r="N79" s="488"/>
      <c r="O79" s="488"/>
      <c r="P79" s="488"/>
      <c r="Q79" s="488"/>
      <c r="R79" s="491"/>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91"/>
    </row>
    <row r="81" spans="2:18" ht="13" x14ac:dyDescent="0.3">
      <c r="B81" s="533">
        <v>1</v>
      </c>
      <c r="C81" s="560" t="s">
        <v>480</v>
      </c>
      <c r="D81" s="561">
        <v>1000</v>
      </c>
      <c r="E81" s="1233" t="s">
        <v>481</v>
      </c>
      <c r="F81" s="1486" t="s">
        <v>482</v>
      </c>
      <c r="G81" s="1487"/>
      <c r="H81" s="1487"/>
      <c r="I81" s="1487"/>
      <c r="J81" s="1487"/>
      <c r="K81" s="1487"/>
      <c r="L81" s="1487"/>
      <c r="M81" s="1487"/>
      <c r="N81" s="1487"/>
      <c r="O81" s="1487"/>
      <c r="P81" s="1487"/>
      <c r="Q81" s="1488"/>
      <c r="R81" s="491"/>
    </row>
    <row r="82" spans="2:18" ht="13" x14ac:dyDescent="0.3">
      <c r="B82" s="533">
        <v>2</v>
      </c>
      <c r="C82" s="560" t="s">
        <v>483</v>
      </c>
      <c r="D82" s="562">
        <f>0.03412*0.10548</f>
        <v>3.5989775999999999E-3</v>
      </c>
      <c r="E82" s="1233" t="s">
        <v>484</v>
      </c>
      <c r="F82" s="1489" t="s">
        <v>485</v>
      </c>
      <c r="G82" s="1490"/>
      <c r="H82" s="1490"/>
      <c r="I82" s="1490"/>
      <c r="J82" s="1490"/>
      <c r="K82" s="1490"/>
      <c r="L82" s="1490"/>
      <c r="M82" s="1490"/>
      <c r="N82" s="1490"/>
      <c r="O82" s="1490"/>
      <c r="P82" s="1490"/>
      <c r="Q82" s="1491"/>
      <c r="R82" s="491"/>
    </row>
    <row r="83" spans="2:18" ht="13" x14ac:dyDescent="0.3">
      <c r="B83" s="533">
        <v>3</v>
      </c>
      <c r="C83" s="560" t="s">
        <v>486</v>
      </c>
      <c r="D83" s="562">
        <v>3.7854099999999999E-3</v>
      </c>
      <c r="E83" s="1233" t="s">
        <v>487</v>
      </c>
      <c r="F83" s="1489" t="s">
        <v>485</v>
      </c>
      <c r="G83" s="1490"/>
      <c r="H83" s="1490"/>
      <c r="I83" s="1490"/>
      <c r="J83" s="1490"/>
      <c r="K83" s="1490"/>
      <c r="L83" s="1490"/>
      <c r="M83" s="1490"/>
      <c r="N83" s="1490"/>
      <c r="O83" s="1490"/>
      <c r="P83" s="1490"/>
      <c r="Q83" s="1491"/>
      <c r="R83" s="491"/>
    </row>
    <row r="84" spans="2:18" ht="13" x14ac:dyDescent="0.3">
      <c r="B84" s="533">
        <v>4</v>
      </c>
      <c r="C84" s="560" t="s">
        <v>488</v>
      </c>
      <c r="D84" s="562">
        <v>0.1055</v>
      </c>
      <c r="E84" s="1233" t="s">
        <v>489</v>
      </c>
      <c r="F84" s="1489" t="s">
        <v>485</v>
      </c>
      <c r="G84" s="1490"/>
      <c r="H84" s="1490"/>
      <c r="I84" s="1490"/>
      <c r="J84" s="1490"/>
      <c r="K84" s="1490"/>
      <c r="L84" s="1490"/>
      <c r="M84" s="1490"/>
      <c r="N84" s="1490"/>
      <c r="O84" s="1490"/>
      <c r="P84" s="1490"/>
      <c r="Q84" s="1491"/>
      <c r="R84" s="491"/>
    </row>
    <row r="85" spans="2:18" ht="13" x14ac:dyDescent="0.3">
      <c r="B85" s="533">
        <v>5</v>
      </c>
      <c r="C85" s="560" t="s">
        <v>490</v>
      </c>
      <c r="D85" s="562">
        <v>1.0000000000000001E-5</v>
      </c>
      <c r="E85" s="1233" t="s">
        <v>491</v>
      </c>
      <c r="F85" s="1489" t="s">
        <v>485</v>
      </c>
      <c r="G85" s="1490"/>
      <c r="H85" s="1490"/>
      <c r="I85" s="1490"/>
      <c r="J85" s="1490"/>
      <c r="K85" s="1490"/>
      <c r="L85" s="1490"/>
      <c r="M85" s="1490"/>
      <c r="N85" s="1490"/>
      <c r="O85" s="1490"/>
      <c r="P85" s="1490"/>
      <c r="Q85" s="1491"/>
      <c r="R85" s="491"/>
    </row>
    <row r="86" spans="2:18" ht="13" x14ac:dyDescent="0.3">
      <c r="B86" s="533">
        <v>6</v>
      </c>
      <c r="C86" s="560" t="s">
        <v>1455</v>
      </c>
      <c r="D86" s="722">
        <v>0.746</v>
      </c>
      <c r="E86" s="1233" t="s">
        <v>1456</v>
      </c>
      <c r="F86" s="1489"/>
      <c r="G86" s="1490"/>
      <c r="H86" s="1490"/>
      <c r="I86" s="1490"/>
      <c r="J86" s="1490"/>
      <c r="K86" s="1490"/>
      <c r="L86" s="1490"/>
      <c r="M86" s="1490"/>
      <c r="N86" s="1490"/>
      <c r="O86" s="1490"/>
      <c r="P86" s="1490"/>
      <c r="Q86" s="1491"/>
      <c r="R86" s="491"/>
    </row>
    <row r="87" spans="2:18" ht="13" x14ac:dyDescent="0.3">
      <c r="B87" s="533">
        <v>7</v>
      </c>
      <c r="C87" s="563"/>
      <c r="D87" s="1233"/>
      <c r="E87" s="1233"/>
      <c r="F87" s="1489"/>
      <c r="G87" s="1490"/>
      <c r="H87" s="1490"/>
      <c r="I87" s="1490"/>
      <c r="J87" s="1490"/>
      <c r="K87" s="1490"/>
      <c r="L87" s="1490"/>
      <c r="M87" s="1490"/>
      <c r="N87" s="1490"/>
      <c r="O87" s="1490"/>
      <c r="P87" s="1490"/>
      <c r="Q87" s="1491"/>
      <c r="R87" s="491"/>
    </row>
    <row r="88" spans="2:18" ht="13" x14ac:dyDescent="0.3">
      <c r="B88" s="533">
        <v>8</v>
      </c>
      <c r="C88" s="563"/>
      <c r="D88" s="564"/>
      <c r="E88" s="1233"/>
      <c r="F88" s="1489"/>
      <c r="G88" s="1490"/>
      <c r="H88" s="1490"/>
      <c r="I88" s="1490"/>
      <c r="J88" s="1490"/>
      <c r="K88" s="1490"/>
      <c r="L88" s="1490"/>
      <c r="M88" s="1490"/>
      <c r="N88" s="1490"/>
      <c r="O88" s="1490"/>
      <c r="P88" s="1490"/>
      <c r="Q88" s="1491"/>
      <c r="R88" s="491"/>
    </row>
    <row r="89" spans="2:18" ht="13" x14ac:dyDescent="0.3">
      <c r="B89" s="533">
        <v>9</v>
      </c>
      <c r="C89" s="563"/>
      <c r="D89" s="1233"/>
      <c r="E89" s="1233"/>
      <c r="F89" s="1489"/>
      <c r="G89" s="1490"/>
      <c r="H89" s="1490"/>
      <c r="I89" s="1490"/>
      <c r="J89" s="1490"/>
      <c r="K89" s="1490"/>
      <c r="L89" s="1490"/>
      <c r="M89" s="1490"/>
      <c r="N89" s="1490"/>
      <c r="O89" s="1490"/>
      <c r="P89" s="1490"/>
      <c r="Q89" s="1491"/>
      <c r="R89" s="491"/>
    </row>
    <row r="90" spans="2:18" ht="13" x14ac:dyDescent="0.3">
      <c r="B90" s="533">
        <v>10</v>
      </c>
      <c r="C90" s="563"/>
      <c r="D90" s="564"/>
      <c r="E90" s="1233"/>
      <c r="F90" s="1489"/>
      <c r="G90" s="1490"/>
      <c r="H90" s="1490"/>
      <c r="I90" s="1490"/>
      <c r="J90" s="1490"/>
      <c r="K90" s="1490"/>
      <c r="L90" s="1490"/>
      <c r="M90" s="1490"/>
      <c r="N90" s="1490"/>
      <c r="O90" s="1490"/>
      <c r="P90" s="1490"/>
      <c r="Q90" s="1491"/>
      <c r="R90" s="491"/>
    </row>
    <row r="91" spans="2:18" ht="18.75" customHeight="1" x14ac:dyDescent="0.3">
      <c r="R91" s="491"/>
    </row>
    <row r="92" spans="2:18" ht="18.75" customHeight="1" x14ac:dyDescent="0.3">
      <c r="B92" s="511" t="s">
        <v>492</v>
      </c>
      <c r="C92" s="512"/>
      <c r="D92" s="512"/>
      <c r="E92" s="512"/>
      <c r="F92" s="512"/>
      <c r="G92" s="512"/>
      <c r="H92" s="681"/>
      <c r="I92" s="681"/>
      <c r="J92" s="681"/>
      <c r="K92" s="681"/>
      <c r="L92" s="681"/>
      <c r="M92" s="681"/>
      <c r="N92" s="681"/>
      <c r="O92" s="681"/>
      <c r="P92" s="681"/>
      <c r="Q92" s="682"/>
      <c r="R92" s="491"/>
    </row>
    <row r="93" spans="2:18" ht="18.75" customHeight="1" x14ac:dyDescent="0.3">
      <c r="R93" s="491"/>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91"/>
    </row>
    <row r="95" spans="2:18" ht="25.5" customHeight="1" x14ac:dyDescent="0.3">
      <c r="B95" s="1498" t="s">
        <v>1457</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c r="R95" s="491"/>
    </row>
    <row r="96" spans="2:18" ht="25.5" customHeight="1" x14ac:dyDescent="0.3">
      <c r="B96" s="1188" t="s">
        <v>478</v>
      </c>
      <c r="C96" s="1402" t="s">
        <v>538</v>
      </c>
      <c r="D96" s="1431"/>
      <c r="E96" s="565" t="s">
        <v>1439</v>
      </c>
      <c r="F96" s="565"/>
      <c r="G96" s="565"/>
      <c r="H96" s="565"/>
      <c r="I96" s="565"/>
      <c r="J96" s="565"/>
      <c r="K96" s="565"/>
      <c r="L96" s="565"/>
      <c r="M96" s="565"/>
      <c r="N96" s="566"/>
      <c r="O96" s="1410"/>
      <c r="P96" s="1411"/>
      <c r="Q96" s="1412"/>
      <c r="R96" s="491"/>
    </row>
    <row r="97" spans="2:18" ht="26" x14ac:dyDescent="0.3">
      <c r="B97" s="536">
        <v>1</v>
      </c>
      <c r="C97" s="546" t="s">
        <v>1448</v>
      </c>
      <c r="D97" s="1184"/>
      <c r="E97" s="1184">
        <v>1</v>
      </c>
      <c r="F97" s="678"/>
      <c r="G97" s="691"/>
      <c r="H97" s="691"/>
      <c r="I97" s="692"/>
      <c r="J97" s="692"/>
      <c r="K97" s="692"/>
      <c r="L97" s="692"/>
      <c r="M97" s="692"/>
      <c r="N97" s="692"/>
      <c r="O97" s="1919" t="s">
        <v>1425</v>
      </c>
      <c r="P97" s="1919"/>
      <c r="Q97" s="1919"/>
      <c r="R97" s="491"/>
    </row>
    <row r="98" spans="2:18" ht="13" x14ac:dyDescent="0.3">
      <c r="B98" s="536">
        <v>2</v>
      </c>
      <c r="C98" s="546" t="s">
        <v>1458</v>
      </c>
      <c r="D98" s="1184"/>
      <c r="E98" s="1184">
        <v>0.8</v>
      </c>
      <c r="F98" s="678"/>
      <c r="G98" s="691"/>
      <c r="H98" s="691"/>
      <c r="I98" s="692"/>
      <c r="J98" s="692"/>
      <c r="K98" s="692"/>
      <c r="L98" s="692"/>
      <c r="M98" s="692"/>
      <c r="N98" s="692"/>
      <c r="O98" s="1919" t="s">
        <v>1425</v>
      </c>
      <c r="P98" s="1919"/>
      <c r="Q98" s="1919"/>
      <c r="R98" s="491"/>
    </row>
    <row r="99" spans="2:18" ht="26" x14ac:dyDescent="0.3">
      <c r="B99" s="536">
        <v>3</v>
      </c>
      <c r="C99" s="546" t="s">
        <v>1459</v>
      </c>
      <c r="D99" s="1184"/>
      <c r="E99" s="1184">
        <v>0.78</v>
      </c>
      <c r="F99" s="678"/>
      <c r="G99" s="691"/>
      <c r="H99" s="691"/>
      <c r="I99" s="692"/>
      <c r="J99" s="692"/>
      <c r="K99" s="692"/>
      <c r="L99" s="692"/>
      <c r="M99" s="692"/>
      <c r="N99" s="692"/>
      <c r="O99" s="1919" t="s">
        <v>1425</v>
      </c>
      <c r="P99" s="1919"/>
      <c r="Q99" s="1919"/>
      <c r="R99" s="491"/>
    </row>
    <row r="100" spans="2:18" ht="13" x14ac:dyDescent="0.3">
      <c r="B100" s="536">
        <v>4</v>
      </c>
      <c r="C100" s="546" t="s">
        <v>1460</v>
      </c>
      <c r="D100" s="1184"/>
      <c r="E100" s="1184">
        <v>0.69</v>
      </c>
      <c r="F100" s="678"/>
      <c r="G100" s="691"/>
      <c r="H100" s="691"/>
      <c r="I100" s="692"/>
      <c r="J100" s="692"/>
      <c r="K100" s="692"/>
      <c r="L100" s="692"/>
      <c r="M100" s="692"/>
      <c r="N100" s="692"/>
      <c r="O100" s="1919" t="s">
        <v>1425</v>
      </c>
      <c r="P100" s="1919"/>
      <c r="Q100" s="1919"/>
      <c r="R100" s="491"/>
    </row>
    <row r="101" spans="2:18" ht="26" x14ac:dyDescent="0.3">
      <c r="B101" s="536">
        <v>5</v>
      </c>
      <c r="C101" s="546" t="s">
        <v>1461</v>
      </c>
      <c r="D101" s="1184"/>
      <c r="E101" s="1184">
        <v>0.63</v>
      </c>
      <c r="F101" s="678"/>
      <c r="G101" s="691"/>
      <c r="H101" s="691"/>
      <c r="I101" s="692"/>
      <c r="J101" s="692"/>
      <c r="K101" s="692"/>
      <c r="L101" s="692"/>
      <c r="M101" s="692"/>
      <c r="N101" s="692"/>
      <c r="O101" s="1919" t="s">
        <v>1425</v>
      </c>
      <c r="P101" s="1919"/>
      <c r="Q101" s="1919"/>
      <c r="R101" s="491"/>
    </row>
    <row r="102" spans="2:18" ht="13" x14ac:dyDescent="0.3">
      <c r="B102" s="536">
        <v>6</v>
      </c>
      <c r="C102" s="546" t="s">
        <v>1462</v>
      </c>
      <c r="D102" s="570"/>
      <c r="E102" s="570">
        <v>0.53</v>
      </c>
      <c r="F102" s="1190"/>
      <c r="G102" s="691"/>
      <c r="H102" s="691"/>
      <c r="I102" s="556"/>
      <c r="J102" s="556"/>
      <c r="K102" s="556"/>
      <c r="L102" s="556"/>
      <c r="M102" s="556"/>
      <c r="N102" s="556"/>
      <c r="O102" s="1919" t="s">
        <v>1425</v>
      </c>
      <c r="P102" s="1919"/>
      <c r="Q102" s="1919"/>
      <c r="R102" s="491"/>
    </row>
    <row r="103" spans="2:18" ht="26" x14ac:dyDescent="0.3">
      <c r="B103" s="536">
        <v>7</v>
      </c>
      <c r="C103" s="555" t="s">
        <v>1444</v>
      </c>
      <c r="D103" s="1221"/>
      <c r="E103" s="1221">
        <v>0.53</v>
      </c>
      <c r="F103" s="556"/>
      <c r="G103" s="556"/>
      <c r="H103" s="691"/>
      <c r="I103" s="556"/>
      <c r="J103" s="556"/>
      <c r="K103" s="556"/>
      <c r="L103" s="556"/>
      <c r="M103" s="556"/>
      <c r="N103" s="556"/>
      <c r="O103" s="1919" t="s">
        <v>1425</v>
      </c>
      <c r="P103" s="1919"/>
      <c r="Q103" s="1919"/>
      <c r="R103" s="491"/>
    </row>
    <row r="104" spans="2:18" ht="13" x14ac:dyDescent="0.3">
      <c r="B104" s="536">
        <v>8</v>
      </c>
      <c r="C104" s="555" t="s">
        <v>1463</v>
      </c>
      <c r="D104" s="1221"/>
      <c r="E104" s="1221">
        <v>0.49</v>
      </c>
      <c r="F104" s="556"/>
      <c r="G104" s="556"/>
      <c r="H104" s="556"/>
      <c r="I104" s="556"/>
      <c r="J104" s="556"/>
      <c r="K104" s="556"/>
      <c r="L104" s="556"/>
      <c r="M104" s="556"/>
      <c r="N104" s="556"/>
      <c r="O104" s="1919" t="s">
        <v>1425</v>
      </c>
      <c r="P104" s="1919"/>
      <c r="Q104" s="1919"/>
      <c r="R104" s="491"/>
    </row>
    <row r="105" spans="2:18" ht="26" x14ac:dyDescent="0.3">
      <c r="B105" s="536">
        <v>9</v>
      </c>
      <c r="C105" s="555" t="s">
        <v>1464</v>
      </c>
      <c r="D105" s="1221"/>
      <c r="E105" s="1221">
        <v>0.39</v>
      </c>
      <c r="F105" s="1217"/>
      <c r="G105" s="1217"/>
      <c r="H105" s="1217"/>
      <c r="I105" s="569"/>
      <c r="J105" s="569"/>
      <c r="K105" s="569"/>
      <c r="L105" s="569"/>
      <c r="M105" s="569"/>
      <c r="N105" s="569"/>
      <c r="O105" s="1919" t="s">
        <v>1425</v>
      </c>
      <c r="P105" s="1919"/>
      <c r="Q105" s="1919"/>
      <c r="R105" s="491"/>
    </row>
    <row r="106" spans="2:18" ht="26" x14ac:dyDescent="0.3">
      <c r="B106" s="536">
        <v>10</v>
      </c>
      <c r="C106" s="555" t="s">
        <v>1465</v>
      </c>
      <c r="D106" s="1221"/>
      <c r="E106" s="1221">
        <v>0.3</v>
      </c>
      <c r="F106" s="1217"/>
      <c r="G106" s="1217"/>
      <c r="H106" s="1217"/>
      <c r="I106" s="569"/>
      <c r="J106" s="569"/>
      <c r="K106" s="569"/>
      <c r="L106" s="569"/>
      <c r="M106" s="569"/>
      <c r="N106" s="569"/>
      <c r="O106" s="1919" t="s">
        <v>1425</v>
      </c>
      <c r="P106" s="1919"/>
      <c r="Q106" s="1919"/>
      <c r="R106" s="491"/>
    </row>
    <row r="107" spans="2:18" ht="26" x14ac:dyDescent="0.3">
      <c r="B107" s="536">
        <v>11</v>
      </c>
      <c r="C107" s="555" t="s">
        <v>1466</v>
      </c>
      <c r="D107" s="1221"/>
      <c r="E107" s="1221">
        <v>0.27</v>
      </c>
      <c r="F107" s="691"/>
      <c r="G107" s="689"/>
      <c r="H107" s="689"/>
      <c r="I107" s="556"/>
      <c r="J107" s="556"/>
      <c r="K107" s="556"/>
      <c r="L107" s="556"/>
      <c r="M107" s="556"/>
      <c r="N107" s="556"/>
      <c r="O107" s="1919" t="s">
        <v>1425</v>
      </c>
      <c r="P107" s="1919"/>
      <c r="Q107" s="1919"/>
      <c r="R107" s="491"/>
    </row>
    <row r="108" spans="2:18" ht="13" x14ac:dyDescent="0.3">
      <c r="B108" s="536">
        <v>12</v>
      </c>
      <c r="C108" s="555"/>
      <c r="D108" s="1221"/>
      <c r="E108" s="1217"/>
      <c r="F108" s="691"/>
      <c r="G108" s="1217"/>
      <c r="H108" s="1217"/>
      <c r="I108" s="569"/>
      <c r="J108" s="569"/>
      <c r="K108" s="569"/>
      <c r="L108" s="569"/>
      <c r="M108" s="569"/>
      <c r="N108" s="569"/>
      <c r="O108" s="1492"/>
      <c r="P108" s="1493"/>
      <c r="Q108" s="1494"/>
      <c r="R108" s="491"/>
    </row>
    <row r="109" spans="2:18" ht="13" x14ac:dyDescent="0.3">
      <c r="B109" s="536">
        <v>13</v>
      </c>
      <c r="C109" s="555"/>
      <c r="D109" s="1221"/>
      <c r="E109" s="1217"/>
      <c r="F109" s="1217"/>
      <c r="G109" s="1217"/>
      <c r="H109" s="1217"/>
      <c r="I109" s="569"/>
      <c r="J109" s="569"/>
      <c r="K109" s="569"/>
      <c r="L109" s="569"/>
      <c r="M109" s="569"/>
      <c r="N109" s="569"/>
      <c r="O109" s="1492"/>
      <c r="P109" s="1493"/>
      <c r="Q109" s="1494"/>
      <c r="R109" s="491"/>
    </row>
    <row r="110" spans="2:18" ht="13" x14ac:dyDescent="0.3">
      <c r="B110" s="536">
        <v>14</v>
      </c>
      <c r="C110" s="555"/>
      <c r="D110" s="1221"/>
      <c r="E110" s="690"/>
      <c r="F110" s="690"/>
      <c r="G110" s="690"/>
      <c r="H110" s="690"/>
      <c r="I110" s="556"/>
      <c r="J110" s="556"/>
      <c r="K110" s="556"/>
      <c r="L110" s="556"/>
      <c r="M110" s="556"/>
      <c r="N110" s="556"/>
      <c r="O110" s="1650"/>
      <c r="P110" s="1651"/>
      <c r="Q110" s="1652"/>
      <c r="R110" s="491"/>
    </row>
    <row r="111" spans="2:18" ht="13" x14ac:dyDescent="0.3">
      <c r="B111" s="536">
        <v>15</v>
      </c>
      <c r="C111" s="555"/>
      <c r="D111" s="1221"/>
      <c r="E111" s="690"/>
      <c r="F111" s="690"/>
      <c r="G111" s="690"/>
      <c r="H111" s="690"/>
      <c r="I111" s="556"/>
      <c r="J111" s="556"/>
      <c r="K111" s="556"/>
      <c r="L111" s="556"/>
      <c r="M111" s="556"/>
      <c r="N111" s="556"/>
      <c r="O111" s="1650"/>
      <c r="P111" s="1651"/>
      <c r="Q111" s="1652"/>
      <c r="R111" s="491"/>
    </row>
    <row r="112" spans="2:18" ht="13" x14ac:dyDescent="0.3">
      <c r="B112" s="536">
        <v>16</v>
      </c>
      <c r="C112" s="555"/>
      <c r="D112" s="1221"/>
      <c r="E112" s="690"/>
      <c r="F112" s="690"/>
      <c r="G112" s="690"/>
      <c r="H112" s="690"/>
      <c r="I112" s="556"/>
      <c r="J112" s="556"/>
      <c r="K112" s="556"/>
      <c r="L112" s="556"/>
      <c r="M112" s="556"/>
      <c r="N112" s="556"/>
      <c r="O112" s="1650"/>
      <c r="P112" s="1651"/>
      <c r="Q112" s="1652"/>
      <c r="R112" s="491"/>
    </row>
    <row r="113" spans="2:18" ht="13" x14ac:dyDescent="0.3">
      <c r="B113" s="536">
        <v>17</v>
      </c>
      <c r="C113" s="555"/>
      <c r="D113" s="1221"/>
      <c r="E113" s="690"/>
      <c r="F113" s="690"/>
      <c r="G113" s="690"/>
      <c r="H113" s="690"/>
      <c r="I113" s="556"/>
      <c r="J113" s="556"/>
      <c r="K113" s="556"/>
      <c r="L113" s="556"/>
      <c r="M113" s="556"/>
      <c r="N113" s="556"/>
      <c r="O113" s="1650"/>
      <c r="P113" s="1651"/>
      <c r="Q113" s="1652"/>
      <c r="R113" s="491"/>
    </row>
    <row r="114" spans="2:18" ht="13" x14ac:dyDescent="0.3">
      <c r="B114" s="536">
        <v>18</v>
      </c>
      <c r="C114" s="555"/>
      <c r="D114" s="1221"/>
      <c r="E114" s="690"/>
      <c r="F114" s="690"/>
      <c r="G114" s="690"/>
      <c r="H114" s="690"/>
      <c r="I114" s="556"/>
      <c r="J114" s="556"/>
      <c r="K114" s="556"/>
      <c r="L114" s="556"/>
      <c r="M114" s="556"/>
      <c r="N114" s="556"/>
      <c r="O114" s="1650"/>
      <c r="P114" s="1651"/>
      <c r="Q114" s="1652"/>
      <c r="R114" s="491"/>
    </row>
    <row r="115" spans="2:18" ht="13" x14ac:dyDescent="0.3">
      <c r="B115" s="536">
        <v>19</v>
      </c>
      <c r="C115" s="555"/>
      <c r="D115" s="1221"/>
      <c r="E115" s="690"/>
      <c r="F115" s="690"/>
      <c r="G115" s="690"/>
      <c r="H115" s="690"/>
      <c r="I115" s="556"/>
      <c r="J115" s="556"/>
      <c r="K115" s="556"/>
      <c r="L115" s="556"/>
      <c r="M115" s="556"/>
      <c r="N115" s="556"/>
      <c r="O115" s="1650"/>
      <c r="P115" s="1651"/>
      <c r="Q115" s="1652"/>
      <c r="R115" s="491"/>
    </row>
    <row r="116" spans="2:18" ht="13" x14ac:dyDescent="0.3">
      <c r="B116" s="536">
        <v>20</v>
      </c>
      <c r="C116" s="555"/>
      <c r="D116" s="1221"/>
      <c r="E116" s="690"/>
      <c r="F116" s="690"/>
      <c r="G116" s="690"/>
      <c r="H116" s="690"/>
      <c r="I116" s="556"/>
      <c r="J116" s="556"/>
      <c r="K116" s="556"/>
      <c r="L116" s="556"/>
      <c r="M116" s="556"/>
      <c r="N116" s="556"/>
      <c r="O116" s="1650"/>
      <c r="P116" s="1651"/>
      <c r="Q116" s="1652"/>
      <c r="R116" s="491"/>
    </row>
    <row r="117" spans="2:18" ht="18.75" customHeight="1" x14ac:dyDescent="0.3">
      <c r="R117" s="491"/>
    </row>
    <row r="118" spans="2:18" ht="18.75" customHeight="1" x14ac:dyDescent="0.3">
      <c r="B118" s="702" t="s">
        <v>493</v>
      </c>
      <c r="E118" s="1662" t="s">
        <v>494</v>
      </c>
      <c r="F118" s="1663"/>
      <c r="G118" s="1663"/>
      <c r="H118" s="1663"/>
      <c r="I118" s="1663"/>
      <c r="J118" s="1663"/>
      <c r="K118" s="1663"/>
      <c r="L118" s="1663"/>
      <c r="M118" s="1663"/>
      <c r="N118" s="1663"/>
      <c r="O118" s="1664" t="s">
        <v>476</v>
      </c>
      <c r="P118" s="1665"/>
      <c r="Q118" s="1666"/>
      <c r="R118" s="491"/>
    </row>
    <row r="119" spans="2:18" ht="25.5" customHeight="1" x14ac:dyDescent="0.3">
      <c r="B119" s="1673" t="s">
        <v>1467</v>
      </c>
      <c r="C119" s="1674"/>
      <c r="D119" s="1675"/>
      <c r="E119" s="703" t="s">
        <v>495</v>
      </c>
      <c r="F119" s="703" t="s">
        <v>496</v>
      </c>
      <c r="G119" s="703" t="s">
        <v>497</v>
      </c>
      <c r="H119" s="703" t="s">
        <v>498</v>
      </c>
      <c r="I119" s="703" t="s">
        <v>499</v>
      </c>
      <c r="J119" s="703" t="s">
        <v>500</v>
      </c>
      <c r="K119" s="703" t="s">
        <v>501</v>
      </c>
      <c r="L119" s="703" t="s">
        <v>502</v>
      </c>
      <c r="M119" s="703" t="s">
        <v>503</v>
      </c>
      <c r="N119" s="1213" t="s">
        <v>504</v>
      </c>
      <c r="O119" s="1667"/>
      <c r="P119" s="1668"/>
      <c r="Q119" s="1669"/>
      <c r="R119" s="491"/>
    </row>
    <row r="120" spans="2:18" ht="25.5" customHeight="1" x14ac:dyDescent="0.3">
      <c r="B120" s="704" t="s">
        <v>478</v>
      </c>
      <c r="C120" s="1662" t="s">
        <v>538</v>
      </c>
      <c r="D120" s="1676"/>
      <c r="E120" s="525" t="s">
        <v>936</v>
      </c>
      <c r="F120" s="525"/>
      <c r="G120" s="525"/>
      <c r="H120" s="525"/>
      <c r="I120" s="525"/>
      <c r="J120" s="525"/>
      <c r="K120" s="525"/>
      <c r="L120" s="525"/>
      <c r="M120" s="525"/>
      <c r="N120" s="1214"/>
      <c r="O120" s="1670"/>
      <c r="P120" s="1671"/>
      <c r="Q120" s="1672"/>
      <c r="R120" s="491"/>
    </row>
    <row r="121" spans="2:18" ht="13" x14ac:dyDescent="0.3">
      <c r="B121" s="518">
        <v>1</v>
      </c>
      <c r="C121" s="515">
        <v>1</v>
      </c>
      <c r="D121" s="600"/>
      <c r="E121" s="969">
        <v>0.81666666666666676</v>
      </c>
      <c r="F121" s="663"/>
      <c r="G121" s="685"/>
      <c r="H121" s="685"/>
      <c r="I121" s="686"/>
      <c r="J121" s="686"/>
      <c r="K121" s="686"/>
      <c r="L121" s="686"/>
      <c r="M121" s="686"/>
      <c r="N121" s="686"/>
      <c r="O121" s="1920" t="s">
        <v>1468</v>
      </c>
      <c r="P121" s="1921"/>
      <c r="Q121" s="1922"/>
      <c r="R121" s="491"/>
    </row>
    <row r="122" spans="2:18" ht="13" x14ac:dyDescent="0.3">
      <c r="B122" s="518">
        <v>2</v>
      </c>
      <c r="C122" s="515">
        <v>5</v>
      </c>
      <c r="D122" s="600"/>
      <c r="E122" s="969">
        <v>0.88833333333333331</v>
      </c>
      <c r="F122" s="663"/>
      <c r="G122" s="685"/>
      <c r="H122" s="685"/>
      <c r="I122" s="686"/>
      <c r="J122" s="686"/>
      <c r="K122" s="686"/>
      <c r="L122" s="686"/>
      <c r="M122" s="686"/>
      <c r="N122" s="686"/>
      <c r="O122" s="1920" t="s">
        <v>1468</v>
      </c>
      <c r="P122" s="1921"/>
      <c r="Q122" s="1922"/>
      <c r="R122" s="491"/>
    </row>
    <row r="123" spans="2:18" ht="13" x14ac:dyDescent="0.3">
      <c r="B123" s="518">
        <v>3</v>
      </c>
      <c r="C123" s="515">
        <v>10</v>
      </c>
      <c r="D123" s="600"/>
      <c r="E123" s="969">
        <v>0.90966666666666673</v>
      </c>
      <c r="F123" s="663"/>
      <c r="G123" s="685"/>
      <c r="H123" s="685"/>
      <c r="I123" s="686"/>
      <c r="J123" s="686"/>
      <c r="K123" s="686"/>
      <c r="L123" s="686"/>
      <c r="M123" s="686"/>
      <c r="N123" s="686"/>
      <c r="O123" s="1920" t="s">
        <v>1468</v>
      </c>
      <c r="P123" s="1921"/>
      <c r="Q123" s="1922"/>
      <c r="R123" s="491"/>
    </row>
    <row r="124" spans="2:18" ht="13" x14ac:dyDescent="0.3">
      <c r="B124" s="518">
        <v>4</v>
      </c>
      <c r="C124" s="515">
        <v>15</v>
      </c>
      <c r="D124" s="600"/>
      <c r="E124" s="969">
        <v>0.91666666666666685</v>
      </c>
      <c r="F124" s="663"/>
      <c r="G124" s="685"/>
      <c r="H124" s="685"/>
      <c r="I124" s="686"/>
      <c r="J124" s="686"/>
      <c r="K124" s="686"/>
      <c r="L124" s="686"/>
      <c r="M124" s="686"/>
      <c r="N124" s="686"/>
      <c r="O124" s="1920" t="s">
        <v>1468</v>
      </c>
      <c r="P124" s="1921"/>
      <c r="Q124" s="1922"/>
      <c r="R124" s="491"/>
    </row>
    <row r="125" spans="2:18" ht="13" x14ac:dyDescent="0.3">
      <c r="B125" s="518">
        <v>5</v>
      </c>
      <c r="C125" s="515">
        <v>20</v>
      </c>
      <c r="D125" s="600"/>
      <c r="E125" s="969">
        <v>0.92016666666666669</v>
      </c>
      <c r="F125" s="663"/>
      <c r="G125" s="685"/>
      <c r="H125" s="685"/>
      <c r="I125" s="686"/>
      <c r="J125" s="686"/>
      <c r="K125" s="686"/>
      <c r="L125" s="686"/>
      <c r="M125" s="686"/>
      <c r="N125" s="686"/>
      <c r="O125" s="1920" t="s">
        <v>1468</v>
      </c>
      <c r="P125" s="1921"/>
      <c r="Q125" s="1922"/>
      <c r="R125" s="491"/>
    </row>
    <row r="126" spans="2:18" ht="13" x14ac:dyDescent="0.3">
      <c r="B126" s="518">
        <v>6</v>
      </c>
      <c r="C126" s="515">
        <v>25</v>
      </c>
      <c r="D126" s="1189"/>
      <c r="E126" s="970">
        <v>0.92766666666666675</v>
      </c>
      <c r="F126" s="1239"/>
      <c r="G126" s="685"/>
      <c r="H126" s="685"/>
      <c r="I126" s="517"/>
      <c r="J126" s="517"/>
      <c r="K126" s="517"/>
      <c r="L126" s="517"/>
      <c r="M126" s="517"/>
      <c r="N126" s="517"/>
      <c r="O126" s="1920" t="s">
        <v>1468</v>
      </c>
      <c r="P126" s="1921"/>
      <c r="Q126" s="1922"/>
      <c r="R126" s="491"/>
    </row>
    <row r="127" spans="2:18" ht="13" x14ac:dyDescent="0.3">
      <c r="B127" s="518">
        <v>7</v>
      </c>
      <c r="C127" s="507">
        <v>30</v>
      </c>
      <c r="D127" s="1200"/>
      <c r="E127" s="971">
        <v>0.92949999999999999</v>
      </c>
      <c r="F127" s="517"/>
      <c r="G127" s="517"/>
      <c r="H127" s="685"/>
      <c r="I127" s="517"/>
      <c r="J127" s="517"/>
      <c r="K127" s="517"/>
      <c r="L127" s="517"/>
      <c r="M127" s="517"/>
      <c r="N127" s="517"/>
      <c r="O127" s="1920" t="s">
        <v>1468</v>
      </c>
      <c r="P127" s="1921"/>
      <c r="Q127" s="1922"/>
      <c r="R127" s="491"/>
    </row>
    <row r="128" spans="2:18" ht="13" x14ac:dyDescent="0.3">
      <c r="B128" s="518">
        <v>8</v>
      </c>
      <c r="C128" s="507">
        <v>40</v>
      </c>
      <c r="D128" s="1200"/>
      <c r="E128" s="971">
        <v>0.93533333333333335</v>
      </c>
      <c r="F128" s="517"/>
      <c r="G128" s="517"/>
      <c r="H128" s="517"/>
      <c r="I128" s="517"/>
      <c r="J128" s="517"/>
      <c r="K128" s="517"/>
      <c r="L128" s="517"/>
      <c r="M128" s="517"/>
      <c r="N128" s="517"/>
      <c r="O128" s="1920" t="s">
        <v>1468</v>
      </c>
      <c r="P128" s="1921"/>
      <c r="Q128" s="1922"/>
      <c r="R128" s="491"/>
    </row>
    <row r="129" spans="2:18" ht="13" x14ac:dyDescent="0.3">
      <c r="B129" s="518">
        <v>9</v>
      </c>
      <c r="C129" s="507">
        <v>50</v>
      </c>
      <c r="D129" s="1200"/>
      <c r="E129" s="971">
        <v>0.93866666666666665</v>
      </c>
      <c r="F129" s="1240"/>
      <c r="G129" s="1240"/>
      <c r="H129" s="1240"/>
      <c r="I129" s="528"/>
      <c r="J129" s="528"/>
      <c r="K129" s="528"/>
      <c r="L129" s="528"/>
      <c r="M129" s="528"/>
      <c r="N129" s="528"/>
      <c r="O129" s="1920" t="s">
        <v>1468</v>
      </c>
      <c r="P129" s="1921"/>
      <c r="Q129" s="1922"/>
      <c r="R129" s="491"/>
    </row>
    <row r="130" spans="2:18" ht="13" x14ac:dyDescent="0.3">
      <c r="B130" s="518">
        <v>10</v>
      </c>
      <c r="C130" s="507">
        <v>60</v>
      </c>
      <c r="D130" s="1200"/>
      <c r="E130" s="971">
        <v>0.94366666666666665</v>
      </c>
      <c r="F130" s="1240"/>
      <c r="G130" s="1240"/>
      <c r="H130" s="1240"/>
      <c r="I130" s="528"/>
      <c r="J130" s="528"/>
      <c r="K130" s="528"/>
      <c r="L130" s="528"/>
      <c r="M130" s="528"/>
      <c r="N130" s="528"/>
      <c r="O130" s="1920" t="s">
        <v>1468</v>
      </c>
      <c r="P130" s="1921"/>
      <c r="Q130" s="1922"/>
      <c r="R130" s="491"/>
    </row>
    <row r="131" spans="2:18" ht="13" x14ac:dyDescent="0.3">
      <c r="B131" s="518">
        <v>11</v>
      </c>
      <c r="C131" s="507">
        <v>75</v>
      </c>
      <c r="D131" s="1200"/>
      <c r="E131" s="971">
        <v>0.94433333333333325</v>
      </c>
      <c r="F131" s="685"/>
      <c r="G131" s="683"/>
      <c r="H131" s="683"/>
      <c r="I131" s="517"/>
      <c r="J131" s="517"/>
      <c r="K131" s="517"/>
      <c r="L131" s="517"/>
      <c r="M131" s="517"/>
      <c r="N131" s="517"/>
      <c r="O131" s="1920" t="s">
        <v>1468</v>
      </c>
      <c r="P131" s="1921"/>
      <c r="Q131" s="1922"/>
      <c r="R131" s="491"/>
    </row>
    <row r="132" spans="2:18" ht="13" x14ac:dyDescent="0.3">
      <c r="B132" s="518">
        <v>12</v>
      </c>
      <c r="C132" s="507">
        <v>100</v>
      </c>
      <c r="D132" s="1200"/>
      <c r="E132" s="971">
        <v>0.9474999999999999</v>
      </c>
      <c r="F132" s="685"/>
      <c r="G132" s="1240"/>
      <c r="H132" s="1240"/>
      <c r="I132" s="528"/>
      <c r="J132" s="528"/>
      <c r="K132" s="528"/>
      <c r="L132" s="528"/>
      <c r="M132" s="528"/>
      <c r="N132" s="528"/>
      <c r="O132" s="1920" t="s">
        <v>1468</v>
      </c>
      <c r="P132" s="1921"/>
      <c r="Q132" s="1922"/>
      <c r="R132" s="491"/>
    </row>
    <row r="133" spans="2:18" ht="13" x14ac:dyDescent="0.3">
      <c r="B133" s="518">
        <v>13</v>
      </c>
      <c r="C133" s="507">
        <v>200</v>
      </c>
      <c r="D133" s="1200"/>
      <c r="E133" s="971">
        <v>0.95599999999999996</v>
      </c>
      <c r="F133" s="1240"/>
      <c r="G133" s="1240"/>
      <c r="H133" s="1240"/>
      <c r="I133" s="528"/>
      <c r="J133" s="528"/>
      <c r="K133" s="528"/>
      <c r="L133" s="528"/>
      <c r="M133" s="528"/>
      <c r="N133" s="528"/>
      <c r="O133" s="1920" t="s">
        <v>1468</v>
      </c>
      <c r="P133" s="1921"/>
      <c r="Q133" s="1922"/>
      <c r="R133" s="491"/>
    </row>
    <row r="134" spans="2:18" ht="13" x14ac:dyDescent="0.3">
      <c r="B134" s="518">
        <v>14</v>
      </c>
      <c r="C134" s="507">
        <v>300</v>
      </c>
      <c r="D134" s="1200"/>
      <c r="E134" s="971">
        <v>0.95733333333333326</v>
      </c>
      <c r="F134" s="684"/>
      <c r="G134" s="684"/>
      <c r="H134" s="684"/>
      <c r="I134" s="517"/>
      <c r="J134" s="517"/>
      <c r="K134" s="517"/>
      <c r="L134" s="517"/>
      <c r="M134" s="517"/>
      <c r="N134" s="517"/>
      <c r="O134" s="1920" t="s">
        <v>1468</v>
      </c>
      <c r="P134" s="1921"/>
      <c r="Q134" s="1922"/>
      <c r="R134" s="491"/>
    </row>
    <row r="135" spans="2:18" ht="13" x14ac:dyDescent="0.3">
      <c r="B135" s="518">
        <v>15</v>
      </c>
      <c r="C135" s="507">
        <v>400</v>
      </c>
      <c r="D135" s="1200"/>
      <c r="E135" s="971">
        <v>0.95866666666666667</v>
      </c>
      <c r="F135" s="684"/>
      <c r="G135" s="684"/>
      <c r="H135" s="684"/>
      <c r="I135" s="517"/>
      <c r="J135" s="517"/>
      <c r="K135" s="517"/>
      <c r="L135" s="517"/>
      <c r="M135" s="517"/>
      <c r="N135" s="517"/>
      <c r="O135" s="1920" t="s">
        <v>1468</v>
      </c>
      <c r="P135" s="1921"/>
      <c r="Q135" s="1922"/>
      <c r="R135" s="491"/>
    </row>
    <row r="136" spans="2:18" ht="13" x14ac:dyDescent="0.3">
      <c r="B136" s="518">
        <v>16</v>
      </c>
      <c r="C136" s="507">
        <v>500</v>
      </c>
      <c r="D136" s="1200"/>
      <c r="E136" s="971">
        <v>0.96</v>
      </c>
      <c r="F136" s="684"/>
      <c r="G136" s="684"/>
      <c r="H136" s="684"/>
      <c r="I136" s="517"/>
      <c r="J136" s="517"/>
      <c r="K136" s="517"/>
      <c r="L136" s="517"/>
      <c r="M136" s="517"/>
      <c r="N136" s="517"/>
      <c r="O136" s="1920" t="s">
        <v>1468</v>
      </c>
      <c r="P136" s="1921"/>
      <c r="Q136" s="1922"/>
      <c r="R136" s="491"/>
    </row>
    <row r="137" spans="2:18" ht="13" x14ac:dyDescent="0.3">
      <c r="B137" s="518">
        <v>17</v>
      </c>
      <c r="C137" s="507"/>
      <c r="D137" s="1200"/>
      <c r="E137" s="684"/>
      <c r="F137" s="684"/>
      <c r="G137" s="684"/>
      <c r="H137" s="684"/>
      <c r="I137" s="517"/>
      <c r="J137" s="517"/>
      <c r="K137" s="517"/>
      <c r="L137" s="517"/>
      <c r="M137" s="517"/>
      <c r="N137" s="517"/>
      <c r="O137" s="1923"/>
      <c r="P137" s="1924"/>
      <c r="Q137" s="1925"/>
      <c r="R137" s="491"/>
    </row>
    <row r="138" spans="2:18" ht="13" x14ac:dyDescent="0.3">
      <c r="B138" s="518">
        <v>18</v>
      </c>
      <c r="C138" s="507"/>
      <c r="D138" s="1200"/>
      <c r="E138" s="684"/>
      <c r="F138" s="684"/>
      <c r="G138" s="684"/>
      <c r="H138" s="684"/>
      <c r="I138" s="517"/>
      <c r="J138" s="517"/>
      <c r="K138" s="517"/>
      <c r="L138" s="517"/>
      <c r="M138" s="517"/>
      <c r="N138" s="517"/>
      <c r="O138" s="1923"/>
      <c r="P138" s="1924"/>
      <c r="Q138" s="1925"/>
      <c r="R138" s="491"/>
    </row>
    <row r="139" spans="2:18" ht="13" x14ac:dyDescent="0.3">
      <c r="B139" s="518">
        <v>19</v>
      </c>
      <c r="C139" s="507"/>
      <c r="D139" s="1200"/>
      <c r="E139" s="684"/>
      <c r="F139" s="684"/>
      <c r="G139" s="684"/>
      <c r="H139" s="684"/>
      <c r="I139" s="517"/>
      <c r="J139" s="517"/>
      <c r="K139" s="517"/>
      <c r="L139" s="517"/>
      <c r="M139" s="517"/>
      <c r="N139" s="517"/>
      <c r="O139" s="1923"/>
      <c r="P139" s="1924"/>
      <c r="Q139" s="1925"/>
      <c r="R139" s="491"/>
    </row>
    <row r="140" spans="2:18" ht="13" x14ac:dyDescent="0.3">
      <c r="B140" s="518">
        <v>20</v>
      </c>
      <c r="C140" s="507"/>
      <c r="D140" s="1200"/>
      <c r="E140" s="684"/>
      <c r="F140" s="684"/>
      <c r="G140" s="684"/>
      <c r="H140" s="684"/>
      <c r="I140" s="517"/>
      <c r="J140" s="517"/>
      <c r="K140" s="517"/>
      <c r="L140" s="517"/>
      <c r="M140" s="517"/>
      <c r="N140" s="517"/>
      <c r="O140" s="1923"/>
      <c r="P140" s="1924"/>
      <c r="Q140" s="1925"/>
      <c r="R140" s="491"/>
    </row>
  </sheetData>
  <sheetProtection algorithmName="SHA-512" hashValue="2Rj4f66wWSR2vU6umdM8ssdptOmHMri1B+5lLOuGPgoE5EJbkRjpznrc/CNU2SdLEJxbkgRODGJCHu54UZYo0A==" saltValue="BosHWVoT/RrhhCF6n0P2tw==" spinCount="100000" sheet="1" objects="1" scenarios="1" selectLockedCells="1" selectUnlockedCells="1"/>
  <mergeCells count="145">
    <mergeCell ref="O135:Q135"/>
    <mergeCell ref="O136:Q136"/>
    <mergeCell ref="O137:Q137"/>
    <mergeCell ref="O138:Q138"/>
    <mergeCell ref="O139:Q139"/>
    <mergeCell ref="O140:Q140"/>
    <mergeCell ref="O126:Q126"/>
    <mergeCell ref="O127:Q127"/>
    <mergeCell ref="O128:Q128"/>
    <mergeCell ref="O129:Q129"/>
    <mergeCell ref="O130:Q130"/>
    <mergeCell ref="O131:Q131"/>
    <mergeCell ref="O132:Q132"/>
    <mergeCell ref="O133:Q133"/>
    <mergeCell ref="O134:Q134"/>
    <mergeCell ref="E118:N118"/>
    <mergeCell ref="O118:Q120"/>
    <mergeCell ref="B119:D119"/>
    <mergeCell ref="C120:D120"/>
    <mergeCell ref="O121:Q121"/>
    <mergeCell ref="O122:Q122"/>
    <mergeCell ref="O123:Q123"/>
    <mergeCell ref="O124:Q124"/>
    <mergeCell ref="O125:Q125"/>
    <mergeCell ref="D17:F17"/>
    <mergeCell ref="D18:F18"/>
    <mergeCell ref="B20:Q20"/>
    <mergeCell ref="C21:Q21"/>
    <mergeCell ref="C22:Q22"/>
    <mergeCell ref="C23:Q23"/>
    <mergeCell ref="C2:F2"/>
    <mergeCell ref="C3:F3"/>
    <mergeCell ref="C4:F4"/>
    <mergeCell ref="C5:F5"/>
    <mergeCell ref="D7:F7"/>
    <mergeCell ref="D8:F16"/>
    <mergeCell ref="E34:Q34"/>
    <mergeCell ref="E35:Q35"/>
    <mergeCell ref="E36:Q36"/>
    <mergeCell ref="E37:Q37"/>
    <mergeCell ref="C41:M41"/>
    <mergeCell ref="P41:Q41"/>
    <mergeCell ref="D25:Q25"/>
    <mergeCell ref="D26:Q26"/>
    <mergeCell ref="D27:Q27"/>
    <mergeCell ref="D28:Q28"/>
    <mergeCell ref="E32:Q32"/>
    <mergeCell ref="E33:Q33"/>
    <mergeCell ref="D29:Q29"/>
    <mergeCell ref="D30:Q30"/>
    <mergeCell ref="C45:M45"/>
    <mergeCell ref="P45:Q45"/>
    <mergeCell ref="C47:M47"/>
    <mergeCell ref="P47:Q47"/>
    <mergeCell ref="C48:M48"/>
    <mergeCell ref="P48:Q48"/>
    <mergeCell ref="C42:M42"/>
    <mergeCell ref="P42:Q42"/>
    <mergeCell ref="C43:M43"/>
    <mergeCell ref="P43:Q43"/>
    <mergeCell ref="C44:M44"/>
    <mergeCell ref="P44:Q44"/>
    <mergeCell ref="C53:M53"/>
    <mergeCell ref="P53:Q53"/>
    <mergeCell ref="C54:M54"/>
    <mergeCell ref="P54:Q54"/>
    <mergeCell ref="C55:M55"/>
    <mergeCell ref="P55:Q55"/>
    <mergeCell ref="C49:M49"/>
    <mergeCell ref="P49:Q49"/>
    <mergeCell ref="C50:M50"/>
    <mergeCell ref="P50:Q50"/>
    <mergeCell ref="C51:M51"/>
    <mergeCell ref="P51:Q51"/>
    <mergeCell ref="D62:E62"/>
    <mergeCell ref="J62:Q62"/>
    <mergeCell ref="D63:E63"/>
    <mergeCell ref="J63:Q63"/>
    <mergeCell ref="D64:E64"/>
    <mergeCell ref="J64:Q64"/>
    <mergeCell ref="C56:M56"/>
    <mergeCell ref="P56:Q56"/>
    <mergeCell ref="C57:M57"/>
    <mergeCell ref="P57:Q57"/>
    <mergeCell ref="D61:E61"/>
    <mergeCell ref="J61:Q61"/>
    <mergeCell ref="D68:E68"/>
    <mergeCell ref="J68:Q68"/>
    <mergeCell ref="D69:E69"/>
    <mergeCell ref="J69:Q69"/>
    <mergeCell ref="D70:E70"/>
    <mergeCell ref="J70:Q70"/>
    <mergeCell ref="D65:E65"/>
    <mergeCell ref="J65:Q65"/>
    <mergeCell ref="D66:E66"/>
    <mergeCell ref="J66:Q66"/>
    <mergeCell ref="D67:E67"/>
    <mergeCell ref="J67:Q67"/>
    <mergeCell ref="D74:E74"/>
    <mergeCell ref="J74:Q74"/>
    <mergeCell ref="D75:E75"/>
    <mergeCell ref="J75:Q75"/>
    <mergeCell ref="D76:E76"/>
    <mergeCell ref="J76:Q76"/>
    <mergeCell ref="D71:E71"/>
    <mergeCell ref="J71:Q71"/>
    <mergeCell ref="D72:E72"/>
    <mergeCell ref="J72:Q72"/>
    <mergeCell ref="D73:E73"/>
    <mergeCell ref="J73:Q73"/>
    <mergeCell ref="F86:Q86"/>
    <mergeCell ref="F87:Q87"/>
    <mergeCell ref="F88:Q88"/>
    <mergeCell ref="F89:Q89"/>
    <mergeCell ref="F90:Q90"/>
    <mergeCell ref="E94:N94"/>
    <mergeCell ref="O94:Q96"/>
    <mergeCell ref="F80:Q80"/>
    <mergeCell ref="F81:Q81"/>
    <mergeCell ref="F82:Q82"/>
    <mergeCell ref="F83:Q83"/>
    <mergeCell ref="F84:Q84"/>
    <mergeCell ref="F85:Q85"/>
    <mergeCell ref="O101:Q101"/>
    <mergeCell ref="O102:Q102"/>
    <mergeCell ref="O103:Q103"/>
    <mergeCell ref="O104:Q104"/>
    <mergeCell ref="O105:Q105"/>
    <mergeCell ref="O106:Q106"/>
    <mergeCell ref="B95:D95"/>
    <mergeCell ref="C96:D96"/>
    <mergeCell ref="O97:Q97"/>
    <mergeCell ref="O98:Q98"/>
    <mergeCell ref="O99:Q99"/>
    <mergeCell ref="O100:Q100"/>
    <mergeCell ref="O113:Q113"/>
    <mergeCell ref="O114:Q114"/>
    <mergeCell ref="O115:Q115"/>
    <mergeCell ref="O116:Q116"/>
    <mergeCell ref="O107:Q107"/>
    <mergeCell ref="O108:Q108"/>
    <mergeCell ref="O109:Q109"/>
    <mergeCell ref="O110:Q110"/>
    <mergeCell ref="O111:Q111"/>
    <mergeCell ref="O112:Q112"/>
  </mergeCells>
  <conditionalFormatting sqref="H71">
    <cfRule type="expression" dxfId="2878" priority="56">
      <formula>IF(OR(#REF!="L",#REF!="C"),TRUE,FALSE)</formula>
    </cfRule>
  </conditionalFormatting>
  <conditionalFormatting sqref="H69">
    <cfRule type="expression" dxfId="2877" priority="53">
      <formula>IF(OR(#REF!="L",#REF!="C"),TRUE,FALSE)</formula>
    </cfRule>
  </conditionalFormatting>
  <conditionalFormatting sqref="H70">
    <cfRule type="expression" dxfId="2876" priority="52">
      <formula>IF(OR(#REF!="L",#REF!="C"),TRUE,FALSE)</formula>
    </cfRule>
  </conditionalFormatting>
  <conditionalFormatting sqref="F109:F116 G102:G116 H104:H116">
    <cfRule type="expression" dxfId="2875" priority="51">
      <formula>IF(OR(#REF!="L",#REF!="C"),TRUE,FALSE)</formula>
    </cfRule>
  </conditionalFormatting>
  <conditionalFormatting sqref="E110:E116">
    <cfRule type="expression" dxfId="2874" priority="50">
      <formula>IF(OR(#REF!="L",#REF!="C"),TRUE,FALSE)</formula>
    </cfRule>
  </conditionalFormatting>
  <conditionalFormatting sqref="E109">
    <cfRule type="expression" dxfId="2873" priority="47">
      <formula>IF(OR(#REF!="L",#REF!="C"),TRUE,FALSE)</formula>
    </cfRule>
  </conditionalFormatting>
  <conditionalFormatting sqref="E108">
    <cfRule type="expression" dxfId="2872" priority="48">
      <formula>IF(OR(#REF!="L",#REF!="C"),TRUE,FALSE)</formula>
    </cfRule>
  </conditionalFormatting>
  <conditionalFormatting sqref="E95 G95 I95 K95 M95">
    <cfRule type="duplicateValues" dxfId="2871" priority="45"/>
  </conditionalFormatting>
  <conditionalFormatting sqref="M104:M116">
    <cfRule type="expression" dxfId="2870" priority="35">
      <formula>IF(OR(#REF!="L",#REF!="C"),TRUE,FALSE)</formula>
    </cfRule>
  </conditionalFormatting>
  <conditionalFormatting sqref="F103:F106">
    <cfRule type="expression" dxfId="2869" priority="44">
      <formula>IF(OR(#REF!="L",#REF!="C"),TRUE,FALSE)</formula>
    </cfRule>
  </conditionalFormatting>
  <conditionalFormatting sqref="I102:I103">
    <cfRule type="expression" dxfId="2868" priority="42">
      <formula>IF(OR(#REF!="L",#REF!="C"),TRUE,FALSE)</formula>
    </cfRule>
  </conditionalFormatting>
  <conditionalFormatting sqref="N102:N103">
    <cfRule type="expression" dxfId="2867" priority="32">
      <formula>IF(OR(#REF!="L",#REF!="C"),TRUE,FALSE)</formula>
    </cfRule>
  </conditionalFormatting>
  <conditionalFormatting sqref="I104:I116">
    <cfRule type="expression" dxfId="2866" priority="43">
      <formula>IF(OR(#REF!="L",#REF!="C"),TRUE,FALSE)</formula>
    </cfRule>
  </conditionalFormatting>
  <conditionalFormatting sqref="J102:J103">
    <cfRule type="expression" dxfId="2865" priority="40">
      <formula>IF(OR(#REF!="L",#REF!="C"),TRUE,FALSE)</formula>
    </cfRule>
  </conditionalFormatting>
  <conditionalFormatting sqref="J104:J116">
    <cfRule type="expression" dxfId="2864" priority="41">
      <formula>IF(OR(#REF!="L",#REF!="C"),TRUE,FALSE)</formula>
    </cfRule>
  </conditionalFormatting>
  <conditionalFormatting sqref="K102:K103">
    <cfRule type="expression" dxfId="2863" priority="38">
      <formula>IF(OR(#REF!="L",#REF!="C"),TRUE,FALSE)</formula>
    </cfRule>
  </conditionalFormatting>
  <conditionalFormatting sqref="K104:K116">
    <cfRule type="expression" dxfId="2862" priority="39">
      <formula>IF(OR(#REF!="L",#REF!="C"),TRUE,FALSE)</formula>
    </cfRule>
  </conditionalFormatting>
  <conditionalFormatting sqref="L102:L103">
    <cfRule type="expression" dxfId="2861" priority="36">
      <formula>IF(OR(#REF!="L",#REF!="C"),TRUE,FALSE)</formula>
    </cfRule>
  </conditionalFormatting>
  <conditionalFormatting sqref="L104:L116">
    <cfRule type="expression" dxfId="2860" priority="37">
      <formula>IF(OR(#REF!="L",#REF!="C"),TRUE,FALSE)</formula>
    </cfRule>
  </conditionalFormatting>
  <conditionalFormatting sqref="M102:M103">
    <cfRule type="expression" dxfId="2859" priority="34">
      <formula>IF(OR(#REF!="L",#REF!="C"),TRUE,FALSE)</formula>
    </cfRule>
  </conditionalFormatting>
  <conditionalFormatting sqref="N104:N116">
    <cfRule type="expression" dxfId="2858" priority="33">
      <formula>IF(OR(#REF!="L",#REF!="C"),TRUE,FALSE)</formula>
    </cfRule>
  </conditionalFormatting>
  <conditionalFormatting sqref="O108:O116">
    <cfRule type="expression" dxfId="2857" priority="31">
      <formula>IF(OR(#REF!="L",#REF!="C"),TRUE,FALSE)</formula>
    </cfRule>
  </conditionalFormatting>
  <conditionalFormatting sqref="E96:N96">
    <cfRule type="duplicateValues" dxfId="2856" priority="29"/>
  </conditionalFormatting>
  <conditionalFormatting sqref="H72">
    <cfRule type="expression" dxfId="2855" priority="28">
      <formula>IF(OR(#REF!="L",#REF!="C"),TRUE,FALSE)</formula>
    </cfRule>
  </conditionalFormatting>
  <conditionalFormatting sqref="H73">
    <cfRule type="expression" dxfId="2854" priority="27">
      <formula>IF(OR(#REF!="L",#REF!="C"),TRUE,FALSE)</formula>
    </cfRule>
  </conditionalFormatting>
  <conditionalFormatting sqref="H74">
    <cfRule type="expression" dxfId="2853" priority="26">
      <formula>IF(OR(#REF!="L",#REF!="C"),TRUE,FALSE)</formula>
    </cfRule>
  </conditionalFormatting>
  <conditionalFormatting sqref="H75">
    <cfRule type="expression" dxfId="2852" priority="25">
      <formula>IF(OR(#REF!="L",#REF!="C"),TRUE,FALSE)</formula>
    </cfRule>
  </conditionalFormatting>
  <conditionalFormatting sqref="H76">
    <cfRule type="expression" dxfId="2851" priority="24">
      <formula>IF(OR(#REF!="L",#REF!="C"),TRUE,FALSE)</formula>
    </cfRule>
  </conditionalFormatting>
  <conditionalFormatting sqref="H64">
    <cfRule type="expression" dxfId="2850" priority="23">
      <formula>IF(OR(#REF!="L",#REF!="C"),TRUE,FALSE)</formula>
    </cfRule>
  </conditionalFormatting>
  <conditionalFormatting sqref="H63">
    <cfRule type="expression" dxfId="2849" priority="22">
      <formula>IF(OR(#REF!="L",#REF!="C"),TRUE,FALSE)</formula>
    </cfRule>
  </conditionalFormatting>
  <conditionalFormatting sqref="F133:F140 G126:G140 H128:H140">
    <cfRule type="expression" dxfId="2848" priority="21">
      <formula>IF(OR(#REF!="L",#REF!="C"),TRUE,FALSE)</formula>
    </cfRule>
  </conditionalFormatting>
  <conditionalFormatting sqref="E137:E140">
    <cfRule type="expression" dxfId="2847" priority="20">
      <formula>IF(OR(#REF!="L",#REF!="C"),TRUE,FALSE)</formula>
    </cfRule>
  </conditionalFormatting>
  <conditionalFormatting sqref="E119 G119 I119 K119 M119">
    <cfRule type="duplicateValues" dxfId="2846" priority="17"/>
  </conditionalFormatting>
  <conditionalFormatting sqref="M128:M140">
    <cfRule type="expression" dxfId="2845" priority="7">
      <formula>IF(OR(#REF!="L",#REF!="C"),TRUE,FALSE)</formula>
    </cfRule>
  </conditionalFormatting>
  <conditionalFormatting sqref="F127:F130">
    <cfRule type="expression" dxfId="2844" priority="16">
      <formula>IF(OR(#REF!="L",#REF!="C"),TRUE,FALSE)</formula>
    </cfRule>
  </conditionalFormatting>
  <conditionalFormatting sqref="I126:I127">
    <cfRule type="expression" dxfId="2843" priority="14">
      <formula>IF(OR(#REF!="L",#REF!="C"),TRUE,FALSE)</formula>
    </cfRule>
  </conditionalFormatting>
  <conditionalFormatting sqref="N126:N127">
    <cfRule type="expression" dxfId="2842" priority="4">
      <formula>IF(OR(#REF!="L",#REF!="C"),TRUE,FALSE)</formula>
    </cfRule>
  </conditionalFormatting>
  <conditionalFormatting sqref="I128:I140">
    <cfRule type="expression" dxfId="2841" priority="15">
      <formula>IF(OR(#REF!="L",#REF!="C"),TRUE,FALSE)</formula>
    </cfRule>
  </conditionalFormatting>
  <conditionalFormatting sqref="J126:J127">
    <cfRule type="expression" dxfId="2840" priority="12">
      <formula>IF(OR(#REF!="L",#REF!="C"),TRUE,FALSE)</formula>
    </cfRule>
  </conditionalFormatting>
  <conditionalFormatting sqref="J128:J140">
    <cfRule type="expression" dxfId="2839" priority="13">
      <formula>IF(OR(#REF!="L",#REF!="C"),TRUE,FALSE)</formula>
    </cfRule>
  </conditionalFormatting>
  <conditionalFormatting sqref="K126:K127">
    <cfRule type="expression" dxfId="2838" priority="10">
      <formula>IF(OR(#REF!="L",#REF!="C"),TRUE,FALSE)</formula>
    </cfRule>
  </conditionalFormatting>
  <conditionalFormatting sqref="K128:K140">
    <cfRule type="expression" dxfId="2837" priority="11">
      <formula>IF(OR(#REF!="L",#REF!="C"),TRUE,FALSE)</formula>
    </cfRule>
  </conditionalFormatting>
  <conditionalFormatting sqref="L126:L127">
    <cfRule type="expression" dxfId="2836" priority="8">
      <formula>IF(OR(#REF!="L",#REF!="C"),TRUE,FALSE)</formula>
    </cfRule>
  </conditionalFormatting>
  <conditionalFormatting sqref="L128:L140">
    <cfRule type="expression" dxfId="2835" priority="9">
      <formula>IF(OR(#REF!="L",#REF!="C"),TRUE,FALSE)</formula>
    </cfRule>
  </conditionalFormatting>
  <conditionalFormatting sqref="M126:M127">
    <cfRule type="expression" dxfId="2834" priority="6">
      <formula>IF(OR(#REF!="L",#REF!="C"),TRUE,FALSE)</formula>
    </cfRule>
  </conditionalFormatting>
  <conditionalFormatting sqref="N128:N140">
    <cfRule type="expression" dxfId="2833" priority="5">
      <formula>IF(OR(#REF!="L",#REF!="C"),TRUE,FALSE)</formula>
    </cfRule>
  </conditionalFormatting>
  <conditionalFormatting sqref="O137:O140">
    <cfRule type="expression" dxfId="2832" priority="3">
      <formula>IF(OR(#REF!="L",#REF!="C"),TRUE,FALSE)</formula>
    </cfRule>
  </conditionalFormatting>
  <conditionalFormatting sqref="E120:N120">
    <cfRule type="duplicateValues" dxfId="2831" priority="1"/>
  </conditionalFormatting>
  <dataValidations count="9">
    <dataValidation type="list" allowBlank="1" showInputMessage="1" showErrorMessage="1" sqref="F62:F63" xr:uid="{09B2180C-9E1D-45AF-8F53-C3AC27C94993}">
      <formula1>#REF!</formula1>
    </dataValidation>
    <dataValidation type="list" allowBlank="1" showInputMessage="1" showErrorMessage="1" sqref="C4" xr:uid="{8E271F20-0E9A-4828-93DB-A22C7231A156}">
      <formula1>"COM,RES"</formula1>
    </dataValidation>
    <dataValidation type="list" allowBlank="1" showInputMessage="1" showErrorMessage="1" sqref="F72:F74" xr:uid="{C4214AE0-21A5-4CCD-9283-8A579801E479}">
      <formula1>$C$102:$C$107</formula1>
    </dataValidation>
    <dataValidation type="list" allowBlank="1" showInputMessage="1" showErrorMessage="1" sqref="H67:H68" xr:uid="{1DAE2C0E-44C2-4821-A47E-4FE1A2F5831D}">
      <formula1>$C$97:$C$107</formula1>
    </dataValidation>
    <dataValidation type="list" allowBlank="1" showInputMessage="1" showErrorMessage="1" sqref="C9" xr:uid="{33C95900-D40B-46D7-A8F9-51FC85642F0E}">
      <formula1>INDIRECT("MeasureTypeList[Index]")</formula1>
    </dataValidation>
    <dataValidation type="list" allowBlank="1" showInputMessage="1" showErrorMessage="1" sqref="C26" xr:uid="{C2D9A261-CB08-4B4E-AD7E-71FF4E37D04B}">
      <formula1>INDIRECT("RegionList[Index]")</formula1>
    </dataValidation>
    <dataValidation type="list" allowBlank="1" showInputMessage="1" showErrorMessage="1" sqref="C27" xr:uid="{3C1FA7A3-174D-497F-AC0A-037A9B728089}">
      <formula1>INDIRECT("ReplacementTypeList[Index]")</formula1>
    </dataValidation>
    <dataValidation type="list" allowBlank="1" showInputMessage="1" showErrorMessage="1" sqref="C28" xr:uid="{6AA94C97-FFB8-42FF-A18D-C725D5779F14}">
      <formula1>INDIRECT("BuildingType[Building]")</formula1>
    </dataValidation>
    <dataValidation type="list" allowBlank="1" showInputMessage="1" showErrorMessage="1" sqref="C29 C30" xr:uid="{86F4F75C-9D29-495C-B61A-56361411E5FB}">
      <formula1>INDIRECT("FuelTypeList[Index]")</formula1>
    </dataValidation>
  </dataValidations>
  <hyperlinks>
    <hyperlink ref="F82" r:id="rId1" xr:uid="{823C6E67-158C-45AC-B5D3-5E93E8488DBA}"/>
    <hyperlink ref="F83" r:id="rId2" xr:uid="{5E6DB222-DA76-4823-9B10-92196C0F8F13}"/>
    <hyperlink ref="F85" r:id="rId3" xr:uid="{FCD67535-FCFD-4B6B-B321-6022952382C5}"/>
    <hyperlink ref="F84" r:id="rId4" xr:uid="{926028E8-3B91-4EDF-B26C-012BA1594192}"/>
  </hyperlinks>
  <pageMargins left="0.7" right="0.7" top="0.75" bottom="0.75" header="0.3" footer="0.3"/>
  <pageSetup orientation="portrait" r:id="rId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45BC-3747-4212-AFF1-F06E8B5D4884}">
  <sheetPr codeName="Sheet386"/>
  <dimension ref="A1:R116"/>
  <sheetViews>
    <sheetView topLeftCell="A52" workbookViewId="0">
      <selection activeCell="E36" sqref="E36:Q36"/>
    </sheetView>
  </sheetViews>
  <sheetFormatPr defaultColWidth="9.08984375" defaultRowHeight="18.75" customHeight="1" x14ac:dyDescent="0.3"/>
  <cols>
    <col min="1" max="1" width="2.36328125" style="491" customWidth="1"/>
    <col min="2" max="2" width="44.36328125" style="491" bestFit="1" customWidth="1"/>
    <col min="3" max="3" width="21.08984375" style="491" customWidth="1"/>
    <col min="4" max="4" width="21.6328125" style="491" customWidth="1"/>
    <col min="5" max="5" width="14.36328125" style="491" customWidth="1"/>
    <col min="6" max="6" width="19.36328125" style="491" customWidth="1"/>
    <col min="7" max="7" width="19.6328125" style="491" customWidth="1"/>
    <col min="8" max="8" width="16" style="491" customWidth="1"/>
    <col min="9" max="9" width="10.36328125" style="491" customWidth="1"/>
    <col min="10" max="10" width="14.6328125" style="491" customWidth="1"/>
    <col min="11" max="12" width="9.08984375" style="491" bestFit="1"/>
    <col min="13" max="13" width="11" style="491" customWidth="1"/>
    <col min="14" max="14" width="12.36328125" style="491" customWidth="1"/>
    <col min="15" max="15" width="10.6328125" style="491" customWidth="1"/>
    <col min="16" max="17" width="9.08984375" style="491" bestFit="1"/>
    <col min="18" max="18" width="9.81640625" style="489" customWidth="1"/>
    <col min="19" max="19" width="9.08984375" style="491" bestFit="1"/>
    <col min="20" max="20" width="8.6328125" style="491" customWidth="1"/>
    <col min="21" max="16384" width="9.08984375" style="491"/>
  </cols>
  <sheetData>
    <row r="1" spans="1:18" s="488" customFormat="1" ht="18.75" customHeight="1" x14ac:dyDescent="0.3">
      <c r="R1" s="489"/>
    </row>
    <row r="2" spans="1:18" s="488" customFormat="1" ht="18.75" customHeight="1" x14ac:dyDescent="0.3">
      <c r="B2" s="1193" t="s">
        <v>506</v>
      </c>
      <c r="C2" s="1366" t="s">
        <v>406</v>
      </c>
      <c r="D2" s="1366"/>
      <c r="E2" s="1366"/>
      <c r="F2" s="1366"/>
      <c r="R2" s="489"/>
    </row>
    <row r="3" spans="1:18" s="488" customFormat="1" ht="18.75" customHeight="1" x14ac:dyDescent="0.3">
      <c r="B3" s="490" t="s">
        <v>407</v>
      </c>
      <c r="C3" s="1367" t="str">
        <f>IF(ISBLANK(C8)+ISBLANK(C10),C8,C8&amp;"_"&amp;C10)</f>
        <v>C-HC-013</v>
      </c>
      <c r="D3" s="1367"/>
      <c r="E3" s="1367"/>
      <c r="F3" s="1367"/>
      <c r="R3" s="489"/>
    </row>
    <row r="4" spans="1:18" s="488" customFormat="1" ht="18.75" customHeight="1" x14ac:dyDescent="0.3">
      <c r="B4" s="490" t="s">
        <v>11</v>
      </c>
      <c r="C4" s="1367" t="str" cm="1">
        <f t="array" ref="C4">_xlfn.SWITCH(LEFT(C8,1),"R","Residential","C","Commercial","ERROR")</f>
        <v>Commercial</v>
      </c>
      <c r="D4" s="1367"/>
      <c r="E4" s="1367"/>
      <c r="F4" s="1367"/>
      <c r="R4" s="489"/>
    </row>
    <row r="5" spans="1:18" ht="44.25" customHeight="1" x14ac:dyDescent="0.3">
      <c r="B5" s="490" t="s">
        <v>408</v>
      </c>
      <c r="C5" s="1458" t="s">
        <v>231</v>
      </c>
      <c r="D5" s="1459"/>
      <c r="E5" s="1459"/>
      <c r="F5" s="1460"/>
      <c r="R5" s="491"/>
    </row>
    <row r="6" spans="1:18" ht="18.75" customHeight="1" x14ac:dyDescent="0.3">
      <c r="A6" s="492"/>
    </row>
    <row r="7" spans="1:18" ht="18.75" customHeight="1" x14ac:dyDescent="0.3">
      <c r="B7" s="1193" t="s">
        <v>507</v>
      </c>
      <c r="C7" s="493" t="s">
        <v>406</v>
      </c>
      <c r="D7" s="1366" t="s">
        <v>410</v>
      </c>
      <c r="E7" s="1366"/>
      <c r="F7" s="1366"/>
      <c r="R7" s="491"/>
    </row>
    <row r="8" spans="1:18" ht="18.75" customHeight="1" x14ac:dyDescent="0.3">
      <c r="B8" s="490" t="s">
        <v>411</v>
      </c>
      <c r="C8" s="1199" t="s">
        <v>95</v>
      </c>
      <c r="D8" s="1547"/>
      <c r="E8" s="1548"/>
      <c r="F8" s="1549"/>
      <c r="R8" s="491"/>
    </row>
    <row r="9" spans="1:18" ht="18.75" customHeight="1" x14ac:dyDescent="0.3">
      <c r="B9" s="490" t="s">
        <v>49</v>
      </c>
      <c r="C9" s="1199" t="s">
        <v>1423</v>
      </c>
      <c r="D9" s="1550"/>
      <c r="E9" s="1551"/>
      <c r="F9" s="1552"/>
      <c r="R9" s="491"/>
    </row>
    <row r="10" spans="1:18" ht="18.75" customHeight="1" x14ac:dyDescent="0.3">
      <c r="B10" s="490" t="s">
        <v>412</v>
      </c>
      <c r="C10" s="1199"/>
      <c r="D10" s="1550"/>
      <c r="E10" s="1551"/>
      <c r="F10" s="1552"/>
      <c r="R10" s="491"/>
    </row>
    <row r="11" spans="1:18" ht="18.75" customHeight="1" x14ac:dyDescent="0.3">
      <c r="B11" s="490" t="s">
        <v>413</v>
      </c>
      <c r="C11" s="1199"/>
      <c r="D11" s="1550"/>
      <c r="E11" s="1551"/>
      <c r="F11" s="1552"/>
      <c r="R11" s="491"/>
    </row>
    <row r="12" spans="1:18" ht="18.75" customHeight="1" x14ac:dyDescent="0.3">
      <c r="B12" s="490" t="s">
        <v>414</v>
      </c>
      <c r="C12" s="540"/>
      <c r="D12" s="1550"/>
      <c r="E12" s="1551"/>
      <c r="F12" s="1552"/>
      <c r="R12" s="491"/>
    </row>
    <row r="13" spans="1:18" ht="18.75" customHeight="1" x14ac:dyDescent="0.3">
      <c r="B13" s="494" t="s">
        <v>415</v>
      </c>
      <c r="C13" s="495">
        <f>N43</f>
        <v>126.15064548387096</v>
      </c>
      <c r="D13" s="1550"/>
      <c r="E13" s="1551"/>
      <c r="F13" s="1552"/>
      <c r="R13" s="491"/>
    </row>
    <row r="14" spans="1:18" ht="18.75" customHeight="1" x14ac:dyDescent="0.3">
      <c r="B14" s="494" t="s">
        <v>416</v>
      </c>
      <c r="C14" s="495">
        <f>N42</f>
        <v>0</v>
      </c>
      <c r="D14" s="1550"/>
      <c r="E14" s="1551"/>
      <c r="F14" s="1552"/>
      <c r="R14" s="491"/>
    </row>
    <row r="15" spans="1:18" ht="18.75" customHeight="1" x14ac:dyDescent="0.3">
      <c r="B15" s="494" t="s">
        <v>417</v>
      </c>
      <c r="C15" s="495">
        <f>N44</f>
        <v>0</v>
      </c>
      <c r="D15" s="1550"/>
      <c r="E15" s="1551"/>
      <c r="F15" s="1552"/>
      <c r="R15" s="491"/>
    </row>
    <row r="16" spans="1:18" ht="18.75" customHeight="1" x14ac:dyDescent="0.3">
      <c r="B16" s="494" t="s">
        <v>418</v>
      </c>
      <c r="C16" s="496">
        <f>C37</f>
        <v>0</v>
      </c>
      <c r="D16" s="1553"/>
      <c r="E16" s="1554"/>
      <c r="F16" s="1555"/>
      <c r="R16" s="491"/>
    </row>
    <row r="17" spans="2:18" ht="18.75" customHeight="1" x14ac:dyDescent="0.3">
      <c r="B17" s="490" t="s">
        <v>48</v>
      </c>
      <c r="C17" s="1194" t="s">
        <v>1424</v>
      </c>
      <c r="D17" s="1366" t="s">
        <v>419</v>
      </c>
      <c r="E17" s="1366"/>
      <c r="F17" s="1366"/>
      <c r="R17" s="491"/>
    </row>
    <row r="18" spans="2:18" ht="36.75" customHeight="1" x14ac:dyDescent="0.3">
      <c r="B18" s="490" t="s">
        <v>420</v>
      </c>
      <c r="C18" s="541">
        <v>15</v>
      </c>
      <c r="D18" s="1721" t="s">
        <v>1469</v>
      </c>
      <c r="E18" s="1721"/>
      <c r="F18" s="1721"/>
      <c r="R18" s="491"/>
    </row>
    <row r="19" spans="2:18" ht="18.75" customHeight="1" x14ac:dyDescent="0.3">
      <c r="B19" s="497"/>
      <c r="C19" s="498"/>
      <c r="F19" s="489"/>
      <c r="R19" s="491"/>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91"/>
    </row>
    <row r="21" spans="2:18" ht="33" customHeight="1" x14ac:dyDescent="0.3">
      <c r="B21" s="499" t="s">
        <v>422</v>
      </c>
      <c r="C21" s="1440" t="s">
        <v>232</v>
      </c>
      <c r="D21" s="1440"/>
      <c r="E21" s="1440"/>
      <c r="F21" s="1440"/>
      <c r="G21" s="1440"/>
      <c r="H21" s="1440"/>
      <c r="I21" s="1440"/>
      <c r="J21" s="1440"/>
      <c r="K21" s="1440"/>
      <c r="L21" s="1440"/>
      <c r="M21" s="1440"/>
      <c r="N21" s="1440"/>
      <c r="O21" s="1440"/>
      <c r="P21" s="1440"/>
      <c r="Q21" s="1440"/>
      <c r="R21" s="491"/>
    </row>
    <row r="22" spans="2:18" ht="18.75" customHeight="1" x14ac:dyDescent="0.3">
      <c r="B22" s="500" t="s">
        <v>423</v>
      </c>
      <c r="C22" s="1440" t="s">
        <v>233</v>
      </c>
      <c r="D22" s="1440"/>
      <c r="E22" s="1440"/>
      <c r="F22" s="1440"/>
      <c r="G22" s="1440"/>
      <c r="H22" s="1440"/>
      <c r="I22" s="1440"/>
      <c r="J22" s="1440"/>
      <c r="K22" s="1440"/>
      <c r="L22" s="1440"/>
      <c r="M22" s="1440"/>
      <c r="N22" s="1440"/>
      <c r="O22" s="1440"/>
      <c r="P22" s="1440"/>
      <c r="Q22" s="1440"/>
      <c r="R22" s="491"/>
    </row>
    <row r="23" spans="2:18" ht="17.25" customHeight="1" x14ac:dyDescent="0.3">
      <c r="B23" s="500" t="s">
        <v>424</v>
      </c>
      <c r="C23" s="1440"/>
      <c r="D23" s="1440"/>
      <c r="E23" s="1440"/>
      <c r="F23" s="1440"/>
      <c r="G23" s="1440"/>
      <c r="H23" s="1440"/>
      <c r="I23" s="1440"/>
      <c r="J23" s="1440"/>
      <c r="K23" s="1440"/>
      <c r="L23" s="1440"/>
      <c r="M23" s="1440"/>
      <c r="N23" s="1440"/>
      <c r="O23" s="1440"/>
      <c r="P23" s="1440"/>
      <c r="Q23" s="1440"/>
      <c r="R23" s="491"/>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91"/>
    </row>
    <row r="26" spans="2:18" ht="18.75" customHeight="1" x14ac:dyDescent="0.3">
      <c r="B26" s="490" t="s">
        <v>9</v>
      </c>
      <c r="C26" s="538" t="str">
        <f>Default.Region</f>
        <v>Average</v>
      </c>
      <c r="D26" s="1446"/>
      <c r="E26" s="1446"/>
      <c r="F26" s="1446"/>
      <c r="G26" s="1446"/>
      <c r="H26" s="1446"/>
      <c r="I26" s="1446"/>
      <c r="J26" s="1446"/>
      <c r="K26" s="1446"/>
      <c r="L26" s="1446"/>
      <c r="M26" s="1446"/>
      <c r="N26" s="1446"/>
      <c r="O26" s="1446"/>
      <c r="P26" s="1446"/>
      <c r="Q26" s="1446"/>
      <c r="R26" s="491"/>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91"/>
    </row>
    <row r="28" spans="2:18" ht="18.75" customHeight="1" x14ac:dyDescent="0.3">
      <c r="B28" s="490" t="s">
        <v>54</v>
      </c>
      <c r="C28" s="538" t="str">
        <f>Default.BuildingType.C</f>
        <v>Other</v>
      </c>
      <c r="D28" s="1461" t="s">
        <v>1427</v>
      </c>
      <c r="E28" s="1461"/>
      <c r="F28" s="1461"/>
      <c r="G28" s="1461"/>
      <c r="H28" s="1461"/>
      <c r="I28" s="1461"/>
      <c r="J28" s="1461"/>
      <c r="K28" s="1461"/>
      <c r="L28" s="1461"/>
      <c r="M28" s="1461"/>
      <c r="N28" s="1461"/>
      <c r="O28" s="1461"/>
      <c r="P28" s="1461"/>
      <c r="Q28" s="1461"/>
      <c r="R28" s="491"/>
    </row>
    <row r="29" spans="2:18" ht="18.75" customHeight="1" x14ac:dyDescent="0.3">
      <c r="B29" s="490" t="s">
        <v>33</v>
      </c>
      <c r="C29" s="538" t="str">
        <f>Default.SpaceHeatingFuel</f>
        <v>Natural gas</v>
      </c>
      <c r="D29" s="1446"/>
      <c r="E29" s="1446"/>
      <c r="F29" s="1446"/>
      <c r="G29" s="1446"/>
      <c r="H29" s="1446"/>
      <c r="I29" s="1446"/>
      <c r="J29" s="1446"/>
      <c r="K29" s="1446"/>
      <c r="L29" s="1446"/>
      <c r="M29" s="1446"/>
      <c r="N29" s="1446"/>
      <c r="O29" s="1446"/>
      <c r="P29" s="1446"/>
      <c r="Q29" s="1446"/>
      <c r="R29" s="491"/>
    </row>
    <row r="30" spans="2:18" ht="18.75" customHeight="1" x14ac:dyDescent="0.3">
      <c r="B30" s="490" t="s">
        <v>35</v>
      </c>
      <c r="C30" s="538" t="str">
        <f>Default.WaterHeatingFuel</f>
        <v>Natural gas</v>
      </c>
      <c r="D30" s="1446"/>
      <c r="E30" s="1446"/>
      <c r="F30" s="1446"/>
      <c r="G30" s="1446"/>
      <c r="H30" s="1446"/>
      <c r="I30" s="1446"/>
      <c r="J30" s="1446"/>
      <c r="K30" s="1446"/>
      <c r="L30" s="1446"/>
      <c r="M30" s="1446"/>
      <c r="N30" s="1446"/>
      <c r="O30" s="1446"/>
      <c r="P30" s="1446"/>
      <c r="Q30" s="1446"/>
      <c r="R30" s="491"/>
    </row>
    <row r="31" spans="2:18" ht="18.75" customHeight="1" x14ac:dyDescent="0.3">
      <c r="B31" s="502"/>
      <c r="C31" s="503"/>
      <c r="D31" s="503"/>
      <c r="E31" s="503"/>
      <c r="F31" s="503"/>
      <c r="G31" s="503"/>
      <c r="H31" s="503"/>
      <c r="I31" s="503"/>
      <c r="J31" s="503"/>
      <c r="K31" s="503"/>
      <c r="L31" s="503"/>
      <c r="M31" s="503"/>
      <c r="N31" s="503"/>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37" t="s">
        <v>430</v>
      </c>
      <c r="E33" s="1475"/>
      <c r="F33" s="1476"/>
      <c r="G33" s="1476"/>
      <c r="H33" s="1476"/>
      <c r="I33" s="1476"/>
      <c r="J33" s="1476"/>
      <c r="K33" s="1476"/>
      <c r="L33" s="1476"/>
      <c r="M33" s="1476"/>
      <c r="N33" s="1476"/>
      <c r="O33" s="1476"/>
      <c r="P33" s="1476"/>
      <c r="Q33" s="1477"/>
      <c r="R33" s="491"/>
    </row>
    <row r="34" spans="2:18" ht="18.75" customHeight="1" x14ac:dyDescent="0.3">
      <c r="B34" s="494" t="s">
        <v>431</v>
      </c>
      <c r="C34" s="542"/>
      <c r="D34" s="537" t="s">
        <v>430</v>
      </c>
      <c r="E34" s="1441"/>
      <c r="F34" s="1441"/>
      <c r="G34" s="1441"/>
      <c r="H34" s="1441"/>
      <c r="I34" s="1441"/>
      <c r="J34" s="1441"/>
      <c r="K34" s="1441"/>
      <c r="L34" s="1441"/>
      <c r="M34" s="1441"/>
      <c r="N34" s="1441"/>
      <c r="O34" s="1441"/>
      <c r="P34" s="1441"/>
      <c r="Q34" s="1441"/>
    </row>
    <row r="35" spans="2:18" ht="18.75" customHeight="1" x14ac:dyDescent="0.3">
      <c r="B35" s="490" t="s">
        <v>432</v>
      </c>
      <c r="C35" s="542"/>
      <c r="D35" s="537" t="s">
        <v>430</v>
      </c>
      <c r="E35" s="1475"/>
      <c r="F35" s="1476"/>
      <c r="G35" s="1476"/>
      <c r="H35" s="1476"/>
      <c r="I35" s="1476"/>
      <c r="J35" s="1476"/>
      <c r="K35" s="1476"/>
      <c r="L35" s="1476"/>
      <c r="M35" s="1476"/>
      <c r="N35" s="1476"/>
      <c r="O35" s="1476"/>
      <c r="P35" s="1476"/>
      <c r="Q35" s="1477"/>
    </row>
    <row r="36" spans="2:18" ht="18.75" customHeight="1" x14ac:dyDescent="0.3">
      <c r="B36" s="494" t="s">
        <v>433</v>
      </c>
      <c r="C36" s="905">
        <f>C34</f>
        <v>0</v>
      </c>
      <c r="D36" s="537" t="s">
        <v>430</v>
      </c>
      <c r="E36" s="1441"/>
      <c r="F36" s="1441"/>
      <c r="G36" s="1441"/>
      <c r="H36" s="1441"/>
      <c r="I36" s="1441"/>
      <c r="J36" s="1441"/>
      <c r="K36" s="1441"/>
      <c r="L36" s="1441"/>
      <c r="M36" s="1441"/>
      <c r="N36" s="1441"/>
      <c r="O36" s="1441"/>
      <c r="P36" s="1441"/>
      <c r="Q36" s="1441"/>
    </row>
    <row r="37" spans="2:18" ht="18.75" customHeight="1" x14ac:dyDescent="0.3">
      <c r="B37" s="494" t="s">
        <v>434</v>
      </c>
      <c r="C37" s="905">
        <f>IF(C27="RET",C33+(C34-C35),C34-C35)</f>
        <v>0</v>
      </c>
      <c r="D37" s="537" t="s">
        <v>430</v>
      </c>
      <c r="E37" s="1442"/>
      <c r="F37" s="1442"/>
      <c r="G37" s="1442"/>
      <c r="H37" s="1442"/>
      <c r="I37" s="1442"/>
      <c r="J37" s="1442"/>
      <c r="K37" s="1442"/>
      <c r="L37" s="1442"/>
      <c r="M37" s="1442"/>
      <c r="N37" s="1442"/>
      <c r="O37" s="1442"/>
      <c r="P37" s="1442"/>
      <c r="Q37" s="1442"/>
    </row>
    <row r="38" spans="2:18" ht="18.75" customHeight="1" x14ac:dyDescent="0.3">
      <c r="B38" s="502"/>
      <c r="C38" s="503"/>
      <c r="D38" s="505"/>
      <c r="E38" s="503"/>
      <c r="F38" s="503"/>
      <c r="G38" s="503"/>
      <c r="H38" s="503"/>
      <c r="I38" s="503"/>
      <c r="J38" s="503"/>
      <c r="K38" s="503"/>
      <c r="L38" s="503"/>
      <c r="M38" s="503"/>
      <c r="N38" s="503"/>
    </row>
    <row r="39" spans="2:18" ht="18.75" customHeight="1" x14ac:dyDescent="0.3">
      <c r="B39" s="511" t="s">
        <v>435</v>
      </c>
      <c r="C39" s="512"/>
      <c r="D39" s="512"/>
      <c r="E39" s="512"/>
      <c r="F39" s="512"/>
      <c r="G39" s="512"/>
      <c r="H39" s="681"/>
      <c r="I39" s="681"/>
      <c r="J39" s="681"/>
      <c r="K39" s="681"/>
      <c r="L39" s="681"/>
      <c r="M39" s="681"/>
      <c r="N39" s="681"/>
      <c r="O39" s="681"/>
      <c r="P39" s="681"/>
      <c r="Q39" s="682"/>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31" t="s">
        <v>438</v>
      </c>
      <c r="C42" s="1387" t="s">
        <v>439</v>
      </c>
      <c r="D42" s="1388"/>
      <c r="E42" s="1388"/>
      <c r="F42" s="1388"/>
      <c r="G42" s="1388"/>
      <c r="H42" s="1388"/>
      <c r="I42" s="1388"/>
      <c r="J42" s="1388"/>
      <c r="K42" s="1388"/>
      <c r="L42" s="1388"/>
      <c r="M42" s="1389"/>
      <c r="N42" s="972">
        <f>N48+N54</f>
        <v>0</v>
      </c>
      <c r="O42" s="509" t="s">
        <v>440</v>
      </c>
      <c r="P42" s="1447"/>
      <c r="Q42" s="1447"/>
      <c r="R42" s="491"/>
    </row>
    <row r="43" spans="2:18" ht="18.75" customHeight="1" x14ac:dyDescent="0.3">
      <c r="B43" s="531" t="s">
        <v>441</v>
      </c>
      <c r="C43" s="1387" t="s">
        <v>442</v>
      </c>
      <c r="D43" s="1388"/>
      <c r="E43" s="1388"/>
      <c r="F43" s="1388"/>
      <c r="G43" s="1388"/>
      <c r="H43" s="1388"/>
      <c r="I43" s="1388"/>
      <c r="J43" s="1388"/>
      <c r="K43" s="1388"/>
      <c r="L43" s="1388"/>
      <c r="M43" s="1389"/>
      <c r="N43" s="981">
        <f>N49+N55</f>
        <v>126.15064548387096</v>
      </c>
      <c r="O43" s="509" t="s">
        <v>443</v>
      </c>
      <c r="P43" s="1447"/>
      <c r="Q43" s="1447"/>
      <c r="R43" s="491"/>
    </row>
    <row r="44" spans="2:18" ht="18.75" customHeight="1" x14ac:dyDescent="0.3">
      <c r="B44" s="531" t="s">
        <v>444</v>
      </c>
      <c r="C44" s="1387" t="s">
        <v>445</v>
      </c>
      <c r="D44" s="1388"/>
      <c r="E44" s="1388"/>
      <c r="F44" s="1388"/>
      <c r="G44" s="1388"/>
      <c r="H44" s="1388"/>
      <c r="I44" s="1388"/>
      <c r="J44" s="1388"/>
      <c r="K44" s="1388"/>
      <c r="L44" s="1388"/>
      <c r="M44" s="1389"/>
      <c r="N44" s="972">
        <f>N50+N56</f>
        <v>0</v>
      </c>
      <c r="O44" s="509" t="s">
        <v>446</v>
      </c>
      <c r="P44" s="1447"/>
      <c r="Q44" s="1447"/>
      <c r="R44" s="491"/>
    </row>
    <row r="45" spans="2:18" ht="18.75" customHeight="1" x14ac:dyDescent="0.3">
      <c r="B45" s="531" t="s">
        <v>447</v>
      </c>
      <c r="C45" s="1387" t="s">
        <v>448</v>
      </c>
      <c r="D45" s="1388"/>
      <c r="E45" s="1388"/>
      <c r="F45" s="1388"/>
      <c r="G45" s="1388"/>
      <c r="H45" s="1388"/>
      <c r="I45" s="1388"/>
      <c r="J45" s="1388"/>
      <c r="K45" s="1388"/>
      <c r="L45" s="1388"/>
      <c r="M45" s="1389"/>
      <c r="N45" s="972">
        <f>N51+N57</f>
        <v>0</v>
      </c>
      <c r="O45" s="509" t="s">
        <v>449</v>
      </c>
      <c r="P45" s="1447"/>
      <c r="Q45" s="1447"/>
      <c r="R45" s="491"/>
    </row>
    <row r="46" spans="2:18" ht="18.75" customHeight="1" x14ac:dyDescent="0.3">
      <c r="B46" s="532"/>
      <c r="C46" s="503"/>
      <c r="D46" s="503"/>
      <c r="E46" s="503"/>
      <c r="F46" s="503"/>
      <c r="G46" s="503"/>
      <c r="H46" s="503"/>
      <c r="I46" s="503"/>
      <c r="J46" s="503"/>
      <c r="K46" s="503"/>
      <c r="L46" s="503"/>
      <c r="M46" s="503"/>
      <c r="Q46" s="489"/>
      <c r="R46" s="491"/>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91"/>
    </row>
    <row r="48" spans="2:18" ht="18.75" customHeight="1" x14ac:dyDescent="0.3">
      <c r="B48" s="531" t="s">
        <v>452</v>
      </c>
      <c r="C48" s="1449" t="s">
        <v>453</v>
      </c>
      <c r="D48" s="1450"/>
      <c r="E48" s="1450"/>
      <c r="F48" s="1450"/>
      <c r="G48" s="1450"/>
      <c r="H48" s="1450"/>
      <c r="I48" s="1450"/>
      <c r="J48" s="1450"/>
      <c r="K48" s="1450"/>
      <c r="L48" s="1450"/>
      <c r="M48" s="1451"/>
      <c r="N48" s="543"/>
      <c r="O48" s="509" t="s">
        <v>440</v>
      </c>
      <c r="P48" s="1447"/>
      <c r="Q48" s="1447"/>
      <c r="R48" s="491"/>
    </row>
    <row r="49" spans="2:18" ht="18.75" customHeight="1" x14ac:dyDescent="0.3">
      <c r="B49" s="531" t="s">
        <v>454</v>
      </c>
      <c r="C49" s="1449" t="s">
        <v>1470</v>
      </c>
      <c r="D49" s="1450"/>
      <c r="E49" s="1450"/>
      <c r="F49" s="1450"/>
      <c r="G49" s="1450"/>
      <c r="H49" s="1450"/>
      <c r="I49" s="1450"/>
      <c r="J49" s="1450"/>
      <c r="K49" s="1450"/>
      <c r="L49" s="1450"/>
      <c r="M49" s="1451"/>
      <c r="N49" s="982">
        <f>(kW_per_HP*H66*(H62/H63))*H64*H65</f>
        <v>126.15064548387096</v>
      </c>
      <c r="O49" s="509" t="s">
        <v>443</v>
      </c>
      <c r="P49" s="1447" t="s">
        <v>1471</v>
      </c>
      <c r="Q49" s="1447"/>
      <c r="R49" s="491"/>
    </row>
    <row r="50" spans="2:18" ht="18.75" customHeight="1" x14ac:dyDescent="0.3">
      <c r="B50" s="531" t="s">
        <v>456</v>
      </c>
      <c r="C50" s="1449" t="s">
        <v>457</v>
      </c>
      <c r="D50" s="1450"/>
      <c r="E50" s="1450"/>
      <c r="F50" s="1450"/>
      <c r="G50" s="1450"/>
      <c r="H50" s="1450"/>
      <c r="I50" s="1450"/>
      <c r="J50" s="1450"/>
      <c r="K50" s="1450"/>
      <c r="L50" s="1450"/>
      <c r="M50" s="1451"/>
      <c r="N50" s="545"/>
      <c r="O50" s="509" t="s">
        <v>446</v>
      </c>
      <c r="P50" s="1447"/>
      <c r="Q50" s="1447"/>
      <c r="R50" s="491"/>
    </row>
    <row r="51" spans="2:18" ht="18.75" customHeight="1" x14ac:dyDescent="0.3">
      <c r="B51" s="531" t="s">
        <v>458</v>
      </c>
      <c r="C51" s="1449" t="s">
        <v>459</v>
      </c>
      <c r="D51" s="1450"/>
      <c r="E51" s="1450"/>
      <c r="F51" s="1450"/>
      <c r="G51" s="1450"/>
      <c r="H51" s="1450"/>
      <c r="I51" s="1450"/>
      <c r="J51" s="1450"/>
      <c r="K51" s="1450"/>
      <c r="L51" s="1450"/>
      <c r="M51" s="1451"/>
      <c r="N51" s="545"/>
      <c r="O51" s="509" t="s">
        <v>449</v>
      </c>
      <c r="P51" s="1447"/>
      <c r="Q51" s="1447"/>
      <c r="R51" s="491"/>
    </row>
    <row r="52" spans="2:18" ht="18.75" customHeight="1" x14ac:dyDescent="0.3">
      <c r="B52" s="532"/>
      <c r="C52" s="503"/>
      <c r="D52" s="503"/>
      <c r="E52" s="503"/>
      <c r="F52" s="503"/>
      <c r="G52" s="503"/>
      <c r="H52" s="503"/>
      <c r="I52" s="503"/>
      <c r="J52" s="503"/>
      <c r="K52" s="503"/>
      <c r="L52" s="503"/>
      <c r="M52" s="503"/>
      <c r="Q52" s="489"/>
      <c r="R52" s="491"/>
    </row>
    <row r="53" spans="2:18"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c r="R53" s="491"/>
    </row>
    <row r="54" spans="2:18" ht="18.75" customHeight="1" x14ac:dyDescent="0.3">
      <c r="B54" s="531" t="s">
        <v>462</v>
      </c>
      <c r="C54" s="1449" t="s">
        <v>463</v>
      </c>
      <c r="D54" s="1450"/>
      <c r="E54" s="1450"/>
      <c r="F54" s="1450"/>
      <c r="G54" s="1450"/>
      <c r="H54" s="1450"/>
      <c r="I54" s="1450"/>
      <c r="J54" s="1450"/>
      <c r="K54" s="1450"/>
      <c r="L54" s="1450"/>
      <c r="M54" s="1451"/>
      <c r="N54" s="543"/>
      <c r="O54" s="509" t="s">
        <v>440</v>
      </c>
      <c r="P54" s="1447"/>
      <c r="Q54" s="1447"/>
      <c r="R54" s="491"/>
    </row>
    <row r="55" spans="2:18" ht="18.75" customHeight="1" x14ac:dyDescent="0.3">
      <c r="B55" s="531" t="s">
        <v>464</v>
      </c>
      <c r="C55" s="1449" t="s">
        <v>465</v>
      </c>
      <c r="D55" s="1450"/>
      <c r="E55" s="1450"/>
      <c r="F55" s="1450"/>
      <c r="G55" s="1450"/>
      <c r="H55" s="1450"/>
      <c r="I55" s="1450"/>
      <c r="J55" s="1450"/>
      <c r="K55" s="1450"/>
      <c r="L55" s="1450"/>
      <c r="M55" s="1451"/>
      <c r="N55" s="593"/>
      <c r="O55" s="509" t="s">
        <v>443</v>
      </c>
      <c r="P55" s="1447"/>
      <c r="Q55" s="1447"/>
      <c r="R55" s="491"/>
    </row>
    <row r="56" spans="2:18" ht="18.75" customHeight="1" x14ac:dyDescent="0.3">
      <c r="B56" s="531" t="s">
        <v>466</v>
      </c>
      <c r="C56" s="1449" t="s">
        <v>457</v>
      </c>
      <c r="D56" s="1450"/>
      <c r="E56" s="1450"/>
      <c r="F56" s="1450"/>
      <c r="G56" s="1450"/>
      <c r="H56" s="1450"/>
      <c r="I56" s="1450"/>
      <c r="J56" s="1450"/>
      <c r="K56" s="1450"/>
      <c r="L56" s="1450"/>
      <c r="M56" s="1451"/>
      <c r="N56" s="973"/>
      <c r="O56" s="509" t="s">
        <v>446</v>
      </c>
      <c r="P56" s="1447"/>
      <c r="Q56" s="1447"/>
      <c r="R56" s="491"/>
    </row>
    <row r="57" spans="2:18" ht="18.75" customHeight="1" x14ac:dyDescent="0.3">
      <c r="B57" s="531" t="s">
        <v>468</v>
      </c>
      <c r="C57" s="1449" t="s">
        <v>469</v>
      </c>
      <c r="D57" s="1450"/>
      <c r="E57" s="1450"/>
      <c r="F57" s="1450"/>
      <c r="G57" s="1450"/>
      <c r="H57" s="1450"/>
      <c r="I57" s="1450"/>
      <c r="J57" s="1450"/>
      <c r="K57" s="1450"/>
      <c r="L57" s="1450"/>
      <c r="M57" s="1451"/>
      <c r="N57" s="595"/>
      <c r="O57" s="509" t="s">
        <v>449</v>
      </c>
      <c r="P57" s="1447"/>
      <c r="Q57" s="1447"/>
      <c r="R57" s="491"/>
    </row>
    <row r="58" spans="2:18" ht="18.75" customHeight="1" x14ac:dyDescent="0.3">
      <c r="B58" s="510"/>
      <c r="C58" s="502"/>
      <c r="D58" s="503"/>
      <c r="E58" s="503"/>
      <c r="F58" s="503"/>
      <c r="G58" s="503"/>
      <c r="H58" s="503"/>
      <c r="I58" s="503"/>
      <c r="J58" s="503"/>
      <c r="K58" s="503"/>
      <c r="L58" s="503"/>
      <c r="M58" s="503"/>
      <c r="N58" s="503"/>
      <c r="O58" s="503"/>
    </row>
    <row r="59" spans="2:18" ht="18.75" customHeight="1" x14ac:dyDescent="0.3">
      <c r="B59" s="511" t="s">
        <v>470</v>
      </c>
      <c r="C59" s="512"/>
      <c r="D59" s="512"/>
      <c r="E59" s="512"/>
      <c r="F59" s="512"/>
      <c r="G59" s="512"/>
      <c r="H59" s="681"/>
      <c r="I59" s="681"/>
      <c r="J59" s="681"/>
      <c r="K59" s="681"/>
      <c r="L59" s="681"/>
      <c r="M59" s="681"/>
      <c r="N59" s="681"/>
      <c r="O59" s="681"/>
      <c r="P59" s="681"/>
      <c r="Q59" s="682"/>
    </row>
    <row r="61" spans="2:18" ht="18.75" customHeight="1" x14ac:dyDescent="0.3">
      <c r="B61" s="506" t="s">
        <v>471</v>
      </c>
      <c r="C61" s="506" t="s">
        <v>472</v>
      </c>
      <c r="D61" s="1395" t="s">
        <v>473</v>
      </c>
      <c r="E61" s="1395"/>
      <c r="F61" s="506" t="s">
        <v>474</v>
      </c>
      <c r="G61" s="506" t="s">
        <v>475</v>
      </c>
      <c r="H61" s="506" t="s">
        <v>406</v>
      </c>
      <c r="I61" s="506" t="s">
        <v>428</v>
      </c>
      <c r="J61" s="1396" t="s">
        <v>476</v>
      </c>
      <c r="K61" s="1397"/>
      <c r="L61" s="1397"/>
      <c r="M61" s="1397"/>
      <c r="N61" s="1397"/>
      <c r="O61" s="1397"/>
      <c r="P61" s="1397"/>
      <c r="Q61" s="1398"/>
    </row>
    <row r="62" spans="2:18" ht="28.5" customHeight="1" x14ac:dyDescent="0.3">
      <c r="B62" s="534">
        <v>1</v>
      </c>
      <c r="C62" s="549" t="s">
        <v>1209</v>
      </c>
      <c r="D62" s="1556" t="s">
        <v>1472</v>
      </c>
      <c r="E62" s="1556"/>
      <c r="F62" s="1238"/>
      <c r="G62" s="1238"/>
      <c r="H62" s="548">
        <v>0.65</v>
      </c>
      <c r="I62" s="1238" t="s">
        <v>519</v>
      </c>
      <c r="J62" s="1678" t="s">
        <v>1473</v>
      </c>
      <c r="K62" s="1679"/>
      <c r="L62" s="1679"/>
      <c r="M62" s="1679"/>
      <c r="N62" s="1679"/>
      <c r="O62" s="1679"/>
      <c r="P62" s="1679"/>
      <c r="Q62" s="1680"/>
      <c r="R62" s="491"/>
    </row>
    <row r="63" spans="2:18" ht="12.75" customHeight="1" x14ac:dyDescent="0.3">
      <c r="B63" s="534">
        <v>2</v>
      </c>
      <c r="C63" s="549" t="s">
        <v>1400</v>
      </c>
      <c r="D63" s="1556" t="s">
        <v>1474</v>
      </c>
      <c r="E63" s="1556"/>
      <c r="F63" s="1238"/>
      <c r="G63" s="1238"/>
      <c r="H63" s="559">
        <v>0.93</v>
      </c>
      <c r="I63" s="1238" t="s">
        <v>519</v>
      </c>
      <c r="J63" s="1701" t="s">
        <v>1471</v>
      </c>
      <c r="K63" s="1917"/>
      <c r="L63" s="1917"/>
      <c r="M63" s="1917"/>
      <c r="N63" s="1917"/>
      <c r="O63" s="1917"/>
      <c r="P63" s="1917"/>
      <c r="Q63" s="1918"/>
      <c r="R63" s="491"/>
    </row>
    <row r="64" spans="2:18" ht="26.25" customHeight="1" x14ac:dyDescent="0.3">
      <c r="B64" s="534">
        <v>3</v>
      </c>
      <c r="C64" s="549" t="s">
        <v>1433</v>
      </c>
      <c r="D64" s="1556" t="s">
        <v>1434</v>
      </c>
      <c r="E64" s="1556"/>
      <c r="F64" s="1238" t="str">
        <f>C28</f>
        <v>Other</v>
      </c>
      <c r="G64" s="1238" t="s">
        <v>1475</v>
      </c>
      <c r="H64" s="983">
        <f>INDEX(BuildingType[],MATCH($C$28,BuildingType[Building],0),MATCH($G$64,BuildingType[#Headers],0))</f>
        <v>2987</v>
      </c>
      <c r="I64" s="1238" t="s">
        <v>532</v>
      </c>
      <c r="J64" s="1472" t="s">
        <v>1476</v>
      </c>
      <c r="K64" s="1473"/>
      <c r="L64" s="1473"/>
      <c r="M64" s="1473"/>
      <c r="N64" s="1473"/>
      <c r="O64" s="1473"/>
      <c r="P64" s="1473"/>
      <c r="Q64" s="1474"/>
      <c r="R64" s="491"/>
    </row>
    <row r="65" spans="2:18" ht="37.5" customHeight="1" x14ac:dyDescent="0.3">
      <c r="B65" s="534">
        <v>4</v>
      </c>
      <c r="C65" s="549" t="s">
        <v>695</v>
      </c>
      <c r="D65" s="1556" t="s">
        <v>1477</v>
      </c>
      <c r="E65" s="1556"/>
      <c r="F65" s="1238"/>
      <c r="G65" s="1238"/>
      <c r="H65" s="984">
        <v>8.1000000000000003E-2</v>
      </c>
      <c r="I65" s="1238" t="s">
        <v>519</v>
      </c>
      <c r="J65" s="1462" t="s">
        <v>1471</v>
      </c>
      <c r="K65" s="1464"/>
      <c r="L65" s="1464"/>
      <c r="M65" s="1464"/>
      <c r="N65" s="1464"/>
      <c r="O65" s="1464"/>
      <c r="P65" s="1464"/>
      <c r="Q65" s="1463"/>
      <c r="R65" s="491"/>
    </row>
    <row r="66" spans="2:18" ht="12.75" customHeight="1" x14ac:dyDescent="0.3">
      <c r="B66" s="535">
        <v>5</v>
      </c>
      <c r="C66" s="551" t="s">
        <v>1018</v>
      </c>
      <c r="D66" s="1543" t="s">
        <v>1478</v>
      </c>
      <c r="E66" s="1543"/>
      <c r="F66" s="552"/>
      <c r="G66" s="552"/>
      <c r="H66" s="644">
        <v>1</v>
      </c>
      <c r="I66" s="552" t="s">
        <v>1018</v>
      </c>
      <c r="J66" s="1482" t="s">
        <v>1019</v>
      </c>
      <c r="K66" s="1544"/>
      <c r="L66" s="1544"/>
      <c r="M66" s="1544"/>
      <c r="N66" s="1544"/>
      <c r="O66" s="1544"/>
      <c r="P66" s="1544"/>
      <c r="Q66" s="1545"/>
      <c r="R66" s="491"/>
    </row>
    <row r="67" spans="2:18" ht="13" x14ac:dyDescent="0.3">
      <c r="B67" s="534">
        <v>6</v>
      </c>
      <c r="C67" s="555"/>
      <c r="D67" s="1587"/>
      <c r="E67" s="1587"/>
      <c r="F67" s="557"/>
      <c r="G67" s="557"/>
      <c r="H67" s="557"/>
      <c r="I67" s="557"/>
      <c r="J67" s="1472"/>
      <c r="K67" s="1473"/>
      <c r="L67" s="1473"/>
      <c r="M67" s="1473"/>
      <c r="N67" s="1473"/>
      <c r="O67" s="1473"/>
      <c r="P67" s="1473"/>
      <c r="Q67" s="1474"/>
      <c r="R67" s="491"/>
    </row>
    <row r="68" spans="2:18" ht="13" x14ac:dyDescent="0.3">
      <c r="B68" s="534">
        <v>7</v>
      </c>
      <c r="C68" s="555"/>
      <c r="D68" s="1587"/>
      <c r="E68" s="1587"/>
      <c r="F68" s="557"/>
      <c r="G68" s="557"/>
      <c r="H68" s="557"/>
      <c r="I68" s="557"/>
      <c r="J68" s="1472"/>
      <c r="K68" s="1473"/>
      <c r="L68" s="1473"/>
      <c r="M68" s="1473"/>
      <c r="N68" s="1473"/>
      <c r="O68" s="1473"/>
      <c r="P68" s="1473"/>
      <c r="Q68" s="1474"/>
      <c r="R68" s="491"/>
    </row>
    <row r="69" spans="2:18" ht="13" x14ac:dyDescent="0.3">
      <c r="B69" s="536">
        <v>8</v>
      </c>
      <c r="C69" s="555"/>
      <c r="D69" s="1587"/>
      <c r="E69" s="1587"/>
      <c r="F69" s="557"/>
      <c r="G69" s="557"/>
      <c r="H69" s="557"/>
      <c r="I69" s="557"/>
      <c r="J69" s="1472"/>
      <c r="K69" s="1473"/>
      <c r="L69" s="1473"/>
      <c r="M69" s="1473"/>
      <c r="N69" s="1473"/>
      <c r="O69" s="1473"/>
      <c r="P69" s="1473"/>
      <c r="Q69" s="1474"/>
      <c r="R69" s="491"/>
    </row>
    <row r="70" spans="2:18" ht="13" x14ac:dyDescent="0.3">
      <c r="B70" s="536">
        <v>9</v>
      </c>
      <c r="C70" s="555"/>
      <c r="D70" s="1587"/>
      <c r="E70" s="1587"/>
      <c r="F70" s="557"/>
      <c r="G70" s="557"/>
      <c r="H70" s="1217"/>
      <c r="I70" s="557"/>
      <c r="J70" s="1472"/>
      <c r="K70" s="1473"/>
      <c r="L70" s="1473"/>
      <c r="M70" s="1473"/>
      <c r="N70" s="1473"/>
      <c r="O70" s="1473"/>
      <c r="P70" s="1473"/>
      <c r="Q70" s="1474"/>
      <c r="R70" s="491"/>
    </row>
    <row r="71" spans="2:18" ht="13" x14ac:dyDescent="0.3">
      <c r="B71" s="536">
        <v>10</v>
      </c>
      <c r="C71" s="555"/>
      <c r="D71" s="1587"/>
      <c r="E71" s="1587"/>
      <c r="F71" s="557"/>
      <c r="G71" s="557"/>
      <c r="H71" s="689"/>
      <c r="I71" s="557"/>
      <c r="J71" s="1472"/>
      <c r="K71" s="1473"/>
      <c r="L71" s="1473"/>
      <c r="M71" s="1473"/>
      <c r="N71" s="1473"/>
      <c r="O71" s="1473"/>
      <c r="P71" s="1473"/>
      <c r="Q71" s="1474"/>
      <c r="R71" s="491"/>
    </row>
    <row r="72" spans="2:18" ht="13" x14ac:dyDescent="0.3">
      <c r="B72" s="536">
        <v>11</v>
      </c>
      <c r="C72" s="555"/>
      <c r="D72" s="1587"/>
      <c r="E72" s="1587"/>
      <c r="F72" s="557"/>
      <c r="G72" s="557"/>
      <c r="H72" s="689"/>
      <c r="I72" s="557"/>
      <c r="J72" s="1472"/>
      <c r="K72" s="1473"/>
      <c r="L72" s="1473"/>
      <c r="M72" s="1473"/>
      <c r="N72" s="1473"/>
      <c r="O72" s="1473"/>
      <c r="P72" s="1473"/>
      <c r="Q72" s="1474"/>
      <c r="R72" s="491"/>
    </row>
    <row r="73" spans="2:18" ht="13" x14ac:dyDescent="0.3">
      <c r="B73" s="536">
        <v>12</v>
      </c>
      <c r="C73" s="555"/>
      <c r="D73" s="1587"/>
      <c r="E73" s="1587"/>
      <c r="F73" s="557"/>
      <c r="G73" s="557"/>
      <c r="H73" s="689"/>
      <c r="I73" s="557"/>
      <c r="J73" s="1472"/>
      <c r="K73" s="1473"/>
      <c r="L73" s="1473"/>
      <c r="M73" s="1473"/>
      <c r="N73" s="1473"/>
      <c r="O73" s="1473"/>
      <c r="P73" s="1473"/>
      <c r="Q73" s="1474"/>
      <c r="R73" s="491"/>
    </row>
    <row r="74" spans="2:18" ht="13" x14ac:dyDescent="0.3">
      <c r="B74" s="536">
        <v>13</v>
      </c>
      <c r="C74" s="555"/>
      <c r="D74" s="1587"/>
      <c r="E74" s="1587"/>
      <c r="F74" s="557"/>
      <c r="G74" s="557"/>
      <c r="H74" s="689"/>
      <c r="I74" s="557"/>
      <c r="J74" s="1472"/>
      <c r="K74" s="1473"/>
      <c r="L74" s="1473"/>
      <c r="M74" s="1473"/>
      <c r="N74" s="1473"/>
      <c r="O74" s="1473"/>
      <c r="P74" s="1473"/>
      <c r="Q74" s="1474"/>
      <c r="R74" s="491"/>
    </row>
    <row r="75" spans="2:18" ht="13" x14ac:dyDescent="0.3">
      <c r="B75" s="536">
        <v>14</v>
      </c>
      <c r="C75" s="555"/>
      <c r="D75" s="1587"/>
      <c r="E75" s="1587"/>
      <c r="F75" s="557"/>
      <c r="G75" s="557"/>
      <c r="H75" s="689"/>
      <c r="I75" s="557"/>
      <c r="J75" s="1472"/>
      <c r="K75" s="1473"/>
      <c r="L75" s="1473"/>
      <c r="M75" s="1473"/>
      <c r="N75" s="1473"/>
      <c r="O75" s="1473"/>
      <c r="P75" s="1473"/>
      <c r="Q75" s="1474"/>
      <c r="R75" s="491"/>
    </row>
    <row r="76" spans="2:18" ht="13" x14ac:dyDescent="0.3">
      <c r="B76" s="536">
        <v>15</v>
      </c>
      <c r="C76" s="555"/>
      <c r="D76" s="1587"/>
      <c r="E76" s="1587"/>
      <c r="F76" s="557"/>
      <c r="G76" s="557"/>
      <c r="H76" s="689"/>
      <c r="I76" s="557"/>
      <c r="J76" s="1472"/>
      <c r="K76" s="1473"/>
      <c r="L76" s="1473"/>
      <c r="M76" s="1473"/>
      <c r="N76" s="1473"/>
      <c r="O76" s="1473"/>
      <c r="P76" s="1473"/>
      <c r="Q76" s="1474"/>
      <c r="R76" s="491"/>
    </row>
    <row r="77" spans="2:18" ht="18.75" customHeight="1" x14ac:dyDescent="0.3">
      <c r="B77" s="979"/>
      <c r="C77" s="986"/>
      <c r="D77" s="986"/>
      <c r="E77" s="986"/>
      <c r="F77" s="986"/>
      <c r="G77" s="986"/>
      <c r="H77" s="986"/>
      <c r="I77" s="986"/>
      <c r="J77" s="986"/>
      <c r="K77" s="986"/>
      <c r="L77" s="986"/>
      <c r="M77" s="986"/>
      <c r="N77" s="986"/>
      <c r="O77" s="986"/>
      <c r="P77" s="986"/>
      <c r="Q77" s="986"/>
      <c r="R77" s="491"/>
    </row>
    <row r="78" spans="2:18" ht="18.75" customHeight="1" x14ac:dyDescent="0.3">
      <c r="B78" s="511" t="s">
        <v>477</v>
      </c>
      <c r="C78" s="681"/>
      <c r="D78" s="681"/>
      <c r="E78" s="681"/>
      <c r="F78" s="681"/>
      <c r="G78" s="681"/>
      <c r="H78" s="681"/>
      <c r="I78" s="681"/>
      <c r="J78" s="681"/>
      <c r="K78" s="681"/>
      <c r="L78" s="681"/>
      <c r="M78" s="681"/>
      <c r="N78" s="681"/>
      <c r="O78" s="681"/>
      <c r="P78" s="681"/>
      <c r="Q78" s="681"/>
      <c r="R78" s="491"/>
    </row>
    <row r="79" spans="2:18" ht="18.75" customHeight="1" x14ac:dyDescent="0.3">
      <c r="B79" s="980"/>
      <c r="C79" s="618"/>
      <c r="D79" s="618"/>
      <c r="E79" s="618"/>
      <c r="F79" s="618"/>
      <c r="G79" s="618"/>
      <c r="H79" s="618"/>
      <c r="I79" s="618"/>
      <c r="J79" s="618"/>
      <c r="K79" s="618"/>
      <c r="L79" s="618"/>
      <c r="M79" s="618"/>
      <c r="N79" s="618"/>
      <c r="O79" s="618"/>
      <c r="P79" s="618"/>
      <c r="Q79" s="618"/>
      <c r="R79" s="491"/>
    </row>
    <row r="80" spans="2:18" ht="18.75" customHeight="1" x14ac:dyDescent="0.3">
      <c r="B80" s="506" t="s">
        <v>478</v>
      </c>
      <c r="C80" s="506" t="s">
        <v>479</v>
      </c>
      <c r="D80" s="506" t="s">
        <v>406</v>
      </c>
      <c r="E80" s="506" t="s">
        <v>428</v>
      </c>
      <c r="F80" s="1376" t="s">
        <v>476</v>
      </c>
      <c r="G80" s="1377"/>
      <c r="H80" s="1377"/>
      <c r="I80" s="1377"/>
      <c r="J80" s="1377"/>
      <c r="K80" s="1377"/>
      <c r="L80" s="1377"/>
      <c r="M80" s="1377"/>
      <c r="N80" s="1377"/>
      <c r="O80" s="1377"/>
      <c r="P80" s="1377"/>
      <c r="Q80" s="1378"/>
      <c r="R80" s="491"/>
    </row>
    <row r="81" spans="2:18" ht="13" x14ac:dyDescent="0.3">
      <c r="B81" s="533">
        <v>1</v>
      </c>
      <c r="C81" s="560"/>
      <c r="D81" s="561"/>
      <c r="E81" s="1182"/>
      <c r="F81" s="1486"/>
      <c r="G81" s="1487"/>
      <c r="H81" s="1487"/>
      <c r="I81" s="1487"/>
      <c r="J81" s="1487"/>
      <c r="K81" s="1487"/>
      <c r="L81" s="1487"/>
      <c r="M81" s="1487"/>
      <c r="N81" s="1487"/>
      <c r="O81" s="1487"/>
      <c r="P81" s="1487"/>
      <c r="Q81" s="1488"/>
      <c r="R81" s="491"/>
    </row>
    <row r="82" spans="2:18" ht="13" x14ac:dyDescent="0.3">
      <c r="B82" s="533">
        <v>2</v>
      </c>
      <c r="C82" s="560"/>
      <c r="D82" s="562"/>
      <c r="E82" s="1182"/>
      <c r="F82" s="1489"/>
      <c r="G82" s="1490"/>
      <c r="H82" s="1490"/>
      <c r="I82" s="1490"/>
      <c r="J82" s="1490"/>
      <c r="K82" s="1490"/>
      <c r="L82" s="1490"/>
      <c r="M82" s="1490"/>
      <c r="N82" s="1490"/>
      <c r="O82" s="1490"/>
      <c r="P82" s="1490"/>
      <c r="Q82" s="1491"/>
      <c r="R82" s="491"/>
    </row>
    <row r="83" spans="2:18" ht="13" x14ac:dyDescent="0.3">
      <c r="B83" s="533">
        <v>3</v>
      </c>
      <c r="C83" s="560"/>
      <c r="D83" s="562"/>
      <c r="E83" s="1182"/>
      <c r="F83" s="1489"/>
      <c r="G83" s="1490"/>
      <c r="H83" s="1490"/>
      <c r="I83" s="1490"/>
      <c r="J83" s="1490"/>
      <c r="K83" s="1490"/>
      <c r="L83" s="1490"/>
      <c r="M83" s="1490"/>
      <c r="N83" s="1490"/>
      <c r="O83" s="1490"/>
      <c r="P83" s="1490"/>
      <c r="Q83" s="1491"/>
      <c r="R83" s="491"/>
    </row>
    <row r="84" spans="2:18" ht="13" x14ac:dyDescent="0.3">
      <c r="B84" s="533">
        <v>4</v>
      </c>
      <c r="C84" s="560"/>
      <c r="D84" s="562"/>
      <c r="E84" s="1182"/>
      <c r="F84" s="1489"/>
      <c r="G84" s="1490"/>
      <c r="H84" s="1490"/>
      <c r="I84" s="1490"/>
      <c r="J84" s="1490"/>
      <c r="K84" s="1490"/>
      <c r="L84" s="1490"/>
      <c r="M84" s="1490"/>
      <c r="N84" s="1490"/>
      <c r="O84" s="1490"/>
      <c r="P84" s="1490"/>
      <c r="Q84" s="1491"/>
      <c r="R84" s="491"/>
    </row>
    <row r="85" spans="2:18" ht="13" x14ac:dyDescent="0.3">
      <c r="B85" s="533">
        <v>5</v>
      </c>
      <c r="C85" s="560"/>
      <c r="D85" s="562"/>
      <c r="E85" s="1182"/>
      <c r="F85" s="1489"/>
      <c r="G85" s="1490"/>
      <c r="H85" s="1490"/>
      <c r="I85" s="1490"/>
      <c r="J85" s="1490"/>
      <c r="K85" s="1490"/>
      <c r="L85" s="1490"/>
      <c r="M85" s="1490"/>
      <c r="N85" s="1490"/>
      <c r="O85" s="1490"/>
      <c r="P85" s="1490"/>
      <c r="Q85" s="1491"/>
      <c r="R85" s="491"/>
    </row>
    <row r="86" spans="2:18" ht="13" x14ac:dyDescent="0.3">
      <c r="B86" s="533">
        <v>6</v>
      </c>
      <c r="C86" s="977"/>
      <c r="D86" s="978"/>
      <c r="E86" s="1234"/>
      <c r="F86" s="1938"/>
      <c r="G86" s="1939"/>
      <c r="H86" s="1939"/>
      <c r="I86" s="1939"/>
      <c r="J86" s="1939"/>
      <c r="K86" s="1939"/>
      <c r="L86" s="1939"/>
      <c r="M86" s="1939"/>
      <c r="N86" s="1939"/>
      <c r="O86" s="1939"/>
      <c r="P86" s="1939"/>
      <c r="Q86" s="1940"/>
      <c r="R86" s="491"/>
    </row>
    <row r="87" spans="2:18" ht="13" x14ac:dyDescent="0.3">
      <c r="B87" s="533">
        <v>7</v>
      </c>
      <c r="C87" s="560"/>
      <c r="D87" s="562"/>
      <c r="E87" s="1182"/>
      <c r="F87" s="1489"/>
      <c r="G87" s="1490"/>
      <c r="H87" s="1490"/>
      <c r="I87" s="1490"/>
      <c r="J87" s="1490"/>
      <c r="K87" s="1490"/>
      <c r="L87" s="1490"/>
      <c r="M87" s="1490"/>
      <c r="N87" s="1490"/>
      <c r="O87" s="1490"/>
      <c r="P87" s="1490"/>
      <c r="Q87" s="1491"/>
      <c r="R87" s="491"/>
    </row>
    <row r="88" spans="2:18" ht="13" x14ac:dyDescent="0.3">
      <c r="B88" s="533">
        <v>8</v>
      </c>
      <c r="C88" s="560"/>
      <c r="D88" s="562"/>
      <c r="E88" s="1182"/>
      <c r="F88" s="1489"/>
      <c r="G88" s="1490"/>
      <c r="H88" s="1490"/>
      <c r="I88" s="1490"/>
      <c r="J88" s="1490"/>
      <c r="K88" s="1490"/>
      <c r="L88" s="1490"/>
      <c r="M88" s="1490"/>
      <c r="N88" s="1490"/>
      <c r="O88" s="1490"/>
      <c r="P88" s="1490"/>
      <c r="Q88" s="1491"/>
      <c r="R88" s="491"/>
    </row>
    <row r="89" spans="2:18" ht="13" x14ac:dyDescent="0.3">
      <c r="B89" s="533">
        <v>9</v>
      </c>
      <c r="C89" s="560"/>
      <c r="D89" s="562"/>
      <c r="E89" s="1182"/>
      <c r="F89" s="1489"/>
      <c r="G89" s="1490"/>
      <c r="H89" s="1490"/>
      <c r="I89" s="1490"/>
      <c r="J89" s="1490"/>
      <c r="K89" s="1490"/>
      <c r="L89" s="1490"/>
      <c r="M89" s="1490"/>
      <c r="N89" s="1490"/>
      <c r="O89" s="1490"/>
      <c r="P89" s="1490"/>
      <c r="Q89" s="1491"/>
      <c r="R89" s="491"/>
    </row>
    <row r="90" spans="2:18" ht="13" x14ac:dyDescent="0.3">
      <c r="B90" s="533">
        <v>10</v>
      </c>
      <c r="C90" s="560"/>
      <c r="D90" s="562"/>
      <c r="E90" s="1182"/>
      <c r="F90" s="1489"/>
      <c r="G90" s="1490"/>
      <c r="H90" s="1490"/>
      <c r="I90" s="1490"/>
      <c r="J90" s="1490"/>
      <c r="K90" s="1490"/>
      <c r="L90" s="1490"/>
      <c r="M90" s="1490"/>
      <c r="N90" s="1490"/>
      <c r="O90" s="1490"/>
      <c r="P90" s="1490"/>
      <c r="Q90" s="1491"/>
      <c r="R90" s="491"/>
    </row>
    <row r="91" spans="2:18" ht="18.75" customHeight="1" x14ac:dyDescent="0.3">
      <c r="E91" s="986"/>
      <c r="F91" s="986"/>
      <c r="G91" s="986"/>
      <c r="H91" s="986"/>
      <c r="I91" s="986"/>
      <c r="J91" s="986"/>
      <c r="K91" s="986"/>
      <c r="L91" s="986"/>
      <c r="M91" s="986"/>
      <c r="N91" s="986"/>
      <c r="R91" s="491"/>
    </row>
    <row r="92" spans="2:18" ht="18.75" customHeight="1" x14ac:dyDescent="0.3">
      <c r="B92" s="511" t="s">
        <v>492</v>
      </c>
      <c r="C92" s="681"/>
      <c r="D92" s="681"/>
      <c r="E92" s="681"/>
      <c r="F92" s="681"/>
      <c r="G92" s="681"/>
      <c r="H92" s="681"/>
      <c r="I92" s="681"/>
      <c r="J92" s="681"/>
      <c r="K92" s="681"/>
      <c r="L92" s="681"/>
      <c r="M92" s="681"/>
      <c r="N92" s="681"/>
      <c r="O92" s="681"/>
      <c r="P92" s="681"/>
      <c r="Q92" s="681"/>
      <c r="R92" s="491"/>
    </row>
    <row r="93" spans="2:18" ht="18.75" customHeight="1" x14ac:dyDescent="0.3">
      <c r="B93" s="979"/>
      <c r="C93" s="986"/>
      <c r="D93" s="986"/>
      <c r="E93" s="986"/>
      <c r="F93" s="986"/>
      <c r="G93" s="986"/>
      <c r="H93" s="986"/>
      <c r="I93" s="986"/>
      <c r="J93" s="986"/>
      <c r="K93" s="986"/>
      <c r="L93" s="986"/>
      <c r="M93" s="986"/>
      <c r="N93" s="986"/>
      <c r="O93" s="986"/>
      <c r="P93" s="986"/>
      <c r="Q93" s="986"/>
      <c r="R93" s="491"/>
    </row>
    <row r="94" spans="2:18" ht="18.75" customHeight="1" x14ac:dyDescent="0.3">
      <c r="B94" s="1188" t="s">
        <v>493</v>
      </c>
      <c r="C94" s="986"/>
      <c r="D94" s="986"/>
      <c r="E94" s="1926" t="s">
        <v>494</v>
      </c>
      <c r="F94" s="1927"/>
      <c r="G94" s="1927"/>
      <c r="H94" s="1927"/>
      <c r="I94" s="1927"/>
      <c r="J94" s="1927"/>
      <c r="K94" s="1927"/>
      <c r="L94" s="1927"/>
      <c r="M94" s="1927"/>
      <c r="N94" s="1927"/>
      <c r="O94" s="1928" t="s">
        <v>476</v>
      </c>
      <c r="P94" s="1929"/>
      <c r="Q94" s="1930"/>
      <c r="R94" s="491"/>
    </row>
    <row r="95" spans="2:18" ht="25.5" customHeight="1" x14ac:dyDescent="0.3">
      <c r="B95" s="1214" t="s">
        <v>1467</v>
      </c>
      <c r="C95" s="987"/>
      <c r="D95" s="988"/>
      <c r="E95" s="1142" t="s">
        <v>495</v>
      </c>
      <c r="F95" s="1142" t="s">
        <v>496</v>
      </c>
      <c r="G95" s="1142" t="s">
        <v>497</v>
      </c>
      <c r="H95" s="1142" t="s">
        <v>498</v>
      </c>
      <c r="I95" s="1142" t="s">
        <v>499</v>
      </c>
      <c r="J95" s="1142" t="s">
        <v>500</v>
      </c>
      <c r="K95" s="1142" t="s">
        <v>501</v>
      </c>
      <c r="L95" s="1142" t="s">
        <v>502</v>
      </c>
      <c r="M95" s="1142" t="s">
        <v>503</v>
      </c>
      <c r="N95" s="1235" t="s">
        <v>504</v>
      </c>
      <c r="O95" s="1931"/>
      <c r="P95" s="1932"/>
      <c r="Q95" s="1933"/>
      <c r="R95" s="491"/>
    </row>
    <row r="96" spans="2:18" ht="25.5" customHeight="1" x14ac:dyDescent="0.3">
      <c r="B96" s="1188" t="s">
        <v>478</v>
      </c>
      <c r="C96" s="1926" t="s">
        <v>538</v>
      </c>
      <c r="D96" s="1937"/>
      <c r="E96" s="565" t="s">
        <v>936</v>
      </c>
      <c r="F96" s="565"/>
      <c r="G96" s="565"/>
      <c r="H96" s="565"/>
      <c r="I96" s="565"/>
      <c r="J96" s="565"/>
      <c r="K96" s="565"/>
      <c r="L96" s="565"/>
      <c r="M96" s="565"/>
      <c r="N96" s="566"/>
      <c r="O96" s="1934"/>
      <c r="P96" s="1935"/>
      <c r="Q96" s="1936"/>
      <c r="R96" s="491"/>
    </row>
    <row r="97" spans="2:18" ht="13" x14ac:dyDescent="0.3">
      <c r="B97" s="536">
        <v>1</v>
      </c>
      <c r="C97" s="546">
        <v>1</v>
      </c>
      <c r="D97" s="1184"/>
      <c r="E97" s="989">
        <v>0.81666666666666676</v>
      </c>
      <c r="F97" s="678"/>
      <c r="G97" s="691"/>
      <c r="H97" s="691"/>
      <c r="I97" s="692"/>
      <c r="J97" s="692"/>
      <c r="K97" s="692"/>
      <c r="L97" s="692"/>
      <c r="M97" s="692"/>
      <c r="N97" s="692"/>
      <c r="O97" s="1656"/>
      <c r="P97" s="1657"/>
      <c r="Q97" s="1658"/>
      <c r="R97" s="491"/>
    </row>
    <row r="98" spans="2:18" ht="13" x14ac:dyDescent="0.3">
      <c r="B98" s="536">
        <v>2</v>
      </c>
      <c r="C98" s="546">
        <v>5</v>
      </c>
      <c r="D98" s="1184"/>
      <c r="E98" s="989">
        <v>0.88833333333333331</v>
      </c>
      <c r="F98" s="678"/>
      <c r="G98" s="691"/>
      <c r="H98" s="691"/>
      <c r="I98" s="692"/>
      <c r="J98" s="692"/>
      <c r="K98" s="692"/>
      <c r="L98" s="692"/>
      <c r="M98" s="692"/>
      <c r="N98" s="692"/>
      <c r="O98" s="1653"/>
      <c r="P98" s="1654"/>
      <c r="Q98" s="1655"/>
      <c r="R98" s="491"/>
    </row>
    <row r="99" spans="2:18" ht="13" x14ac:dyDescent="0.3">
      <c r="B99" s="536">
        <v>3</v>
      </c>
      <c r="C99" s="546">
        <v>10</v>
      </c>
      <c r="D99" s="1184"/>
      <c r="E99" s="989">
        <v>0.90966666666666673</v>
      </c>
      <c r="F99" s="678"/>
      <c r="G99" s="691"/>
      <c r="H99" s="691"/>
      <c r="I99" s="692"/>
      <c r="J99" s="692"/>
      <c r="K99" s="692"/>
      <c r="L99" s="692"/>
      <c r="M99" s="692"/>
      <c r="N99" s="692"/>
      <c r="O99" s="1653"/>
      <c r="P99" s="1654"/>
      <c r="Q99" s="1655"/>
      <c r="R99" s="491"/>
    </row>
    <row r="100" spans="2:18" ht="13" x14ac:dyDescent="0.3">
      <c r="B100" s="536">
        <v>4</v>
      </c>
      <c r="C100" s="546">
        <v>15</v>
      </c>
      <c r="D100" s="1184"/>
      <c r="E100" s="989">
        <v>0.91666666666666685</v>
      </c>
      <c r="F100" s="678"/>
      <c r="G100" s="691"/>
      <c r="H100" s="691"/>
      <c r="I100" s="692"/>
      <c r="J100" s="692"/>
      <c r="K100" s="692"/>
      <c r="L100" s="692"/>
      <c r="M100" s="692"/>
      <c r="N100" s="692"/>
      <c r="O100" s="1653"/>
      <c r="P100" s="1654"/>
      <c r="Q100" s="1655"/>
      <c r="R100" s="491"/>
    </row>
    <row r="101" spans="2:18" ht="13" x14ac:dyDescent="0.3">
      <c r="B101" s="536">
        <v>5</v>
      </c>
      <c r="C101" s="546">
        <v>20</v>
      </c>
      <c r="D101" s="1184"/>
      <c r="E101" s="989">
        <v>0.92016666666666669</v>
      </c>
      <c r="F101" s="678"/>
      <c r="G101" s="691"/>
      <c r="H101" s="691"/>
      <c r="I101" s="692"/>
      <c r="J101" s="692"/>
      <c r="K101" s="692"/>
      <c r="L101" s="692"/>
      <c r="M101" s="692"/>
      <c r="N101" s="692"/>
      <c r="O101" s="1653"/>
      <c r="P101" s="1654"/>
      <c r="Q101" s="1655"/>
      <c r="R101" s="491"/>
    </row>
    <row r="102" spans="2:18" ht="13" x14ac:dyDescent="0.3">
      <c r="B102" s="536">
        <v>6</v>
      </c>
      <c r="C102" s="546">
        <v>25</v>
      </c>
      <c r="D102" s="570"/>
      <c r="E102" s="990">
        <v>0.92766666666666675</v>
      </c>
      <c r="F102" s="1190"/>
      <c r="G102" s="691"/>
      <c r="H102" s="691"/>
      <c r="I102" s="556"/>
      <c r="J102" s="556"/>
      <c r="K102" s="556"/>
      <c r="L102" s="556"/>
      <c r="M102" s="556"/>
      <c r="N102" s="556"/>
      <c r="O102" s="1650"/>
      <c r="P102" s="1651"/>
      <c r="Q102" s="1652"/>
      <c r="R102" s="491"/>
    </row>
    <row r="103" spans="2:18" ht="13" x14ac:dyDescent="0.3">
      <c r="B103" s="536">
        <v>7</v>
      </c>
      <c r="C103" s="555">
        <v>30</v>
      </c>
      <c r="D103" s="1221"/>
      <c r="E103" s="991">
        <v>0.92949999999999999</v>
      </c>
      <c r="F103" s="556"/>
      <c r="G103" s="556"/>
      <c r="H103" s="691"/>
      <c r="I103" s="556"/>
      <c r="J103" s="556"/>
      <c r="K103" s="556"/>
      <c r="L103" s="556"/>
      <c r="M103" s="556"/>
      <c r="N103" s="556"/>
      <c r="O103" s="1650"/>
      <c r="P103" s="1651"/>
      <c r="Q103" s="1652"/>
      <c r="R103" s="491"/>
    </row>
    <row r="104" spans="2:18" ht="13" x14ac:dyDescent="0.3">
      <c r="B104" s="536">
        <v>8</v>
      </c>
      <c r="C104" s="555">
        <v>40</v>
      </c>
      <c r="D104" s="1221"/>
      <c r="E104" s="991">
        <v>0.93533333333333335</v>
      </c>
      <c r="F104" s="556"/>
      <c r="G104" s="556"/>
      <c r="H104" s="556"/>
      <c r="I104" s="556"/>
      <c r="J104" s="556"/>
      <c r="K104" s="556"/>
      <c r="L104" s="556"/>
      <c r="M104" s="556"/>
      <c r="N104" s="556"/>
      <c r="O104" s="1650"/>
      <c r="P104" s="1651"/>
      <c r="Q104" s="1652"/>
      <c r="R104" s="491"/>
    </row>
    <row r="105" spans="2:18" ht="13" x14ac:dyDescent="0.3">
      <c r="B105" s="536">
        <v>9</v>
      </c>
      <c r="C105" s="555">
        <v>50</v>
      </c>
      <c r="D105" s="1221"/>
      <c r="E105" s="991">
        <v>0.93866666666666665</v>
      </c>
      <c r="F105" s="1217"/>
      <c r="G105" s="1217"/>
      <c r="H105" s="1217"/>
      <c r="I105" s="569"/>
      <c r="J105" s="569"/>
      <c r="K105" s="569"/>
      <c r="L105" s="569"/>
      <c r="M105" s="569"/>
      <c r="N105" s="569"/>
      <c r="O105" s="1492"/>
      <c r="P105" s="1493"/>
      <c r="Q105" s="1494"/>
      <c r="R105" s="491"/>
    </row>
    <row r="106" spans="2:18" ht="13" x14ac:dyDescent="0.3">
      <c r="B106" s="536">
        <v>10</v>
      </c>
      <c r="C106" s="555">
        <v>60</v>
      </c>
      <c r="D106" s="1221"/>
      <c r="E106" s="991">
        <v>0.94366666666666665</v>
      </c>
      <c r="F106" s="1217"/>
      <c r="G106" s="1217"/>
      <c r="H106" s="1217"/>
      <c r="I106" s="569"/>
      <c r="J106" s="569"/>
      <c r="K106" s="569"/>
      <c r="L106" s="569"/>
      <c r="M106" s="569"/>
      <c r="N106" s="569"/>
      <c r="O106" s="1492"/>
      <c r="P106" s="1493"/>
      <c r="Q106" s="1494"/>
      <c r="R106" s="491"/>
    </row>
    <row r="107" spans="2:18" ht="13" x14ac:dyDescent="0.3">
      <c r="B107" s="536">
        <v>11</v>
      </c>
      <c r="C107" s="555">
        <v>75</v>
      </c>
      <c r="D107" s="1221"/>
      <c r="E107" s="991">
        <v>0.94433333333333325</v>
      </c>
      <c r="F107" s="691"/>
      <c r="G107" s="689"/>
      <c r="H107" s="689"/>
      <c r="I107" s="556"/>
      <c r="J107" s="556"/>
      <c r="K107" s="556"/>
      <c r="L107" s="556"/>
      <c r="M107" s="556"/>
      <c r="N107" s="556"/>
      <c r="O107" s="1650"/>
      <c r="P107" s="1651"/>
      <c r="Q107" s="1652"/>
      <c r="R107" s="491"/>
    </row>
    <row r="108" spans="2:18" ht="13" x14ac:dyDescent="0.3">
      <c r="B108" s="536">
        <v>12</v>
      </c>
      <c r="C108" s="555">
        <v>100</v>
      </c>
      <c r="D108" s="1221"/>
      <c r="E108" s="991">
        <v>0.9474999999999999</v>
      </c>
      <c r="F108" s="691"/>
      <c r="G108" s="1217"/>
      <c r="H108" s="1217"/>
      <c r="I108" s="569"/>
      <c r="J108" s="569"/>
      <c r="K108" s="569"/>
      <c r="L108" s="569"/>
      <c r="M108" s="569"/>
      <c r="N108" s="569"/>
      <c r="O108" s="1492"/>
      <c r="P108" s="1493"/>
      <c r="Q108" s="1494"/>
      <c r="R108" s="491"/>
    </row>
    <row r="109" spans="2:18" ht="13" x14ac:dyDescent="0.3">
      <c r="B109" s="536">
        <v>13</v>
      </c>
      <c r="C109" s="555">
        <v>200</v>
      </c>
      <c r="D109" s="1221"/>
      <c r="E109" s="991">
        <v>0.95599999999999996</v>
      </c>
      <c r="F109" s="1217"/>
      <c r="G109" s="1217"/>
      <c r="H109" s="1217"/>
      <c r="I109" s="569"/>
      <c r="J109" s="569"/>
      <c r="K109" s="569"/>
      <c r="L109" s="569"/>
      <c r="M109" s="569"/>
      <c r="N109" s="569"/>
      <c r="O109" s="1492"/>
      <c r="P109" s="1493"/>
      <c r="Q109" s="1494"/>
      <c r="R109" s="491"/>
    </row>
    <row r="110" spans="2:18" ht="13" x14ac:dyDescent="0.3">
      <c r="B110" s="536">
        <v>14</v>
      </c>
      <c r="C110" s="555">
        <v>300</v>
      </c>
      <c r="D110" s="1221"/>
      <c r="E110" s="991">
        <v>0.95733333333333326</v>
      </c>
      <c r="F110" s="690"/>
      <c r="G110" s="690"/>
      <c r="H110" s="690"/>
      <c r="I110" s="556"/>
      <c r="J110" s="556"/>
      <c r="K110" s="556"/>
      <c r="L110" s="556"/>
      <c r="M110" s="556"/>
      <c r="N110" s="556"/>
      <c r="O110" s="1650"/>
      <c r="P110" s="1651"/>
      <c r="Q110" s="1652"/>
      <c r="R110" s="491"/>
    </row>
    <row r="111" spans="2:18" ht="13" x14ac:dyDescent="0.3">
      <c r="B111" s="536">
        <v>15</v>
      </c>
      <c r="C111" s="555">
        <v>400</v>
      </c>
      <c r="D111" s="1221"/>
      <c r="E111" s="991">
        <v>0.95866666666666667</v>
      </c>
      <c r="F111" s="690"/>
      <c r="G111" s="690"/>
      <c r="H111" s="690"/>
      <c r="I111" s="556"/>
      <c r="J111" s="556"/>
      <c r="K111" s="556"/>
      <c r="L111" s="556"/>
      <c r="M111" s="556"/>
      <c r="N111" s="556"/>
      <c r="O111" s="1650"/>
      <c r="P111" s="1651"/>
      <c r="Q111" s="1652"/>
      <c r="R111" s="491"/>
    </row>
    <row r="112" spans="2:18" ht="13" x14ac:dyDescent="0.3">
      <c r="B112" s="536">
        <v>16</v>
      </c>
      <c r="C112" s="507">
        <v>500</v>
      </c>
      <c r="D112" s="1200"/>
      <c r="E112" s="971">
        <v>0.96</v>
      </c>
      <c r="F112" s="684"/>
      <c r="G112" s="684"/>
      <c r="H112" s="684"/>
      <c r="I112" s="517"/>
      <c r="J112" s="517"/>
      <c r="K112" s="517"/>
      <c r="L112" s="517"/>
      <c r="M112" s="517"/>
      <c r="N112" s="517"/>
      <c r="O112" s="1923"/>
      <c r="P112" s="1924"/>
      <c r="Q112" s="1925"/>
      <c r="R112" s="491"/>
    </row>
    <row r="113" spans="2:18" ht="13" x14ac:dyDescent="0.3">
      <c r="B113" s="536">
        <v>17</v>
      </c>
      <c r="C113" s="507"/>
      <c r="D113" s="1200"/>
      <c r="E113" s="684"/>
      <c r="F113" s="684"/>
      <c r="G113" s="684"/>
      <c r="H113" s="684"/>
      <c r="I113" s="517"/>
      <c r="J113" s="517"/>
      <c r="K113" s="517"/>
      <c r="L113" s="517"/>
      <c r="M113" s="517"/>
      <c r="N113" s="517"/>
      <c r="O113" s="1923"/>
      <c r="P113" s="1924"/>
      <c r="Q113" s="1925"/>
      <c r="R113" s="491"/>
    </row>
    <row r="114" spans="2:18" ht="13" x14ac:dyDescent="0.3">
      <c r="B114" s="536">
        <v>18</v>
      </c>
      <c r="C114" s="507"/>
      <c r="D114" s="1200"/>
      <c r="E114" s="684"/>
      <c r="F114" s="684"/>
      <c r="G114" s="684"/>
      <c r="H114" s="684"/>
      <c r="I114" s="517"/>
      <c r="J114" s="517"/>
      <c r="K114" s="517"/>
      <c r="L114" s="517"/>
      <c r="M114" s="517"/>
      <c r="N114" s="517"/>
      <c r="O114" s="1923"/>
      <c r="P114" s="1924"/>
      <c r="Q114" s="1925"/>
      <c r="R114" s="491"/>
    </row>
    <row r="115" spans="2:18" ht="13" x14ac:dyDescent="0.3">
      <c r="B115" s="536">
        <v>19</v>
      </c>
      <c r="C115" s="507"/>
      <c r="D115" s="1200"/>
      <c r="E115" s="684"/>
      <c r="F115" s="684"/>
      <c r="G115" s="684"/>
      <c r="H115" s="684"/>
      <c r="I115" s="517"/>
      <c r="J115" s="517"/>
      <c r="K115" s="517"/>
      <c r="L115" s="517"/>
      <c r="M115" s="517"/>
      <c r="N115" s="517"/>
      <c r="O115" s="1923"/>
      <c r="P115" s="1924"/>
      <c r="Q115" s="1925"/>
      <c r="R115" s="491"/>
    </row>
    <row r="116" spans="2:18" ht="13" x14ac:dyDescent="0.3">
      <c r="B116" s="536">
        <v>20</v>
      </c>
      <c r="C116" s="507"/>
      <c r="D116" s="1200"/>
      <c r="E116" s="684"/>
      <c r="F116" s="684"/>
      <c r="G116" s="684"/>
      <c r="H116" s="684"/>
      <c r="I116" s="517"/>
      <c r="J116" s="517"/>
      <c r="K116" s="517"/>
      <c r="L116" s="517"/>
      <c r="M116" s="517"/>
      <c r="N116" s="517"/>
      <c r="O116" s="1923"/>
      <c r="P116" s="1924"/>
      <c r="Q116" s="1925"/>
      <c r="R116" s="491"/>
    </row>
  </sheetData>
  <sheetProtection algorithmName="SHA-512" hashValue="bKOuzSNOIIjg9N3qmAGnargP9053Zypg/dttcV9GTQeDRdECVzZsvasN97ax7+x0x7ZSa1P8WZuhiU4VIMRK7w==" saltValue="vs8DXlHgUxliRZWS+sXfnA==" spinCount="100000" sheet="1" objects="1" scenarios="1" selectLockedCells="1" selectUnlockedCells="1"/>
  <mergeCells count="120">
    <mergeCell ref="P42:Q42"/>
    <mergeCell ref="D71:E71"/>
    <mergeCell ref="J71:Q71"/>
    <mergeCell ref="D66:E66"/>
    <mergeCell ref="J66:Q66"/>
    <mergeCell ref="D68:E68"/>
    <mergeCell ref="J68:Q68"/>
    <mergeCell ref="D67:E67"/>
    <mergeCell ref="J67:Q67"/>
    <mergeCell ref="D69:E69"/>
    <mergeCell ref="J69:Q69"/>
    <mergeCell ref="D70:E70"/>
    <mergeCell ref="J70:Q70"/>
    <mergeCell ref="C47:M47"/>
    <mergeCell ref="D63:E63"/>
    <mergeCell ref="J63:Q63"/>
    <mergeCell ref="D64:E64"/>
    <mergeCell ref="J64:Q64"/>
    <mergeCell ref="D65:E65"/>
    <mergeCell ref="C54:M54"/>
    <mergeCell ref="J61:Q61"/>
    <mergeCell ref="D62:E62"/>
    <mergeCell ref="J62:Q62"/>
    <mergeCell ref="P54:Q54"/>
    <mergeCell ref="C2:F2"/>
    <mergeCell ref="C3:F3"/>
    <mergeCell ref="C4:F4"/>
    <mergeCell ref="D7:F7"/>
    <mergeCell ref="D17:F17"/>
    <mergeCell ref="D18:F18"/>
    <mergeCell ref="D8:F16"/>
    <mergeCell ref="C5:F5"/>
    <mergeCell ref="B20:Q20"/>
    <mergeCell ref="C22:Q22"/>
    <mergeCell ref="C21:Q21"/>
    <mergeCell ref="D25:Q25"/>
    <mergeCell ref="E35:Q35"/>
    <mergeCell ref="E36:Q36"/>
    <mergeCell ref="E37:Q37"/>
    <mergeCell ref="C41:M41"/>
    <mergeCell ref="E32:Q32"/>
    <mergeCell ref="E33:Q33"/>
    <mergeCell ref="E34:Q34"/>
    <mergeCell ref="P41:Q41"/>
    <mergeCell ref="C23:Q23"/>
    <mergeCell ref="D26:Q26"/>
    <mergeCell ref="D27:Q27"/>
    <mergeCell ref="D28:Q28"/>
    <mergeCell ref="J74:Q74"/>
    <mergeCell ref="D75:E75"/>
    <mergeCell ref="J75:Q75"/>
    <mergeCell ref="F86:Q86"/>
    <mergeCell ref="F87:Q87"/>
    <mergeCell ref="F88:Q88"/>
    <mergeCell ref="F89:Q89"/>
    <mergeCell ref="F90:Q90"/>
    <mergeCell ref="F80:Q80"/>
    <mergeCell ref="F81:Q81"/>
    <mergeCell ref="F82:Q82"/>
    <mergeCell ref="F83:Q83"/>
    <mergeCell ref="F84:Q84"/>
    <mergeCell ref="F85:Q85"/>
    <mergeCell ref="C55:M55"/>
    <mergeCell ref="P55:Q55"/>
    <mergeCell ref="C56:M56"/>
    <mergeCell ref="P56:Q56"/>
    <mergeCell ref="C50:M50"/>
    <mergeCell ref="P50:Q50"/>
    <mergeCell ref="C51:M51"/>
    <mergeCell ref="D29:Q29"/>
    <mergeCell ref="D30:Q30"/>
    <mergeCell ref="P51:Q51"/>
    <mergeCell ref="C53:M53"/>
    <mergeCell ref="P53:Q53"/>
    <mergeCell ref="P47:Q47"/>
    <mergeCell ref="C48:M48"/>
    <mergeCell ref="C44:M44"/>
    <mergeCell ref="P44:Q44"/>
    <mergeCell ref="C45:M45"/>
    <mergeCell ref="P45:Q45"/>
    <mergeCell ref="C42:M42"/>
    <mergeCell ref="P48:Q48"/>
    <mergeCell ref="C49:M49"/>
    <mergeCell ref="P49:Q49"/>
    <mergeCell ref="C43:M43"/>
    <mergeCell ref="P43:Q43"/>
    <mergeCell ref="O116:Q116"/>
    <mergeCell ref="O102:Q102"/>
    <mergeCell ref="O103:Q103"/>
    <mergeCell ref="O104:Q104"/>
    <mergeCell ref="O105:Q105"/>
    <mergeCell ref="O106:Q106"/>
    <mergeCell ref="O107:Q107"/>
    <mergeCell ref="O108:Q108"/>
    <mergeCell ref="O109:Q109"/>
    <mergeCell ref="O110:Q110"/>
    <mergeCell ref="J65:Q65"/>
    <mergeCell ref="C57:M57"/>
    <mergeCell ref="P57:Q57"/>
    <mergeCell ref="D61:E61"/>
    <mergeCell ref="O111:Q111"/>
    <mergeCell ref="O112:Q112"/>
    <mergeCell ref="O113:Q113"/>
    <mergeCell ref="O114:Q114"/>
    <mergeCell ref="O115:Q115"/>
    <mergeCell ref="D76:E76"/>
    <mergeCell ref="J76:Q76"/>
    <mergeCell ref="D72:E72"/>
    <mergeCell ref="E94:N94"/>
    <mergeCell ref="O99:Q99"/>
    <mergeCell ref="O100:Q100"/>
    <mergeCell ref="O101:Q101"/>
    <mergeCell ref="O94:Q96"/>
    <mergeCell ref="C96:D96"/>
    <mergeCell ref="O97:Q97"/>
    <mergeCell ref="O98:Q98"/>
    <mergeCell ref="J72:Q72"/>
    <mergeCell ref="D73:E73"/>
    <mergeCell ref="J73:Q73"/>
    <mergeCell ref="D74:E74"/>
  </mergeCells>
  <conditionalFormatting sqref="H71">
    <cfRule type="expression" dxfId="2830" priority="67">
      <formula>IF(OR(#REF!="L",#REF!="C"),TRUE,FALSE)</formula>
    </cfRule>
  </conditionalFormatting>
  <conditionalFormatting sqref="H66">
    <cfRule type="expression" dxfId="2829" priority="66">
      <formula>IF(OR(#REF!="L",#REF!="C"),TRUE,FALSE)</formula>
    </cfRule>
  </conditionalFormatting>
  <conditionalFormatting sqref="H70">
    <cfRule type="expression" dxfId="2828" priority="62">
      <formula>IF(OR(#REF!="L",#REF!="C"),TRUE,FALSE)</formula>
    </cfRule>
  </conditionalFormatting>
  <conditionalFormatting sqref="G95 I95 K95 M95">
    <cfRule type="duplicateValues" dxfId="2827" priority="55"/>
  </conditionalFormatting>
  <conditionalFormatting sqref="F109:F116 G102:G116 H104:H116">
    <cfRule type="expression" dxfId="2826" priority="29">
      <formula>IF(OR(#REF!="L",#REF!="C"),TRUE,FALSE)</formula>
    </cfRule>
  </conditionalFormatting>
  <conditionalFormatting sqref="E113:E116">
    <cfRule type="expression" dxfId="2825" priority="28">
      <formula>IF(OR(#REF!="L",#REF!="C"),TRUE,FALSE)</formula>
    </cfRule>
  </conditionalFormatting>
  <conditionalFormatting sqref="E95">
    <cfRule type="duplicateValues" dxfId="2824" priority="27"/>
  </conditionalFormatting>
  <conditionalFormatting sqref="M104:M116">
    <cfRule type="expression" dxfId="2823" priority="17">
      <formula>IF(OR(#REF!="L",#REF!="C"),TRUE,FALSE)</formula>
    </cfRule>
  </conditionalFormatting>
  <conditionalFormatting sqref="F103:F106">
    <cfRule type="expression" dxfId="2822" priority="26">
      <formula>IF(OR(#REF!="L",#REF!="C"),TRUE,FALSE)</formula>
    </cfRule>
  </conditionalFormatting>
  <conditionalFormatting sqref="I102:I103">
    <cfRule type="expression" dxfId="2821" priority="24">
      <formula>IF(OR(#REF!="L",#REF!="C"),TRUE,FALSE)</formula>
    </cfRule>
  </conditionalFormatting>
  <conditionalFormatting sqref="N102:N103">
    <cfRule type="expression" dxfId="2820" priority="14">
      <formula>IF(OR(#REF!="L",#REF!="C"),TRUE,FALSE)</formula>
    </cfRule>
  </conditionalFormatting>
  <conditionalFormatting sqref="I104:I116">
    <cfRule type="expression" dxfId="2819" priority="25">
      <formula>IF(OR(#REF!="L",#REF!="C"),TRUE,FALSE)</formula>
    </cfRule>
  </conditionalFormatting>
  <conditionalFormatting sqref="J102:J103">
    <cfRule type="expression" dxfId="2818" priority="22">
      <formula>IF(OR(#REF!="L",#REF!="C"),TRUE,FALSE)</formula>
    </cfRule>
  </conditionalFormatting>
  <conditionalFormatting sqref="J104:J116">
    <cfRule type="expression" dxfId="2817" priority="23">
      <formula>IF(OR(#REF!="L",#REF!="C"),TRUE,FALSE)</formula>
    </cfRule>
  </conditionalFormatting>
  <conditionalFormatting sqref="K102:K103">
    <cfRule type="expression" dxfId="2816" priority="20">
      <formula>IF(OR(#REF!="L",#REF!="C"),TRUE,FALSE)</formula>
    </cfRule>
  </conditionalFormatting>
  <conditionalFormatting sqref="K104:K116">
    <cfRule type="expression" dxfId="2815" priority="21">
      <formula>IF(OR(#REF!="L",#REF!="C"),TRUE,FALSE)</formula>
    </cfRule>
  </conditionalFormatting>
  <conditionalFormatting sqref="L102:L103">
    <cfRule type="expression" dxfId="2814" priority="18">
      <formula>IF(OR(#REF!="L",#REF!="C"),TRUE,FALSE)</formula>
    </cfRule>
  </conditionalFormatting>
  <conditionalFormatting sqref="L104:L116">
    <cfRule type="expression" dxfId="2813" priority="19">
      <formula>IF(OR(#REF!="L",#REF!="C"),TRUE,FALSE)</formula>
    </cfRule>
  </conditionalFormatting>
  <conditionalFormatting sqref="M102:M103">
    <cfRule type="expression" dxfId="2812" priority="16">
      <formula>IF(OR(#REF!="L",#REF!="C"),TRUE,FALSE)</formula>
    </cfRule>
  </conditionalFormatting>
  <conditionalFormatting sqref="N104:N116">
    <cfRule type="expression" dxfId="2811" priority="15">
      <formula>IF(OR(#REF!="L",#REF!="C"),TRUE,FALSE)</formula>
    </cfRule>
  </conditionalFormatting>
  <conditionalFormatting sqref="O102:O103">
    <cfRule type="expression" dxfId="2810" priority="12">
      <formula>IF(OR(#REF!="L",#REF!="C"),TRUE,FALSE)</formula>
    </cfRule>
  </conditionalFormatting>
  <conditionalFormatting sqref="O104:O116">
    <cfRule type="expression" dxfId="2809" priority="13">
      <formula>IF(OR(#REF!="L",#REF!="C"),TRUE,FALSE)</formula>
    </cfRule>
  </conditionalFormatting>
  <conditionalFormatting sqref="E96:N96">
    <cfRule type="duplicateValues" dxfId="2808" priority="11"/>
  </conditionalFormatting>
  <conditionalFormatting sqref="H64">
    <cfRule type="expression" dxfId="2807" priority="7">
      <formula>IF(OR(#REF!="L",#REF!="C"),TRUE,FALSE)</formula>
    </cfRule>
  </conditionalFormatting>
  <conditionalFormatting sqref="H72">
    <cfRule type="expression" dxfId="2806" priority="6">
      <formula>IF(OR(#REF!="L",#REF!="C"),TRUE,FALSE)</formula>
    </cfRule>
  </conditionalFormatting>
  <conditionalFormatting sqref="H73">
    <cfRule type="expression" dxfId="2805" priority="5">
      <formula>IF(OR(#REF!="L",#REF!="C"),TRUE,FALSE)</formula>
    </cfRule>
  </conditionalFormatting>
  <conditionalFormatting sqref="H74">
    <cfRule type="expression" dxfId="2804" priority="4">
      <formula>IF(OR(#REF!="L",#REF!="C"),TRUE,FALSE)</formula>
    </cfRule>
  </conditionalFormatting>
  <conditionalFormatting sqref="H75">
    <cfRule type="expression" dxfId="2803" priority="3">
      <formula>IF(OR(#REF!="L",#REF!="C"),TRUE,FALSE)</formula>
    </cfRule>
  </conditionalFormatting>
  <conditionalFormatting sqref="H76">
    <cfRule type="expression" dxfId="2802" priority="2">
      <formula>IF(OR(#REF!="L",#REF!="C"),TRUE,FALSE)</formula>
    </cfRule>
  </conditionalFormatting>
  <dataValidations count="7">
    <dataValidation type="list" allowBlank="1" showInputMessage="1" showErrorMessage="1" sqref="F62:F63" xr:uid="{77F69758-EADE-45A3-8E11-EAAA2ADB7018}">
      <formula1>#REF!</formula1>
    </dataValidation>
    <dataValidation type="list" allowBlank="1" showInputMessage="1" showErrorMessage="1" sqref="C4" xr:uid="{44AE8B32-5A63-4C56-9B10-566780232D14}">
      <formula1>"COM,RES"</formula1>
    </dataValidation>
    <dataValidation type="list" allowBlank="1" showInputMessage="1" showErrorMessage="1" sqref="C9" xr:uid="{41C4FC99-3583-40FA-A778-4E7AE638B6DA}">
      <formula1>INDIRECT("MeasureTypeList[Index]")</formula1>
    </dataValidation>
    <dataValidation type="list" allowBlank="1" showInputMessage="1" showErrorMessage="1" sqref="C26" xr:uid="{7D8CCCC2-582A-4EDB-BD07-3AFBDD2EE6B3}">
      <formula1>INDIRECT("RegionList[Index]")</formula1>
    </dataValidation>
    <dataValidation type="list" allowBlank="1" showInputMessage="1" showErrorMessage="1" sqref="C27" xr:uid="{5C5CE986-7364-433A-8EE1-C974B442030F}">
      <formula1>INDIRECT("ReplacementTypeList[Index]")</formula1>
    </dataValidation>
    <dataValidation type="list" allowBlank="1" showInputMessage="1" showErrorMessage="1" sqref="C28" xr:uid="{0862E62D-BA19-4601-A3B1-865BEBCC363C}">
      <formula1>INDIRECT("BuildingType[Building]")</formula1>
    </dataValidation>
    <dataValidation type="list" allowBlank="1" showInputMessage="1" showErrorMessage="1" sqref="C29:C30" xr:uid="{6DFA393F-F939-479D-940F-DE48FA50CC67}">
      <formula1>INDIRECT("FuelTypeList[Index]")</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5A08CEE-BF03-400B-9BA1-5FA26CAF666B}">
          <x14:formula1>
            <xm:f>Validation!#REF!</xm:f>
          </x14:formula1>
          <xm:sqref>H67:H69</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AA365-A974-4221-8CB5-AE25D7A6250F}">
  <sheetPr codeName="Sheet388"/>
  <dimension ref="A1:R116"/>
  <sheetViews>
    <sheetView workbookViewId="0"/>
  </sheetViews>
  <sheetFormatPr defaultColWidth="9.08984375" defaultRowHeight="18.75" customHeight="1" x14ac:dyDescent="0.3"/>
  <cols>
    <col min="1" max="1" width="2.36328125" style="491" customWidth="1"/>
    <col min="2" max="2" width="36.36328125" style="491" customWidth="1"/>
    <col min="3" max="3" width="21.08984375" style="491" customWidth="1"/>
    <col min="4" max="4" width="21.6328125" style="491" customWidth="1"/>
    <col min="5" max="5" width="14.36328125" style="491" customWidth="1"/>
    <col min="6" max="6" width="19.36328125" style="491" customWidth="1"/>
    <col min="7" max="7" width="19.6328125" style="491" customWidth="1"/>
    <col min="8" max="8" width="16" style="491" customWidth="1"/>
    <col min="9" max="9" width="10.36328125" style="491" customWidth="1"/>
    <col min="10" max="10" width="14.6328125" style="491" customWidth="1"/>
    <col min="11" max="12" width="9.08984375" style="491"/>
    <col min="13" max="13" width="11" style="491" customWidth="1"/>
    <col min="14" max="14" width="12.36328125" style="491" customWidth="1"/>
    <col min="15" max="15" width="10.6328125" style="491" customWidth="1"/>
    <col min="16" max="17" width="9.08984375" style="491"/>
    <col min="18" max="18" width="9.81640625" style="489" customWidth="1"/>
    <col min="19" max="19" width="9.08984375" style="491"/>
    <col min="20" max="20" width="8.6328125" style="491" customWidth="1"/>
    <col min="21" max="16384" width="9.08984375" style="491"/>
  </cols>
  <sheetData>
    <row r="1" spans="1:18" s="488" customFormat="1" ht="18.75" customHeight="1" x14ac:dyDescent="0.3">
      <c r="R1" s="489"/>
    </row>
    <row r="2" spans="1:18" s="488" customFormat="1" ht="18.75" customHeight="1" x14ac:dyDescent="0.3">
      <c r="B2" s="1193" t="s">
        <v>506</v>
      </c>
      <c r="C2" s="1366" t="s">
        <v>406</v>
      </c>
      <c r="D2" s="1366"/>
      <c r="E2" s="1366"/>
      <c r="F2" s="1366"/>
      <c r="R2" s="489"/>
    </row>
    <row r="3" spans="1:18" s="488" customFormat="1" ht="18.75" customHeight="1" x14ac:dyDescent="0.3">
      <c r="B3" s="490" t="s">
        <v>407</v>
      </c>
      <c r="C3" s="1367" t="str">
        <f>IF(ISBLANK(C8)+ISBLANK(C10),C8,C8&amp;"_"&amp;C10)</f>
        <v>C-HC-014</v>
      </c>
      <c r="D3" s="1367"/>
      <c r="E3" s="1367"/>
      <c r="F3" s="1367"/>
      <c r="R3" s="489"/>
    </row>
    <row r="4" spans="1:18" s="488" customFormat="1" ht="18.75" customHeight="1" x14ac:dyDescent="0.3">
      <c r="B4" s="490" t="s">
        <v>11</v>
      </c>
      <c r="C4" s="1367" t="str" cm="1">
        <f t="array" ref="C4">_xlfn.SWITCH(LEFT(C8,1),"R","Residential","C","Commercial","ERROR")</f>
        <v>Commercial</v>
      </c>
      <c r="D4" s="1367"/>
      <c r="E4" s="1367"/>
      <c r="F4" s="1367"/>
      <c r="R4" s="489"/>
    </row>
    <row r="5" spans="1:18" ht="44.25" customHeight="1" x14ac:dyDescent="0.3">
      <c r="B5" s="490" t="s">
        <v>408</v>
      </c>
      <c r="C5" s="1458" t="s">
        <v>234</v>
      </c>
      <c r="D5" s="1459"/>
      <c r="E5" s="1459"/>
      <c r="F5" s="1460"/>
      <c r="R5" s="491"/>
    </row>
    <row r="6" spans="1:18" ht="18.75" customHeight="1" x14ac:dyDescent="0.3">
      <c r="A6" s="492"/>
    </row>
    <row r="7" spans="1:18" ht="18.75" customHeight="1" x14ac:dyDescent="0.3">
      <c r="B7" s="1193" t="s">
        <v>507</v>
      </c>
      <c r="C7" s="493" t="s">
        <v>406</v>
      </c>
      <c r="D7" s="1366" t="s">
        <v>410</v>
      </c>
      <c r="E7" s="1366"/>
      <c r="F7" s="1366"/>
      <c r="R7" s="491"/>
    </row>
    <row r="8" spans="1:18" ht="18.75" customHeight="1" x14ac:dyDescent="0.3">
      <c r="B8" s="490" t="s">
        <v>411</v>
      </c>
      <c r="C8" s="1199" t="s">
        <v>97</v>
      </c>
      <c r="D8" s="1547"/>
      <c r="E8" s="1548"/>
      <c r="F8" s="1549"/>
      <c r="R8" s="491"/>
    </row>
    <row r="9" spans="1:18" ht="18.75" customHeight="1" x14ac:dyDescent="0.3">
      <c r="B9" s="490" t="s">
        <v>49</v>
      </c>
      <c r="C9" s="1199" t="s">
        <v>1423</v>
      </c>
      <c r="D9" s="1550"/>
      <c r="E9" s="1551"/>
      <c r="F9" s="1552"/>
      <c r="R9" s="491"/>
    </row>
    <row r="10" spans="1:18" ht="18.75" customHeight="1" x14ac:dyDescent="0.3">
      <c r="B10" s="490" t="s">
        <v>412</v>
      </c>
      <c r="C10" s="1199"/>
      <c r="D10" s="1550"/>
      <c r="E10" s="1551"/>
      <c r="F10" s="1552"/>
      <c r="R10" s="491"/>
    </row>
    <row r="11" spans="1:18" ht="18.75" customHeight="1" x14ac:dyDescent="0.3">
      <c r="B11" s="490" t="s">
        <v>413</v>
      </c>
      <c r="C11" s="1199"/>
      <c r="D11" s="1550"/>
      <c r="E11" s="1551"/>
      <c r="F11" s="1552"/>
      <c r="R11" s="491"/>
    </row>
    <row r="12" spans="1:18" ht="18.75" customHeight="1" x14ac:dyDescent="0.3">
      <c r="B12" s="490" t="s">
        <v>414</v>
      </c>
      <c r="C12" s="540"/>
      <c r="D12" s="1550"/>
      <c r="E12" s="1551"/>
      <c r="F12" s="1552"/>
      <c r="R12" s="491"/>
    </row>
    <row r="13" spans="1:18" ht="18.75" customHeight="1" x14ac:dyDescent="0.3">
      <c r="B13" s="494" t="s">
        <v>415</v>
      </c>
      <c r="C13" s="495">
        <f>N43</f>
        <v>212.7709916129032</v>
      </c>
      <c r="D13" s="1550"/>
      <c r="E13" s="1551"/>
      <c r="F13" s="1552"/>
      <c r="R13" s="491"/>
    </row>
    <row r="14" spans="1:18" ht="18.75" customHeight="1" x14ac:dyDescent="0.3">
      <c r="B14" s="494" t="s">
        <v>416</v>
      </c>
      <c r="C14" s="495">
        <f>N42</f>
        <v>0</v>
      </c>
      <c r="D14" s="1550"/>
      <c r="E14" s="1551"/>
      <c r="F14" s="1552"/>
      <c r="R14" s="491"/>
    </row>
    <row r="15" spans="1:18" ht="18.75" customHeight="1" x14ac:dyDescent="0.3">
      <c r="B15" s="494" t="s">
        <v>417</v>
      </c>
      <c r="C15" s="495">
        <f>N44</f>
        <v>0</v>
      </c>
      <c r="D15" s="1550"/>
      <c r="E15" s="1551"/>
      <c r="F15" s="1552"/>
      <c r="R15" s="491"/>
    </row>
    <row r="16" spans="1:18" ht="18.75" customHeight="1" x14ac:dyDescent="0.3">
      <c r="B16" s="494" t="s">
        <v>418</v>
      </c>
      <c r="C16" s="496">
        <f>C37</f>
        <v>0</v>
      </c>
      <c r="D16" s="1553"/>
      <c r="E16" s="1554"/>
      <c r="F16" s="1555"/>
      <c r="R16" s="491"/>
    </row>
    <row r="17" spans="2:18" ht="18.75" customHeight="1" x14ac:dyDescent="0.3">
      <c r="B17" s="490" t="s">
        <v>48</v>
      </c>
      <c r="C17" s="1194" t="s">
        <v>1424</v>
      </c>
      <c r="D17" s="1366" t="s">
        <v>419</v>
      </c>
      <c r="E17" s="1366"/>
      <c r="F17" s="1366"/>
      <c r="R17" s="491"/>
    </row>
    <row r="18" spans="2:18" ht="36.75" customHeight="1" x14ac:dyDescent="0.3">
      <c r="B18" s="490" t="s">
        <v>420</v>
      </c>
      <c r="C18" s="541">
        <v>15</v>
      </c>
      <c r="D18" s="1721" t="s">
        <v>1469</v>
      </c>
      <c r="E18" s="1721"/>
      <c r="F18" s="1721"/>
      <c r="R18" s="491"/>
    </row>
    <row r="19" spans="2:18" ht="18.75" customHeight="1" x14ac:dyDescent="0.3">
      <c r="B19" s="497"/>
      <c r="C19" s="498"/>
      <c r="F19" s="489"/>
      <c r="R19" s="491"/>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91"/>
    </row>
    <row r="21" spans="2:18" ht="33" customHeight="1" x14ac:dyDescent="0.3">
      <c r="B21" s="499" t="s">
        <v>422</v>
      </c>
      <c r="C21" s="1440" t="s">
        <v>235</v>
      </c>
      <c r="D21" s="1440"/>
      <c r="E21" s="1440"/>
      <c r="F21" s="1440"/>
      <c r="G21" s="1440"/>
      <c r="H21" s="1440"/>
      <c r="I21" s="1440"/>
      <c r="J21" s="1440"/>
      <c r="K21" s="1440"/>
      <c r="L21" s="1440"/>
      <c r="M21" s="1440"/>
      <c r="N21" s="1440"/>
      <c r="O21" s="1440"/>
      <c r="P21" s="1440"/>
      <c r="Q21" s="1440"/>
      <c r="R21" s="491"/>
    </row>
    <row r="22" spans="2:18" ht="18.75" customHeight="1" x14ac:dyDescent="0.3">
      <c r="B22" s="500" t="s">
        <v>423</v>
      </c>
      <c r="C22" s="1440" t="s">
        <v>233</v>
      </c>
      <c r="D22" s="1440"/>
      <c r="E22" s="1440"/>
      <c r="F22" s="1440"/>
      <c r="G22" s="1440"/>
      <c r="H22" s="1440"/>
      <c r="I22" s="1440"/>
      <c r="J22" s="1440"/>
      <c r="K22" s="1440"/>
      <c r="L22" s="1440"/>
      <c r="M22" s="1440"/>
      <c r="N22" s="1440"/>
      <c r="O22" s="1440"/>
      <c r="P22" s="1440"/>
      <c r="Q22" s="1440"/>
      <c r="R22" s="491"/>
    </row>
    <row r="23" spans="2:18" ht="17.25" customHeight="1" x14ac:dyDescent="0.3">
      <c r="B23" s="500" t="s">
        <v>424</v>
      </c>
      <c r="C23" s="1440"/>
      <c r="D23" s="1440"/>
      <c r="E23" s="1440"/>
      <c r="F23" s="1440"/>
      <c r="G23" s="1440"/>
      <c r="H23" s="1440"/>
      <c r="I23" s="1440"/>
      <c r="J23" s="1440"/>
      <c r="K23" s="1440"/>
      <c r="L23" s="1440"/>
      <c r="M23" s="1440"/>
      <c r="N23" s="1440"/>
      <c r="O23" s="1440"/>
      <c r="P23" s="1440"/>
      <c r="Q23" s="1440"/>
      <c r="R23" s="491"/>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91"/>
    </row>
    <row r="26" spans="2:18" ht="18.75" customHeight="1" x14ac:dyDescent="0.3">
      <c r="B26" s="490" t="s">
        <v>9</v>
      </c>
      <c r="C26" s="538" t="str">
        <f>Default.Region</f>
        <v>Average</v>
      </c>
      <c r="D26" s="1446"/>
      <c r="E26" s="1446"/>
      <c r="F26" s="1446"/>
      <c r="G26" s="1446"/>
      <c r="H26" s="1446"/>
      <c r="I26" s="1446"/>
      <c r="J26" s="1446"/>
      <c r="K26" s="1446"/>
      <c r="L26" s="1446"/>
      <c r="M26" s="1446"/>
      <c r="N26" s="1446"/>
      <c r="O26" s="1446"/>
      <c r="P26" s="1446"/>
      <c r="Q26" s="1446"/>
      <c r="R26" s="491"/>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91"/>
    </row>
    <row r="28" spans="2:18" ht="18.75" customHeight="1" x14ac:dyDescent="0.3">
      <c r="B28" s="490" t="s">
        <v>54</v>
      </c>
      <c r="C28" s="538" t="str">
        <f>Default.BuildingType.C</f>
        <v>Other</v>
      </c>
      <c r="D28" s="1461" t="s">
        <v>1427</v>
      </c>
      <c r="E28" s="1461"/>
      <c r="F28" s="1461"/>
      <c r="G28" s="1461"/>
      <c r="H28" s="1461"/>
      <c r="I28" s="1461"/>
      <c r="J28" s="1461"/>
      <c r="K28" s="1461"/>
      <c r="L28" s="1461"/>
      <c r="M28" s="1461"/>
      <c r="N28" s="1461"/>
      <c r="O28" s="1461"/>
      <c r="P28" s="1461"/>
      <c r="Q28" s="1461"/>
      <c r="R28" s="491"/>
    </row>
    <row r="29" spans="2:18" ht="18.75" customHeight="1" x14ac:dyDescent="0.3">
      <c r="B29" s="490" t="s">
        <v>33</v>
      </c>
      <c r="C29" s="538" t="str">
        <f>Default.SpaceHeatingFuel</f>
        <v>Natural gas</v>
      </c>
      <c r="D29" s="1446"/>
      <c r="E29" s="1446"/>
      <c r="F29" s="1446"/>
      <c r="G29" s="1446"/>
      <c r="H29" s="1446"/>
      <c r="I29" s="1446"/>
      <c r="J29" s="1446"/>
      <c r="K29" s="1446"/>
      <c r="L29" s="1446"/>
      <c r="M29" s="1446"/>
      <c r="N29" s="1446"/>
      <c r="O29" s="1446"/>
      <c r="P29" s="1446"/>
      <c r="Q29" s="1446"/>
      <c r="R29" s="491"/>
    </row>
    <row r="30" spans="2:18" ht="18.75" customHeight="1" x14ac:dyDescent="0.3">
      <c r="B30" s="490" t="s">
        <v>35</v>
      </c>
      <c r="C30" s="538" t="str">
        <f>Default.WaterHeatingFuel</f>
        <v>Natural gas</v>
      </c>
      <c r="D30" s="1446"/>
      <c r="E30" s="1446"/>
      <c r="F30" s="1446"/>
      <c r="G30" s="1446"/>
      <c r="H30" s="1446"/>
      <c r="I30" s="1446"/>
      <c r="J30" s="1446"/>
      <c r="K30" s="1446"/>
      <c r="L30" s="1446"/>
      <c r="M30" s="1446"/>
      <c r="N30" s="1446"/>
      <c r="O30" s="1446"/>
      <c r="P30" s="1446"/>
      <c r="Q30" s="1446"/>
      <c r="R30" s="491"/>
    </row>
    <row r="31" spans="2:18" ht="18.75" customHeight="1" x14ac:dyDescent="0.3">
      <c r="B31" s="502"/>
      <c r="C31" s="503"/>
      <c r="D31" s="503"/>
      <c r="E31" s="503"/>
      <c r="F31" s="503"/>
      <c r="G31" s="503"/>
      <c r="H31" s="503"/>
      <c r="I31" s="503"/>
      <c r="J31" s="503"/>
      <c r="K31" s="503"/>
      <c r="L31" s="503"/>
      <c r="M31" s="503"/>
      <c r="N31" s="503"/>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37" t="s">
        <v>430</v>
      </c>
      <c r="E33" s="1475"/>
      <c r="F33" s="1476"/>
      <c r="G33" s="1476"/>
      <c r="H33" s="1476"/>
      <c r="I33" s="1476"/>
      <c r="J33" s="1476"/>
      <c r="K33" s="1476"/>
      <c r="L33" s="1476"/>
      <c r="M33" s="1476"/>
      <c r="N33" s="1476"/>
      <c r="O33" s="1476"/>
      <c r="P33" s="1476"/>
      <c r="Q33" s="1477"/>
      <c r="R33" s="491"/>
    </row>
    <row r="34" spans="2:18" ht="18.75" customHeight="1" x14ac:dyDescent="0.3">
      <c r="B34" s="494" t="s">
        <v>431</v>
      </c>
      <c r="C34" s="542"/>
      <c r="D34" s="537" t="s">
        <v>430</v>
      </c>
      <c r="E34" s="1441"/>
      <c r="F34" s="1441"/>
      <c r="G34" s="1441"/>
      <c r="H34" s="1441"/>
      <c r="I34" s="1441"/>
      <c r="J34" s="1441"/>
      <c r="K34" s="1441"/>
      <c r="L34" s="1441"/>
      <c r="M34" s="1441"/>
      <c r="N34" s="1441"/>
      <c r="O34" s="1441"/>
      <c r="P34" s="1441"/>
      <c r="Q34" s="1441"/>
    </row>
    <row r="35" spans="2:18" ht="18.75" customHeight="1" x14ac:dyDescent="0.3">
      <c r="B35" s="490" t="s">
        <v>432</v>
      </c>
      <c r="C35" s="542"/>
      <c r="D35" s="537" t="s">
        <v>430</v>
      </c>
      <c r="E35" s="1475"/>
      <c r="F35" s="1476"/>
      <c r="G35" s="1476"/>
      <c r="H35" s="1476"/>
      <c r="I35" s="1476"/>
      <c r="J35" s="1476"/>
      <c r="K35" s="1476"/>
      <c r="L35" s="1476"/>
      <c r="M35" s="1476"/>
      <c r="N35" s="1476"/>
      <c r="O35" s="1476"/>
      <c r="P35" s="1476"/>
      <c r="Q35" s="1477"/>
    </row>
    <row r="36" spans="2:18" ht="18.75" customHeight="1" x14ac:dyDescent="0.3">
      <c r="B36" s="494" t="s">
        <v>433</v>
      </c>
      <c r="C36" s="905">
        <f>C34</f>
        <v>0</v>
      </c>
      <c r="D36" s="537" t="s">
        <v>430</v>
      </c>
      <c r="E36" s="1441"/>
      <c r="F36" s="1441"/>
      <c r="G36" s="1441"/>
      <c r="H36" s="1441"/>
      <c r="I36" s="1441"/>
      <c r="J36" s="1441"/>
      <c r="K36" s="1441"/>
      <c r="L36" s="1441"/>
      <c r="M36" s="1441"/>
      <c r="N36" s="1441"/>
      <c r="O36" s="1441"/>
      <c r="P36" s="1441"/>
      <c r="Q36" s="1441"/>
    </row>
    <row r="37" spans="2:18" ht="18.75" customHeight="1" x14ac:dyDescent="0.3">
      <c r="B37" s="494" t="s">
        <v>434</v>
      </c>
      <c r="C37" s="905">
        <f>IF(C27="RET",C33+(C34-C35),C34-C35)</f>
        <v>0</v>
      </c>
      <c r="D37" s="537" t="s">
        <v>430</v>
      </c>
      <c r="E37" s="1442"/>
      <c r="F37" s="1442"/>
      <c r="G37" s="1442"/>
      <c r="H37" s="1442"/>
      <c r="I37" s="1442"/>
      <c r="J37" s="1442"/>
      <c r="K37" s="1442"/>
      <c r="L37" s="1442"/>
      <c r="M37" s="1442"/>
      <c r="N37" s="1442"/>
      <c r="O37" s="1442"/>
      <c r="P37" s="1442"/>
      <c r="Q37" s="1442"/>
    </row>
    <row r="38" spans="2:18" ht="18.75" customHeight="1" x14ac:dyDescent="0.3">
      <c r="B38" s="502"/>
      <c r="C38" s="503"/>
      <c r="D38" s="505"/>
      <c r="E38" s="503"/>
      <c r="F38" s="503"/>
      <c r="G38" s="503"/>
      <c r="H38" s="503"/>
      <c r="I38" s="503"/>
      <c r="J38" s="503"/>
      <c r="K38" s="503"/>
      <c r="L38" s="503"/>
      <c r="M38" s="503"/>
      <c r="N38" s="503"/>
    </row>
    <row r="39" spans="2:18" ht="18.75" customHeight="1" x14ac:dyDescent="0.3">
      <c r="B39" s="511" t="s">
        <v>435</v>
      </c>
      <c r="C39" s="512"/>
      <c r="D39" s="512"/>
      <c r="E39" s="512"/>
      <c r="F39" s="512"/>
      <c r="G39" s="512"/>
      <c r="H39" s="681"/>
      <c r="I39" s="681"/>
      <c r="J39" s="681"/>
      <c r="K39" s="681"/>
      <c r="L39" s="681"/>
      <c r="M39" s="681"/>
      <c r="N39" s="681"/>
      <c r="O39" s="681"/>
      <c r="P39" s="681"/>
      <c r="Q39" s="682"/>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31" t="s">
        <v>438</v>
      </c>
      <c r="C42" s="1387" t="s">
        <v>439</v>
      </c>
      <c r="D42" s="1388"/>
      <c r="E42" s="1388"/>
      <c r="F42" s="1388"/>
      <c r="G42" s="1388"/>
      <c r="H42" s="1388"/>
      <c r="I42" s="1388"/>
      <c r="J42" s="1388"/>
      <c r="K42" s="1388"/>
      <c r="L42" s="1388"/>
      <c r="M42" s="1389"/>
      <c r="N42" s="972">
        <f>N48+N54</f>
        <v>0</v>
      </c>
      <c r="O42" s="509" t="s">
        <v>440</v>
      </c>
      <c r="P42" s="1447"/>
      <c r="Q42" s="1447"/>
      <c r="R42" s="491"/>
    </row>
    <row r="43" spans="2:18" ht="18.75" customHeight="1" x14ac:dyDescent="0.3">
      <c r="B43" s="531" t="s">
        <v>441</v>
      </c>
      <c r="C43" s="1387" t="s">
        <v>442</v>
      </c>
      <c r="D43" s="1388"/>
      <c r="E43" s="1388"/>
      <c r="F43" s="1388"/>
      <c r="G43" s="1388"/>
      <c r="H43" s="1388"/>
      <c r="I43" s="1388"/>
      <c r="J43" s="1388"/>
      <c r="K43" s="1388"/>
      <c r="L43" s="1388"/>
      <c r="M43" s="1389"/>
      <c r="N43" s="981">
        <f>N49+N55</f>
        <v>212.7709916129032</v>
      </c>
      <c r="O43" s="509" t="s">
        <v>443</v>
      </c>
      <c r="P43" s="1447"/>
      <c r="Q43" s="1447"/>
      <c r="R43" s="491"/>
    </row>
    <row r="44" spans="2:18" ht="18.75" customHeight="1" x14ac:dyDescent="0.3">
      <c r="B44" s="531" t="s">
        <v>444</v>
      </c>
      <c r="C44" s="1387" t="s">
        <v>445</v>
      </c>
      <c r="D44" s="1388"/>
      <c r="E44" s="1388"/>
      <c r="F44" s="1388"/>
      <c r="G44" s="1388"/>
      <c r="H44" s="1388"/>
      <c r="I44" s="1388"/>
      <c r="J44" s="1388"/>
      <c r="K44" s="1388"/>
      <c r="L44" s="1388"/>
      <c r="M44" s="1389"/>
      <c r="N44" s="972">
        <f>N50+N56</f>
        <v>0</v>
      </c>
      <c r="O44" s="509" t="s">
        <v>446</v>
      </c>
      <c r="P44" s="1447"/>
      <c r="Q44" s="1447"/>
      <c r="R44" s="491"/>
    </row>
    <row r="45" spans="2:18" ht="18.75" customHeight="1" x14ac:dyDescent="0.3">
      <c r="B45" s="531" t="s">
        <v>447</v>
      </c>
      <c r="C45" s="1387" t="s">
        <v>448</v>
      </c>
      <c r="D45" s="1388"/>
      <c r="E45" s="1388"/>
      <c r="F45" s="1388"/>
      <c r="G45" s="1388"/>
      <c r="H45" s="1388"/>
      <c r="I45" s="1388"/>
      <c r="J45" s="1388"/>
      <c r="K45" s="1388"/>
      <c r="L45" s="1388"/>
      <c r="M45" s="1389"/>
      <c r="N45" s="972">
        <f>N51+N57</f>
        <v>0</v>
      </c>
      <c r="O45" s="509" t="s">
        <v>449</v>
      </c>
      <c r="P45" s="1447"/>
      <c r="Q45" s="1447"/>
      <c r="R45" s="491"/>
    </row>
    <row r="46" spans="2:18" ht="18.75" customHeight="1" x14ac:dyDescent="0.3">
      <c r="B46" s="532"/>
      <c r="C46" s="503"/>
      <c r="D46" s="503"/>
      <c r="E46" s="503"/>
      <c r="F46" s="503"/>
      <c r="G46" s="503"/>
      <c r="H46" s="503"/>
      <c r="I46" s="503"/>
      <c r="J46" s="503"/>
      <c r="K46" s="503"/>
      <c r="L46" s="503"/>
      <c r="M46" s="503"/>
      <c r="Q46" s="489"/>
      <c r="R46" s="491"/>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91"/>
    </row>
    <row r="48" spans="2:18" ht="18.75" customHeight="1" x14ac:dyDescent="0.3">
      <c r="B48" s="531" t="s">
        <v>452</v>
      </c>
      <c r="C48" s="1449" t="s">
        <v>453</v>
      </c>
      <c r="D48" s="1450"/>
      <c r="E48" s="1450"/>
      <c r="F48" s="1450"/>
      <c r="G48" s="1450"/>
      <c r="H48" s="1450"/>
      <c r="I48" s="1450"/>
      <c r="J48" s="1450"/>
      <c r="K48" s="1450"/>
      <c r="L48" s="1450"/>
      <c r="M48" s="1451"/>
      <c r="N48" s="543"/>
      <c r="O48" s="509" t="s">
        <v>440</v>
      </c>
      <c r="P48" s="1447"/>
      <c r="Q48" s="1447"/>
      <c r="R48" s="491"/>
    </row>
    <row r="49" spans="2:18" ht="18.75" customHeight="1" x14ac:dyDescent="0.3">
      <c r="B49" s="531" t="s">
        <v>454</v>
      </c>
      <c r="C49" s="1449" t="s">
        <v>1479</v>
      </c>
      <c r="D49" s="1450"/>
      <c r="E49" s="1450"/>
      <c r="F49" s="1450"/>
      <c r="G49" s="1450"/>
      <c r="H49" s="1450"/>
      <c r="I49" s="1450"/>
      <c r="J49" s="1450"/>
      <c r="K49" s="1450"/>
      <c r="L49" s="1450"/>
      <c r="M49" s="1451"/>
      <c r="N49" s="982">
        <f>(D86*H66*(H62/H63))*H64*H65</f>
        <v>212.7709916129032</v>
      </c>
      <c r="O49" s="509" t="s">
        <v>443</v>
      </c>
      <c r="P49" s="1447" t="s">
        <v>1471</v>
      </c>
      <c r="Q49" s="1447"/>
      <c r="R49" s="491"/>
    </row>
    <row r="50" spans="2:18" ht="18.75" customHeight="1" x14ac:dyDescent="0.3">
      <c r="B50" s="531" t="s">
        <v>456</v>
      </c>
      <c r="C50" s="1449" t="s">
        <v>457</v>
      </c>
      <c r="D50" s="1450"/>
      <c r="E50" s="1450"/>
      <c r="F50" s="1450"/>
      <c r="G50" s="1450"/>
      <c r="H50" s="1450"/>
      <c r="I50" s="1450"/>
      <c r="J50" s="1450"/>
      <c r="K50" s="1450"/>
      <c r="L50" s="1450"/>
      <c r="M50" s="1451"/>
      <c r="N50" s="545"/>
      <c r="O50" s="509" t="s">
        <v>446</v>
      </c>
      <c r="P50" s="1447"/>
      <c r="Q50" s="1447"/>
      <c r="R50" s="491"/>
    </row>
    <row r="51" spans="2:18" ht="18.75" customHeight="1" x14ac:dyDescent="0.3">
      <c r="B51" s="531" t="s">
        <v>458</v>
      </c>
      <c r="C51" s="1449" t="s">
        <v>459</v>
      </c>
      <c r="D51" s="1450"/>
      <c r="E51" s="1450"/>
      <c r="F51" s="1450"/>
      <c r="G51" s="1450"/>
      <c r="H51" s="1450"/>
      <c r="I51" s="1450"/>
      <c r="J51" s="1450"/>
      <c r="K51" s="1450"/>
      <c r="L51" s="1450"/>
      <c r="M51" s="1451"/>
      <c r="N51" s="545"/>
      <c r="O51" s="509" t="s">
        <v>449</v>
      </c>
      <c r="P51" s="1447"/>
      <c r="Q51" s="1447"/>
      <c r="R51" s="491"/>
    </row>
    <row r="52" spans="2:18" ht="18.75" customHeight="1" x14ac:dyDescent="0.3">
      <c r="B52" s="532"/>
      <c r="C52" s="503"/>
      <c r="D52" s="503"/>
      <c r="E52" s="503"/>
      <c r="F52" s="503"/>
      <c r="G52" s="503"/>
      <c r="H52" s="503"/>
      <c r="I52" s="503"/>
      <c r="J52" s="503"/>
      <c r="K52" s="503"/>
      <c r="L52" s="503"/>
      <c r="M52" s="503"/>
      <c r="Q52" s="489"/>
      <c r="R52" s="491"/>
    </row>
    <row r="53" spans="2:18"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c r="R53" s="491"/>
    </row>
    <row r="54" spans="2:18" ht="18.75" customHeight="1" x14ac:dyDescent="0.3">
      <c r="B54" s="531" t="s">
        <v>462</v>
      </c>
      <c r="C54" s="1449" t="s">
        <v>463</v>
      </c>
      <c r="D54" s="1450"/>
      <c r="E54" s="1450"/>
      <c r="F54" s="1450"/>
      <c r="G54" s="1450"/>
      <c r="H54" s="1450"/>
      <c r="I54" s="1450"/>
      <c r="J54" s="1450"/>
      <c r="K54" s="1450"/>
      <c r="L54" s="1450"/>
      <c r="M54" s="1451"/>
      <c r="N54" s="543"/>
      <c r="O54" s="509" t="s">
        <v>440</v>
      </c>
      <c r="P54" s="1447"/>
      <c r="Q54" s="1447"/>
      <c r="R54" s="491"/>
    </row>
    <row r="55" spans="2:18" ht="18.75" customHeight="1" x14ac:dyDescent="0.3">
      <c r="B55" s="531" t="s">
        <v>464</v>
      </c>
      <c r="C55" s="1449" t="s">
        <v>465</v>
      </c>
      <c r="D55" s="1450"/>
      <c r="E55" s="1450"/>
      <c r="F55" s="1450"/>
      <c r="G55" s="1450"/>
      <c r="H55" s="1450"/>
      <c r="I55" s="1450"/>
      <c r="J55" s="1450"/>
      <c r="K55" s="1450"/>
      <c r="L55" s="1450"/>
      <c r="M55" s="1451"/>
      <c r="N55" s="593"/>
      <c r="O55" s="509" t="s">
        <v>443</v>
      </c>
      <c r="P55" s="1447"/>
      <c r="Q55" s="1447"/>
      <c r="R55" s="491"/>
    </row>
    <row r="56" spans="2:18" ht="18.75" customHeight="1" x14ac:dyDescent="0.3">
      <c r="B56" s="531" t="s">
        <v>466</v>
      </c>
      <c r="C56" s="1449" t="s">
        <v>457</v>
      </c>
      <c r="D56" s="1450"/>
      <c r="E56" s="1450"/>
      <c r="F56" s="1450"/>
      <c r="G56" s="1450"/>
      <c r="H56" s="1450"/>
      <c r="I56" s="1450"/>
      <c r="J56" s="1450"/>
      <c r="K56" s="1450"/>
      <c r="L56" s="1450"/>
      <c r="M56" s="1451"/>
      <c r="N56" s="973"/>
      <c r="O56" s="509" t="s">
        <v>446</v>
      </c>
      <c r="P56" s="1447"/>
      <c r="Q56" s="1447"/>
      <c r="R56" s="491"/>
    </row>
    <row r="57" spans="2:18" ht="18.75" customHeight="1" x14ac:dyDescent="0.3">
      <c r="B57" s="531" t="s">
        <v>468</v>
      </c>
      <c r="C57" s="1449" t="s">
        <v>469</v>
      </c>
      <c r="D57" s="1450"/>
      <c r="E57" s="1450"/>
      <c r="F57" s="1450"/>
      <c r="G57" s="1450"/>
      <c r="H57" s="1450"/>
      <c r="I57" s="1450"/>
      <c r="J57" s="1450"/>
      <c r="K57" s="1450"/>
      <c r="L57" s="1450"/>
      <c r="M57" s="1451"/>
      <c r="N57" s="595"/>
      <c r="O57" s="509" t="s">
        <v>449</v>
      </c>
      <c r="P57" s="1447"/>
      <c r="Q57" s="1447"/>
      <c r="R57" s="491"/>
    </row>
    <row r="58" spans="2:18" ht="18.75" customHeight="1" x14ac:dyDescent="0.3">
      <c r="B58" s="510"/>
      <c r="C58" s="502"/>
      <c r="D58" s="503"/>
      <c r="E58" s="503"/>
      <c r="F58" s="503"/>
      <c r="G58" s="503"/>
      <c r="H58" s="503"/>
      <c r="I58" s="503"/>
      <c r="J58" s="503"/>
      <c r="K58" s="503"/>
      <c r="L58" s="503"/>
      <c r="M58" s="503"/>
      <c r="N58" s="503"/>
      <c r="O58" s="503"/>
    </row>
    <row r="59" spans="2:18" ht="18.75" customHeight="1" x14ac:dyDescent="0.3">
      <c r="B59" s="511" t="s">
        <v>470</v>
      </c>
      <c r="C59" s="512"/>
      <c r="D59" s="512"/>
      <c r="E59" s="512"/>
      <c r="F59" s="512"/>
      <c r="G59" s="512"/>
      <c r="H59" s="681"/>
      <c r="I59" s="681"/>
      <c r="J59" s="681"/>
      <c r="K59" s="681"/>
      <c r="L59" s="681"/>
      <c r="M59" s="681"/>
      <c r="N59" s="681"/>
      <c r="O59" s="681"/>
      <c r="P59" s="681"/>
      <c r="Q59" s="682"/>
    </row>
    <row r="61" spans="2:18" ht="18.75" customHeight="1" x14ac:dyDescent="0.3">
      <c r="B61" s="506" t="s">
        <v>471</v>
      </c>
      <c r="C61" s="506" t="s">
        <v>472</v>
      </c>
      <c r="D61" s="1395" t="s">
        <v>473</v>
      </c>
      <c r="E61" s="1395"/>
      <c r="F61" s="506" t="s">
        <v>474</v>
      </c>
      <c r="G61" s="506" t="s">
        <v>475</v>
      </c>
      <c r="H61" s="506" t="s">
        <v>406</v>
      </c>
      <c r="I61" s="506" t="s">
        <v>428</v>
      </c>
      <c r="J61" s="1396" t="s">
        <v>476</v>
      </c>
      <c r="K61" s="1397"/>
      <c r="L61" s="1397"/>
      <c r="M61" s="1397"/>
      <c r="N61" s="1397"/>
      <c r="O61" s="1397"/>
      <c r="P61" s="1397"/>
      <c r="Q61" s="1398"/>
    </row>
    <row r="62" spans="2:18" ht="48" customHeight="1" x14ac:dyDescent="0.3">
      <c r="B62" s="534">
        <v>1</v>
      </c>
      <c r="C62" s="549" t="s">
        <v>1209</v>
      </c>
      <c r="D62" s="1556" t="s">
        <v>1472</v>
      </c>
      <c r="E62" s="1556"/>
      <c r="F62" s="1238"/>
      <c r="G62" s="1238"/>
      <c r="H62" s="548">
        <v>0.65</v>
      </c>
      <c r="I62" s="1238" t="s">
        <v>519</v>
      </c>
      <c r="J62" s="1701" t="s">
        <v>1480</v>
      </c>
      <c r="K62" s="1917"/>
      <c r="L62" s="1917"/>
      <c r="M62" s="1917"/>
      <c r="N62" s="1917"/>
      <c r="O62" s="1917"/>
      <c r="P62" s="1917"/>
      <c r="Q62" s="1918"/>
      <c r="R62" s="491"/>
    </row>
    <row r="63" spans="2:18" ht="75" customHeight="1" x14ac:dyDescent="0.3">
      <c r="B63" s="534">
        <v>2</v>
      </c>
      <c r="C63" s="549" t="s">
        <v>1400</v>
      </c>
      <c r="D63" s="1556" t="s">
        <v>1474</v>
      </c>
      <c r="E63" s="1556"/>
      <c r="F63" s="1238"/>
      <c r="G63" s="1238"/>
      <c r="H63" s="559">
        <v>0.93</v>
      </c>
      <c r="I63" s="1238" t="s">
        <v>519</v>
      </c>
      <c r="J63" s="1701" t="s">
        <v>1481</v>
      </c>
      <c r="K63" s="1917"/>
      <c r="L63" s="1917"/>
      <c r="M63" s="1917"/>
      <c r="N63" s="1917"/>
      <c r="O63" s="1917"/>
      <c r="P63" s="1917"/>
      <c r="Q63" s="1918"/>
      <c r="R63" s="491"/>
    </row>
    <row r="64" spans="2:18" ht="24" customHeight="1" x14ac:dyDescent="0.3">
      <c r="B64" s="534">
        <v>3</v>
      </c>
      <c r="C64" s="549" t="s">
        <v>1433</v>
      </c>
      <c r="D64" s="1556" t="s">
        <v>1434</v>
      </c>
      <c r="E64" s="1556"/>
      <c r="F64" s="1238" t="str">
        <f>C28</f>
        <v>Other</v>
      </c>
      <c r="G64" s="1238" t="s">
        <v>1482</v>
      </c>
      <c r="H64" s="983">
        <f>INDEX(BuildingType[],MATCH($C$28,BuildingType[Building],0),MATCH($G$64,BuildingType[#Headers],0))</f>
        <v>5038</v>
      </c>
      <c r="I64" s="1238" t="s">
        <v>532</v>
      </c>
      <c r="J64" s="1472" t="s">
        <v>1483</v>
      </c>
      <c r="K64" s="1473"/>
      <c r="L64" s="1473"/>
      <c r="M64" s="1473"/>
      <c r="N64" s="1473"/>
      <c r="O64" s="1473"/>
      <c r="P64" s="1473"/>
      <c r="Q64" s="1474"/>
      <c r="R64" s="491"/>
    </row>
    <row r="65" spans="2:18" ht="37.5" customHeight="1" x14ac:dyDescent="0.3">
      <c r="B65" s="534">
        <v>4</v>
      </c>
      <c r="C65" s="549" t="s">
        <v>695</v>
      </c>
      <c r="D65" s="1556" t="s">
        <v>1477</v>
      </c>
      <c r="E65" s="1556"/>
      <c r="F65" s="1238"/>
      <c r="G65" s="1238"/>
      <c r="H65" s="984">
        <v>8.1000000000000003E-2</v>
      </c>
      <c r="I65" s="1238" t="s">
        <v>519</v>
      </c>
      <c r="J65" s="1462" t="s">
        <v>1484</v>
      </c>
      <c r="K65" s="1464"/>
      <c r="L65" s="1464"/>
      <c r="M65" s="1464"/>
      <c r="N65" s="1464"/>
      <c r="O65" s="1464"/>
      <c r="P65" s="1464"/>
      <c r="Q65" s="1463"/>
      <c r="R65" s="491"/>
    </row>
    <row r="66" spans="2:18" ht="21" customHeight="1" x14ac:dyDescent="0.3">
      <c r="B66" s="535">
        <v>5</v>
      </c>
      <c r="C66" s="551" t="s">
        <v>1431</v>
      </c>
      <c r="D66" s="1543" t="s">
        <v>1478</v>
      </c>
      <c r="E66" s="1543"/>
      <c r="F66" s="552"/>
      <c r="G66" s="552"/>
      <c r="H66" s="644">
        <v>1</v>
      </c>
      <c r="I66" s="552" t="s">
        <v>1018</v>
      </c>
      <c r="J66" s="1482" t="s">
        <v>1019</v>
      </c>
      <c r="K66" s="1544"/>
      <c r="L66" s="1544"/>
      <c r="M66" s="1544"/>
      <c r="N66" s="1544"/>
      <c r="O66" s="1544"/>
      <c r="P66" s="1544"/>
      <c r="Q66" s="1545"/>
      <c r="R66" s="491"/>
    </row>
    <row r="67" spans="2:18" ht="13.15" customHeight="1" x14ac:dyDescent="0.3">
      <c r="B67" s="534">
        <v>6</v>
      </c>
      <c r="C67" s="555"/>
      <c r="D67" s="1587"/>
      <c r="E67" s="1587"/>
      <c r="F67" s="557"/>
      <c r="G67" s="557"/>
      <c r="H67" s="557"/>
      <c r="I67" s="557"/>
      <c r="J67" s="1472"/>
      <c r="K67" s="1473"/>
      <c r="L67" s="1473"/>
      <c r="M67" s="1473"/>
      <c r="N67" s="1473"/>
      <c r="O67" s="1473"/>
      <c r="P67" s="1473"/>
      <c r="Q67" s="1474"/>
      <c r="R67" s="491"/>
    </row>
    <row r="68" spans="2:18" ht="13.15" customHeight="1" x14ac:dyDescent="0.3">
      <c r="B68" s="534">
        <v>7</v>
      </c>
      <c r="C68" s="555"/>
      <c r="D68" s="1587"/>
      <c r="E68" s="1587"/>
      <c r="F68" s="557"/>
      <c r="G68" s="557"/>
      <c r="H68" s="557"/>
      <c r="I68" s="557"/>
      <c r="J68" s="1472"/>
      <c r="K68" s="1473"/>
      <c r="L68" s="1473"/>
      <c r="M68" s="1473"/>
      <c r="N68" s="1473"/>
      <c r="O68" s="1473"/>
      <c r="P68" s="1473"/>
      <c r="Q68" s="1474"/>
      <c r="R68" s="491"/>
    </row>
    <row r="69" spans="2:18" ht="13" x14ac:dyDescent="0.3">
      <c r="B69" s="534">
        <v>8</v>
      </c>
      <c r="C69" s="555"/>
      <c r="D69" s="1587"/>
      <c r="E69" s="1587"/>
      <c r="F69" s="557"/>
      <c r="G69" s="557"/>
      <c r="H69" s="557"/>
      <c r="I69" s="557"/>
      <c r="J69" s="1472"/>
      <c r="K69" s="1473"/>
      <c r="L69" s="1473"/>
      <c r="M69" s="1473"/>
      <c r="N69" s="1473"/>
      <c r="O69" s="1473"/>
      <c r="P69" s="1473"/>
      <c r="Q69" s="1474"/>
      <c r="R69" s="491"/>
    </row>
    <row r="70" spans="2:18" ht="13" x14ac:dyDescent="0.3">
      <c r="B70" s="534">
        <v>9</v>
      </c>
      <c r="C70" s="555"/>
      <c r="D70" s="1587"/>
      <c r="E70" s="1587"/>
      <c r="F70" s="557"/>
      <c r="G70" s="557"/>
      <c r="H70" s="1217"/>
      <c r="I70" s="557"/>
      <c r="J70" s="1472"/>
      <c r="K70" s="1473"/>
      <c r="L70" s="1473"/>
      <c r="M70" s="1473"/>
      <c r="N70" s="1473"/>
      <c r="O70" s="1473"/>
      <c r="P70" s="1473"/>
      <c r="Q70" s="1474"/>
      <c r="R70" s="491"/>
    </row>
    <row r="71" spans="2:18" ht="13" x14ac:dyDescent="0.3">
      <c r="B71" s="536">
        <v>10</v>
      </c>
      <c r="C71" s="555"/>
      <c r="D71" s="1587"/>
      <c r="E71" s="1587"/>
      <c r="F71" s="557"/>
      <c r="G71" s="557"/>
      <c r="H71" s="689"/>
      <c r="I71" s="557"/>
      <c r="J71" s="1472"/>
      <c r="K71" s="1473"/>
      <c r="L71" s="1473"/>
      <c r="M71" s="1473"/>
      <c r="N71" s="1473"/>
      <c r="O71" s="1473"/>
      <c r="P71" s="1473"/>
      <c r="Q71" s="1474"/>
      <c r="R71" s="491"/>
    </row>
    <row r="72" spans="2:18" ht="13" x14ac:dyDescent="0.3">
      <c r="B72" s="536">
        <v>11</v>
      </c>
      <c r="C72" s="555"/>
      <c r="D72" s="1587"/>
      <c r="E72" s="1587"/>
      <c r="F72" s="557"/>
      <c r="G72" s="557"/>
      <c r="H72" s="689"/>
      <c r="I72" s="557"/>
      <c r="J72" s="1472"/>
      <c r="K72" s="1473"/>
      <c r="L72" s="1473"/>
      <c r="M72" s="1473"/>
      <c r="N72" s="1473"/>
      <c r="O72" s="1473"/>
      <c r="P72" s="1473"/>
      <c r="Q72" s="1474"/>
      <c r="R72" s="491"/>
    </row>
    <row r="73" spans="2:18" ht="13" x14ac:dyDescent="0.3">
      <c r="B73" s="536">
        <v>12</v>
      </c>
      <c r="C73" s="555"/>
      <c r="D73" s="1587"/>
      <c r="E73" s="1587"/>
      <c r="F73" s="557"/>
      <c r="G73" s="557"/>
      <c r="H73" s="689"/>
      <c r="I73" s="557"/>
      <c r="J73" s="1472"/>
      <c r="K73" s="1473"/>
      <c r="L73" s="1473"/>
      <c r="M73" s="1473"/>
      <c r="N73" s="1473"/>
      <c r="O73" s="1473"/>
      <c r="P73" s="1473"/>
      <c r="Q73" s="1474"/>
      <c r="R73" s="491"/>
    </row>
    <row r="74" spans="2:18" ht="13" x14ac:dyDescent="0.3">
      <c r="B74" s="536">
        <v>13</v>
      </c>
      <c r="C74" s="555"/>
      <c r="D74" s="1587"/>
      <c r="E74" s="1587"/>
      <c r="F74" s="557"/>
      <c r="G74" s="557"/>
      <c r="H74" s="689"/>
      <c r="I74" s="557"/>
      <c r="J74" s="1472"/>
      <c r="K74" s="1473"/>
      <c r="L74" s="1473"/>
      <c r="M74" s="1473"/>
      <c r="N74" s="1473"/>
      <c r="O74" s="1473"/>
      <c r="P74" s="1473"/>
      <c r="Q74" s="1474"/>
      <c r="R74" s="491"/>
    </row>
    <row r="75" spans="2:18" ht="13" x14ac:dyDescent="0.3">
      <c r="B75" s="536">
        <v>14</v>
      </c>
      <c r="C75" s="555"/>
      <c r="D75" s="1587"/>
      <c r="E75" s="1587"/>
      <c r="F75" s="557"/>
      <c r="G75" s="557"/>
      <c r="H75" s="689"/>
      <c r="I75" s="557"/>
      <c r="J75" s="1472"/>
      <c r="K75" s="1473"/>
      <c r="L75" s="1473"/>
      <c r="M75" s="1473"/>
      <c r="N75" s="1473"/>
      <c r="O75" s="1473"/>
      <c r="P75" s="1473"/>
      <c r="Q75" s="1474"/>
      <c r="R75" s="491"/>
    </row>
    <row r="76" spans="2:18" ht="13" x14ac:dyDescent="0.3">
      <c r="B76" s="536">
        <v>15</v>
      </c>
      <c r="C76" s="555"/>
      <c r="D76" s="1587"/>
      <c r="E76" s="1587"/>
      <c r="F76" s="557"/>
      <c r="G76" s="557"/>
      <c r="H76" s="689"/>
      <c r="I76" s="557"/>
      <c r="J76" s="1472"/>
      <c r="K76" s="1473"/>
      <c r="L76" s="1473"/>
      <c r="M76" s="1473"/>
      <c r="N76" s="1473"/>
      <c r="O76" s="1473"/>
      <c r="P76" s="1473"/>
      <c r="Q76" s="1474"/>
      <c r="R76" s="491"/>
    </row>
    <row r="77" spans="2:18" ht="18.75" customHeight="1" x14ac:dyDescent="0.3">
      <c r="R77" s="491"/>
    </row>
    <row r="78" spans="2:18" ht="18.75" customHeight="1" x14ac:dyDescent="0.3">
      <c r="B78" s="511" t="s">
        <v>477</v>
      </c>
      <c r="C78" s="512"/>
      <c r="D78" s="512"/>
      <c r="E78" s="512"/>
      <c r="F78" s="512"/>
      <c r="G78" s="512"/>
      <c r="H78" s="513"/>
      <c r="I78" s="513"/>
      <c r="J78" s="513"/>
      <c r="K78" s="513"/>
      <c r="L78" s="513"/>
      <c r="M78" s="513"/>
      <c r="N78" s="513"/>
      <c r="O78" s="513"/>
      <c r="P78" s="513"/>
      <c r="Q78" s="514"/>
      <c r="R78" s="491"/>
    </row>
    <row r="79" spans="2:18" ht="18.75" customHeight="1" x14ac:dyDescent="0.3">
      <c r="B79" s="488"/>
      <c r="C79" s="488"/>
      <c r="D79" s="488"/>
      <c r="E79" s="488"/>
      <c r="F79" s="488"/>
      <c r="G79" s="488"/>
      <c r="H79" s="488"/>
      <c r="I79" s="488"/>
      <c r="J79" s="488"/>
      <c r="K79" s="488"/>
      <c r="L79" s="488"/>
      <c r="M79" s="488"/>
      <c r="N79" s="488"/>
      <c r="O79" s="488"/>
      <c r="P79" s="488"/>
      <c r="Q79" s="488"/>
      <c r="R79" s="491"/>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91"/>
    </row>
    <row r="81" spans="2:18" ht="13" x14ac:dyDescent="0.3">
      <c r="B81" s="533">
        <v>1</v>
      </c>
      <c r="C81" s="560" t="s">
        <v>480</v>
      </c>
      <c r="D81" s="561">
        <v>1000</v>
      </c>
      <c r="E81" s="1182" t="s">
        <v>481</v>
      </c>
      <c r="F81" s="1486" t="s">
        <v>482</v>
      </c>
      <c r="G81" s="1487"/>
      <c r="H81" s="1487"/>
      <c r="I81" s="1487"/>
      <c r="J81" s="1487"/>
      <c r="K81" s="1487"/>
      <c r="L81" s="1487"/>
      <c r="M81" s="1487"/>
      <c r="N81" s="1487"/>
      <c r="O81" s="1487"/>
      <c r="P81" s="1487"/>
      <c r="Q81" s="1488"/>
      <c r="R81" s="491"/>
    </row>
    <row r="82" spans="2:18"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c r="R82" s="491"/>
    </row>
    <row r="83" spans="2:18"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c r="R83" s="491"/>
    </row>
    <row r="84" spans="2:18" ht="13" x14ac:dyDescent="0.3">
      <c r="B84" s="533">
        <v>4</v>
      </c>
      <c r="C84" s="560" t="s">
        <v>488</v>
      </c>
      <c r="D84" s="562">
        <v>0.1055</v>
      </c>
      <c r="E84" s="1182" t="s">
        <v>489</v>
      </c>
      <c r="F84" s="1489" t="s">
        <v>485</v>
      </c>
      <c r="G84" s="1490"/>
      <c r="H84" s="1490"/>
      <c r="I84" s="1490"/>
      <c r="J84" s="1490"/>
      <c r="K84" s="1490"/>
      <c r="L84" s="1490"/>
      <c r="M84" s="1490"/>
      <c r="N84" s="1490"/>
      <c r="O84" s="1490"/>
      <c r="P84" s="1490"/>
      <c r="Q84" s="1491"/>
      <c r="R84" s="491"/>
    </row>
    <row r="85" spans="2:18"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c r="R85" s="491"/>
    </row>
    <row r="86" spans="2:18" ht="13" x14ac:dyDescent="0.3">
      <c r="B86" s="992">
        <v>6</v>
      </c>
      <c r="C86" s="993" t="s">
        <v>1485</v>
      </c>
      <c r="D86" s="994">
        <v>0.746</v>
      </c>
      <c r="E86" s="1236" t="s">
        <v>1456</v>
      </c>
      <c r="F86" s="1941" t="s">
        <v>1486</v>
      </c>
      <c r="G86" s="1942"/>
      <c r="H86" s="1942"/>
      <c r="I86" s="1942"/>
      <c r="J86" s="1942"/>
      <c r="K86" s="1942"/>
      <c r="L86" s="1942"/>
      <c r="M86" s="1942"/>
      <c r="N86" s="1942"/>
      <c r="O86" s="1942"/>
      <c r="P86" s="1942"/>
      <c r="Q86" s="1943"/>
      <c r="R86" s="491"/>
    </row>
    <row r="87" spans="2:18" ht="13" x14ac:dyDescent="0.3">
      <c r="B87" s="992">
        <v>7</v>
      </c>
      <c r="C87" s="993"/>
      <c r="D87" s="994"/>
      <c r="E87" s="1236"/>
      <c r="F87" s="1941"/>
      <c r="G87" s="1942"/>
      <c r="H87" s="1942"/>
      <c r="I87" s="1942"/>
      <c r="J87" s="1942"/>
      <c r="K87" s="1942"/>
      <c r="L87" s="1942"/>
      <c r="M87" s="1942"/>
      <c r="N87" s="1942"/>
      <c r="O87" s="1942"/>
      <c r="P87" s="1942"/>
      <c r="Q87" s="1943"/>
      <c r="R87" s="491"/>
    </row>
    <row r="88" spans="2:18" ht="13" x14ac:dyDescent="0.3">
      <c r="B88" s="992">
        <v>8</v>
      </c>
      <c r="C88" s="993"/>
      <c r="D88" s="994"/>
      <c r="E88" s="1236"/>
      <c r="F88" s="1941"/>
      <c r="G88" s="1942"/>
      <c r="H88" s="1942"/>
      <c r="I88" s="1942"/>
      <c r="J88" s="1942"/>
      <c r="K88" s="1942"/>
      <c r="L88" s="1942"/>
      <c r="M88" s="1942"/>
      <c r="N88" s="1942"/>
      <c r="O88" s="1942"/>
      <c r="P88" s="1942"/>
      <c r="Q88" s="1943"/>
      <c r="R88" s="491"/>
    </row>
    <row r="89" spans="2:18" ht="13" x14ac:dyDescent="0.3">
      <c r="B89" s="992">
        <v>9</v>
      </c>
      <c r="C89" s="993"/>
      <c r="D89" s="994"/>
      <c r="E89" s="1236"/>
      <c r="F89" s="1941"/>
      <c r="G89" s="1942"/>
      <c r="H89" s="1942"/>
      <c r="I89" s="1942"/>
      <c r="J89" s="1942"/>
      <c r="K89" s="1942"/>
      <c r="L89" s="1942"/>
      <c r="M89" s="1942"/>
      <c r="N89" s="1942"/>
      <c r="O89" s="1942"/>
      <c r="P89" s="1942"/>
      <c r="Q89" s="1943"/>
      <c r="R89" s="491"/>
    </row>
    <row r="90" spans="2:18" ht="13" x14ac:dyDescent="0.3">
      <c r="B90" s="533">
        <v>10</v>
      </c>
      <c r="C90" s="563"/>
      <c r="D90" s="562"/>
      <c r="E90" s="1182"/>
      <c r="F90" s="1486"/>
      <c r="G90" s="1487"/>
      <c r="H90" s="1487"/>
      <c r="I90" s="1487"/>
      <c r="J90" s="1487"/>
      <c r="K90" s="1487"/>
      <c r="L90" s="1487"/>
      <c r="M90" s="1487"/>
      <c r="N90" s="1487"/>
      <c r="O90" s="1487"/>
      <c r="P90" s="1487"/>
      <c r="Q90" s="1488"/>
      <c r="R90" s="491"/>
    </row>
    <row r="91" spans="2:18" ht="18.75" customHeight="1" x14ac:dyDescent="0.3">
      <c r="R91" s="491"/>
    </row>
    <row r="92" spans="2:18" ht="18.75" customHeight="1" x14ac:dyDescent="0.3">
      <c r="B92" s="511" t="s">
        <v>492</v>
      </c>
      <c r="C92" s="512"/>
      <c r="D92" s="512"/>
      <c r="E92" s="512"/>
      <c r="F92" s="512"/>
      <c r="G92" s="512"/>
      <c r="H92" s="681"/>
      <c r="I92" s="681"/>
      <c r="J92" s="681"/>
      <c r="K92" s="681"/>
      <c r="L92" s="681"/>
      <c r="M92" s="681"/>
      <c r="N92" s="681"/>
      <c r="O92" s="681"/>
      <c r="P92" s="681"/>
      <c r="Q92" s="682"/>
      <c r="R92" s="491"/>
    </row>
    <row r="93" spans="2:18" ht="18.75" customHeight="1" x14ac:dyDescent="0.3">
      <c r="R93" s="491"/>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91"/>
    </row>
    <row r="95" spans="2:18" ht="25.5" customHeight="1" x14ac:dyDescent="0.3">
      <c r="B95" s="1498" t="s">
        <v>1467</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c r="R95" s="491"/>
    </row>
    <row r="96" spans="2:18" ht="25.5" customHeight="1" x14ac:dyDescent="0.3">
      <c r="B96" s="1188" t="s">
        <v>478</v>
      </c>
      <c r="C96" s="1402" t="s">
        <v>538</v>
      </c>
      <c r="D96" s="1431"/>
      <c r="E96" s="565" t="s">
        <v>936</v>
      </c>
      <c r="F96" s="565"/>
      <c r="G96" s="565"/>
      <c r="H96" s="565"/>
      <c r="I96" s="565"/>
      <c r="J96" s="565"/>
      <c r="K96" s="565"/>
      <c r="L96" s="565"/>
      <c r="M96" s="565"/>
      <c r="N96" s="566"/>
      <c r="O96" s="1410"/>
      <c r="P96" s="1411"/>
      <c r="Q96" s="1412"/>
      <c r="R96" s="491"/>
    </row>
    <row r="97" spans="2:18" ht="13" x14ac:dyDescent="0.3">
      <c r="B97" s="536">
        <v>1</v>
      </c>
      <c r="C97" s="546">
        <v>1</v>
      </c>
      <c r="D97" s="1184"/>
      <c r="E97" s="989">
        <v>0.81666666666666676</v>
      </c>
      <c r="F97" s="678"/>
      <c r="G97" s="691"/>
      <c r="H97" s="691"/>
      <c r="I97" s="692"/>
      <c r="J97" s="692"/>
      <c r="K97" s="692"/>
      <c r="L97" s="692"/>
      <c r="M97" s="692"/>
      <c r="N97" s="692"/>
      <c r="O97" s="1656"/>
      <c r="P97" s="1657"/>
      <c r="Q97" s="1658"/>
      <c r="R97" s="491"/>
    </row>
    <row r="98" spans="2:18" ht="13" x14ac:dyDescent="0.3">
      <c r="B98" s="536">
        <v>2</v>
      </c>
      <c r="C98" s="546">
        <v>5</v>
      </c>
      <c r="D98" s="1184"/>
      <c r="E98" s="989">
        <v>0.88833333333333331</v>
      </c>
      <c r="F98" s="678"/>
      <c r="G98" s="691"/>
      <c r="H98" s="691"/>
      <c r="I98" s="692"/>
      <c r="J98" s="692"/>
      <c r="K98" s="692"/>
      <c r="L98" s="692"/>
      <c r="M98" s="692"/>
      <c r="N98" s="692"/>
      <c r="O98" s="1653"/>
      <c r="P98" s="1654"/>
      <c r="Q98" s="1655"/>
      <c r="R98" s="491"/>
    </row>
    <row r="99" spans="2:18" ht="13" x14ac:dyDescent="0.3">
      <c r="B99" s="536">
        <v>3</v>
      </c>
      <c r="C99" s="546">
        <v>10</v>
      </c>
      <c r="D99" s="1184"/>
      <c r="E99" s="989">
        <v>0.90966666666666673</v>
      </c>
      <c r="F99" s="678"/>
      <c r="G99" s="691"/>
      <c r="H99" s="691"/>
      <c r="I99" s="692"/>
      <c r="J99" s="692"/>
      <c r="K99" s="692"/>
      <c r="L99" s="692"/>
      <c r="M99" s="692"/>
      <c r="N99" s="692"/>
      <c r="O99" s="1653"/>
      <c r="P99" s="1654"/>
      <c r="Q99" s="1655"/>
      <c r="R99" s="491"/>
    </row>
    <row r="100" spans="2:18" ht="13" x14ac:dyDescent="0.3">
      <c r="B100" s="536">
        <v>4</v>
      </c>
      <c r="C100" s="546">
        <v>15</v>
      </c>
      <c r="D100" s="1184"/>
      <c r="E100" s="989">
        <v>0.91666666666666685</v>
      </c>
      <c r="F100" s="678"/>
      <c r="G100" s="691"/>
      <c r="H100" s="691"/>
      <c r="I100" s="692"/>
      <c r="J100" s="692"/>
      <c r="K100" s="692"/>
      <c r="L100" s="692"/>
      <c r="M100" s="692"/>
      <c r="N100" s="692"/>
      <c r="O100" s="1653"/>
      <c r="P100" s="1654"/>
      <c r="Q100" s="1655"/>
      <c r="R100" s="491"/>
    </row>
    <row r="101" spans="2:18" ht="13" x14ac:dyDescent="0.3">
      <c r="B101" s="536">
        <v>5</v>
      </c>
      <c r="C101" s="546">
        <v>20</v>
      </c>
      <c r="D101" s="1184"/>
      <c r="E101" s="989">
        <v>0.92016666666666669</v>
      </c>
      <c r="F101" s="678"/>
      <c r="G101" s="691"/>
      <c r="H101" s="691"/>
      <c r="I101" s="692"/>
      <c r="J101" s="692"/>
      <c r="K101" s="692"/>
      <c r="L101" s="692"/>
      <c r="M101" s="692"/>
      <c r="N101" s="692"/>
      <c r="O101" s="1653"/>
      <c r="P101" s="1654"/>
      <c r="Q101" s="1655"/>
      <c r="R101" s="491"/>
    </row>
    <row r="102" spans="2:18" ht="13" x14ac:dyDescent="0.3">
      <c r="B102" s="536">
        <v>6</v>
      </c>
      <c r="C102" s="546">
        <v>25</v>
      </c>
      <c r="D102" s="570"/>
      <c r="E102" s="990">
        <v>0.92766666666666675</v>
      </c>
      <c r="F102" s="1190"/>
      <c r="G102" s="691"/>
      <c r="H102" s="691"/>
      <c r="I102" s="556"/>
      <c r="J102" s="556"/>
      <c r="K102" s="556"/>
      <c r="L102" s="556"/>
      <c r="M102" s="556"/>
      <c r="N102" s="556"/>
      <c r="O102" s="1650"/>
      <c r="P102" s="1651"/>
      <c r="Q102" s="1652"/>
      <c r="R102" s="491"/>
    </row>
    <row r="103" spans="2:18" ht="13" x14ac:dyDescent="0.3">
      <c r="B103" s="536">
        <v>7</v>
      </c>
      <c r="C103" s="555">
        <v>30</v>
      </c>
      <c r="D103" s="1221"/>
      <c r="E103" s="991">
        <v>0.92949999999999999</v>
      </c>
      <c r="F103" s="556"/>
      <c r="G103" s="556"/>
      <c r="H103" s="691"/>
      <c r="I103" s="556"/>
      <c r="J103" s="556"/>
      <c r="K103" s="556"/>
      <c r="L103" s="556"/>
      <c r="M103" s="556"/>
      <c r="N103" s="556"/>
      <c r="O103" s="1650"/>
      <c r="P103" s="1651"/>
      <c r="Q103" s="1652"/>
      <c r="R103" s="491"/>
    </row>
    <row r="104" spans="2:18" ht="13" x14ac:dyDescent="0.3">
      <c r="B104" s="536">
        <v>8</v>
      </c>
      <c r="C104" s="555">
        <v>40</v>
      </c>
      <c r="D104" s="1221"/>
      <c r="E104" s="991">
        <v>0.93533333333333335</v>
      </c>
      <c r="F104" s="556"/>
      <c r="G104" s="556"/>
      <c r="H104" s="556"/>
      <c r="I104" s="556"/>
      <c r="J104" s="556"/>
      <c r="K104" s="556"/>
      <c r="L104" s="556"/>
      <c r="M104" s="556"/>
      <c r="N104" s="556"/>
      <c r="O104" s="1650"/>
      <c r="P104" s="1651"/>
      <c r="Q104" s="1652"/>
      <c r="R104" s="491"/>
    </row>
    <row r="105" spans="2:18" ht="13" x14ac:dyDescent="0.3">
      <c r="B105" s="536">
        <v>9</v>
      </c>
      <c r="C105" s="555">
        <v>50</v>
      </c>
      <c r="D105" s="1221"/>
      <c r="E105" s="991">
        <v>0.93866666666666665</v>
      </c>
      <c r="F105" s="986"/>
      <c r="G105" s="1217"/>
      <c r="H105" s="1217"/>
      <c r="I105" s="569"/>
      <c r="J105" s="569"/>
      <c r="K105" s="569"/>
      <c r="L105" s="569"/>
      <c r="M105" s="569"/>
      <c r="N105" s="569"/>
      <c r="O105" s="1492"/>
      <c r="P105" s="1493"/>
      <c r="Q105" s="1494"/>
      <c r="R105" s="491"/>
    </row>
    <row r="106" spans="2:18" ht="13" x14ac:dyDescent="0.3">
      <c r="B106" s="536">
        <v>10</v>
      </c>
      <c r="C106" s="555">
        <v>60</v>
      </c>
      <c r="D106" s="1221"/>
      <c r="E106" s="991">
        <v>0.94366666666666665</v>
      </c>
      <c r="F106" s="1217"/>
      <c r="G106" s="1217"/>
      <c r="H106" s="1217"/>
      <c r="I106" s="569"/>
      <c r="J106" s="569"/>
      <c r="K106" s="569"/>
      <c r="L106" s="569"/>
      <c r="M106" s="569"/>
      <c r="N106" s="569"/>
      <c r="O106" s="1492"/>
      <c r="P106" s="1493"/>
      <c r="Q106" s="1494"/>
      <c r="R106" s="491"/>
    </row>
    <row r="107" spans="2:18" ht="13" x14ac:dyDescent="0.3">
      <c r="B107" s="536">
        <v>11</v>
      </c>
      <c r="C107" s="555">
        <v>75</v>
      </c>
      <c r="D107" s="1221"/>
      <c r="E107" s="991">
        <v>0.94433333333333325</v>
      </c>
      <c r="F107" s="691"/>
      <c r="G107" s="689"/>
      <c r="H107" s="689"/>
      <c r="I107" s="556"/>
      <c r="J107" s="556"/>
      <c r="K107" s="556"/>
      <c r="L107" s="556"/>
      <c r="M107" s="556"/>
      <c r="N107" s="556"/>
      <c r="O107" s="1650"/>
      <c r="P107" s="1651"/>
      <c r="Q107" s="1652"/>
      <c r="R107" s="491"/>
    </row>
    <row r="108" spans="2:18" ht="13" x14ac:dyDescent="0.3">
      <c r="B108" s="536">
        <v>12</v>
      </c>
      <c r="C108" s="555">
        <v>100</v>
      </c>
      <c r="D108" s="1221"/>
      <c r="E108" s="991">
        <v>0.9474999999999999</v>
      </c>
      <c r="F108" s="691"/>
      <c r="G108" s="1217"/>
      <c r="H108" s="1217"/>
      <c r="I108" s="569"/>
      <c r="J108" s="569"/>
      <c r="K108" s="569"/>
      <c r="L108" s="569"/>
      <c r="M108" s="569"/>
      <c r="N108" s="569"/>
      <c r="O108" s="1492"/>
      <c r="P108" s="1493"/>
      <c r="Q108" s="1494"/>
      <c r="R108" s="491"/>
    </row>
    <row r="109" spans="2:18" ht="13" x14ac:dyDescent="0.3">
      <c r="B109" s="536">
        <v>13</v>
      </c>
      <c r="C109" s="555">
        <v>200</v>
      </c>
      <c r="D109" s="1221"/>
      <c r="E109" s="991">
        <v>0.95599999999999996</v>
      </c>
      <c r="F109" s="1217"/>
      <c r="G109" s="1217"/>
      <c r="H109" s="1217"/>
      <c r="I109" s="569"/>
      <c r="J109" s="569"/>
      <c r="K109" s="569"/>
      <c r="L109" s="569"/>
      <c r="M109" s="569"/>
      <c r="N109" s="569"/>
      <c r="O109" s="1492"/>
      <c r="P109" s="1493"/>
      <c r="Q109" s="1494"/>
      <c r="R109" s="491"/>
    </row>
    <row r="110" spans="2:18" ht="13" x14ac:dyDescent="0.3">
      <c r="B110" s="536">
        <v>14</v>
      </c>
      <c r="C110" s="555">
        <v>300</v>
      </c>
      <c r="D110" s="1221"/>
      <c r="E110" s="991">
        <v>0.95733333333333326</v>
      </c>
      <c r="F110" s="690"/>
      <c r="G110" s="690"/>
      <c r="H110" s="690"/>
      <c r="I110" s="556"/>
      <c r="J110" s="556"/>
      <c r="K110" s="556"/>
      <c r="L110" s="556"/>
      <c r="M110" s="556"/>
      <c r="N110" s="556"/>
      <c r="O110" s="1650"/>
      <c r="P110" s="1651"/>
      <c r="Q110" s="1652"/>
      <c r="R110" s="491"/>
    </row>
    <row r="111" spans="2:18" ht="13" x14ac:dyDescent="0.3">
      <c r="B111" s="536">
        <v>15</v>
      </c>
      <c r="C111" s="555">
        <v>400</v>
      </c>
      <c r="D111" s="1221"/>
      <c r="E111" s="991">
        <v>0.95866666666666667</v>
      </c>
      <c r="F111" s="690"/>
      <c r="G111" s="690"/>
      <c r="H111" s="690"/>
      <c r="I111" s="556"/>
      <c r="J111" s="556"/>
      <c r="K111" s="556"/>
      <c r="L111" s="556"/>
      <c r="M111" s="556"/>
      <c r="N111" s="556"/>
      <c r="O111" s="1650"/>
      <c r="P111" s="1651"/>
      <c r="Q111" s="1652"/>
      <c r="R111" s="491"/>
    </row>
    <row r="112" spans="2:18" ht="13" x14ac:dyDescent="0.3">
      <c r="B112" s="536">
        <v>16</v>
      </c>
      <c r="C112" s="555">
        <v>500</v>
      </c>
      <c r="D112" s="1221"/>
      <c r="E112" s="991">
        <v>0.96</v>
      </c>
      <c r="F112" s="690"/>
      <c r="G112" s="690"/>
      <c r="H112" s="690"/>
      <c r="I112" s="556"/>
      <c r="J112" s="556"/>
      <c r="K112" s="556"/>
      <c r="L112" s="556"/>
      <c r="M112" s="556"/>
      <c r="N112" s="556"/>
      <c r="O112" s="1650"/>
      <c r="P112" s="1651"/>
      <c r="Q112" s="1652"/>
      <c r="R112" s="491"/>
    </row>
    <row r="113" spans="2:18" ht="13" x14ac:dyDescent="0.3">
      <c r="B113" s="536">
        <v>17</v>
      </c>
      <c r="C113" s="555"/>
      <c r="D113" s="1221"/>
      <c r="E113" s="690"/>
      <c r="F113" s="690"/>
      <c r="G113" s="690"/>
      <c r="H113" s="690"/>
      <c r="I113" s="556"/>
      <c r="J113" s="556"/>
      <c r="K113" s="556"/>
      <c r="L113" s="556"/>
      <c r="M113" s="556"/>
      <c r="N113" s="556"/>
      <c r="O113" s="1650"/>
      <c r="P113" s="1651"/>
      <c r="Q113" s="1652"/>
      <c r="R113" s="491"/>
    </row>
    <row r="114" spans="2:18" ht="13" x14ac:dyDescent="0.3">
      <c r="B114" s="536">
        <v>18</v>
      </c>
      <c r="C114" s="555"/>
      <c r="D114" s="1221"/>
      <c r="E114" s="690"/>
      <c r="F114" s="690"/>
      <c r="G114" s="690"/>
      <c r="H114" s="690"/>
      <c r="I114" s="556"/>
      <c r="J114" s="556"/>
      <c r="K114" s="556"/>
      <c r="L114" s="556"/>
      <c r="M114" s="556"/>
      <c r="N114" s="556"/>
      <c r="O114" s="1650"/>
      <c r="P114" s="1651"/>
      <c r="Q114" s="1652"/>
      <c r="R114" s="491"/>
    </row>
    <row r="115" spans="2:18" ht="13" x14ac:dyDescent="0.3">
      <c r="B115" s="536">
        <v>19</v>
      </c>
      <c r="C115" s="555"/>
      <c r="D115" s="1221"/>
      <c r="E115" s="690"/>
      <c r="F115" s="690"/>
      <c r="G115" s="690"/>
      <c r="H115" s="690"/>
      <c r="I115" s="556"/>
      <c r="J115" s="556"/>
      <c r="K115" s="556"/>
      <c r="L115" s="556"/>
      <c r="M115" s="556"/>
      <c r="N115" s="556"/>
      <c r="O115" s="1650"/>
      <c r="P115" s="1651"/>
      <c r="Q115" s="1652"/>
      <c r="R115" s="491"/>
    </row>
    <row r="116" spans="2:18" ht="13" x14ac:dyDescent="0.3">
      <c r="B116" s="536">
        <v>20</v>
      </c>
      <c r="C116" s="555"/>
      <c r="D116" s="1221"/>
      <c r="E116" s="690"/>
      <c r="F116" s="690"/>
      <c r="G116" s="690"/>
      <c r="H116" s="690"/>
      <c r="I116" s="556"/>
      <c r="J116" s="556"/>
      <c r="K116" s="556"/>
      <c r="L116" s="556"/>
      <c r="M116" s="556"/>
      <c r="N116" s="556"/>
      <c r="O116" s="1650"/>
      <c r="P116" s="1651"/>
      <c r="Q116" s="1652"/>
      <c r="R116" s="491"/>
    </row>
  </sheetData>
  <sheetProtection algorithmName="SHA-512" hashValue="9CuIWtL8QzyQvghZVX48sbvwRTRVuTzP9MVVrhHkLprWGcPDK9y/IBEyggq1+bQ2IKt8XPCRelqXjDIw1MEY0w==" saltValue="LwW8Riv4cPSBFvGwqSNg3Q==" spinCount="100000" sheet="1" objects="1" scenarios="1" selectLockedCells="1" selectUnlockedCells="1"/>
  <mergeCells count="121">
    <mergeCell ref="D17:F17"/>
    <mergeCell ref="D18:F18"/>
    <mergeCell ref="B20:Q20"/>
    <mergeCell ref="C21:Q21"/>
    <mergeCell ref="C22:Q22"/>
    <mergeCell ref="C23:Q23"/>
    <mergeCell ref="C2:F2"/>
    <mergeCell ref="C3:F3"/>
    <mergeCell ref="C4:F4"/>
    <mergeCell ref="C5:F5"/>
    <mergeCell ref="D7:F7"/>
    <mergeCell ref="D8:F16"/>
    <mergeCell ref="E32:Q32"/>
    <mergeCell ref="E33:Q33"/>
    <mergeCell ref="E34:Q34"/>
    <mergeCell ref="E35:Q35"/>
    <mergeCell ref="E36:Q36"/>
    <mergeCell ref="E37:Q37"/>
    <mergeCell ref="D25:Q25"/>
    <mergeCell ref="D26:Q26"/>
    <mergeCell ref="D27:Q27"/>
    <mergeCell ref="D28:Q28"/>
    <mergeCell ref="D29:Q29"/>
    <mergeCell ref="D30:Q30"/>
    <mergeCell ref="C44:M44"/>
    <mergeCell ref="P44:Q44"/>
    <mergeCell ref="C45:M45"/>
    <mergeCell ref="P45:Q45"/>
    <mergeCell ref="C47:M47"/>
    <mergeCell ref="P47:Q47"/>
    <mergeCell ref="C41:M41"/>
    <mergeCell ref="P41:Q41"/>
    <mergeCell ref="C42:M42"/>
    <mergeCell ref="P42:Q42"/>
    <mergeCell ref="C43:M43"/>
    <mergeCell ref="P43:Q43"/>
    <mergeCell ref="C51:M51"/>
    <mergeCell ref="P51:Q51"/>
    <mergeCell ref="C53:M53"/>
    <mergeCell ref="P53:Q53"/>
    <mergeCell ref="C54:M54"/>
    <mergeCell ref="P54:Q54"/>
    <mergeCell ref="C48:M48"/>
    <mergeCell ref="P48:Q48"/>
    <mergeCell ref="C49:M49"/>
    <mergeCell ref="P49:Q49"/>
    <mergeCell ref="C50:M50"/>
    <mergeCell ref="P50:Q50"/>
    <mergeCell ref="D61:E61"/>
    <mergeCell ref="J61:Q61"/>
    <mergeCell ref="D62:E62"/>
    <mergeCell ref="J62:Q62"/>
    <mergeCell ref="D63:E63"/>
    <mergeCell ref="J63:Q63"/>
    <mergeCell ref="C55:M55"/>
    <mergeCell ref="P55:Q55"/>
    <mergeCell ref="C56:M56"/>
    <mergeCell ref="P56:Q56"/>
    <mergeCell ref="C57:M57"/>
    <mergeCell ref="P57:Q57"/>
    <mergeCell ref="D67:E67"/>
    <mergeCell ref="J67:Q67"/>
    <mergeCell ref="D68:E68"/>
    <mergeCell ref="J68:Q68"/>
    <mergeCell ref="D69:E69"/>
    <mergeCell ref="J69:Q69"/>
    <mergeCell ref="D64:E64"/>
    <mergeCell ref="J64:Q64"/>
    <mergeCell ref="D65:E65"/>
    <mergeCell ref="J65:Q65"/>
    <mergeCell ref="D66:E66"/>
    <mergeCell ref="J66:Q66"/>
    <mergeCell ref="D73:E73"/>
    <mergeCell ref="J73:Q73"/>
    <mergeCell ref="D74:E74"/>
    <mergeCell ref="J74:Q74"/>
    <mergeCell ref="D75:E75"/>
    <mergeCell ref="J75:Q75"/>
    <mergeCell ref="D70:E70"/>
    <mergeCell ref="J70:Q70"/>
    <mergeCell ref="D71:E71"/>
    <mergeCell ref="J71:Q71"/>
    <mergeCell ref="D72:E72"/>
    <mergeCell ref="J72:Q72"/>
    <mergeCell ref="D76:E76"/>
    <mergeCell ref="J76:Q76"/>
    <mergeCell ref="E94:N94"/>
    <mergeCell ref="O94:Q96"/>
    <mergeCell ref="F86:Q86"/>
    <mergeCell ref="F87:Q87"/>
    <mergeCell ref="F88:Q88"/>
    <mergeCell ref="F89:Q89"/>
    <mergeCell ref="F90:Q90"/>
    <mergeCell ref="F80:Q80"/>
    <mergeCell ref="F81:Q81"/>
    <mergeCell ref="F82:Q82"/>
    <mergeCell ref="F83:Q83"/>
    <mergeCell ref="F84:Q84"/>
    <mergeCell ref="F85:Q85"/>
    <mergeCell ref="O101:Q101"/>
    <mergeCell ref="O102:Q102"/>
    <mergeCell ref="O103:Q103"/>
    <mergeCell ref="O104:Q104"/>
    <mergeCell ref="O105:Q105"/>
    <mergeCell ref="O106:Q106"/>
    <mergeCell ref="B95:D95"/>
    <mergeCell ref="C96:D96"/>
    <mergeCell ref="O97:Q97"/>
    <mergeCell ref="O98:Q98"/>
    <mergeCell ref="O99:Q99"/>
    <mergeCell ref="O100:Q100"/>
    <mergeCell ref="O113:Q113"/>
    <mergeCell ref="O114:Q114"/>
    <mergeCell ref="O115:Q115"/>
    <mergeCell ref="O116:Q116"/>
    <mergeCell ref="O107:Q107"/>
    <mergeCell ref="O108:Q108"/>
    <mergeCell ref="O109:Q109"/>
    <mergeCell ref="O110:Q110"/>
    <mergeCell ref="O111:Q111"/>
    <mergeCell ref="O112:Q112"/>
  </mergeCells>
  <conditionalFormatting sqref="G95 I95 K95 M95">
    <cfRule type="duplicateValues" dxfId="2801" priority="66"/>
  </conditionalFormatting>
  <conditionalFormatting sqref="F109:F116 G102:G116 H104:H116">
    <cfRule type="expression" dxfId="2800" priority="43">
      <formula>IF(OR(#REF!="L",#REF!="C"),TRUE,FALSE)</formula>
    </cfRule>
  </conditionalFormatting>
  <conditionalFormatting sqref="E113:E116">
    <cfRule type="expression" dxfId="2799" priority="42">
      <formula>IF(OR(#REF!="L",#REF!="C"),TRUE,FALSE)</formula>
    </cfRule>
  </conditionalFormatting>
  <conditionalFormatting sqref="E95">
    <cfRule type="duplicateValues" dxfId="2798" priority="41"/>
  </conditionalFormatting>
  <conditionalFormatting sqref="M104:M116 F103:F104 F106">
    <cfRule type="expression" dxfId="2797" priority="31">
      <formula>IF(OR(#REF!="L",#REF!="C"),TRUE,FALSE)</formula>
    </cfRule>
  </conditionalFormatting>
  <conditionalFormatting sqref="I102:I103">
    <cfRule type="expression" dxfId="2796" priority="38">
      <formula>IF(OR(#REF!="L",#REF!="C"),TRUE,FALSE)</formula>
    </cfRule>
  </conditionalFormatting>
  <conditionalFormatting sqref="N102:N103">
    <cfRule type="expression" dxfId="2795" priority="28">
      <formula>IF(OR(#REF!="L",#REF!="C"),TRUE,FALSE)</formula>
    </cfRule>
  </conditionalFormatting>
  <conditionalFormatting sqref="I104:I116">
    <cfRule type="expression" dxfId="2794" priority="39">
      <formula>IF(OR(#REF!="L",#REF!="C"),TRUE,FALSE)</formula>
    </cfRule>
  </conditionalFormatting>
  <conditionalFormatting sqref="J102:J103">
    <cfRule type="expression" dxfId="2793" priority="36">
      <formula>IF(OR(#REF!="L",#REF!="C"),TRUE,FALSE)</formula>
    </cfRule>
  </conditionalFormatting>
  <conditionalFormatting sqref="J104:J116">
    <cfRule type="expression" dxfId="2792" priority="37">
      <formula>IF(OR(#REF!="L",#REF!="C"),TRUE,FALSE)</formula>
    </cfRule>
  </conditionalFormatting>
  <conditionalFormatting sqref="K102:K103">
    <cfRule type="expression" dxfId="2791" priority="34">
      <formula>IF(OR(#REF!="L",#REF!="C"),TRUE,FALSE)</formula>
    </cfRule>
  </conditionalFormatting>
  <conditionalFormatting sqref="K104:K116">
    <cfRule type="expression" dxfId="2790" priority="35">
      <formula>IF(OR(#REF!="L",#REF!="C"),TRUE,FALSE)</formula>
    </cfRule>
  </conditionalFormatting>
  <conditionalFormatting sqref="L102:L103">
    <cfRule type="expression" dxfId="2789" priority="32">
      <formula>IF(OR(#REF!="L",#REF!="C"),TRUE,FALSE)</formula>
    </cfRule>
  </conditionalFormatting>
  <conditionalFormatting sqref="L104:L116">
    <cfRule type="expression" dxfId="2788" priority="33">
      <formula>IF(OR(#REF!="L",#REF!="C"),TRUE,FALSE)</formula>
    </cfRule>
  </conditionalFormatting>
  <conditionalFormatting sqref="M102:M103">
    <cfRule type="expression" dxfId="2787" priority="30">
      <formula>IF(OR(#REF!="L",#REF!="C"),TRUE,FALSE)</formula>
    </cfRule>
  </conditionalFormatting>
  <conditionalFormatting sqref="N104:N116">
    <cfRule type="expression" dxfId="2786" priority="29">
      <formula>IF(OR(#REF!="L",#REF!="C"),TRUE,FALSE)</formula>
    </cfRule>
  </conditionalFormatting>
  <conditionalFormatting sqref="O102:O103">
    <cfRule type="expression" dxfId="2785" priority="26">
      <formula>IF(OR(#REF!="L",#REF!="C"),TRUE,FALSE)</formula>
    </cfRule>
  </conditionalFormatting>
  <conditionalFormatting sqref="O104:O116">
    <cfRule type="expression" dxfId="2784" priority="27">
      <formula>IF(OR(#REF!="L",#REF!="C"),TRUE,FALSE)</formula>
    </cfRule>
  </conditionalFormatting>
  <conditionalFormatting sqref="E96:N96">
    <cfRule type="duplicateValues" dxfId="2783" priority="25"/>
  </conditionalFormatting>
  <conditionalFormatting sqref="H64">
    <cfRule type="expression" dxfId="2782" priority="7">
      <formula>IF(OR(#REF!="L",#REF!="C"),TRUE,FALSE)</formula>
    </cfRule>
  </conditionalFormatting>
  <conditionalFormatting sqref="H72">
    <cfRule type="expression" dxfId="2781" priority="6">
      <formula>IF(OR(#REF!="L",#REF!="C"),TRUE,FALSE)</formula>
    </cfRule>
  </conditionalFormatting>
  <conditionalFormatting sqref="H73">
    <cfRule type="expression" dxfId="2780" priority="5">
      <formula>IF(OR(#REF!="L",#REF!="C"),TRUE,FALSE)</formula>
    </cfRule>
  </conditionalFormatting>
  <conditionalFormatting sqref="H74">
    <cfRule type="expression" dxfId="2779" priority="4">
      <formula>IF(OR(#REF!="L",#REF!="C"),TRUE,FALSE)</formula>
    </cfRule>
  </conditionalFormatting>
  <conditionalFormatting sqref="H75">
    <cfRule type="expression" dxfId="2778" priority="3">
      <formula>IF(OR(#REF!="L",#REF!="C"),TRUE,FALSE)</formula>
    </cfRule>
  </conditionalFormatting>
  <conditionalFormatting sqref="H76">
    <cfRule type="expression" dxfId="2777" priority="2">
      <formula>IF(OR(#REF!="L",#REF!="C"),TRUE,FALSE)</formula>
    </cfRule>
  </conditionalFormatting>
  <conditionalFormatting sqref="H71">
    <cfRule type="expression" dxfId="2776" priority="14">
      <formula>IF(OR(#REF!="L",#REF!="C"),TRUE,FALSE)</formula>
    </cfRule>
  </conditionalFormatting>
  <conditionalFormatting sqref="H66">
    <cfRule type="expression" dxfId="2775" priority="13">
      <formula>IF(OR(#REF!="L",#REF!="C"),TRUE,FALSE)</formula>
    </cfRule>
  </conditionalFormatting>
  <conditionalFormatting sqref="H70">
    <cfRule type="expression" dxfId="2774" priority="12">
      <formula>IF(OR(#REF!="L",#REF!="C"),TRUE,FALSE)</formula>
    </cfRule>
  </conditionalFormatting>
  <dataValidations count="7">
    <dataValidation type="list" allowBlank="1" showInputMessage="1" showErrorMessage="1" sqref="C4" xr:uid="{CAD8A3ED-E9FA-457F-A561-FC57DC48622D}">
      <formula1>"COM,RES"</formula1>
    </dataValidation>
    <dataValidation type="list" allowBlank="1" showInputMessage="1" showErrorMessage="1" sqref="F62:F63" xr:uid="{E286C10A-A12E-4548-B7EB-73AE6BA60EF9}">
      <formula1>#REF!</formula1>
    </dataValidation>
    <dataValidation type="list" allowBlank="1" showInputMessage="1" showErrorMessage="1" sqref="C9" xr:uid="{C0E37BDC-32EB-42E6-8482-564D3A3DA830}">
      <formula1>INDIRECT("MeasureTypeList[Index]")</formula1>
    </dataValidation>
    <dataValidation type="list" allowBlank="1" showInputMessage="1" showErrorMessage="1" sqref="C26" xr:uid="{D0AF0C07-ACB8-4A7D-A178-60AABCD50CFC}">
      <formula1>INDIRECT("RegionList[Index]")</formula1>
    </dataValidation>
    <dataValidation type="list" allowBlank="1" showInputMessage="1" showErrorMessage="1" sqref="C27" xr:uid="{41BA2F32-798C-4B7E-9671-42CC7BABF7F9}">
      <formula1>INDIRECT("ReplacementTypeList[Index]")</formula1>
    </dataValidation>
    <dataValidation type="list" allowBlank="1" showInputMessage="1" showErrorMessage="1" sqref="C28" xr:uid="{4C5F9397-3D98-4E28-8670-7011AE1743E4}">
      <formula1>INDIRECT("BuildingType[Building]")</formula1>
    </dataValidation>
    <dataValidation type="list" allowBlank="1" showInputMessage="1" showErrorMessage="1" sqref="C29 C30" xr:uid="{8B2F1FB0-BC50-4283-B3F4-E389F93B84FB}">
      <formula1>INDIRECT("FuelTypeList[Index]")</formula1>
    </dataValidation>
  </dataValidations>
  <hyperlinks>
    <hyperlink ref="F82" r:id="rId1" xr:uid="{E57164F9-A064-47FE-B6AD-9FCAF94EAE49}"/>
    <hyperlink ref="F83" r:id="rId2" xr:uid="{2C77DFC7-71AA-4390-A41C-1E91DBCE051A}"/>
    <hyperlink ref="F85" r:id="rId3" xr:uid="{2C1787CD-C7E9-464B-A807-5B7C4E464F9A}"/>
    <hyperlink ref="F84" r:id="rId4" xr:uid="{6904FB24-DBE1-4BD7-BE5A-173D83E045CC}"/>
  </hyperlinks>
  <pageMargins left="0.7" right="0.7" top="0.75" bottom="0.75" header="0.3" footer="0.3"/>
  <pageSetup orientation="portrait" r:id="rId5"/>
  <extLst>
    <ext xmlns:x14="http://schemas.microsoft.com/office/spreadsheetml/2009/9/main" uri="{CCE6A557-97BC-4b89-ADB6-D9C93CAAB3DF}">
      <x14:dataValidations xmlns:xm="http://schemas.microsoft.com/office/excel/2006/main" count="1">
        <x14:dataValidation type="list" allowBlank="1" showInputMessage="1" showErrorMessage="1" xr:uid="{3FC7D9BE-D38D-482A-89A9-569CE6AA6FFA}">
          <x14:formula1>
            <xm:f>Validation!#REF!</xm:f>
          </x14:formula1>
          <xm:sqref>H67:H69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C711-62B8-4577-B382-095DBADF6CAB}">
  <sheetPr codeName="Sheet389"/>
  <dimension ref="A1:R116"/>
  <sheetViews>
    <sheetView topLeftCell="A19" workbookViewId="0">
      <selection activeCell="C36" sqref="C36:C37"/>
    </sheetView>
  </sheetViews>
  <sheetFormatPr defaultColWidth="9.08984375" defaultRowHeight="18.75" customHeight="1" x14ac:dyDescent="0.3"/>
  <cols>
    <col min="1" max="1" width="2.36328125" style="491" customWidth="1"/>
    <col min="2" max="2" width="44.36328125" style="491" bestFit="1" customWidth="1"/>
    <col min="3" max="3" width="21.08984375" style="491" customWidth="1"/>
    <col min="4" max="4" width="21.6328125" style="491" customWidth="1"/>
    <col min="5" max="5" width="14.36328125" style="491" customWidth="1"/>
    <col min="6" max="6" width="19.36328125" style="491" customWidth="1"/>
    <col min="7" max="7" width="19.6328125" style="491" customWidth="1"/>
    <col min="8" max="8" width="16" style="491" customWidth="1"/>
    <col min="9" max="9" width="10.36328125" style="491" customWidth="1"/>
    <col min="10" max="10" width="14.6328125" style="491" customWidth="1"/>
    <col min="11" max="12" width="9.08984375" style="491"/>
    <col min="13" max="13" width="11" style="491" customWidth="1"/>
    <col min="14" max="14" width="12.36328125" style="491" customWidth="1"/>
    <col min="15" max="15" width="10.6328125" style="491" customWidth="1"/>
    <col min="16" max="17" width="9.08984375" style="491"/>
    <col min="18" max="18" width="9.81640625" style="489" customWidth="1"/>
    <col min="19" max="19" width="9.08984375" style="491"/>
    <col min="20" max="20" width="8.6328125" style="491" customWidth="1"/>
    <col min="21" max="16384" width="9.08984375" style="491"/>
  </cols>
  <sheetData>
    <row r="1" spans="1:18" s="488" customFormat="1" ht="18.75" customHeight="1" x14ac:dyDescent="0.3">
      <c r="R1" s="489"/>
    </row>
    <row r="2" spans="1:18" s="488" customFormat="1" ht="18.75" customHeight="1" x14ac:dyDescent="0.3">
      <c r="B2" s="1193" t="s">
        <v>506</v>
      </c>
      <c r="C2" s="1366" t="s">
        <v>406</v>
      </c>
      <c r="D2" s="1366"/>
      <c r="E2" s="1366"/>
      <c r="F2" s="1366"/>
      <c r="R2" s="489"/>
    </row>
    <row r="3" spans="1:18" s="488" customFormat="1" ht="18.75" customHeight="1" x14ac:dyDescent="0.3">
      <c r="B3" s="490" t="s">
        <v>407</v>
      </c>
      <c r="C3" s="1367" t="str">
        <f>IF(ISBLANK(C8)+ISBLANK(C10),C8,C8&amp;"_"&amp;C10)</f>
        <v>C-HC-015</v>
      </c>
      <c r="D3" s="1367"/>
      <c r="E3" s="1367"/>
      <c r="F3" s="1367"/>
      <c r="R3" s="489"/>
    </row>
    <row r="4" spans="1:18" s="488" customFormat="1" ht="18.75" customHeight="1" x14ac:dyDescent="0.3">
      <c r="B4" s="490" t="s">
        <v>11</v>
      </c>
      <c r="C4" s="1367" t="str" cm="1">
        <f t="array" ref="C4">_xlfn.SWITCH(LEFT(C8,1),"R","Residential","C","Commercial","ERROR")</f>
        <v>Commercial</v>
      </c>
      <c r="D4" s="1367"/>
      <c r="E4" s="1367"/>
      <c r="F4" s="1367"/>
      <c r="R4" s="489"/>
    </row>
    <row r="5" spans="1:18" ht="44.25" customHeight="1" x14ac:dyDescent="0.3">
      <c r="B5" s="490" t="s">
        <v>408</v>
      </c>
      <c r="C5" s="1458" t="s">
        <v>236</v>
      </c>
      <c r="D5" s="1459"/>
      <c r="E5" s="1459"/>
      <c r="F5" s="1460"/>
      <c r="R5" s="491"/>
    </row>
    <row r="6" spans="1:18" ht="18.75" customHeight="1" x14ac:dyDescent="0.3">
      <c r="A6" s="492"/>
    </row>
    <row r="7" spans="1:18" ht="18.75" customHeight="1" x14ac:dyDescent="0.3">
      <c r="B7" s="1193" t="s">
        <v>507</v>
      </c>
      <c r="C7" s="493" t="s">
        <v>406</v>
      </c>
      <c r="D7" s="1366" t="s">
        <v>410</v>
      </c>
      <c r="E7" s="1366"/>
      <c r="F7" s="1366"/>
      <c r="R7" s="491"/>
    </row>
    <row r="8" spans="1:18" ht="18.75" customHeight="1" x14ac:dyDescent="0.3">
      <c r="B8" s="490" t="s">
        <v>411</v>
      </c>
      <c r="C8" s="1199" t="s">
        <v>98</v>
      </c>
      <c r="D8" s="1547"/>
      <c r="E8" s="1548"/>
      <c r="F8" s="1549"/>
      <c r="R8" s="491"/>
    </row>
    <row r="9" spans="1:18" ht="18.75" customHeight="1" x14ac:dyDescent="0.3">
      <c r="B9" s="490" t="s">
        <v>49</v>
      </c>
      <c r="C9" s="1199" t="s">
        <v>1423</v>
      </c>
      <c r="D9" s="1550"/>
      <c r="E9" s="1551"/>
      <c r="F9" s="1552"/>
      <c r="R9" s="491"/>
    </row>
    <row r="10" spans="1:18" ht="18.75" customHeight="1" x14ac:dyDescent="0.3">
      <c r="B10" s="490" t="s">
        <v>412</v>
      </c>
      <c r="C10" s="1199"/>
      <c r="D10" s="1550"/>
      <c r="E10" s="1551"/>
      <c r="F10" s="1552"/>
      <c r="R10" s="491"/>
    </row>
    <row r="11" spans="1:18" ht="18.75" customHeight="1" x14ac:dyDescent="0.3">
      <c r="B11" s="490" t="s">
        <v>413</v>
      </c>
      <c r="C11" s="1199"/>
      <c r="D11" s="1550"/>
      <c r="E11" s="1551"/>
      <c r="F11" s="1552"/>
      <c r="R11" s="491"/>
    </row>
    <row r="12" spans="1:18" ht="18.75" customHeight="1" x14ac:dyDescent="0.3">
      <c r="B12" s="490" t="s">
        <v>414</v>
      </c>
      <c r="C12" s="540"/>
      <c r="D12" s="1550"/>
      <c r="E12" s="1551"/>
      <c r="F12" s="1552"/>
      <c r="R12" s="491"/>
    </row>
    <row r="13" spans="1:18" ht="18.75" customHeight="1" x14ac:dyDescent="0.3">
      <c r="B13" s="494" t="s">
        <v>415</v>
      </c>
      <c r="C13" s="495">
        <f>N43</f>
        <v>126.15064548387096</v>
      </c>
      <c r="D13" s="1550"/>
      <c r="E13" s="1551"/>
      <c r="F13" s="1552"/>
      <c r="R13" s="491"/>
    </row>
    <row r="14" spans="1:18" ht="18.75" customHeight="1" x14ac:dyDescent="0.3">
      <c r="B14" s="494" t="s">
        <v>416</v>
      </c>
      <c r="C14" s="495">
        <f>N42</f>
        <v>0</v>
      </c>
      <c r="D14" s="1550"/>
      <c r="E14" s="1551"/>
      <c r="F14" s="1552"/>
      <c r="R14" s="491"/>
    </row>
    <row r="15" spans="1:18" ht="18.75" customHeight="1" x14ac:dyDescent="0.3">
      <c r="B15" s="494" t="s">
        <v>417</v>
      </c>
      <c r="C15" s="495">
        <f>N44</f>
        <v>0</v>
      </c>
      <c r="D15" s="1550"/>
      <c r="E15" s="1551"/>
      <c r="F15" s="1552"/>
      <c r="R15" s="491"/>
    </row>
    <row r="16" spans="1:18" ht="18.75" customHeight="1" x14ac:dyDescent="0.3">
      <c r="B16" s="494" t="s">
        <v>418</v>
      </c>
      <c r="C16" s="496">
        <f>C37</f>
        <v>0</v>
      </c>
      <c r="D16" s="1553"/>
      <c r="E16" s="1554"/>
      <c r="F16" s="1555"/>
      <c r="R16" s="491"/>
    </row>
    <row r="17" spans="2:18" ht="18.75" customHeight="1" x14ac:dyDescent="0.3">
      <c r="B17" s="490" t="s">
        <v>48</v>
      </c>
      <c r="C17" s="1194" t="s">
        <v>1424</v>
      </c>
      <c r="D17" s="1366" t="s">
        <v>419</v>
      </c>
      <c r="E17" s="1366"/>
      <c r="F17" s="1366"/>
      <c r="R17" s="491"/>
    </row>
    <row r="18" spans="2:18" ht="36.75" customHeight="1" x14ac:dyDescent="0.3">
      <c r="B18" s="490" t="s">
        <v>420</v>
      </c>
      <c r="C18" s="541">
        <v>15</v>
      </c>
      <c r="D18" s="1721" t="s">
        <v>1469</v>
      </c>
      <c r="E18" s="1721"/>
      <c r="F18" s="1721"/>
      <c r="R18" s="491"/>
    </row>
    <row r="19" spans="2:18" ht="18.75" customHeight="1" x14ac:dyDescent="0.3">
      <c r="B19" s="497"/>
      <c r="C19" s="498"/>
      <c r="F19" s="489"/>
      <c r="R19" s="491"/>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91"/>
    </row>
    <row r="21" spans="2:18" ht="33" customHeight="1" x14ac:dyDescent="0.3">
      <c r="B21" s="499" t="s">
        <v>422</v>
      </c>
      <c r="C21" s="1440" t="s">
        <v>237</v>
      </c>
      <c r="D21" s="1440"/>
      <c r="E21" s="1440"/>
      <c r="F21" s="1440"/>
      <c r="G21" s="1440"/>
      <c r="H21" s="1440"/>
      <c r="I21" s="1440"/>
      <c r="J21" s="1440"/>
      <c r="K21" s="1440"/>
      <c r="L21" s="1440"/>
      <c r="M21" s="1440"/>
      <c r="N21" s="1440"/>
      <c r="O21" s="1440"/>
      <c r="P21" s="1440"/>
      <c r="Q21" s="1440"/>
      <c r="R21" s="491"/>
    </row>
    <row r="22" spans="2:18" ht="18.75" customHeight="1" x14ac:dyDescent="0.3">
      <c r="B22" s="500" t="s">
        <v>423</v>
      </c>
      <c r="C22" s="1440" t="s">
        <v>238</v>
      </c>
      <c r="D22" s="1440"/>
      <c r="E22" s="1440"/>
      <c r="F22" s="1440"/>
      <c r="G22" s="1440"/>
      <c r="H22" s="1440"/>
      <c r="I22" s="1440"/>
      <c r="J22" s="1440"/>
      <c r="K22" s="1440"/>
      <c r="L22" s="1440"/>
      <c r="M22" s="1440"/>
      <c r="N22" s="1440"/>
      <c r="O22" s="1440"/>
      <c r="P22" s="1440"/>
      <c r="Q22" s="1440"/>
      <c r="R22" s="491"/>
    </row>
    <row r="23" spans="2:18" ht="17.25" customHeight="1" x14ac:dyDescent="0.3">
      <c r="B23" s="500" t="s">
        <v>424</v>
      </c>
      <c r="C23" s="1440"/>
      <c r="D23" s="1440"/>
      <c r="E23" s="1440"/>
      <c r="F23" s="1440"/>
      <c r="G23" s="1440"/>
      <c r="H23" s="1440"/>
      <c r="I23" s="1440"/>
      <c r="J23" s="1440"/>
      <c r="K23" s="1440"/>
      <c r="L23" s="1440"/>
      <c r="M23" s="1440"/>
      <c r="N23" s="1440"/>
      <c r="O23" s="1440"/>
      <c r="P23" s="1440"/>
      <c r="Q23" s="1440"/>
      <c r="R23" s="491"/>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91"/>
    </row>
    <row r="26" spans="2:18" ht="18.75" customHeight="1" x14ac:dyDescent="0.3">
      <c r="B26" s="490" t="s">
        <v>9</v>
      </c>
      <c r="C26" s="538" t="str">
        <f>Default.Region</f>
        <v>Average</v>
      </c>
      <c r="D26" s="1446"/>
      <c r="E26" s="1446"/>
      <c r="F26" s="1446"/>
      <c r="G26" s="1446"/>
      <c r="H26" s="1446"/>
      <c r="I26" s="1446"/>
      <c r="J26" s="1446"/>
      <c r="K26" s="1446"/>
      <c r="L26" s="1446"/>
      <c r="M26" s="1446"/>
      <c r="N26" s="1446"/>
      <c r="O26" s="1446"/>
      <c r="P26" s="1446"/>
      <c r="Q26" s="1446"/>
      <c r="R26" s="491"/>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91"/>
    </row>
    <row r="28" spans="2:18" ht="18.75" customHeight="1" x14ac:dyDescent="0.3">
      <c r="B28" s="490" t="s">
        <v>54</v>
      </c>
      <c r="C28" s="538" t="str">
        <f>Default.BuildingType.C</f>
        <v>Other</v>
      </c>
      <c r="D28" s="1461" t="s">
        <v>1427</v>
      </c>
      <c r="E28" s="1461"/>
      <c r="F28" s="1461"/>
      <c r="G28" s="1461"/>
      <c r="H28" s="1461"/>
      <c r="I28" s="1461"/>
      <c r="J28" s="1461"/>
      <c r="K28" s="1461"/>
      <c r="L28" s="1461"/>
      <c r="M28" s="1461"/>
      <c r="N28" s="1461"/>
      <c r="O28" s="1461"/>
      <c r="P28" s="1461"/>
      <c r="Q28" s="1461"/>
      <c r="R28" s="491"/>
    </row>
    <row r="29" spans="2:18" ht="18.75" customHeight="1" x14ac:dyDescent="0.3">
      <c r="B29" s="490" t="s">
        <v>33</v>
      </c>
      <c r="C29" s="538" t="str">
        <f>Default.SpaceHeatingFuel</f>
        <v>Natural gas</v>
      </c>
      <c r="D29" s="1446"/>
      <c r="E29" s="1446"/>
      <c r="F29" s="1446"/>
      <c r="G29" s="1446"/>
      <c r="H29" s="1446"/>
      <c r="I29" s="1446"/>
      <c r="J29" s="1446"/>
      <c r="K29" s="1446"/>
      <c r="L29" s="1446"/>
      <c r="M29" s="1446"/>
      <c r="N29" s="1446"/>
      <c r="O29" s="1446"/>
      <c r="P29" s="1446"/>
      <c r="Q29" s="1446"/>
      <c r="R29" s="491"/>
    </row>
    <row r="30" spans="2:18" ht="18.75" customHeight="1" x14ac:dyDescent="0.3">
      <c r="B30" s="490" t="s">
        <v>35</v>
      </c>
      <c r="C30" s="538" t="str">
        <f>Default.WaterHeatingFuel</f>
        <v>Natural gas</v>
      </c>
      <c r="D30" s="1446"/>
      <c r="E30" s="1446"/>
      <c r="F30" s="1446"/>
      <c r="G30" s="1446"/>
      <c r="H30" s="1446"/>
      <c r="I30" s="1446"/>
      <c r="J30" s="1446"/>
      <c r="K30" s="1446"/>
      <c r="L30" s="1446"/>
      <c r="M30" s="1446"/>
      <c r="N30" s="1446"/>
      <c r="O30" s="1446"/>
      <c r="P30" s="1446"/>
      <c r="Q30" s="1446"/>
      <c r="R30" s="491"/>
    </row>
    <row r="31" spans="2:18" ht="18.75" customHeight="1" x14ac:dyDescent="0.3">
      <c r="B31" s="502"/>
      <c r="C31" s="503"/>
      <c r="D31" s="503"/>
      <c r="E31" s="503"/>
      <c r="F31" s="503"/>
      <c r="G31" s="503"/>
      <c r="H31" s="503"/>
      <c r="I31" s="503"/>
      <c r="J31" s="503"/>
      <c r="K31" s="503"/>
      <c r="L31" s="503"/>
      <c r="M31" s="503"/>
      <c r="N31" s="503"/>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37" t="s">
        <v>430</v>
      </c>
      <c r="E33" s="1475"/>
      <c r="F33" s="1476"/>
      <c r="G33" s="1476"/>
      <c r="H33" s="1476"/>
      <c r="I33" s="1476"/>
      <c r="J33" s="1476"/>
      <c r="K33" s="1476"/>
      <c r="L33" s="1476"/>
      <c r="M33" s="1476"/>
      <c r="N33" s="1476"/>
      <c r="O33" s="1476"/>
      <c r="P33" s="1476"/>
      <c r="Q33" s="1477"/>
      <c r="R33" s="491"/>
    </row>
    <row r="34" spans="2:18" ht="18.75" customHeight="1" x14ac:dyDescent="0.3">
      <c r="B34" s="494" t="s">
        <v>431</v>
      </c>
      <c r="C34" s="542"/>
      <c r="D34" s="537" t="s">
        <v>430</v>
      </c>
      <c r="E34" s="1441"/>
      <c r="F34" s="1441"/>
      <c r="G34" s="1441"/>
      <c r="H34" s="1441"/>
      <c r="I34" s="1441"/>
      <c r="J34" s="1441"/>
      <c r="K34" s="1441"/>
      <c r="L34" s="1441"/>
      <c r="M34" s="1441"/>
      <c r="N34" s="1441"/>
      <c r="O34" s="1441"/>
      <c r="P34" s="1441"/>
      <c r="Q34" s="1441"/>
    </row>
    <row r="35" spans="2:18" ht="18.75" customHeight="1" x14ac:dyDescent="0.3">
      <c r="B35" s="490" t="s">
        <v>432</v>
      </c>
      <c r="C35" s="542"/>
      <c r="D35" s="537" t="s">
        <v>430</v>
      </c>
      <c r="E35" s="1475"/>
      <c r="F35" s="1476"/>
      <c r="G35" s="1476"/>
      <c r="H35" s="1476"/>
      <c r="I35" s="1476"/>
      <c r="J35" s="1476"/>
      <c r="K35" s="1476"/>
      <c r="L35" s="1476"/>
      <c r="M35" s="1476"/>
      <c r="N35" s="1476"/>
      <c r="O35" s="1476"/>
      <c r="P35" s="1476"/>
      <c r="Q35" s="1477"/>
    </row>
    <row r="36" spans="2:18" ht="18.75" customHeight="1" x14ac:dyDescent="0.3">
      <c r="B36" s="494" t="s">
        <v>433</v>
      </c>
      <c r="C36" s="905">
        <f>C34</f>
        <v>0</v>
      </c>
      <c r="D36" s="537" t="s">
        <v>430</v>
      </c>
      <c r="E36" s="1441"/>
      <c r="F36" s="1441"/>
      <c r="G36" s="1441"/>
      <c r="H36" s="1441"/>
      <c r="I36" s="1441"/>
      <c r="J36" s="1441"/>
      <c r="K36" s="1441"/>
      <c r="L36" s="1441"/>
      <c r="M36" s="1441"/>
      <c r="N36" s="1441"/>
      <c r="O36" s="1441"/>
      <c r="P36" s="1441"/>
      <c r="Q36" s="1441"/>
    </row>
    <row r="37" spans="2:18" ht="18.75" customHeight="1" x14ac:dyDescent="0.3">
      <c r="B37" s="494" t="s">
        <v>434</v>
      </c>
      <c r="C37" s="905">
        <f>IF(C27="RET",C33+(C34-C35),C34-C35)</f>
        <v>0</v>
      </c>
      <c r="D37" s="537" t="s">
        <v>430</v>
      </c>
      <c r="E37" s="1442"/>
      <c r="F37" s="1442"/>
      <c r="G37" s="1442"/>
      <c r="H37" s="1442"/>
      <c r="I37" s="1442"/>
      <c r="J37" s="1442"/>
      <c r="K37" s="1442"/>
      <c r="L37" s="1442"/>
      <c r="M37" s="1442"/>
      <c r="N37" s="1442"/>
      <c r="O37" s="1442"/>
      <c r="P37" s="1442"/>
      <c r="Q37" s="1442"/>
    </row>
    <row r="38" spans="2:18" ht="18.75" customHeight="1" x14ac:dyDescent="0.3">
      <c r="B38" s="502"/>
      <c r="C38" s="503"/>
      <c r="D38" s="505"/>
      <c r="E38" s="503"/>
      <c r="F38" s="503"/>
      <c r="G38" s="503"/>
      <c r="H38" s="503"/>
      <c r="I38" s="503"/>
      <c r="J38" s="503"/>
      <c r="K38" s="503"/>
      <c r="L38" s="503"/>
      <c r="M38" s="503"/>
      <c r="N38" s="503"/>
    </row>
    <row r="39" spans="2:18" ht="18.75" customHeight="1" x14ac:dyDescent="0.3">
      <c r="B39" s="511" t="s">
        <v>435</v>
      </c>
      <c r="C39" s="512"/>
      <c r="D39" s="512"/>
      <c r="E39" s="512"/>
      <c r="F39" s="512"/>
      <c r="G39" s="512"/>
      <c r="H39" s="681"/>
      <c r="I39" s="681"/>
      <c r="J39" s="681"/>
      <c r="K39" s="681"/>
      <c r="L39" s="681"/>
      <c r="M39" s="681"/>
      <c r="N39" s="681"/>
      <c r="O39" s="681"/>
      <c r="P39" s="681"/>
      <c r="Q39" s="682"/>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31" t="s">
        <v>438</v>
      </c>
      <c r="C42" s="1387" t="s">
        <v>439</v>
      </c>
      <c r="D42" s="1388"/>
      <c r="E42" s="1388"/>
      <c r="F42" s="1388"/>
      <c r="G42" s="1388"/>
      <c r="H42" s="1388"/>
      <c r="I42" s="1388"/>
      <c r="J42" s="1388"/>
      <c r="K42" s="1388"/>
      <c r="L42" s="1388"/>
      <c r="M42" s="1389"/>
      <c r="N42" s="972">
        <f>N48+N54</f>
        <v>0</v>
      </c>
      <c r="O42" s="509" t="s">
        <v>440</v>
      </c>
      <c r="P42" s="1447"/>
      <c r="Q42" s="1447"/>
      <c r="R42" s="491"/>
    </row>
    <row r="43" spans="2:18" ht="18.75" customHeight="1" x14ac:dyDescent="0.3">
      <c r="B43" s="531" t="s">
        <v>441</v>
      </c>
      <c r="C43" s="1387" t="s">
        <v>442</v>
      </c>
      <c r="D43" s="1388"/>
      <c r="E43" s="1388"/>
      <c r="F43" s="1388"/>
      <c r="G43" s="1388"/>
      <c r="H43" s="1388"/>
      <c r="I43" s="1388"/>
      <c r="J43" s="1388"/>
      <c r="K43" s="1388"/>
      <c r="L43" s="1388"/>
      <c r="M43" s="1389"/>
      <c r="N43" s="981">
        <f>N49+N55</f>
        <v>126.15064548387096</v>
      </c>
      <c r="O43" s="509" t="s">
        <v>443</v>
      </c>
      <c r="P43" s="1447"/>
      <c r="Q43" s="1447"/>
      <c r="R43" s="491"/>
    </row>
    <row r="44" spans="2:18" ht="18.75" customHeight="1" x14ac:dyDescent="0.3">
      <c r="B44" s="531" t="s">
        <v>444</v>
      </c>
      <c r="C44" s="1387" t="s">
        <v>445</v>
      </c>
      <c r="D44" s="1388"/>
      <c r="E44" s="1388"/>
      <c r="F44" s="1388"/>
      <c r="G44" s="1388"/>
      <c r="H44" s="1388"/>
      <c r="I44" s="1388"/>
      <c r="J44" s="1388"/>
      <c r="K44" s="1388"/>
      <c r="L44" s="1388"/>
      <c r="M44" s="1389"/>
      <c r="N44" s="972">
        <f>N50+N56</f>
        <v>0</v>
      </c>
      <c r="O44" s="509" t="s">
        <v>446</v>
      </c>
      <c r="P44" s="1447"/>
      <c r="Q44" s="1447"/>
      <c r="R44" s="491"/>
    </row>
    <row r="45" spans="2:18" ht="18.75" customHeight="1" x14ac:dyDescent="0.3">
      <c r="B45" s="531" t="s">
        <v>447</v>
      </c>
      <c r="C45" s="1387" t="s">
        <v>448</v>
      </c>
      <c r="D45" s="1388"/>
      <c r="E45" s="1388"/>
      <c r="F45" s="1388"/>
      <c r="G45" s="1388"/>
      <c r="H45" s="1388"/>
      <c r="I45" s="1388"/>
      <c r="J45" s="1388"/>
      <c r="K45" s="1388"/>
      <c r="L45" s="1388"/>
      <c r="M45" s="1389"/>
      <c r="N45" s="972">
        <f>N51+N57</f>
        <v>0</v>
      </c>
      <c r="O45" s="509" t="s">
        <v>449</v>
      </c>
      <c r="P45" s="1447"/>
      <c r="Q45" s="1447"/>
      <c r="R45" s="491"/>
    </row>
    <row r="46" spans="2:18" ht="18.75" customHeight="1" x14ac:dyDescent="0.3">
      <c r="B46" s="532"/>
      <c r="C46" s="503"/>
      <c r="D46" s="503"/>
      <c r="E46" s="503"/>
      <c r="F46" s="503"/>
      <c r="G46" s="503"/>
      <c r="H46" s="503"/>
      <c r="I46" s="503"/>
      <c r="J46" s="503"/>
      <c r="K46" s="503"/>
      <c r="L46" s="503"/>
      <c r="M46" s="503"/>
      <c r="Q46" s="489"/>
      <c r="R46" s="491"/>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91"/>
    </row>
    <row r="48" spans="2:18" ht="18.75" customHeight="1" x14ac:dyDescent="0.3">
      <c r="B48" s="531" t="s">
        <v>452</v>
      </c>
      <c r="C48" s="1449" t="s">
        <v>453</v>
      </c>
      <c r="D48" s="1450"/>
      <c r="E48" s="1450"/>
      <c r="F48" s="1450"/>
      <c r="G48" s="1450"/>
      <c r="H48" s="1450"/>
      <c r="I48" s="1450"/>
      <c r="J48" s="1450"/>
      <c r="K48" s="1450"/>
      <c r="L48" s="1450"/>
      <c r="M48" s="1451"/>
      <c r="N48" s="543"/>
      <c r="O48" s="509" t="s">
        <v>440</v>
      </c>
      <c r="P48" s="1447"/>
      <c r="Q48" s="1447"/>
      <c r="R48" s="491"/>
    </row>
    <row r="49" spans="2:18" ht="18.75" customHeight="1" x14ac:dyDescent="0.3">
      <c r="B49" s="531" t="s">
        <v>454</v>
      </c>
      <c r="C49" s="1449" t="s">
        <v>1470</v>
      </c>
      <c r="D49" s="1450"/>
      <c r="E49" s="1450"/>
      <c r="F49" s="1450"/>
      <c r="G49" s="1450"/>
      <c r="H49" s="1450"/>
      <c r="I49" s="1450"/>
      <c r="J49" s="1450"/>
      <c r="K49" s="1450"/>
      <c r="L49" s="1450"/>
      <c r="M49" s="1451"/>
      <c r="N49" s="982">
        <f>(D86*H66*(H62/H63))*H64*H65</f>
        <v>126.15064548387096</v>
      </c>
      <c r="O49" s="509" t="s">
        <v>443</v>
      </c>
      <c r="P49" s="1447" t="s">
        <v>1471</v>
      </c>
      <c r="Q49" s="1447"/>
      <c r="R49" s="491"/>
    </row>
    <row r="50" spans="2:18" ht="18.75" customHeight="1" x14ac:dyDescent="0.3">
      <c r="B50" s="531" t="s">
        <v>456</v>
      </c>
      <c r="C50" s="1449" t="s">
        <v>457</v>
      </c>
      <c r="D50" s="1450"/>
      <c r="E50" s="1450"/>
      <c r="F50" s="1450"/>
      <c r="G50" s="1450"/>
      <c r="H50" s="1450"/>
      <c r="I50" s="1450"/>
      <c r="J50" s="1450"/>
      <c r="K50" s="1450"/>
      <c r="L50" s="1450"/>
      <c r="M50" s="1451"/>
      <c r="N50" s="545"/>
      <c r="O50" s="509" t="s">
        <v>446</v>
      </c>
      <c r="P50" s="1447"/>
      <c r="Q50" s="1447"/>
      <c r="R50" s="491"/>
    </row>
    <row r="51" spans="2:18" ht="18.75" customHeight="1" x14ac:dyDescent="0.3">
      <c r="B51" s="531" t="s">
        <v>458</v>
      </c>
      <c r="C51" s="1449" t="s">
        <v>459</v>
      </c>
      <c r="D51" s="1450"/>
      <c r="E51" s="1450"/>
      <c r="F51" s="1450"/>
      <c r="G51" s="1450"/>
      <c r="H51" s="1450"/>
      <c r="I51" s="1450"/>
      <c r="J51" s="1450"/>
      <c r="K51" s="1450"/>
      <c r="L51" s="1450"/>
      <c r="M51" s="1451"/>
      <c r="N51" s="545"/>
      <c r="O51" s="509" t="s">
        <v>449</v>
      </c>
      <c r="P51" s="1447"/>
      <c r="Q51" s="1447"/>
      <c r="R51" s="491"/>
    </row>
    <row r="52" spans="2:18" ht="18.75" customHeight="1" x14ac:dyDescent="0.3">
      <c r="B52" s="532"/>
      <c r="C52" s="503"/>
      <c r="D52" s="503"/>
      <c r="E52" s="503"/>
      <c r="F52" s="503"/>
      <c r="G52" s="503"/>
      <c r="H52" s="503"/>
      <c r="I52" s="503"/>
      <c r="J52" s="503"/>
      <c r="K52" s="503"/>
      <c r="L52" s="503"/>
      <c r="M52" s="503"/>
      <c r="Q52" s="489"/>
      <c r="R52" s="491"/>
    </row>
    <row r="53" spans="2:18"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c r="R53" s="491"/>
    </row>
    <row r="54" spans="2:18" ht="18.75" customHeight="1" x14ac:dyDescent="0.3">
      <c r="B54" s="531" t="s">
        <v>462</v>
      </c>
      <c r="C54" s="1449" t="s">
        <v>463</v>
      </c>
      <c r="D54" s="1450"/>
      <c r="E54" s="1450"/>
      <c r="F54" s="1450"/>
      <c r="G54" s="1450"/>
      <c r="H54" s="1450"/>
      <c r="I54" s="1450"/>
      <c r="J54" s="1450"/>
      <c r="K54" s="1450"/>
      <c r="L54" s="1450"/>
      <c r="M54" s="1451"/>
      <c r="N54" s="543"/>
      <c r="O54" s="509" t="s">
        <v>440</v>
      </c>
      <c r="P54" s="1447"/>
      <c r="Q54" s="1447"/>
      <c r="R54" s="491"/>
    </row>
    <row r="55" spans="2:18" ht="18.75" customHeight="1" x14ac:dyDescent="0.3">
      <c r="B55" s="531" t="s">
        <v>464</v>
      </c>
      <c r="C55" s="1449" t="s">
        <v>465</v>
      </c>
      <c r="D55" s="1450"/>
      <c r="E55" s="1450"/>
      <c r="F55" s="1450"/>
      <c r="G55" s="1450"/>
      <c r="H55" s="1450"/>
      <c r="I55" s="1450"/>
      <c r="J55" s="1450"/>
      <c r="K55" s="1450"/>
      <c r="L55" s="1450"/>
      <c r="M55" s="1451"/>
      <c r="N55" s="593"/>
      <c r="O55" s="509" t="s">
        <v>443</v>
      </c>
      <c r="P55" s="1447"/>
      <c r="Q55" s="1447"/>
      <c r="R55" s="491"/>
    </row>
    <row r="56" spans="2:18" ht="18.75" customHeight="1" x14ac:dyDescent="0.3">
      <c r="B56" s="531" t="s">
        <v>466</v>
      </c>
      <c r="C56" s="1449" t="s">
        <v>457</v>
      </c>
      <c r="D56" s="1450"/>
      <c r="E56" s="1450"/>
      <c r="F56" s="1450"/>
      <c r="G56" s="1450"/>
      <c r="H56" s="1450"/>
      <c r="I56" s="1450"/>
      <c r="J56" s="1450"/>
      <c r="K56" s="1450"/>
      <c r="L56" s="1450"/>
      <c r="M56" s="1451"/>
      <c r="N56" s="973"/>
      <c r="O56" s="509" t="s">
        <v>446</v>
      </c>
      <c r="P56" s="1447"/>
      <c r="Q56" s="1447"/>
      <c r="R56" s="491"/>
    </row>
    <row r="57" spans="2:18" ht="18.75" customHeight="1" x14ac:dyDescent="0.3">
      <c r="B57" s="531" t="s">
        <v>468</v>
      </c>
      <c r="C57" s="1449" t="s">
        <v>469</v>
      </c>
      <c r="D57" s="1450"/>
      <c r="E57" s="1450"/>
      <c r="F57" s="1450"/>
      <c r="G57" s="1450"/>
      <c r="H57" s="1450"/>
      <c r="I57" s="1450"/>
      <c r="J57" s="1450"/>
      <c r="K57" s="1450"/>
      <c r="L57" s="1450"/>
      <c r="M57" s="1451"/>
      <c r="N57" s="595"/>
      <c r="O57" s="509" t="s">
        <v>449</v>
      </c>
      <c r="P57" s="1447"/>
      <c r="Q57" s="1447"/>
      <c r="R57" s="491"/>
    </row>
    <row r="58" spans="2:18" ht="18.75" customHeight="1" x14ac:dyDescent="0.3">
      <c r="B58" s="510"/>
      <c r="C58" s="502"/>
      <c r="D58" s="503"/>
      <c r="E58" s="503"/>
      <c r="F58" s="503"/>
      <c r="G58" s="503"/>
      <c r="H58" s="503"/>
      <c r="I58" s="503"/>
      <c r="J58" s="503"/>
      <c r="K58" s="503"/>
      <c r="L58" s="503"/>
      <c r="M58" s="503"/>
      <c r="N58" s="503"/>
      <c r="O58" s="503"/>
    </row>
    <row r="59" spans="2:18" ht="18.75" customHeight="1" x14ac:dyDescent="0.3">
      <c r="B59" s="511" t="s">
        <v>470</v>
      </c>
      <c r="C59" s="512"/>
      <c r="D59" s="512"/>
      <c r="E59" s="512"/>
      <c r="F59" s="512"/>
      <c r="G59" s="512"/>
      <c r="H59" s="681"/>
      <c r="I59" s="681"/>
      <c r="J59" s="681"/>
      <c r="K59" s="681"/>
      <c r="L59" s="681"/>
      <c r="M59" s="681"/>
      <c r="N59" s="681"/>
      <c r="O59" s="681"/>
      <c r="P59" s="681"/>
      <c r="Q59" s="682"/>
    </row>
    <row r="61" spans="2:18" ht="18.75" customHeight="1" x14ac:dyDescent="0.3">
      <c r="B61" s="506" t="s">
        <v>471</v>
      </c>
      <c r="C61" s="506" t="s">
        <v>472</v>
      </c>
      <c r="D61" s="1395" t="s">
        <v>473</v>
      </c>
      <c r="E61" s="1395"/>
      <c r="F61" s="506" t="s">
        <v>474</v>
      </c>
      <c r="G61" s="506" t="s">
        <v>475</v>
      </c>
      <c r="H61" s="506" t="s">
        <v>406</v>
      </c>
      <c r="I61" s="506" t="s">
        <v>428</v>
      </c>
      <c r="J61" s="1396" t="s">
        <v>476</v>
      </c>
      <c r="K61" s="1397"/>
      <c r="L61" s="1397"/>
      <c r="M61" s="1397"/>
      <c r="N61" s="1397"/>
      <c r="O61" s="1397"/>
      <c r="P61" s="1397"/>
      <c r="Q61" s="1398"/>
    </row>
    <row r="62" spans="2:18" ht="30" customHeight="1" x14ac:dyDescent="0.3">
      <c r="B62" s="534">
        <v>1</v>
      </c>
      <c r="C62" s="549" t="s">
        <v>1209</v>
      </c>
      <c r="D62" s="1556" t="s">
        <v>1472</v>
      </c>
      <c r="E62" s="1556"/>
      <c r="F62" s="1238"/>
      <c r="G62" s="1238"/>
      <c r="H62" s="548">
        <v>0.65</v>
      </c>
      <c r="I62" s="1238" t="s">
        <v>519</v>
      </c>
      <c r="J62" s="1701" t="s">
        <v>1480</v>
      </c>
      <c r="K62" s="1917"/>
      <c r="L62" s="1917"/>
      <c r="M62" s="1917"/>
      <c r="N62" s="1917"/>
      <c r="O62" s="1917"/>
      <c r="P62" s="1917"/>
      <c r="Q62" s="1918"/>
      <c r="R62" s="491"/>
    </row>
    <row r="63" spans="2:18" ht="30" customHeight="1" x14ac:dyDescent="0.3">
      <c r="B63" s="534">
        <v>2</v>
      </c>
      <c r="C63" s="549" t="s">
        <v>1400</v>
      </c>
      <c r="D63" s="1556" t="s">
        <v>1474</v>
      </c>
      <c r="E63" s="1556"/>
      <c r="F63" s="1238"/>
      <c r="G63" s="1238"/>
      <c r="H63" s="548">
        <v>0.93</v>
      </c>
      <c r="I63" s="1238" t="s">
        <v>519</v>
      </c>
      <c r="J63" s="1701" t="s">
        <v>1481</v>
      </c>
      <c r="K63" s="1917"/>
      <c r="L63" s="1917"/>
      <c r="M63" s="1917"/>
      <c r="N63" s="1917"/>
      <c r="O63" s="1917"/>
      <c r="P63" s="1917"/>
      <c r="Q63" s="1918"/>
      <c r="R63" s="491"/>
    </row>
    <row r="64" spans="2:18" ht="30" customHeight="1" x14ac:dyDescent="0.3">
      <c r="B64" s="534">
        <v>3</v>
      </c>
      <c r="C64" s="549" t="s">
        <v>1433</v>
      </c>
      <c r="D64" s="1556" t="s">
        <v>1434</v>
      </c>
      <c r="E64" s="1556"/>
      <c r="F64" s="1238" t="str">
        <f>C28</f>
        <v>Other</v>
      </c>
      <c r="G64" s="1238" t="s">
        <v>1475</v>
      </c>
      <c r="H64" s="983">
        <f>INDEX(BuildingType[],MATCH($C$28,BuildingType[Building],0),MATCH($G$64,BuildingType[#Headers],0))</f>
        <v>2987</v>
      </c>
      <c r="I64" s="1238" t="s">
        <v>532</v>
      </c>
      <c r="J64" s="1472" t="s">
        <v>1476</v>
      </c>
      <c r="K64" s="1473"/>
      <c r="L64" s="1473"/>
      <c r="M64" s="1473"/>
      <c r="N64" s="1473"/>
      <c r="O64" s="1473"/>
      <c r="P64" s="1473"/>
      <c r="Q64" s="1474"/>
      <c r="R64" s="491"/>
    </row>
    <row r="65" spans="2:18" ht="30" customHeight="1" x14ac:dyDescent="0.3">
      <c r="B65" s="534">
        <v>4</v>
      </c>
      <c r="C65" s="549" t="s">
        <v>695</v>
      </c>
      <c r="D65" s="1556" t="s">
        <v>1477</v>
      </c>
      <c r="E65" s="1556"/>
      <c r="F65" s="1238"/>
      <c r="G65" s="1238"/>
      <c r="H65" s="984">
        <v>8.1000000000000003E-2</v>
      </c>
      <c r="I65" s="1238" t="s">
        <v>519</v>
      </c>
      <c r="J65" s="1462" t="s">
        <v>1487</v>
      </c>
      <c r="K65" s="1464"/>
      <c r="L65" s="1464"/>
      <c r="M65" s="1464"/>
      <c r="N65" s="1464"/>
      <c r="O65" s="1464"/>
      <c r="P65" s="1464"/>
      <c r="Q65" s="1463"/>
      <c r="R65" s="491"/>
    </row>
    <row r="66" spans="2:18" ht="43.5" customHeight="1" x14ac:dyDescent="0.3">
      <c r="B66" s="535">
        <v>5</v>
      </c>
      <c r="C66" s="551" t="s">
        <v>1018</v>
      </c>
      <c r="D66" s="1543" t="s">
        <v>1478</v>
      </c>
      <c r="E66" s="1543"/>
      <c r="F66" s="552"/>
      <c r="G66" s="552"/>
      <c r="H66" s="644">
        <v>1</v>
      </c>
      <c r="I66" s="552" t="s">
        <v>1018</v>
      </c>
      <c r="J66" s="1482" t="s">
        <v>1019</v>
      </c>
      <c r="K66" s="1544"/>
      <c r="L66" s="1544"/>
      <c r="M66" s="1544"/>
      <c r="N66" s="1544"/>
      <c r="O66" s="1544"/>
      <c r="P66" s="1544"/>
      <c r="Q66" s="1545"/>
      <c r="R66" s="491"/>
    </row>
    <row r="67" spans="2:18" ht="13.15" customHeight="1" x14ac:dyDescent="0.3">
      <c r="B67" s="534">
        <v>6</v>
      </c>
      <c r="C67" s="555"/>
      <c r="D67" s="1587"/>
      <c r="E67" s="1587"/>
      <c r="F67" s="557"/>
      <c r="G67" s="557"/>
      <c r="H67" s="557"/>
      <c r="I67" s="557"/>
      <c r="J67" s="1472"/>
      <c r="K67" s="1473"/>
      <c r="L67" s="1473"/>
      <c r="M67" s="1473"/>
      <c r="N67" s="1473"/>
      <c r="O67" s="1473"/>
      <c r="P67" s="1473"/>
      <c r="Q67" s="1474"/>
      <c r="R67" s="491"/>
    </row>
    <row r="68" spans="2:18" ht="13.15" customHeight="1" x14ac:dyDescent="0.3">
      <c r="B68" s="534">
        <v>7</v>
      </c>
      <c r="C68" s="555"/>
      <c r="D68" s="1587"/>
      <c r="E68" s="1587"/>
      <c r="F68" s="557"/>
      <c r="G68" s="557"/>
      <c r="H68" s="557"/>
      <c r="I68" s="557"/>
      <c r="J68" s="1472"/>
      <c r="K68" s="1473"/>
      <c r="L68" s="1473"/>
      <c r="M68" s="1473"/>
      <c r="N68" s="1473"/>
      <c r="O68" s="1473"/>
      <c r="P68" s="1473"/>
      <c r="Q68" s="1474"/>
      <c r="R68" s="491"/>
    </row>
    <row r="69" spans="2:18" ht="13" x14ac:dyDescent="0.3">
      <c r="B69" s="534">
        <v>8</v>
      </c>
      <c r="C69" s="555"/>
      <c r="D69" s="1587"/>
      <c r="E69" s="1587"/>
      <c r="F69" s="557"/>
      <c r="G69" s="557"/>
      <c r="H69" s="557"/>
      <c r="I69" s="557"/>
      <c r="J69" s="1472"/>
      <c r="K69" s="1473"/>
      <c r="L69" s="1473"/>
      <c r="M69" s="1473"/>
      <c r="N69" s="1473"/>
      <c r="O69" s="1473"/>
      <c r="P69" s="1473"/>
      <c r="Q69" s="1474"/>
      <c r="R69" s="491"/>
    </row>
    <row r="70" spans="2:18" ht="13" x14ac:dyDescent="0.3">
      <c r="B70" s="534">
        <v>9</v>
      </c>
      <c r="C70" s="555"/>
      <c r="D70" s="1587"/>
      <c r="E70" s="1587"/>
      <c r="F70" s="557"/>
      <c r="G70" s="557"/>
      <c r="H70" s="1217"/>
      <c r="I70" s="557"/>
      <c r="J70" s="1472"/>
      <c r="K70" s="1473"/>
      <c r="L70" s="1473"/>
      <c r="M70" s="1473"/>
      <c r="N70" s="1473"/>
      <c r="O70" s="1473"/>
      <c r="P70" s="1473"/>
      <c r="Q70" s="1474"/>
      <c r="R70" s="491"/>
    </row>
    <row r="71" spans="2:18" ht="13" x14ac:dyDescent="0.3">
      <c r="B71" s="536">
        <v>10</v>
      </c>
      <c r="C71" s="555"/>
      <c r="D71" s="1587"/>
      <c r="E71" s="1587"/>
      <c r="F71" s="557"/>
      <c r="G71" s="557"/>
      <c r="H71" s="689"/>
      <c r="I71" s="557"/>
      <c r="J71" s="1472"/>
      <c r="K71" s="1473"/>
      <c r="L71" s="1473"/>
      <c r="M71" s="1473"/>
      <c r="N71" s="1473"/>
      <c r="O71" s="1473"/>
      <c r="P71" s="1473"/>
      <c r="Q71" s="1474"/>
      <c r="R71" s="491"/>
    </row>
    <row r="72" spans="2:18" ht="13" x14ac:dyDescent="0.3">
      <c r="B72" s="536">
        <v>11</v>
      </c>
      <c r="C72" s="555"/>
      <c r="D72" s="1587"/>
      <c r="E72" s="1587"/>
      <c r="F72" s="557"/>
      <c r="G72" s="557"/>
      <c r="H72" s="689"/>
      <c r="I72" s="557"/>
      <c r="J72" s="1472"/>
      <c r="K72" s="1473"/>
      <c r="L72" s="1473"/>
      <c r="M72" s="1473"/>
      <c r="N72" s="1473"/>
      <c r="O72" s="1473"/>
      <c r="P72" s="1473"/>
      <c r="Q72" s="1474"/>
      <c r="R72" s="491"/>
    </row>
    <row r="73" spans="2:18" ht="13" x14ac:dyDescent="0.3">
      <c r="B73" s="536">
        <v>12</v>
      </c>
      <c r="C73" s="555"/>
      <c r="D73" s="1587"/>
      <c r="E73" s="1587"/>
      <c r="F73" s="557"/>
      <c r="G73" s="557"/>
      <c r="H73" s="689"/>
      <c r="I73" s="557"/>
      <c r="J73" s="1472"/>
      <c r="K73" s="1473"/>
      <c r="L73" s="1473"/>
      <c r="M73" s="1473"/>
      <c r="N73" s="1473"/>
      <c r="O73" s="1473"/>
      <c r="P73" s="1473"/>
      <c r="Q73" s="1474"/>
      <c r="R73" s="491"/>
    </row>
    <row r="74" spans="2:18" ht="13" x14ac:dyDescent="0.3">
      <c r="B74" s="536">
        <v>13</v>
      </c>
      <c r="C74" s="555"/>
      <c r="D74" s="1587"/>
      <c r="E74" s="1587"/>
      <c r="F74" s="557"/>
      <c r="G74" s="557"/>
      <c r="H74" s="689"/>
      <c r="I74" s="557"/>
      <c r="J74" s="1472"/>
      <c r="K74" s="1473"/>
      <c r="L74" s="1473"/>
      <c r="M74" s="1473"/>
      <c r="N74" s="1473"/>
      <c r="O74" s="1473"/>
      <c r="P74" s="1473"/>
      <c r="Q74" s="1474"/>
      <c r="R74" s="491"/>
    </row>
    <row r="75" spans="2:18" ht="13" x14ac:dyDescent="0.3">
      <c r="B75" s="536">
        <v>14</v>
      </c>
      <c r="C75" s="555"/>
      <c r="D75" s="1587"/>
      <c r="E75" s="1587"/>
      <c r="F75" s="557"/>
      <c r="G75" s="557"/>
      <c r="H75" s="689"/>
      <c r="I75" s="557"/>
      <c r="J75" s="1472"/>
      <c r="K75" s="1473"/>
      <c r="L75" s="1473"/>
      <c r="M75" s="1473"/>
      <c r="N75" s="1473"/>
      <c r="O75" s="1473"/>
      <c r="P75" s="1473"/>
      <c r="Q75" s="1474"/>
      <c r="R75" s="491"/>
    </row>
    <row r="76" spans="2:18" ht="13" x14ac:dyDescent="0.3">
      <c r="B76" s="536">
        <v>15</v>
      </c>
      <c r="C76" s="555"/>
      <c r="D76" s="1587"/>
      <c r="E76" s="1587"/>
      <c r="F76" s="557"/>
      <c r="G76" s="557"/>
      <c r="H76" s="689"/>
      <c r="I76" s="557"/>
      <c r="J76" s="1472"/>
      <c r="K76" s="1473"/>
      <c r="L76" s="1473"/>
      <c r="M76" s="1473"/>
      <c r="N76" s="1473"/>
      <c r="O76" s="1473"/>
      <c r="P76" s="1473"/>
      <c r="Q76" s="1474"/>
      <c r="R76" s="491"/>
    </row>
    <row r="77" spans="2:18" ht="18.75" customHeight="1" x14ac:dyDescent="0.3">
      <c r="R77" s="491"/>
    </row>
    <row r="78" spans="2:18" ht="18.75" customHeight="1" x14ac:dyDescent="0.3">
      <c r="B78" s="511" t="s">
        <v>477</v>
      </c>
      <c r="C78" s="512"/>
      <c r="D78" s="512"/>
      <c r="E78" s="512"/>
      <c r="F78" s="512"/>
      <c r="G78" s="512"/>
      <c r="H78" s="513"/>
      <c r="I78" s="513"/>
      <c r="J78" s="513"/>
      <c r="K78" s="513"/>
      <c r="L78" s="513"/>
      <c r="M78" s="513"/>
      <c r="N78" s="513"/>
      <c r="O78" s="513"/>
      <c r="P78" s="513"/>
      <c r="Q78" s="514"/>
      <c r="R78" s="491"/>
    </row>
    <row r="79" spans="2:18" ht="18.75" customHeight="1" x14ac:dyDescent="0.3">
      <c r="B79" s="488"/>
      <c r="C79" s="488"/>
      <c r="D79" s="488"/>
      <c r="E79" s="488"/>
      <c r="F79" s="488"/>
      <c r="G79" s="488"/>
      <c r="H79" s="488"/>
      <c r="I79" s="488"/>
      <c r="J79" s="488"/>
      <c r="K79" s="488"/>
      <c r="L79" s="488"/>
      <c r="M79" s="488"/>
      <c r="N79" s="488"/>
      <c r="O79" s="488"/>
      <c r="P79" s="488"/>
      <c r="Q79" s="488"/>
      <c r="R79" s="491"/>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91"/>
    </row>
    <row r="81" spans="2:18" ht="13" x14ac:dyDescent="0.3">
      <c r="B81" s="533">
        <v>1</v>
      </c>
      <c r="C81" s="560" t="s">
        <v>480</v>
      </c>
      <c r="D81" s="561">
        <v>1000</v>
      </c>
      <c r="E81" s="1182" t="s">
        <v>481</v>
      </c>
      <c r="F81" s="1486" t="s">
        <v>482</v>
      </c>
      <c r="G81" s="1487"/>
      <c r="H81" s="1487"/>
      <c r="I81" s="1487"/>
      <c r="J81" s="1487"/>
      <c r="K81" s="1487"/>
      <c r="L81" s="1487"/>
      <c r="M81" s="1487"/>
      <c r="N81" s="1487"/>
      <c r="O81" s="1487"/>
      <c r="P81" s="1487"/>
      <c r="Q81" s="1488"/>
      <c r="R81" s="491"/>
    </row>
    <row r="82" spans="2:18"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c r="R82" s="491"/>
    </row>
    <row r="83" spans="2:18"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c r="R83" s="491"/>
    </row>
    <row r="84" spans="2:18" ht="13" x14ac:dyDescent="0.3">
      <c r="B84" s="533">
        <v>4</v>
      </c>
      <c r="C84" s="560" t="s">
        <v>488</v>
      </c>
      <c r="D84" s="562">
        <v>0.1055</v>
      </c>
      <c r="E84" s="1182" t="s">
        <v>489</v>
      </c>
      <c r="F84" s="1489" t="s">
        <v>485</v>
      </c>
      <c r="G84" s="1490"/>
      <c r="H84" s="1490"/>
      <c r="I84" s="1490"/>
      <c r="J84" s="1490"/>
      <c r="K84" s="1490"/>
      <c r="L84" s="1490"/>
      <c r="M84" s="1490"/>
      <c r="N84" s="1490"/>
      <c r="O84" s="1490"/>
      <c r="P84" s="1490"/>
      <c r="Q84" s="1491"/>
      <c r="R84" s="491"/>
    </row>
    <row r="85" spans="2:18"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c r="R85" s="491"/>
    </row>
    <row r="86" spans="2:18" ht="13" x14ac:dyDescent="0.3">
      <c r="B86" s="992">
        <v>6</v>
      </c>
      <c r="C86" s="993" t="s">
        <v>1485</v>
      </c>
      <c r="D86" s="994">
        <v>0.746</v>
      </c>
      <c r="E86" s="1236" t="s">
        <v>1456</v>
      </c>
      <c r="F86" s="1941" t="s">
        <v>1486</v>
      </c>
      <c r="G86" s="1942"/>
      <c r="H86" s="1942"/>
      <c r="I86" s="1942"/>
      <c r="J86" s="1942"/>
      <c r="K86" s="1942"/>
      <c r="L86" s="1942"/>
      <c r="M86" s="1942"/>
      <c r="N86" s="1942"/>
      <c r="O86" s="1942"/>
      <c r="P86" s="1942"/>
      <c r="Q86" s="1943"/>
      <c r="R86" s="491"/>
    </row>
    <row r="87" spans="2:18" ht="13" x14ac:dyDescent="0.3">
      <c r="B87" s="992">
        <v>7</v>
      </c>
      <c r="C87" s="993"/>
      <c r="D87" s="994"/>
      <c r="E87" s="1236"/>
      <c r="F87" s="1941"/>
      <c r="G87" s="1942"/>
      <c r="H87" s="1942"/>
      <c r="I87" s="1942"/>
      <c r="J87" s="1942"/>
      <c r="K87" s="1942"/>
      <c r="L87" s="1942"/>
      <c r="M87" s="1942"/>
      <c r="N87" s="1942"/>
      <c r="O87" s="1942"/>
      <c r="P87" s="1942"/>
      <c r="Q87" s="1943"/>
      <c r="R87" s="491"/>
    </row>
    <row r="88" spans="2:18" ht="13" x14ac:dyDescent="0.3">
      <c r="B88" s="992">
        <v>8</v>
      </c>
      <c r="C88" s="993"/>
      <c r="D88" s="994"/>
      <c r="E88" s="1236"/>
      <c r="F88" s="1941"/>
      <c r="G88" s="1942"/>
      <c r="H88" s="1942"/>
      <c r="I88" s="1942"/>
      <c r="J88" s="1942"/>
      <c r="K88" s="1942"/>
      <c r="L88" s="1942"/>
      <c r="M88" s="1942"/>
      <c r="N88" s="1942"/>
      <c r="O88" s="1942"/>
      <c r="P88" s="1942"/>
      <c r="Q88" s="1943"/>
      <c r="R88" s="491"/>
    </row>
    <row r="89" spans="2:18" ht="13" x14ac:dyDescent="0.3">
      <c r="B89" s="992">
        <v>9</v>
      </c>
      <c r="C89" s="993"/>
      <c r="D89" s="994"/>
      <c r="E89" s="1236"/>
      <c r="F89" s="1941"/>
      <c r="G89" s="1942"/>
      <c r="H89" s="1942"/>
      <c r="I89" s="1942"/>
      <c r="J89" s="1942"/>
      <c r="K89" s="1942"/>
      <c r="L89" s="1942"/>
      <c r="M89" s="1942"/>
      <c r="N89" s="1942"/>
      <c r="O89" s="1942"/>
      <c r="P89" s="1942"/>
      <c r="Q89" s="1943"/>
      <c r="R89" s="491"/>
    </row>
    <row r="90" spans="2:18" ht="13" x14ac:dyDescent="0.3">
      <c r="B90" s="533">
        <v>10</v>
      </c>
      <c r="C90" s="563"/>
      <c r="D90" s="562"/>
      <c r="E90" s="1182"/>
      <c r="F90" s="1486"/>
      <c r="G90" s="1487"/>
      <c r="H90" s="1487"/>
      <c r="I90" s="1487"/>
      <c r="J90" s="1487"/>
      <c r="K90" s="1487"/>
      <c r="L90" s="1487"/>
      <c r="M90" s="1487"/>
      <c r="N90" s="1487"/>
      <c r="O90" s="1487"/>
      <c r="P90" s="1487"/>
      <c r="Q90" s="1488"/>
      <c r="R90" s="491"/>
    </row>
    <row r="91" spans="2:18" ht="18.75" customHeight="1" x14ac:dyDescent="0.3">
      <c r="R91" s="491"/>
    </row>
    <row r="92" spans="2:18" ht="18.75" customHeight="1" x14ac:dyDescent="0.3">
      <c r="B92" s="511" t="s">
        <v>492</v>
      </c>
      <c r="C92" s="512"/>
      <c r="D92" s="512"/>
      <c r="E92" s="512"/>
      <c r="F92" s="512"/>
      <c r="G92" s="512"/>
      <c r="H92" s="681"/>
      <c r="I92" s="681"/>
      <c r="J92" s="681"/>
      <c r="K92" s="681"/>
      <c r="L92" s="681"/>
      <c r="M92" s="681"/>
      <c r="N92" s="681"/>
      <c r="O92" s="681"/>
      <c r="P92" s="681"/>
      <c r="Q92" s="682"/>
      <c r="R92" s="491"/>
    </row>
    <row r="93" spans="2:18" ht="18.75" customHeight="1" x14ac:dyDescent="0.3">
      <c r="R93" s="491"/>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91"/>
    </row>
    <row r="95" spans="2:18" ht="25.5" customHeight="1" x14ac:dyDescent="0.3">
      <c r="B95" s="1498" t="s">
        <v>1467</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c r="R95" s="491"/>
    </row>
    <row r="96" spans="2:18" ht="25.5" customHeight="1" x14ac:dyDescent="0.3">
      <c r="B96" s="1188" t="s">
        <v>478</v>
      </c>
      <c r="C96" s="1402" t="s">
        <v>538</v>
      </c>
      <c r="D96" s="1431"/>
      <c r="E96" s="565" t="s">
        <v>936</v>
      </c>
      <c r="F96" s="565"/>
      <c r="G96" s="565"/>
      <c r="H96" s="565"/>
      <c r="I96" s="565"/>
      <c r="J96" s="565"/>
      <c r="K96" s="565"/>
      <c r="L96" s="565"/>
      <c r="M96" s="565"/>
      <c r="N96" s="566"/>
      <c r="O96" s="1410"/>
      <c r="P96" s="1411"/>
      <c r="Q96" s="1412"/>
      <c r="R96" s="491"/>
    </row>
    <row r="97" spans="2:18" ht="13" x14ac:dyDescent="0.3">
      <c r="B97" s="536">
        <v>1</v>
      </c>
      <c r="C97" s="546">
        <v>1</v>
      </c>
      <c r="D97" s="1184"/>
      <c r="E97" s="989">
        <v>0.81666666666666676</v>
      </c>
      <c r="F97" s="678"/>
      <c r="G97" s="691"/>
      <c r="H97" s="691"/>
      <c r="I97" s="692"/>
      <c r="J97" s="692"/>
      <c r="K97" s="692"/>
      <c r="L97" s="692"/>
      <c r="M97" s="692"/>
      <c r="N97" s="692"/>
      <c r="O97" s="1656"/>
      <c r="P97" s="1657"/>
      <c r="Q97" s="1658"/>
      <c r="R97" s="491"/>
    </row>
    <row r="98" spans="2:18" ht="13" x14ac:dyDescent="0.3">
      <c r="B98" s="536">
        <v>2</v>
      </c>
      <c r="C98" s="546">
        <v>5</v>
      </c>
      <c r="D98" s="1184"/>
      <c r="E98" s="989">
        <v>0.88833333333333331</v>
      </c>
      <c r="F98" s="678"/>
      <c r="G98" s="691"/>
      <c r="H98" s="691"/>
      <c r="I98" s="692"/>
      <c r="J98" s="692"/>
      <c r="K98" s="692"/>
      <c r="L98" s="692"/>
      <c r="M98" s="692"/>
      <c r="N98" s="692"/>
      <c r="O98" s="1653"/>
      <c r="P98" s="1654"/>
      <c r="Q98" s="1655"/>
      <c r="R98" s="491"/>
    </row>
    <row r="99" spans="2:18" ht="13" x14ac:dyDescent="0.3">
      <c r="B99" s="536">
        <v>3</v>
      </c>
      <c r="C99" s="546">
        <v>10</v>
      </c>
      <c r="D99" s="1184"/>
      <c r="E99" s="989">
        <v>0.90966666666666673</v>
      </c>
      <c r="F99" s="678"/>
      <c r="G99" s="691"/>
      <c r="H99" s="691"/>
      <c r="I99" s="692"/>
      <c r="J99" s="692"/>
      <c r="K99" s="692"/>
      <c r="L99" s="692"/>
      <c r="M99" s="692"/>
      <c r="N99" s="692"/>
      <c r="O99" s="1653"/>
      <c r="P99" s="1654"/>
      <c r="Q99" s="1655"/>
      <c r="R99" s="491"/>
    </row>
    <row r="100" spans="2:18" ht="13" x14ac:dyDescent="0.3">
      <c r="B100" s="536">
        <v>4</v>
      </c>
      <c r="C100" s="546">
        <v>15</v>
      </c>
      <c r="D100" s="1184"/>
      <c r="E100" s="989">
        <v>0.91666666666666685</v>
      </c>
      <c r="F100" s="678"/>
      <c r="G100" s="691"/>
      <c r="H100" s="691"/>
      <c r="I100" s="692"/>
      <c r="J100" s="692"/>
      <c r="K100" s="692"/>
      <c r="L100" s="692"/>
      <c r="M100" s="692"/>
      <c r="N100" s="692"/>
      <c r="O100" s="1653"/>
      <c r="P100" s="1654"/>
      <c r="Q100" s="1655"/>
      <c r="R100" s="491"/>
    </row>
    <row r="101" spans="2:18" ht="13" x14ac:dyDescent="0.3">
      <c r="B101" s="536">
        <v>5</v>
      </c>
      <c r="C101" s="546">
        <v>20</v>
      </c>
      <c r="D101" s="1184"/>
      <c r="E101" s="989">
        <v>0.92016666666666669</v>
      </c>
      <c r="F101" s="678"/>
      <c r="G101" s="691"/>
      <c r="H101" s="691"/>
      <c r="I101" s="692"/>
      <c r="J101" s="692"/>
      <c r="K101" s="692"/>
      <c r="L101" s="692"/>
      <c r="M101" s="692"/>
      <c r="N101" s="692"/>
      <c r="O101" s="1653"/>
      <c r="P101" s="1654"/>
      <c r="Q101" s="1655"/>
      <c r="R101" s="491"/>
    </row>
    <row r="102" spans="2:18" ht="13" x14ac:dyDescent="0.3">
      <c r="B102" s="536">
        <v>6</v>
      </c>
      <c r="C102" s="546">
        <v>25</v>
      </c>
      <c r="D102" s="570"/>
      <c r="E102" s="990">
        <v>0.92766666666666675</v>
      </c>
      <c r="F102" s="1190"/>
      <c r="G102" s="691"/>
      <c r="H102" s="691"/>
      <c r="I102" s="556"/>
      <c r="J102" s="556"/>
      <c r="K102" s="556"/>
      <c r="L102" s="556"/>
      <c r="M102" s="556"/>
      <c r="N102" s="556"/>
      <c r="O102" s="1650"/>
      <c r="P102" s="1651"/>
      <c r="Q102" s="1652"/>
      <c r="R102" s="491"/>
    </row>
    <row r="103" spans="2:18" ht="13" x14ac:dyDescent="0.3">
      <c r="B103" s="536">
        <v>7</v>
      </c>
      <c r="C103" s="555">
        <v>30</v>
      </c>
      <c r="D103" s="1221"/>
      <c r="E103" s="991">
        <v>0.92949999999999999</v>
      </c>
      <c r="F103" s="556"/>
      <c r="G103" s="556"/>
      <c r="H103" s="691"/>
      <c r="I103" s="556"/>
      <c r="J103" s="556"/>
      <c r="K103" s="556"/>
      <c r="L103" s="556"/>
      <c r="M103" s="556"/>
      <c r="N103" s="556"/>
      <c r="O103" s="1650"/>
      <c r="P103" s="1651"/>
      <c r="Q103" s="1652"/>
      <c r="R103" s="491"/>
    </row>
    <row r="104" spans="2:18" ht="13" x14ac:dyDescent="0.3">
      <c r="B104" s="536">
        <v>8</v>
      </c>
      <c r="C104" s="555">
        <v>40</v>
      </c>
      <c r="D104" s="1221"/>
      <c r="E104" s="991">
        <v>0.93533333333333335</v>
      </c>
      <c r="F104" s="556"/>
      <c r="G104" s="556"/>
      <c r="H104" s="556"/>
      <c r="I104" s="556"/>
      <c r="J104" s="556"/>
      <c r="K104" s="556"/>
      <c r="L104" s="556"/>
      <c r="M104" s="556"/>
      <c r="N104" s="556"/>
      <c r="O104" s="1650"/>
      <c r="P104" s="1651"/>
      <c r="Q104" s="1652"/>
      <c r="R104" s="491"/>
    </row>
    <row r="105" spans="2:18" ht="13" x14ac:dyDescent="0.3">
      <c r="B105" s="536">
        <v>9</v>
      </c>
      <c r="C105" s="555">
        <v>50</v>
      </c>
      <c r="D105" s="1221"/>
      <c r="E105" s="991">
        <v>0.93866666666666665</v>
      </c>
      <c r="F105" s="986"/>
      <c r="G105" s="1217"/>
      <c r="H105" s="1217"/>
      <c r="I105" s="569"/>
      <c r="J105" s="569"/>
      <c r="K105" s="569"/>
      <c r="L105" s="569"/>
      <c r="M105" s="569"/>
      <c r="N105" s="569"/>
      <c r="O105" s="1492"/>
      <c r="P105" s="1493"/>
      <c r="Q105" s="1494"/>
      <c r="R105" s="491"/>
    </row>
    <row r="106" spans="2:18" ht="13" x14ac:dyDescent="0.3">
      <c r="B106" s="536">
        <v>10</v>
      </c>
      <c r="C106" s="555">
        <v>60</v>
      </c>
      <c r="D106" s="1221"/>
      <c r="E106" s="991">
        <v>0.94366666666666665</v>
      </c>
      <c r="F106" s="1217"/>
      <c r="G106" s="1217"/>
      <c r="H106" s="1217"/>
      <c r="I106" s="569"/>
      <c r="J106" s="569"/>
      <c r="K106" s="569"/>
      <c r="L106" s="569"/>
      <c r="M106" s="569"/>
      <c r="N106" s="569"/>
      <c r="O106" s="1492"/>
      <c r="P106" s="1493"/>
      <c r="Q106" s="1494"/>
      <c r="R106" s="491"/>
    </row>
    <row r="107" spans="2:18" ht="13" x14ac:dyDescent="0.3">
      <c r="B107" s="536">
        <v>11</v>
      </c>
      <c r="C107" s="555">
        <v>75</v>
      </c>
      <c r="D107" s="1221"/>
      <c r="E107" s="991">
        <v>0.94433333333333325</v>
      </c>
      <c r="F107" s="691"/>
      <c r="G107" s="689"/>
      <c r="H107" s="689"/>
      <c r="I107" s="556"/>
      <c r="J107" s="556"/>
      <c r="K107" s="556"/>
      <c r="L107" s="556"/>
      <c r="M107" s="556"/>
      <c r="N107" s="556"/>
      <c r="O107" s="1650"/>
      <c r="P107" s="1651"/>
      <c r="Q107" s="1652"/>
      <c r="R107" s="491"/>
    </row>
    <row r="108" spans="2:18" ht="13" x14ac:dyDescent="0.3">
      <c r="B108" s="536">
        <v>12</v>
      </c>
      <c r="C108" s="555">
        <v>100</v>
      </c>
      <c r="D108" s="1221"/>
      <c r="E108" s="991">
        <v>0.9474999999999999</v>
      </c>
      <c r="F108" s="691"/>
      <c r="G108" s="1217"/>
      <c r="H108" s="1217"/>
      <c r="I108" s="569"/>
      <c r="J108" s="569"/>
      <c r="K108" s="569"/>
      <c r="L108" s="569"/>
      <c r="M108" s="569"/>
      <c r="N108" s="569"/>
      <c r="O108" s="1492"/>
      <c r="P108" s="1493"/>
      <c r="Q108" s="1494"/>
      <c r="R108" s="491"/>
    </row>
    <row r="109" spans="2:18" ht="13" x14ac:dyDescent="0.3">
      <c r="B109" s="536">
        <v>13</v>
      </c>
      <c r="C109" s="555">
        <v>200</v>
      </c>
      <c r="D109" s="1221"/>
      <c r="E109" s="991">
        <v>0.95599999999999996</v>
      </c>
      <c r="F109" s="1217"/>
      <c r="G109" s="1217"/>
      <c r="H109" s="1217"/>
      <c r="I109" s="569"/>
      <c r="J109" s="569"/>
      <c r="K109" s="569"/>
      <c r="L109" s="569"/>
      <c r="M109" s="569"/>
      <c r="N109" s="569"/>
      <c r="O109" s="1492"/>
      <c r="P109" s="1493"/>
      <c r="Q109" s="1494"/>
      <c r="R109" s="491"/>
    </row>
    <row r="110" spans="2:18" ht="13" x14ac:dyDescent="0.3">
      <c r="B110" s="536">
        <v>14</v>
      </c>
      <c r="C110" s="555">
        <v>300</v>
      </c>
      <c r="D110" s="1221"/>
      <c r="E110" s="991">
        <v>0.95733333333333326</v>
      </c>
      <c r="F110" s="690"/>
      <c r="G110" s="690"/>
      <c r="H110" s="690"/>
      <c r="I110" s="556"/>
      <c r="J110" s="556"/>
      <c r="K110" s="556"/>
      <c r="L110" s="556"/>
      <c r="M110" s="556"/>
      <c r="N110" s="556"/>
      <c r="O110" s="1650"/>
      <c r="P110" s="1651"/>
      <c r="Q110" s="1652"/>
      <c r="R110" s="491"/>
    </row>
    <row r="111" spans="2:18" ht="13" x14ac:dyDescent="0.3">
      <c r="B111" s="536">
        <v>15</v>
      </c>
      <c r="C111" s="555">
        <v>400</v>
      </c>
      <c r="D111" s="1221"/>
      <c r="E111" s="991">
        <v>0.95866666666666667</v>
      </c>
      <c r="F111" s="690"/>
      <c r="G111" s="690"/>
      <c r="H111" s="690"/>
      <c r="I111" s="556"/>
      <c r="J111" s="556"/>
      <c r="K111" s="556"/>
      <c r="L111" s="556"/>
      <c r="M111" s="556"/>
      <c r="N111" s="556"/>
      <c r="O111" s="1650"/>
      <c r="P111" s="1651"/>
      <c r="Q111" s="1652"/>
      <c r="R111" s="491"/>
    </row>
    <row r="112" spans="2:18" ht="13" x14ac:dyDescent="0.3">
      <c r="B112" s="536">
        <v>16</v>
      </c>
      <c r="C112" s="555">
        <v>500</v>
      </c>
      <c r="D112" s="1221"/>
      <c r="E112" s="991">
        <v>0.96</v>
      </c>
      <c r="F112" s="690"/>
      <c r="G112" s="690"/>
      <c r="H112" s="690"/>
      <c r="I112" s="556"/>
      <c r="J112" s="556"/>
      <c r="K112" s="556"/>
      <c r="L112" s="556"/>
      <c r="M112" s="556"/>
      <c r="N112" s="556"/>
      <c r="O112" s="1650"/>
      <c r="P112" s="1651"/>
      <c r="Q112" s="1652"/>
      <c r="R112" s="491"/>
    </row>
    <row r="113" spans="2:18" ht="13" x14ac:dyDescent="0.3">
      <c r="B113" s="536">
        <v>17</v>
      </c>
      <c r="C113" s="555"/>
      <c r="D113" s="1221"/>
      <c r="E113" s="690"/>
      <c r="F113" s="690"/>
      <c r="G113" s="690"/>
      <c r="H113" s="690"/>
      <c r="I113" s="556"/>
      <c r="J113" s="556"/>
      <c r="K113" s="556"/>
      <c r="L113" s="556"/>
      <c r="M113" s="556"/>
      <c r="N113" s="556"/>
      <c r="O113" s="1650"/>
      <c r="P113" s="1651"/>
      <c r="Q113" s="1652"/>
      <c r="R113" s="491"/>
    </row>
    <row r="114" spans="2:18" ht="13" x14ac:dyDescent="0.3">
      <c r="B114" s="536">
        <v>18</v>
      </c>
      <c r="C114" s="555"/>
      <c r="D114" s="1221"/>
      <c r="E114" s="690"/>
      <c r="F114" s="690"/>
      <c r="G114" s="690"/>
      <c r="H114" s="690"/>
      <c r="I114" s="556"/>
      <c r="J114" s="556"/>
      <c r="K114" s="556"/>
      <c r="L114" s="556"/>
      <c r="M114" s="556"/>
      <c r="N114" s="556"/>
      <c r="O114" s="1650"/>
      <c r="P114" s="1651"/>
      <c r="Q114" s="1652"/>
      <c r="R114" s="491"/>
    </row>
    <row r="115" spans="2:18" ht="13" x14ac:dyDescent="0.3">
      <c r="B115" s="536">
        <v>19</v>
      </c>
      <c r="C115" s="555"/>
      <c r="D115" s="1221"/>
      <c r="E115" s="690"/>
      <c r="F115" s="690"/>
      <c r="G115" s="690"/>
      <c r="H115" s="690"/>
      <c r="I115" s="556"/>
      <c r="J115" s="556"/>
      <c r="K115" s="556"/>
      <c r="L115" s="556"/>
      <c r="M115" s="556"/>
      <c r="N115" s="556"/>
      <c r="O115" s="1650"/>
      <c r="P115" s="1651"/>
      <c r="Q115" s="1652"/>
      <c r="R115" s="491"/>
    </row>
    <row r="116" spans="2:18" ht="13" x14ac:dyDescent="0.3">
      <c r="B116" s="536">
        <v>20</v>
      </c>
      <c r="C116" s="555"/>
      <c r="D116" s="1221"/>
      <c r="E116" s="690"/>
      <c r="F116" s="690"/>
      <c r="G116" s="690"/>
      <c r="H116" s="690"/>
      <c r="I116" s="556"/>
      <c r="J116" s="556"/>
      <c r="K116" s="556"/>
      <c r="L116" s="556"/>
      <c r="M116" s="556"/>
      <c r="N116" s="556"/>
      <c r="O116" s="1650"/>
      <c r="P116" s="1651"/>
      <c r="Q116" s="1652"/>
      <c r="R116" s="491"/>
    </row>
  </sheetData>
  <sheetProtection algorithmName="SHA-512" hashValue="MtJe+2Kyo616pXukBPB5ffGlWV1nfYiGnBfW7j6/cq9+A1Vq2AnstwV4Yn82mWjkSVAOq+b2VSTiVNz/H5BgIw==" saltValue="hJyIhrQbvZ5pfysSmKOv8A==" spinCount="100000" sheet="1" objects="1" scenarios="1" selectLockedCells="1" selectUnlockedCells="1"/>
  <mergeCells count="121">
    <mergeCell ref="D17:F17"/>
    <mergeCell ref="D18:F18"/>
    <mergeCell ref="B20:Q20"/>
    <mergeCell ref="C21:Q21"/>
    <mergeCell ref="C22:Q22"/>
    <mergeCell ref="C23:Q23"/>
    <mergeCell ref="C2:F2"/>
    <mergeCell ref="C3:F3"/>
    <mergeCell ref="C4:F4"/>
    <mergeCell ref="C5:F5"/>
    <mergeCell ref="D7:F7"/>
    <mergeCell ref="D8:F16"/>
    <mergeCell ref="E32:Q32"/>
    <mergeCell ref="E33:Q33"/>
    <mergeCell ref="E34:Q34"/>
    <mergeCell ref="E35:Q35"/>
    <mergeCell ref="E36:Q36"/>
    <mergeCell ref="E37:Q37"/>
    <mergeCell ref="D25:Q25"/>
    <mergeCell ref="D26:Q26"/>
    <mergeCell ref="D27:Q27"/>
    <mergeCell ref="D28:Q28"/>
    <mergeCell ref="D29:Q29"/>
    <mergeCell ref="D30:Q30"/>
    <mergeCell ref="C44:M44"/>
    <mergeCell ref="P44:Q44"/>
    <mergeCell ref="C45:M45"/>
    <mergeCell ref="P45:Q45"/>
    <mergeCell ref="C47:M47"/>
    <mergeCell ref="P47:Q47"/>
    <mergeCell ref="C41:M41"/>
    <mergeCell ref="P41:Q41"/>
    <mergeCell ref="C42:M42"/>
    <mergeCell ref="P42:Q42"/>
    <mergeCell ref="C43:M43"/>
    <mergeCell ref="P43:Q43"/>
    <mergeCell ref="C51:M51"/>
    <mergeCell ref="P51:Q51"/>
    <mergeCell ref="C53:M53"/>
    <mergeCell ref="P53:Q53"/>
    <mergeCell ref="C54:M54"/>
    <mergeCell ref="P54:Q54"/>
    <mergeCell ref="C48:M48"/>
    <mergeCell ref="P48:Q48"/>
    <mergeCell ref="C49:M49"/>
    <mergeCell ref="P49:Q49"/>
    <mergeCell ref="C50:M50"/>
    <mergeCell ref="P50:Q50"/>
    <mergeCell ref="D61:E61"/>
    <mergeCell ref="J61:Q61"/>
    <mergeCell ref="D62:E62"/>
    <mergeCell ref="J62:Q62"/>
    <mergeCell ref="D63:E63"/>
    <mergeCell ref="J63:Q63"/>
    <mergeCell ref="C55:M55"/>
    <mergeCell ref="P55:Q55"/>
    <mergeCell ref="C56:M56"/>
    <mergeCell ref="P56:Q56"/>
    <mergeCell ref="C57:M57"/>
    <mergeCell ref="P57:Q57"/>
    <mergeCell ref="D67:E67"/>
    <mergeCell ref="J67:Q67"/>
    <mergeCell ref="D68:E68"/>
    <mergeCell ref="J68:Q68"/>
    <mergeCell ref="D69:E69"/>
    <mergeCell ref="J69:Q69"/>
    <mergeCell ref="D64:E64"/>
    <mergeCell ref="J64:Q64"/>
    <mergeCell ref="D65:E65"/>
    <mergeCell ref="J65:Q65"/>
    <mergeCell ref="D66:E66"/>
    <mergeCell ref="J66:Q66"/>
    <mergeCell ref="D73:E73"/>
    <mergeCell ref="J73:Q73"/>
    <mergeCell ref="D74:E74"/>
    <mergeCell ref="J74:Q74"/>
    <mergeCell ref="D75:E75"/>
    <mergeCell ref="J75:Q75"/>
    <mergeCell ref="D70:E70"/>
    <mergeCell ref="J70:Q70"/>
    <mergeCell ref="D71:E71"/>
    <mergeCell ref="J71:Q71"/>
    <mergeCell ref="D72:E72"/>
    <mergeCell ref="J72:Q72"/>
    <mergeCell ref="D76:E76"/>
    <mergeCell ref="J76:Q76"/>
    <mergeCell ref="E94:N94"/>
    <mergeCell ref="O94:Q96"/>
    <mergeCell ref="F86:Q86"/>
    <mergeCell ref="F87:Q87"/>
    <mergeCell ref="F88:Q88"/>
    <mergeCell ref="F89:Q89"/>
    <mergeCell ref="F90:Q90"/>
    <mergeCell ref="F80:Q80"/>
    <mergeCell ref="F81:Q81"/>
    <mergeCell ref="F82:Q82"/>
    <mergeCell ref="F83:Q83"/>
    <mergeCell ref="F84:Q84"/>
    <mergeCell ref="F85:Q85"/>
    <mergeCell ref="O101:Q101"/>
    <mergeCell ref="O102:Q102"/>
    <mergeCell ref="O103:Q103"/>
    <mergeCell ref="O104:Q104"/>
    <mergeCell ref="O105:Q105"/>
    <mergeCell ref="O106:Q106"/>
    <mergeCell ref="B95:D95"/>
    <mergeCell ref="C96:D96"/>
    <mergeCell ref="O97:Q97"/>
    <mergeCell ref="O98:Q98"/>
    <mergeCell ref="O99:Q99"/>
    <mergeCell ref="O100:Q100"/>
    <mergeCell ref="O113:Q113"/>
    <mergeCell ref="O114:Q114"/>
    <mergeCell ref="O115:Q115"/>
    <mergeCell ref="O116:Q116"/>
    <mergeCell ref="O107:Q107"/>
    <mergeCell ref="O108:Q108"/>
    <mergeCell ref="O109:Q109"/>
    <mergeCell ref="O110:Q110"/>
    <mergeCell ref="O111:Q111"/>
    <mergeCell ref="O112:Q112"/>
  </mergeCells>
  <conditionalFormatting sqref="H64">
    <cfRule type="expression" dxfId="2773" priority="26">
      <formula>IF(OR(#REF!="L",#REF!="C"),TRUE,FALSE)</formula>
    </cfRule>
  </conditionalFormatting>
  <conditionalFormatting sqref="H72">
    <cfRule type="expression" dxfId="2772" priority="25">
      <formula>IF(OR(#REF!="L",#REF!="C"),TRUE,FALSE)</formula>
    </cfRule>
  </conditionalFormatting>
  <conditionalFormatting sqref="H73">
    <cfRule type="expression" dxfId="2771" priority="24">
      <formula>IF(OR(#REF!="L",#REF!="C"),TRUE,FALSE)</formula>
    </cfRule>
  </conditionalFormatting>
  <conditionalFormatting sqref="H74">
    <cfRule type="expression" dxfId="2770" priority="23">
      <formula>IF(OR(#REF!="L",#REF!="C"),TRUE,FALSE)</formula>
    </cfRule>
  </conditionalFormatting>
  <conditionalFormatting sqref="H75">
    <cfRule type="expression" dxfId="2769" priority="22">
      <formula>IF(OR(#REF!="L",#REF!="C"),TRUE,FALSE)</formula>
    </cfRule>
  </conditionalFormatting>
  <conditionalFormatting sqref="H76">
    <cfRule type="expression" dxfId="2768" priority="21">
      <formula>IF(OR(#REF!="L",#REF!="C"),TRUE,FALSE)</formula>
    </cfRule>
  </conditionalFormatting>
  <conditionalFormatting sqref="H71">
    <cfRule type="expression" dxfId="2767" priority="33">
      <formula>IF(OR(#REF!="L",#REF!="C"),TRUE,FALSE)</formula>
    </cfRule>
  </conditionalFormatting>
  <conditionalFormatting sqref="H66">
    <cfRule type="expression" dxfId="2766" priority="32">
      <formula>IF(OR(#REF!="L",#REF!="C"),TRUE,FALSE)</formula>
    </cfRule>
  </conditionalFormatting>
  <conditionalFormatting sqref="H70">
    <cfRule type="expression" dxfId="2765" priority="31">
      <formula>IF(OR(#REF!="L",#REF!="C"),TRUE,FALSE)</formula>
    </cfRule>
  </conditionalFormatting>
  <conditionalFormatting sqref="G95 I95 K95 M95">
    <cfRule type="duplicateValues" dxfId="2764" priority="19"/>
  </conditionalFormatting>
  <conditionalFormatting sqref="F109:F116 G102:G116 H104:H116">
    <cfRule type="expression" dxfId="2763" priority="18">
      <formula>IF(OR(#REF!="L",#REF!="C"),TRUE,FALSE)</formula>
    </cfRule>
  </conditionalFormatting>
  <conditionalFormatting sqref="E113:E116">
    <cfRule type="expression" dxfId="2762" priority="17">
      <formula>IF(OR(#REF!="L",#REF!="C"),TRUE,FALSE)</formula>
    </cfRule>
  </conditionalFormatting>
  <conditionalFormatting sqref="E95">
    <cfRule type="duplicateValues" dxfId="2761" priority="16"/>
  </conditionalFormatting>
  <conditionalFormatting sqref="M104:M116 F103:F104 F106">
    <cfRule type="expression" dxfId="2760" priority="7">
      <formula>IF(OR(#REF!="L",#REF!="C"),TRUE,FALSE)</formula>
    </cfRule>
  </conditionalFormatting>
  <conditionalFormatting sqref="I102:I103">
    <cfRule type="expression" dxfId="2759" priority="14">
      <formula>IF(OR(#REF!="L",#REF!="C"),TRUE,FALSE)</formula>
    </cfRule>
  </conditionalFormatting>
  <conditionalFormatting sqref="N102:N103">
    <cfRule type="expression" dxfId="2758" priority="4">
      <formula>IF(OR(#REF!="L",#REF!="C"),TRUE,FALSE)</formula>
    </cfRule>
  </conditionalFormatting>
  <conditionalFormatting sqref="I104:I116">
    <cfRule type="expression" dxfId="2757" priority="15">
      <formula>IF(OR(#REF!="L",#REF!="C"),TRUE,FALSE)</formula>
    </cfRule>
  </conditionalFormatting>
  <conditionalFormatting sqref="J102:J103">
    <cfRule type="expression" dxfId="2756" priority="12">
      <formula>IF(OR(#REF!="L",#REF!="C"),TRUE,FALSE)</formula>
    </cfRule>
  </conditionalFormatting>
  <conditionalFormatting sqref="J104:J116">
    <cfRule type="expression" dxfId="2755" priority="13">
      <formula>IF(OR(#REF!="L",#REF!="C"),TRUE,FALSE)</formula>
    </cfRule>
  </conditionalFormatting>
  <conditionalFormatting sqref="K102:K103">
    <cfRule type="expression" dxfId="2754" priority="10">
      <formula>IF(OR(#REF!="L",#REF!="C"),TRUE,FALSE)</formula>
    </cfRule>
  </conditionalFormatting>
  <conditionalFormatting sqref="K104:K116">
    <cfRule type="expression" dxfId="2753" priority="11">
      <formula>IF(OR(#REF!="L",#REF!="C"),TRUE,FALSE)</formula>
    </cfRule>
  </conditionalFormatting>
  <conditionalFormatting sqref="L102:L103">
    <cfRule type="expression" dxfId="2752" priority="8">
      <formula>IF(OR(#REF!="L",#REF!="C"),TRUE,FALSE)</formula>
    </cfRule>
  </conditionalFormatting>
  <conditionalFormatting sqref="L104:L116">
    <cfRule type="expression" dxfId="2751" priority="9">
      <formula>IF(OR(#REF!="L",#REF!="C"),TRUE,FALSE)</formula>
    </cfRule>
  </conditionalFormatting>
  <conditionalFormatting sqref="M102:M103">
    <cfRule type="expression" dxfId="2750" priority="6">
      <formula>IF(OR(#REF!="L",#REF!="C"),TRUE,FALSE)</formula>
    </cfRule>
  </conditionalFormatting>
  <conditionalFormatting sqref="N104:N116">
    <cfRule type="expression" dxfId="2749" priority="5">
      <formula>IF(OR(#REF!="L",#REF!="C"),TRUE,FALSE)</formula>
    </cfRule>
  </conditionalFormatting>
  <conditionalFormatting sqref="O102:O103">
    <cfRule type="expression" dxfId="2748" priority="2">
      <formula>IF(OR(#REF!="L",#REF!="C"),TRUE,FALSE)</formula>
    </cfRule>
  </conditionalFormatting>
  <conditionalFormatting sqref="O104:O116">
    <cfRule type="expression" dxfId="2747" priority="3">
      <formula>IF(OR(#REF!="L",#REF!="C"),TRUE,FALSE)</formula>
    </cfRule>
  </conditionalFormatting>
  <conditionalFormatting sqref="E96:N96">
    <cfRule type="duplicateValues" dxfId="2746" priority="1"/>
  </conditionalFormatting>
  <dataValidations count="7">
    <dataValidation type="list" allowBlank="1" showInputMessage="1" showErrorMessage="1" sqref="F62:F63" xr:uid="{B5F799E3-0E28-4C32-9382-BD9C4E8A9105}">
      <formula1>#REF!</formula1>
    </dataValidation>
    <dataValidation type="list" allowBlank="1" showInputMessage="1" showErrorMessage="1" sqref="C4" xr:uid="{D164D6D4-D5EA-4485-A9BD-9A0AA8B87670}">
      <formula1>"COM,RES"</formula1>
    </dataValidation>
    <dataValidation type="list" allowBlank="1" showInputMessage="1" showErrorMessage="1" sqref="C9" xr:uid="{7FC08788-1CEE-468D-8BB1-7044B3A53CE9}">
      <formula1>INDIRECT("MeasureTypeList[Index]")</formula1>
    </dataValidation>
    <dataValidation type="list" allowBlank="1" showInputMessage="1" showErrorMessage="1" sqref="C26" xr:uid="{BA0F7F07-0C4C-41AF-8CF4-BE6C38211622}">
      <formula1>INDIRECT("RegionList[Index]")</formula1>
    </dataValidation>
    <dataValidation type="list" allowBlank="1" showInputMessage="1" showErrorMessage="1" sqref="C27" xr:uid="{9AF2E9E1-912D-4F01-AFD7-29B40495E924}">
      <formula1>INDIRECT("ReplacementTypeList[Index]")</formula1>
    </dataValidation>
    <dataValidation type="list" allowBlank="1" showInputMessage="1" showErrorMessage="1" sqref="C28" xr:uid="{2DC41621-0AD8-4D1E-A8F5-06C8B8A7FF6A}">
      <formula1>INDIRECT("BuildingType[Building]")</formula1>
    </dataValidation>
    <dataValidation type="list" allowBlank="1" showInputMessage="1" showErrorMessage="1" sqref="C29 C30" xr:uid="{C0417D40-A006-4E66-8C6D-63029151D3B3}">
      <formula1>INDIRECT("FuelTypeList[Index]")</formula1>
    </dataValidation>
  </dataValidations>
  <hyperlinks>
    <hyperlink ref="F82" r:id="rId1" xr:uid="{52D64802-CD3D-49A1-B65E-229C577F953A}"/>
    <hyperlink ref="F83" r:id="rId2" xr:uid="{E4D0F975-484B-4161-90DC-43A759D66C7F}"/>
    <hyperlink ref="F85" r:id="rId3" xr:uid="{5E11696E-8068-42F4-97BB-9C10CE97B6AA}"/>
    <hyperlink ref="F84" r:id="rId4" xr:uid="{0971D509-069D-467F-9701-7EE19F5EBBBB}"/>
  </hyperlinks>
  <pageMargins left="0.7" right="0.7" top="0.75" bottom="0.75" header="0.3" footer="0.3"/>
  <pageSetup orientation="portrait" r:id="rId5"/>
  <extLst>
    <ext xmlns:x14="http://schemas.microsoft.com/office/spreadsheetml/2009/9/main" uri="{CCE6A557-97BC-4b89-ADB6-D9C93CAAB3DF}">
      <x14:dataValidations xmlns:xm="http://schemas.microsoft.com/office/excel/2006/main" count="1">
        <x14:dataValidation type="list" allowBlank="1" showInputMessage="1" showErrorMessage="1" xr:uid="{7B908D5E-3F9C-47FD-BB94-44EA5C50E0E1}">
          <x14:formula1>
            <xm:f>Validation!#REF!</xm:f>
          </x14:formula1>
          <xm:sqref>H67:H69</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4F34E-455B-41B0-8C50-5AA3AEF48606}">
  <sheetPr codeName="Sheet272"/>
  <dimension ref="A2:T116"/>
  <sheetViews>
    <sheetView topLeftCell="A40" workbookViewId="0">
      <selection activeCell="D108" sqref="D108"/>
    </sheetView>
  </sheetViews>
  <sheetFormatPr defaultColWidth="9.08984375" defaultRowHeight="18.75" customHeight="1" x14ac:dyDescent="0.3"/>
  <cols>
    <col min="1" max="1" width="2.36328125" style="488" customWidth="1"/>
    <col min="2" max="2" width="44.36328125" style="488" bestFit="1" customWidth="1"/>
    <col min="3" max="3" width="25.08984375" style="488" customWidth="1"/>
    <col min="4" max="4" width="21.6328125" style="488" customWidth="1"/>
    <col min="5" max="5" width="15" style="488" customWidth="1"/>
    <col min="6" max="6" width="17.26953125" style="488" customWidth="1"/>
    <col min="7" max="7" width="19.6328125" style="488" customWidth="1"/>
    <col min="8" max="8" width="16" style="488" customWidth="1"/>
    <col min="9" max="9" width="1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C-HC-016</v>
      </c>
      <c r="D3" s="1367"/>
      <c r="E3" s="1367"/>
      <c r="F3" s="1367"/>
    </row>
    <row r="4" spans="1:18" ht="18.75" customHeight="1" x14ac:dyDescent="0.3">
      <c r="B4" s="490" t="s">
        <v>11</v>
      </c>
      <c r="C4" s="1367" t="str" cm="1">
        <f t="array" ref="C4">_xlfn.SWITCH(LEFT(C8,1),"R","Residential","C","Commercial","ERROR")</f>
        <v>Commercial</v>
      </c>
      <c r="D4" s="1367"/>
      <c r="E4" s="1367"/>
      <c r="F4" s="1367"/>
    </row>
    <row r="5" spans="1:18" ht="19.5" customHeight="1" x14ac:dyDescent="0.3">
      <c r="B5" s="490" t="s">
        <v>408</v>
      </c>
      <c r="C5" s="1530" t="s">
        <v>239</v>
      </c>
      <c r="D5" s="1531"/>
      <c r="E5" s="1531"/>
      <c r="F5" s="1532"/>
      <c r="R5" s="488"/>
    </row>
    <row r="6" spans="1:18" ht="18.75" customHeight="1" x14ac:dyDescent="0.3">
      <c r="A6" s="573"/>
    </row>
    <row r="7" spans="1:18" ht="18.75" customHeight="1" x14ac:dyDescent="0.3">
      <c r="B7" s="1193" t="s">
        <v>409</v>
      </c>
      <c r="C7" s="1192" t="s">
        <v>406</v>
      </c>
      <c r="D7" s="1363" t="s">
        <v>410</v>
      </c>
      <c r="E7" s="1363"/>
      <c r="F7" s="1363"/>
      <c r="R7" s="488"/>
    </row>
    <row r="8" spans="1:18" ht="18.75" customHeight="1" x14ac:dyDescent="0.3">
      <c r="B8" s="490" t="s">
        <v>411</v>
      </c>
      <c r="C8" s="1218" t="s">
        <v>99</v>
      </c>
      <c r="D8" s="1793"/>
      <c r="E8" s="1793"/>
      <c r="F8" s="1793"/>
      <c r="R8" s="488"/>
    </row>
    <row r="9" spans="1:18" ht="18.75" customHeight="1" x14ac:dyDescent="0.3">
      <c r="B9" s="490" t="s">
        <v>49</v>
      </c>
      <c r="C9" s="1218" t="s">
        <v>579</v>
      </c>
      <c r="D9" s="1793"/>
      <c r="E9" s="1793"/>
      <c r="F9" s="1793"/>
      <c r="R9" s="488"/>
    </row>
    <row r="10" spans="1:18" ht="18.75" customHeight="1" x14ac:dyDescent="0.3">
      <c r="B10" s="490" t="s">
        <v>412</v>
      </c>
      <c r="C10" s="1218"/>
      <c r="D10" s="1793"/>
      <c r="E10" s="1793"/>
      <c r="F10" s="1793"/>
      <c r="R10" s="488"/>
    </row>
    <row r="11" spans="1:18" ht="18.75" customHeight="1" x14ac:dyDescent="0.3">
      <c r="B11" s="490" t="s">
        <v>413</v>
      </c>
      <c r="C11" s="1218"/>
      <c r="D11" s="1793"/>
      <c r="E11" s="1793"/>
      <c r="F11" s="1793"/>
      <c r="R11" s="488"/>
    </row>
    <row r="12" spans="1:18" ht="18.75" customHeight="1" x14ac:dyDescent="0.3">
      <c r="B12" s="490" t="s">
        <v>414</v>
      </c>
      <c r="C12" s="665"/>
      <c r="D12" s="1793"/>
      <c r="E12" s="1793"/>
      <c r="F12" s="1793"/>
      <c r="R12" s="488"/>
    </row>
    <row r="13" spans="1:18" ht="18.75" customHeight="1" x14ac:dyDescent="0.3">
      <c r="B13" s="494" t="s">
        <v>415</v>
      </c>
      <c r="C13" s="658">
        <f>N43</f>
        <v>0</v>
      </c>
      <c r="D13" s="1793"/>
      <c r="E13" s="1793"/>
      <c r="F13" s="1793"/>
      <c r="R13" s="488"/>
    </row>
    <row r="14" spans="1:18" ht="18.75" customHeight="1" x14ac:dyDescent="0.3">
      <c r="B14" s="494" t="s">
        <v>416</v>
      </c>
      <c r="C14" s="658">
        <f>N42</f>
        <v>0</v>
      </c>
      <c r="D14" s="1793"/>
      <c r="E14" s="1793"/>
      <c r="F14" s="1793"/>
      <c r="R14" s="488"/>
    </row>
    <row r="15" spans="1:18" ht="18.75" customHeight="1" x14ac:dyDescent="0.3">
      <c r="B15" s="494" t="s">
        <v>417</v>
      </c>
      <c r="C15" s="658">
        <f>N44</f>
        <v>0</v>
      </c>
      <c r="D15" s="1793"/>
      <c r="E15" s="1793"/>
      <c r="F15" s="1793"/>
      <c r="R15" s="488"/>
    </row>
    <row r="16" spans="1:18" ht="18.75" customHeight="1" x14ac:dyDescent="0.3">
      <c r="B16" s="494" t="s">
        <v>418</v>
      </c>
      <c r="C16" s="659">
        <f>C37</f>
        <v>0</v>
      </c>
      <c r="D16" s="1793"/>
      <c r="E16" s="1793"/>
      <c r="F16" s="1793"/>
      <c r="R16" s="488"/>
    </row>
    <row r="17" spans="2:18" ht="18.75" customHeight="1" x14ac:dyDescent="0.3">
      <c r="B17" s="490" t="s">
        <v>48</v>
      </c>
      <c r="C17" s="1218" t="s">
        <v>673</v>
      </c>
      <c r="D17" s="1363" t="s">
        <v>419</v>
      </c>
      <c r="E17" s="1363"/>
      <c r="F17" s="1363"/>
      <c r="R17" s="488"/>
    </row>
    <row r="18" spans="2:18" ht="18.75" customHeight="1" x14ac:dyDescent="0.3">
      <c r="B18" s="490" t="s">
        <v>420</v>
      </c>
      <c r="C18" s="666">
        <v>15</v>
      </c>
      <c r="D18" s="1513" t="s">
        <v>1488</v>
      </c>
      <c r="E18" s="1513"/>
      <c r="F18" s="1513"/>
      <c r="R18" s="488"/>
    </row>
    <row r="19" spans="2:18" ht="18.75" customHeight="1" x14ac:dyDescent="0.3">
      <c r="B19" s="613"/>
      <c r="C19" s="614"/>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38.25" customHeight="1" x14ac:dyDescent="0.3">
      <c r="B21" s="499" t="s">
        <v>422</v>
      </c>
      <c r="C21" s="1546" t="s">
        <v>240</v>
      </c>
      <c r="D21" s="1546"/>
      <c r="E21" s="1546"/>
      <c r="F21" s="1546"/>
      <c r="G21" s="1546"/>
      <c r="H21" s="1546"/>
      <c r="I21" s="1546"/>
      <c r="J21" s="1546"/>
      <c r="K21" s="1546"/>
      <c r="L21" s="1546"/>
      <c r="M21" s="1546"/>
      <c r="N21" s="1546"/>
      <c r="O21" s="1546"/>
      <c r="P21" s="1546"/>
      <c r="Q21" s="1546"/>
      <c r="R21" s="488"/>
    </row>
    <row r="22" spans="2:18" ht="38.25" customHeight="1" x14ac:dyDescent="0.3">
      <c r="B22" s="500" t="s">
        <v>423</v>
      </c>
      <c r="C22" s="1546" t="s">
        <v>241</v>
      </c>
      <c r="D22" s="1546"/>
      <c r="E22" s="1546"/>
      <c r="F22" s="1546"/>
      <c r="G22" s="1546"/>
      <c r="H22" s="1546"/>
      <c r="I22" s="1546"/>
      <c r="J22" s="1546"/>
      <c r="K22" s="1546"/>
      <c r="L22" s="1546"/>
      <c r="M22" s="1546"/>
      <c r="N22" s="1546"/>
      <c r="O22" s="1546"/>
      <c r="P22" s="1546"/>
      <c r="Q22" s="1546"/>
      <c r="R22" s="488"/>
    </row>
    <row r="23" spans="2:18" ht="18.75" customHeight="1"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677"/>
      <c r="F33" s="1677"/>
      <c r="G33" s="1677"/>
      <c r="H33" s="1677"/>
      <c r="I33" s="1677"/>
      <c r="J33" s="1677"/>
      <c r="K33" s="1677"/>
      <c r="L33" s="1677"/>
      <c r="M33" s="1677"/>
      <c r="N33" s="1677"/>
      <c r="O33" s="1677"/>
      <c r="P33" s="1677"/>
      <c r="Q33" s="1677"/>
      <c r="R33" s="488"/>
    </row>
    <row r="34" spans="2:18" ht="18.75" customHeight="1" x14ac:dyDescent="0.3">
      <c r="B34" s="494" t="s">
        <v>431</v>
      </c>
      <c r="C34" s="542"/>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905">
        <f>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905">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0</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20" ht="18.75" customHeight="1" x14ac:dyDescent="0.3">
      <c r="B49" s="582" t="s">
        <v>454</v>
      </c>
      <c r="C49" s="1504" t="s">
        <v>455</v>
      </c>
      <c r="D49" s="1505"/>
      <c r="E49" s="1505"/>
      <c r="F49" s="1505"/>
      <c r="G49" s="1505"/>
      <c r="H49" s="1505"/>
      <c r="I49" s="1505"/>
      <c r="J49" s="1505"/>
      <c r="K49" s="1505"/>
      <c r="L49" s="1505"/>
      <c r="M49" s="1506"/>
      <c r="N49" s="592"/>
      <c r="O49" s="1243" t="s">
        <v>443</v>
      </c>
      <c r="P49" s="1511"/>
      <c r="Q49" s="1511"/>
      <c r="R49" s="488"/>
    </row>
    <row r="50" spans="2:20" ht="18.75" customHeight="1" x14ac:dyDescent="0.3">
      <c r="B50" s="582" t="s">
        <v>456</v>
      </c>
      <c r="C50" s="1504" t="s">
        <v>516</v>
      </c>
      <c r="D50" s="1505"/>
      <c r="E50" s="1505"/>
      <c r="F50" s="1505"/>
      <c r="G50" s="1505"/>
      <c r="H50" s="1505"/>
      <c r="I50" s="1505"/>
      <c r="J50" s="1505"/>
      <c r="K50" s="1505"/>
      <c r="L50" s="1505"/>
      <c r="M50" s="1506"/>
      <c r="N50" s="594"/>
      <c r="O50" s="1243" t="s">
        <v>446</v>
      </c>
      <c r="P50" s="1442" t="s">
        <v>2864</v>
      </c>
      <c r="Q50" s="1442"/>
      <c r="R50" s="488"/>
    </row>
    <row r="51" spans="2:20"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20" ht="18.75" customHeight="1" x14ac:dyDescent="0.3">
      <c r="B52" s="583"/>
      <c r="C52" s="578"/>
      <c r="D52" s="578"/>
      <c r="E52" s="578"/>
      <c r="F52" s="578"/>
      <c r="G52" s="578"/>
      <c r="H52" s="578"/>
      <c r="I52" s="578"/>
      <c r="J52" s="578"/>
      <c r="K52" s="578"/>
      <c r="L52" s="578"/>
      <c r="M52" s="578"/>
      <c r="Q52" s="489"/>
      <c r="R52" s="488"/>
    </row>
    <row r="53" spans="2:20"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20"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20"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20" s="491" customFormat="1" ht="18.75" customHeight="1" x14ac:dyDescent="0.3">
      <c r="B56" s="531" t="s">
        <v>466</v>
      </c>
      <c r="C56" s="1504" t="s">
        <v>467</v>
      </c>
      <c r="D56" s="1505"/>
      <c r="E56" s="1505"/>
      <c r="F56" s="1505"/>
      <c r="G56" s="1505"/>
      <c r="H56" s="1505"/>
      <c r="I56" s="1505"/>
      <c r="J56" s="1505"/>
      <c r="K56" s="1505"/>
      <c r="L56" s="1505"/>
      <c r="M56" s="1506"/>
      <c r="N56" s="594"/>
      <c r="O56" s="509" t="s">
        <v>446</v>
      </c>
      <c r="P56" s="1447"/>
      <c r="Q56" s="1447"/>
    </row>
    <row r="57" spans="2:20"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20" s="491" customFormat="1" ht="18.75" customHeight="1" x14ac:dyDescent="0.3">
      <c r="B58" s="510"/>
      <c r="C58" s="502"/>
      <c r="D58" s="503"/>
      <c r="E58" s="503"/>
      <c r="F58" s="503"/>
      <c r="G58" s="503"/>
      <c r="H58" s="503"/>
      <c r="I58" s="503"/>
      <c r="J58" s="503"/>
      <c r="K58" s="503"/>
      <c r="L58" s="503"/>
      <c r="M58" s="503"/>
      <c r="N58" s="503"/>
      <c r="O58" s="503"/>
      <c r="R58" s="489"/>
    </row>
    <row r="59" spans="2:20" ht="18.75" customHeight="1" x14ac:dyDescent="0.3">
      <c r="B59" s="511" t="s">
        <v>470</v>
      </c>
      <c r="C59" s="512"/>
      <c r="D59" s="512"/>
      <c r="E59" s="512"/>
      <c r="F59" s="512"/>
      <c r="G59" s="512"/>
      <c r="H59" s="513"/>
      <c r="I59" s="513"/>
      <c r="J59" s="513"/>
      <c r="K59" s="513"/>
      <c r="L59" s="513"/>
      <c r="M59" s="513"/>
      <c r="N59" s="513"/>
      <c r="O59" s="513"/>
      <c r="P59" s="513"/>
      <c r="Q59" s="514"/>
    </row>
    <row r="61" spans="2:20" ht="18.75" customHeight="1" x14ac:dyDescent="0.3">
      <c r="B61" s="506" t="s">
        <v>471</v>
      </c>
      <c r="C61" s="506" t="s">
        <v>472</v>
      </c>
      <c r="D61" s="1395" t="s">
        <v>473</v>
      </c>
      <c r="E61" s="1395"/>
      <c r="F61" s="506" t="s">
        <v>474</v>
      </c>
      <c r="G61" s="506" t="s">
        <v>475</v>
      </c>
      <c r="H61" s="1188" t="s">
        <v>406</v>
      </c>
      <c r="I61" s="1188" t="s">
        <v>428</v>
      </c>
      <c r="J61" s="1396" t="s">
        <v>476</v>
      </c>
      <c r="K61" s="1397"/>
      <c r="L61" s="1397"/>
      <c r="M61" s="1397"/>
      <c r="N61" s="1397"/>
      <c r="O61" s="1397"/>
      <c r="P61" s="1397"/>
      <c r="Q61" s="1398"/>
    </row>
    <row r="62" spans="2:20" ht="37.15" customHeight="1" x14ac:dyDescent="0.3">
      <c r="B62" s="533">
        <v>1</v>
      </c>
      <c r="C62" s="546" t="s">
        <v>1489</v>
      </c>
      <c r="D62" s="1539" t="s">
        <v>1490</v>
      </c>
      <c r="E62" s="1539"/>
      <c r="F62" s="1217"/>
      <c r="G62" s="1217"/>
      <c r="H62" s="645">
        <v>1</v>
      </c>
      <c r="I62" s="1217" t="s">
        <v>1491</v>
      </c>
      <c r="J62" s="1468" t="s">
        <v>1492</v>
      </c>
      <c r="K62" s="1478"/>
      <c r="L62" s="1478"/>
      <c r="M62" s="1478"/>
      <c r="N62" s="1478"/>
      <c r="O62" s="1478"/>
      <c r="P62" s="1478"/>
      <c r="Q62" s="1469"/>
      <c r="R62" s="488"/>
      <c r="T62" s="738"/>
    </row>
    <row r="63" spans="2:20" ht="28.9" customHeight="1" x14ac:dyDescent="0.3">
      <c r="B63" s="533">
        <v>2</v>
      </c>
      <c r="C63" s="546" t="s">
        <v>1493</v>
      </c>
      <c r="D63" s="1539" t="s">
        <v>1494</v>
      </c>
      <c r="E63" s="1539"/>
      <c r="F63" s="1217"/>
      <c r="G63" s="1217"/>
      <c r="H63" s="572">
        <f>1/0.31</f>
        <v>3.2258064516129035</v>
      </c>
      <c r="I63" s="1217" t="s">
        <v>1491</v>
      </c>
      <c r="J63" s="1468" t="s">
        <v>1495</v>
      </c>
      <c r="K63" s="1478"/>
      <c r="L63" s="1478"/>
      <c r="M63" s="1478"/>
      <c r="N63" s="1478"/>
      <c r="O63" s="1478"/>
      <c r="P63" s="1478"/>
      <c r="Q63" s="1469"/>
      <c r="R63" s="488"/>
    </row>
    <row r="64" spans="2:20" ht="13" x14ac:dyDescent="0.3">
      <c r="B64" s="533">
        <v>3</v>
      </c>
      <c r="C64" s="546" t="s">
        <v>1496</v>
      </c>
      <c r="D64" s="1539" t="s">
        <v>1497</v>
      </c>
      <c r="E64" s="1539"/>
      <c r="F64" s="1217"/>
      <c r="G64" s="1217"/>
      <c r="H64" s="569">
        <v>1</v>
      </c>
      <c r="I64" s="1217" t="s">
        <v>1498</v>
      </c>
      <c r="J64" s="1468"/>
      <c r="K64" s="1478"/>
      <c r="L64" s="1478"/>
      <c r="M64" s="1478"/>
      <c r="N64" s="1478"/>
      <c r="O64" s="1478"/>
      <c r="P64" s="1478"/>
      <c r="Q64" s="1469"/>
      <c r="R64" s="488"/>
    </row>
    <row r="65" spans="2:18" ht="13" x14ac:dyDescent="0.3">
      <c r="B65" s="533">
        <v>4</v>
      </c>
      <c r="C65" s="546" t="s">
        <v>1499</v>
      </c>
      <c r="D65" s="1539" t="s">
        <v>1500</v>
      </c>
      <c r="E65" s="1539"/>
      <c r="F65" s="1217"/>
      <c r="G65" s="1217"/>
      <c r="H65" s="645">
        <v>65</v>
      </c>
      <c r="I65" s="1217" t="s">
        <v>825</v>
      </c>
      <c r="J65" s="1468" t="s">
        <v>1501</v>
      </c>
      <c r="K65" s="1478"/>
      <c r="L65" s="1478"/>
      <c r="M65" s="1478"/>
      <c r="N65" s="1478"/>
      <c r="O65" s="1478"/>
      <c r="P65" s="1478"/>
      <c r="Q65" s="1469"/>
      <c r="R65" s="488"/>
    </row>
    <row r="66" spans="2:18" ht="13" x14ac:dyDescent="0.3">
      <c r="B66" s="533">
        <v>5</v>
      </c>
      <c r="C66" s="546" t="s">
        <v>1502</v>
      </c>
      <c r="D66" s="1539" t="s">
        <v>1503</v>
      </c>
      <c r="E66" s="1539"/>
      <c r="F66" s="1217"/>
      <c r="G66" s="1217"/>
      <c r="H66" s="645">
        <v>1</v>
      </c>
      <c r="I66" s="1217" t="s">
        <v>1233</v>
      </c>
      <c r="J66" s="1468"/>
      <c r="K66" s="1478"/>
      <c r="L66" s="1478"/>
      <c r="M66" s="1478"/>
      <c r="N66" s="1478"/>
      <c r="O66" s="1478"/>
      <c r="P66" s="1478"/>
      <c r="Q66" s="1469"/>
      <c r="R66" s="488"/>
    </row>
    <row r="67" spans="2:18" ht="13" x14ac:dyDescent="0.3">
      <c r="B67" s="533">
        <v>6</v>
      </c>
      <c r="C67" s="546" t="s">
        <v>517</v>
      </c>
      <c r="D67" s="1539" t="s">
        <v>1504</v>
      </c>
      <c r="E67" s="1539"/>
      <c r="F67" s="1217"/>
      <c r="G67" s="1217"/>
      <c r="H67" s="554">
        <v>0.85</v>
      </c>
      <c r="I67" s="1217" t="s">
        <v>519</v>
      </c>
      <c r="J67" s="1507"/>
      <c r="K67" s="1514"/>
      <c r="L67" s="1514"/>
      <c r="M67" s="1514"/>
      <c r="N67" s="1514"/>
      <c r="O67" s="1514"/>
      <c r="P67" s="1514"/>
      <c r="Q67" s="1515"/>
      <c r="R67" s="488"/>
    </row>
    <row r="68" spans="2:18" ht="42" customHeight="1" x14ac:dyDescent="0.3">
      <c r="B68" s="533">
        <v>7</v>
      </c>
      <c r="C68" s="546" t="s">
        <v>530</v>
      </c>
      <c r="D68" s="1539" t="s">
        <v>1505</v>
      </c>
      <c r="E68" s="1539"/>
      <c r="F68" s="546" t="str">
        <f>$C$28</f>
        <v>Other</v>
      </c>
      <c r="G68" s="1217" t="str">
        <f>$C$26</f>
        <v>Average</v>
      </c>
      <c r="H68" s="670">
        <f>INDEX(EFLH[#All],MATCH(F68,EFLH[[#All],[EFLH]],0),MATCH(G68,EFLH[#Headers],0))</f>
        <v>2617.8472419520012</v>
      </c>
      <c r="I68" s="1217" t="s">
        <v>532</v>
      </c>
      <c r="J68" s="1462" t="s">
        <v>533</v>
      </c>
      <c r="K68" s="1470"/>
      <c r="L68" s="1470"/>
      <c r="M68" s="1470"/>
      <c r="N68" s="1470"/>
      <c r="O68" s="1470"/>
      <c r="P68" s="1470"/>
      <c r="Q68" s="1471"/>
      <c r="R68" s="488"/>
    </row>
    <row r="69" spans="2:18" ht="30" customHeight="1" x14ac:dyDescent="0.3">
      <c r="B69" s="533">
        <v>8</v>
      </c>
      <c r="C69" s="546" t="s">
        <v>1506</v>
      </c>
      <c r="D69" s="1539" t="s">
        <v>1507</v>
      </c>
      <c r="E69" s="1539"/>
      <c r="F69" s="571" t="str">
        <f>$H$72</f>
        <v>Indoor, unheated</v>
      </c>
      <c r="G69" s="1217" t="s">
        <v>1506</v>
      </c>
      <c r="H69" s="554" t="e">
        <f>INDEX($B$97:$N$116,MATCH($F69,$C$97:$C$116,0),MATCH(G69,$B$96:$N$96,0))</f>
        <v>#N/A</v>
      </c>
      <c r="I69" s="1217" t="s">
        <v>519</v>
      </c>
      <c r="J69" s="1468" t="s">
        <v>1508</v>
      </c>
      <c r="K69" s="1478"/>
      <c r="L69" s="1478"/>
      <c r="M69" s="1478"/>
      <c r="N69" s="1478"/>
      <c r="O69" s="1478"/>
      <c r="P69" s="1478"/>
      <c r="Q69" s="1469"/>
      <c r="R69" s="488"/>
    </row>
    <row r="70" spans="2:18" ht="26.5" customHeight="1" x14ac:dyDescent="0.3">
      <c r="B70" s="533">
        <v>9</v>
      </c>
      <c r="C70" s="546" t="s">
        <v>1509</v>
      </c>
      <c r="D70" s="1437" t="s">
        <v>1510</v>
      </c>
      <c r="E70" s="1438"/>
      <c r="F70" s="571" t="str">
        <f>$H$72</f>
        <v>Indoor, unheated</v>
      </c>
      <c r="G70" s="1217" t="s">
        <v>1511</v>
      </c>
      <c r="H70" s="569" t="e">
        <f>INDEX(#REF!,MATCH($H71,#REF!,0),MATCH(G70,#REF!,0))</f>
        <v>#REF!</v>
      </c>
      <c r="I70" s="1217" t="s">
        <v>1498</v>
      </c>
      <c r="J70" s="1507"/>
      <c r="K70" s="1514"/>
      <c r="L70" s="1514"/>
      <c r="M70" s="1514"/>
      <c r="N70" s="1514"/>
      <c r="O70" s="1514"/>
      <c r="P70" s="1514"/>
      <c r="Q70" s="1515"/>
      <c r="R70" s="488"/>
    </row>
    <row r="71" spans="2:18" ht="34.5" customHeight="1" x14ac:dyDescent="0.3">
      <c r="B71" s="533">
        <v>10</v>
      </c>
      <c r="C71" s="555" t="s">
        <v>1512</v>
      </c>
      <c r="D71" s="1437" t="s">
        <v>1513</v>
      </c>
      <c r="E71" s="1438"/>
      <c r="F71" s="556"/>
      <c r="G71" s="557"/>
      <c r="H71" s="558" t="s">
        <v>1514</v>
      </c>
      <c r="I71" s="1217" t="s">
        <v>597</v>
      </c>
      <c r="J71" s="1507"/>
      <c r="K71" s="1514"/>
      <c r="L71" s="1514"/>
      <c r="M71" s="1514"/>
      <c r="N71" s="1514"/>
      <c r="O71" s="1514"/>
      <c r="P71" s="1514"/>
      <c r="Q71" s="1515"/>
      <c r="R71" s="488"/>
    </row>
    <row r="72" spans="2:18" s="491" customFormat="1" ht="41.25" customHeight="1" x14ac:dyDescent="0.3">
      <c r="B72" s="536">
        <v>11</v>
      </c>
      <c r="C72" s="546" t="s">
        <v>1515</v>
      </c>
      <c r="D72" s="1539" t="s">
        <v>1516</v>
      </c>
      <c r="E72" s="1539"/>
      <c r="F72" s="1217"/>
      <c r="G72" s="1217"/>
      <c r="H72" s="571" t="s">
        <v>1517</v>
      </c>
      <c r="I72" s="1217" t="s">
        <v>597</v>
      </c>
      <c r="J72" s="1437"/>
      <c r="K72" s="1448"/>
      <c r="L72" s="1448"/>
      <c r="M72" s="1448"/>
      <c r="N72" s="1448"/>
      <c r="O72" s="1448"/>
      <c r="P72" s="1448"/>
      <c r="Q72" s="1438"/>
    </row>
    <row r="73" spans="2:18" s="491" customFormat="1" ht="13" x14ac:dyDescent="0.3">
      <c r="B73" s="536">
        <v>12</v>
      </c>
      <c r="C73" s="555"/>
      <c r="D73" s="1437"/>
      <c r="E73" s="1438"/>
      <c r="F73" s="556"/>
      <c r="G73" s="557"/>
      <c r="H73" s="556"/>
      <c r="I73" s="557"/>
      <c r="J73" s="1472"/>
      <c r="K73" s="1473"/>
      <c r="L73" s="1473"/>
      <c r="M73" s="1473"/>
      <c r="N73" s="1473"/>
      <c r="O73" s="1473"/>
      <c r="P73" s="1473"/>
      <c r="Q73" s="1474"/>
    </row>
    <row r="74" spans="2:18" s="491" customFormat="1" ht="13" x14ac:dyDescent="0.3">
      <c r="B74" s="536">
        <v>13</v>
      </c>
      <c r="C74" s="555"/>
      <c r="D74" s="1437"/>
      <c r="E74" s="1438"/>
      <c r="F74" s="556"/>
      <c r="G74" s="557"/>
      <c r="H74" s="556"/>
      <c r="I74" s="557"/>
      <c r="J74" s="1472"/>
      <c r="K74" s="1473"/>
      <c r="L74" s="1473"/>
      <c r="M74" s="1473"/>
      <c r="N74" s="1473"/>
      <c r="O74" s="1473"/>
      <c r="P74" s="1473"/>
      <c r="Q74" s="1474"/>
    </row>
    <row r="75" spans="2:18" s="489" customFormat="1" ht="13.15" customHeight="1" x14ac:dyDescent="0.3">
      <c r="B75" s="536">
        <v>14</v>
      </c>
      <c r="C75" s="555"/>
      <c r="D75" s="1437"/>
      <c r="E75" s="1438"/>
      <c r="F75" s="556"/>
      <c r="G75" s="557"/>
      <c r="H75" s="556"/>
      <c r="I75" s="557"/>
      <c r="J75" s="1472"/>
      <c r="K75" s="1473"/>
      <c r="L75" s="1473"/>
      <c r="M75" s="1473"/>
      <c r="N75" s="1473"/>
      <c r="O75" s="1473"/>
      <c r="P75" s="1473"/>
      <c r="Q75" s="1474"/>
    </row>
    <row r="76" spans="2:18" s="489" customFormat="1" ht="13" x14ac:dyDescent="0.3">
      <c r="B76" s="536">
        <v>15</v>
      </c>
      <c r="C76" s="555"/>
      <c r="D76" s="1437"/>
      <c r="E76" s="1438"/>
      <c r="F76" s="556"/>
      <c r="G76" s="557"/>
      <c r="H76" s="559"/>
      <c r="I76" s="557"/>
      <c r="J76" s="1472"/>
      <c r="K76" s="1473"/>
      <c r="L76" s="1473"/>
      <c r="M76" s="1473"/>
      <c r="N76" s="1473"/>
      <c r="O76" s="1473"/>
      <c r="P76" s="1473"/>
      <c r="Q76" s="1474"/>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182"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182"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c r="R85" s="488"/>
    </row>
    <row r="86" spans="2:18" ht="13" x14ac:dyDescent="0.3">
      <c r="B86" s="533">
        <v>6</v>
      </c>
      <c r="C86" s="563" t="s">
        <v>933</v>
      </c>
      <c r="D86" s="722">
        <f>1/12</f>
        <v>8.3333333333333329E-2</v>
      </c>
      <c r="E86" s="1182" t="s">
        <v>934</v>
      </c>
      <c r="F86" s="1489"/>
      <c r="G86" s="1490"/>
      <c r="H86" s="1490"/>
      <c r="I86" s="1490"/>
      <c r="J86" s="1490"/>
      <c r="K86" s="1490"/>
      <c r="L86" s="1490"/>
      <c r="M86" s="1490"/>
      <c r="N86" s="1490"/>
      <c r="O86" s="1490"/>
      <c r="P86" s="1490"/>
      <c r="Q86" s="1491"/>
      <c r="R86" s="488"/>
    </row>
    <row r="87" spans="2:18" ht="13" x14ac:dyDescent="0.3">
      <c r="B87" s="533">
        <v>7</v>
      </c>
      <c r="C87" s="563"/>
      <c r="D87" s="1233"/>
      <c r="E87" s="1182"/>
      <c r="F87" s="1489"/>
      <c r="G87" s="1490"/>
      <c r="H87" s="1490"/>
      <c r="I87" s="1490"/>
      <c r="J87" s="1490"/>
      <c r="K87" s="1490"/>
      <c r="L87" s="1490"/>
      <c r="M87" s="1490"/>
      <c r="N87" s="1490"/>
      <c r="O87" s="1490"/>
      <c r="P87" s="1490"/>
      <c r="Q87" s="1491"/>
      <c r="R87" s="488"/>
    </row>
    <row r="88" spans="2:18" ht="13" x14ac:dyDescent="0.3">
      <c r="B88" s="533">
        <v>8</v>
      </c>
      <c r="C88" s="563"/>
      <c r="D88" s="564"/>
      <c r="E88" s="1182"/>
      <c r="F88" s="1489"/>
      <c r="G88" s="1490"/>
      <c r="H88" s="1490"/>
      <c r="I88" s="1490"/>
      <c r="J88" s="1490"/>
      <c r="K88" s="1490"/>
      <c r="L88" s="1490"/>
      <c r="M88" s="1490"/>
      <c r="N88" s="1490"/>
      <c r="O88" s="1490"/>
      <c r="P88" s="1490"/>
      <c r="Q88" s="1491"/>
      <c r="R88" s="488"/>
    </row>
    <row r="89" spans="2:18" ht="13" x14ac:dyDescent="0.3">
      <c r="B89" s="533">
        <v>9</v>
      </c>
      <c r="C89" s="563"/>
      <c r="D89" s="1233"/>
      <c r="E89" s="1182"/>
      <c r="F89" s="1489"/>
      <c r="G89" s="1490"/>
      <c r="H89" s="1490"/>
      <c r="I89" s="1490"/>
      <c r="J89" s="1490"/>
      <c r="K89" s="1490"/>
      <c r="L89" s="1490"/>
      <c r="M89" s="1490"/>
      <c r="N89" s="1490"/>
      <c r="O89" s="1490"/>
      <c r="P89" s="1490"/>
      <c r="Q89" s="1491"/>
      <c r="R89" s="488"/>
    </row>
    <row r="90" spans="2:18" ht="13" x14ac:dyDescent="0.3">
      <c r="B90" s="533">
        <v>10</v>
      </c>
      <c r="C90" s="563"/>
      <c r="D90" s="564"/>
      <c r="E90" s="1182"/>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t="s">
        <v>1518</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08"/>
      <c r="Q95" s="1409"/>
      <c r="R95" s="488"/>
    </row>
    <row r="96" spans="2:18" ht="30" customHeight="1" x14ac:dyDescent="0.3">
      <c r="B96" s="1188" t="s">
        <v>478</v>
      </c>
      <c r="C96" s="1402" t="s">
        <v>505</v>
      </c>
      <c r="D96" s="1431"/>
      <c r="E96" s="565" t="s">
        <v>1506</v>
      </c>
      <c r="F96" s="565"/>
      <c r="G96" s="565"/>
      <c r="H96" s="565"/>
      <c r="I96" s="565"/>
      <c r="J96" s="565"/>
      <c r="K96" s="565"/>
      <c r="L96" s="565"/>
      <c r="M96" s="565"/>
      <c r="N96" s="566"/>
      <c r="O96" s="1410"/>
      <c r="P96" s="1411"/>
      <c r="Q96" s="1412"/>
      <c r="R96" s="488"/>
    </row>
    <row r="97" spans="2:18" ht="26" x14ac:dyDescent="0.3">
      <c r="B97" s="533">
        <v>1</v>
      </c>
      <c r="C97" s="546" t="s">
        <v>714</v>
      </c>
      <c r="D97" s="1184"/>
      <c r="E97" s="568">
        <v>1</v>
      </c>
      <c r="F97" s="1190"/>
      <c r="G97" s="1190"/>
      <c r="H97" s="1190"/>
      <c r="I97" s="568"/>
      <c r="J97" s="568"/>
      <c r="K97" s="568"/>
      <c r="L97" s="568"/>
      <c r="M97" s="568"/>
      <c r="N97" s="568"/>
      <c r="O97" s="1501"/>
      <c r="P97" s="1502"/>
      <c r="Q97" s="1503"/>
      <c r="R97" s="488"/>
    </row>
    <row r="98" spans="2:18" ht="13" x14ac:dyDescent="0.3">
      <c r="B98" s="533">
        <v>2</v>
      </c>
      <c r="C98" s="546" t="s">
        <v>712</v>
      </c>
      <c r="D98" s="1184"/>
      <c r="E98" s="568">
        <v>0.15</v>
      </c>
      <c r="F98" s="1190"/>
      <c r="G98" s="1190"/>
      <c r="H98" s="1190"/>
      <c r="I98" s="568"/>
      <c r="J98" s="568"/>
      <c r="K98" s="568"/>
      <c r="L98" s="568"/>
      <c r="M98" s="568"/>
      <c r="N98" s="568"/>
      <c r="O98" s="1495"/>
      <c r="P98" s="1496"/>
      <c r="Q98" s="1497"/>
      <c r="R98" s="488"/>
    </row>
    <row r="99" spans="2:18" ht="13" x14ac:dyDescent="0.3">
      <c r="B99" s="533">
        <v>3</v>
      </c>
      <c r="C99" s="546" t="s">
        <v>1519</v>
      </c>
      <c r="D99" s="1184"/>
      <c r="E99" s="568">
        <v>0.7</v>
      </c>
      <c r="F99" s="1190"/>
      <c r="G99" s="1190"/>
      <c r="H99" s="1190"/>
      <c r="I99" s="568"/>
      <c r="J99" s="568"/>
      <c r="K99" s="568"/>
      <c r="L99" s="568"/>
      <c r="M99" s="568"/>
      <c r="N99" s="568"/>
      <c r="O99" s="1495"/>
      <c r="P99" s="1496"/>
      <c r="Q99" s="1497"/>
      <c r="R99" s="488"/>
    </row>
    <row r="100" spans="2:18" ht="13" x14ac:dyDescent="0.3">
      <c r="B100" s="533">
        <v>4</v>
      </c>
      <c r="C100" s="546" t="s">
        <v>887</v>
      </c>
      <c r="D100" s="1184"/>
      <c r="E100" s="568">
        <v>0.15</v>
      </c>
      <c r="F100" s="1190"/>
      <c r="G100" s="1190"/>
      <c r="H100" s="1190"/>
      <c r="I100" s="568"/>
      <c r="J100" s="568"/>
      <c r="K100" s="568"/>
      <c r="L100" s="568"/>
      <c r="M100" s="568"/>
      <c r="N100" s="568"/>
      <c r="O100" s="1495"/>
      <c r="P100" s="1496"/>
      <c r="Q100" s="1497"/>
      <c r="R100" s="488"/>
    </row>
    <row r="101" spans="2:18" ht="13" x14ac:dyDescent="0.3">
      <c r="B101" s="533">
        <v>5</v>
      </c>
      <c r="C101" s="546"/>
      <c r="D101" s="570"/>
      <c r="E101" s="1190"/>
      <c r="F101" s="622"/>
      <c r="G101" s="1190"/>
      <c r="H101" s="1190"/>
      <c r="I101" s="568"/>
      <c r="J101" s="568"/>
      <c r="K101" s="568"/>
      <c r="L101" s="568"/>
      <c r="M101" s="568"/>
      <c r="N101" s="568"/>
      <c r="O101" s="1495"/>
      <c r="P101" s="1496"/>
      <c r="Q101" s="1497"/>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sheetData>
  <sheetProtection algorithmName="SHA-512" hashValue="MSc+mZQkTbNcVWAGSKU6XHDNluZOXaBuWeVNSNPUw8S0jmuCT2dYGj50KSJrXH1NpZspabCM8fL/JbC83RY6YQ==" saltValue="ygoocIZAelEhm7AHUbCFFw==" spinCount="100000" sheet="1" objects="1" scenarios="1" selectLockedCells="1" selectUnlockedCells="1"/>
  <mergeCells count="121">
    <mergeCell ref="D17:F17"/>
    <mergeCell ref="D18:F18"/>
    <mergeCell ref="B20:Q20"/>
    <mergeCell ref="C21:Q21"/>
    <mergeCell ref="C22:Q22"/>
    <mergeCell ref="C23:Q23"/>
    <mergeCell ref="D29:Q29"/>
    <mergeCell ref="D30:Q30"/>
    <mergeCell ref="C2:F2"/>
    <mergeCell ref="C3:F3"/>
    <mergeCell ref="C4:F4"/>
    <mergeCell ref="C5:F5"/>
    <mergeCell ref="D7:F7"/>
    <mergeCell ref="D8:F16"/>
    <mergeCell ref="D25:Q25"/>
    <mergeCell ref="D26:Q26"/>
    <mergeCell ref="D27:Q27"/>
    <mergeCell ref="E34:Q34"/>
    <mergeCell ref="E35:Q35"/>
    <mergeCell ref="E36:Q36"/>
    <mergeCell ref="E37:Q37"/>
    <mergeCell ref="C41:M41"/>
    <mergeCell ref="P41:Q41"/>
    <mergeCell ref="D28:Q28"/>
    <mergeCell ref="E32:Q32"/>
    <mergeCell ref="E33:Q33"/>
    <mergeCell ref="C45:M45"/>
    <mergeCell ref="P45:Q45"/>
    <mergeCell ref="C47:M47"/>
    <mergeCell ref="P47:Q47"/>
    <mergeCell ref="C48:M48"/>
    <mergeCell ref="P48:Q48"/>
    <mergeCell ref="C42:M42"/>
    <mergeCell ref="P42:Q42"/>
    <mergeCell ref="C43:M43"/>
    <mergeCell ref="P43:Q43"/>
    <mergeCell ref="C44:M44"/>
    <mergeCell ref="P44:Q44"/>
    <mergeCell ref="C53:M53"/>
    <mergeCell ref="P53:Q53"/>
    <mergeCell ref="C54:M54"/>
    <mergeCell ref="P54:Q54"/>
    <mergeCell ref="C55:M55"/>
    <mergeCell ref="P55:Q55"/>
    <mergeCell ref="C49:M49"/>
    <mergeCell ref="P49:Q49"/>
    <mergeCell ref="C50:M50"/>
    <mergeCell ref="P50:Q50"/>
    <mergeCell ref="C51:M51"/>
    <mergeCell ref="P51:Q51"/>
    <mergeCell ref="D62:E62"/>
    <mergeCell ref="J62:Q62"/>
    <mergeCell ref="D63:E63"/>
    <mergeCell ref="J63:Q63"/>
    <mergeCell ref="D64:E64"/>
    <mergeCell ref="J64:Q64"/>
    <mergeCell ref="C56:M56"/>
    <mergeCell ref="P56:Q56"/>
    <mergeCell ref="C57:M57"/>
    <mergeCell ref="P57:Q57"/>
    <mergeCell ref="D61:E61"/>
    <mergeCell ref="J61:Q61"/>
    <mergeCell ref="D68:E68"/>
    <mergeCell ref="J69:Q69"/>
    <mergeCell ref="D69:E69"/>
    <mergeCell ref="J68:Q68"/>
    <mergeCell ref="D72:E72"/>
    <mergeCell ref="J70:Q70"/>
    <mergeCell ref="D65:E65"/>
    <mergeCell ref="J65:Q65"/>
    <mergeCell ref="D66:E66"/>
    <mergeCell ref="J66:Q66"/>
    <mergeCell ref="D67:E67"/>
    <mergeCell ref="J67:Q67"/>
    <mergeCell ref="D70:E70"/>
    <mergeCell ref="D74:E74"/>
    <mergeCell ref="J74:Q74"/>
    <mergeCell ref="D75:E75"/>
    <mergeCell ref="J75:Q75"/>
    <mergeCell ref="D76:E76"/>
    <mergeCell ref="J76:Q76"/>
    <mergeCell ref="D71:E71"/>
    <mergeCell ref="J71:Q71"/>
    <mergeCell ref="J72:Q72"/>
    <mergeCell ref="D73:E73"/>
    <mergeCell ref="J73:Q73"/>
    <mergeCell ref="F87:Q87"/>
    <mergeCell ref="F88:Q88"/>
    <mergeCell ref="F89:Q89"/>
    <mergeCell ref="F90:Q90"/>
    <mergeCell ref="E94:N94"/>
    <mergeCell ref="O94:Q96"/>
    <mergeCell ref="F80:Q80"/>
    <mergeCell ref="F81:Q81"/>
    <mergeCell ref="F82:Q82"/>
    <mergeCell ref="F83:Q83"/>
    <mergeCell ref="F84:Q84"/>
    <mergeCell ref="F85:Q85"/>
    <mergeCell ref="F86:Q86"/>
    <mergeCell ref="O113:Q113"/>
    <mergeCell ref="O114:Q114"/>
    <mergeCell ref="O115:Q115"/>
    <mergeCell ref="O116:Q116"/>
    <mergeCell ref="O107:Q107"/>
    <mergeCell ref="O108:Q108"/>
    <mergeCell ref="O109:Q109"/>
    <mergeCell ref="O110:Q110"/>
    <mergeCell ref="O111:Q111"/>
    <mergeCell ref="O112:Q112"/>
    <mergeCell ref="O101:Q101"/>
    <mergeCell ref="O102:Q102"/>
    <mergeCell ref="O103:Q103"/>
    <mergeCell ref="O104:Q104"/>
    <mergeCell ref="O105:Q105"/>
    <mergeCell ref="O106:Q106"/>
    <mergeCell ref="B95:D95"/>
    <mergeCell ref="C96:D96"/>
    <mergeCell ref="O97:Q97"/>
    <mergeCell ref="O98:Q98"/>
    <mergeCell ref="O99:Q99"/>
    <mergeCell ref="O100:Q100"/>
  </mergeCells>
  <conditionalFormatting sqref="H64">
    <cfRule type="expression" dxfId="2745" priority="72">
      <formula>IF(OR(#REF!="L",#REF!="C"),TRUE,FALSE)</formula>
    </cfRule>
  </conditionalFormatting>
  <conditionalFormatting sqref="H67">
    <cfRule type="expression" dxfId="2744" priority="69">
      <formula>IF(OR(#REF!="L",#REF!="C"),TRUE,FALSE)</formula>
    </cfRule>
  </conditionalFormatting>
  <conditionalFormatting sqref="F109:F116 G102:G116 H104:H116">
    <cfRule type="expression" dxfId="2743" priority="65">
      <formula>IF(OR(#REF!="L",#REF!="C"),TRUE,FALSE)</formula>
    </cfRule>
  </conditionalFormatting>
  <conditionalFormatting sqref="E110:E116">
    <cfRule type="expression" dxfId="2742" priority="64">
      <formula>IF(OR(#REF!="L",#REF!="C"),TRUE,FALSE)</formula>
    </cfRule>
  </conditionalFormatting>
  <conditionalFormatting sqref="E107">
    <cfRule type="expression" dxfId="2741" priority="63">
      <formula>IF(OR(#REF!="L",#REF!="C"),TRUE,FALSE)</formula>
    </cfRule>
  </conditionalFormatting>
  <conditionalFormatting sqref="E108">
    <cfRule type="expression" dxfId="2740" priority="62">
      <formula>IF(OR(#REF!="L",#REF!="C"),TRUE,FALSE)</formula>
    </cfRule>
  </conditionalFormatting>
  <conditionalFormatting sqref="E109">
    <cfRule type="expression" dxfId="2739" priority="61">
      <formula>IF(OR(#REF!="L",#REF!="C"),TRUE,FALSE)</formula>
    </cfRule>
  </conditionalFormatting>
  <conditionalFormatting sqref="E106">
    <cfRule type="expression" dxfId="2738" priority="60">
      <formula>IF(OR(#REF!="L",#REF!="C"),TRUE,FALSE)</formula>
    </cfRule>
  </conditionalFormatting>
  <conditionalFormatting sqref="E95 G95 I95 K95 M95">
    <cfRule type="duplicateValues" dxfId="2737" priority="59"/>
  </conditionalFormatting>
  <conditionalFormatting sqref="M104:M116">
    <cfRule type="expression" dxfId="2736" priority="49">
      <formula>IF(OR(#REF!="L",#REF!="C"),TRUE,FALSE)</formula>
    </cfRule>
  </conditionalFormatting>
  <conditionalFormatting sqref="F101:F106">
    <cfRule type="expression" dxfId="2735" priority="58">
      <formula>IF(OR(#REF!="L",#REF!="C"),TRUE,FALSE)</formula>
    </cfRule>
  </conditionalFormatting>
  <conditionalFormatting sqref="I102:I103">
    <cfRule type="expression" dxfId="2734" priority="56">
      <formula>IF(OR(#REF!="L",#REF!="C"),TRUE,FALSE)</formula>
    </cfRule>
  </conditionalFormatting>
  <conditionalFormatting sqref="N102:N103">
    <cfRule type="expression" dxfId="2733" priority="46">
      <formula>IF(OR(#REF!="L",#REF!="C"),TRUE,FALSE)</formula>
    </cfRule>
  </conditionalFormatting>
  <conditionalFormatting sqref="I104:I116">
    <cfRule type="expression" dxfId="2732" priority="57">
      <formula>IF(OR(#REF!="L",#REF!="C"),TRUE,FALSE)</formula>
    </cfRule>
  </conditionalFormatting>
  <conditionalFormatting sqref="J102:J103">
    <cfRule type="expression" dxfId="2731" priority="54">
      <formula>IF(OR(#REF!="L",#REF!="C"),TRUE,FALSE)</formula>
    </cfRule>
  </conditionalFormatting>
  <conditionalFormatting sqref="J104:J116">
    <cfRule type="expression" dxfId="2730" priority="55">
      <formula>IF(OR(#REF!="L",#REF!="C"),TRUE,FALSE)</formula>
    </cfRule>
  </conditionalFormatting>
  <conditionalFormatting sqref="K102:K103">
    <cfRule type="expression" dxfId="2729" priority="52">
      <formula>IF(OR(#REF!="L",#REF!="C"),TRUE,FALSE)</formula>
    </cfRule>
  </conditionalFormatting>
  <conditionalFormatting sqref="K104:K116">
    <cfRule type="expression" dxfId="2728" priority="53">
      <formula>IF(OR(#REF!="L",#REF!="C"),TRUE,FALSE)</formula>
    </cfRule>
  </conditionalFormatting>
  <conditionalFormatting sqref="L102:L103">
    <cfRule type="expression" dxfId="2727" priority="50">
      <formula>IF(OR(#REF!="L",#REF!="C"),TRUE,FALSE)</formula>
    </cfRule>
  </conditionalFormatting>
  <conditionalFormatting sqref="L104:L116">
    <cfRule type="expression" dxfId="2726" priority="51">
      <formula>IF(OR(#REF!="L",#REF!="C"),TRUE,FALSE)</formula>
    </cfRule>
  </conditionalFormatting>
  <conditionalFormatting sqref="M102:M103">
    <cfRule type="expression" dxfId="2725" priority="48">
      <formula>IF(OR(#REF!="L",#REF!="C"),TRUE,FALSE)</formula>
    </cfRule>
  </conditionalFormatting>
  <conditionalFormatting sqref="N104:N116">
    <cfRule type="expression" dxfId="2724" priority="47">
      <formula>IF(OR(#REF!="L",#REF!="C"),TRUE,FALSE)</formula>
    </cfRule>
  </conditionalFormatting>
  <conditionalFormatting sqref="H63">
    <cfRule type="expression" dxfId="2723" priority="45">
      <formula>IF(OR(#REF!="L",#REF!="C"),TRUE,FALSE)</formula>
    </cfRule>
  </conditionalFormatting>
  <conditionalFormatting sqref="O102:O103">
    <cfRule type="expression" dxfId="2722" priority="43">
      <formula>IF(OR(#REF!="L",#REF!="C"),TRUE,FALSE)</formula>
    </cfRule>
  </conditionalFormatting>
  <conditionalFormatting sqref="O104:O116">
    <cfRule type="expression" dxfId="2721" priority="44">
      <formula>IF(OR(#REF!="L",#REF!="C"),TRUE,FALSE)</formula>
    </cfRule>
  </conditionalFormatting>
  <conditionalFormatting sqref="E96:N96">
    <cfRule type="duplicateValues" dxfId="2720" priority="42"/>
  </conditionalFormatting>
  <conditionalFormatting sqref="H62">
    <cfRule type="expression" dxfId="2719" priority="41">
      <formula>IF(OR(#REF!="L",#REF!="C"),TRUE,FALSE)</formula>
    </cfRule>
  </conditionalFormatting>
  <conditionalFormatting sqref="H74">
    <cfRule type="expression" dxfId="2718" priority="38">
      <formula>IF(OR(#REF!="L",#REF!="C"),TRUE,FALSE)</formula>
    </cfRule>
  </conditionalFormatting>
  <conditionalFormatting sqref="H71">
    <cfRule type="expression" dxfId="2717" priority="39">
      <formula>IF(OR(#REF!="L",#REF!="C"),TRUE,FALSE)</formula>
    </cfRule>
  </conditionalFormatting>
  <conditionalFormatting sqref="H75">
    <cfRule type="expression" dxfId="2716" priority="37">
      <formula>IF(OR(#REF!="L",#REF!="C"),TRUE,FALSE)</formula>
    </cfRule>
  </conditionalFormatting>
  <conditionalFormatting sqref="H76">
    <cfRule type="expression" dxfId="2715" priority="36">
      <formula>IF(OR(#REF!="L",#REF!="C"),TRUE,FALSE)</formula>
    </cfRule>
  </conditionalFormatting>
  <conditionalFormatting sqref="H65">
    <cfRule type="expression" dxfId="2714" priority="35">
      <formula>IF(OR(#REF!="L",#REF!="C"),TRUE,FALSE)</formula>
    </cfRule>
  </conditionalFormatting>
  <conditionalFormatting sqref="H66">
    <cfRule type="expression" dxfId="2713" priority="34">
      <formula>IF(OR(#REF!="L",#REF!="C"),TRUE,FALSE)</formula>
    </cfRule>
  </conditionalFormatting>
  <conditionalFormatting sqref="H72">
    <cfRule type="expression" dxfId="2712" priority="32">
      <formula>IF(OR(#REF!="L",#REF!="C"),TRUE,FALSE)</formula>
    </cfRule>
  </conditionalFormatting>
  <conditionalFormatting sqref="H70">
    <cfRule type="expression" dxfId="2711" priority="2">
      <formula>IF(OR(#REF!="L",#REF!="C"),TRUE,FALSE)</formula>
    </cfRule>
  </conditionalFormatting>
  <conditionalFormatting sqref="H69">
    <cfRule type="expression" dxfId="2710" priority="30">
      <formula>IF(OR(#REF!="L",#REF!="C"),TRUE,FALSE)</formula>
    </cfRule>
  </conditionalFormatting>
  <conditionalFormatting sqref="H73">
    <cfRule type="expression" dxfId="2709" priority="1">
      <formula>IF(OR(#REF!="L",#REF!="C"),TRUE,FALSE)</formula>
    </cfRule>
  </conditionalFormatting>
  <dataValidations count="9">
    <dataValidation type="list" allowBlank="1" showInputMessage="1" showErrorMessage="1" sqref="C4" xr:uid="{B7E53CD9-7779-4BC5-AF1A-3B47F893DC0A}">
      <formula1>"COM,RES"</formula1>
    </dataValidation>
    <dataValidation type="list" allowBlank="1" showInputMessage="1" showErrorMessage="1" sqref="F62:F65 H71" xr:uid="{81FA267E-0D0E-4B64-9404-AB9381B7C9B4}">
      <formula1>#REF!</formula1>
    </dataValidation>
    <dataValidation type="list" allowBlank="1" showInputMessage="1" showErrorMessage="1" sqref="C9" xr:uid="{85CE58C4-550A-43CC-B548-0E9BAB9CD74A}">
      <formula1>INDIRECT("MeasureTypeList[Index]")</formula1>
    </dataValidation>
    <dataValidation type="list" allowBlank="1" showInputMessage="1" showErrorMessage="1" sqref="C26" xr:uid="{F8798E5F-FE89-410B-8527-300E10B2F02E}">
      <formula1>INDIRECT("RegionList[Index]")</formula1>
    </dataValidation>
    <dataValidation type="list" allowBlank="1" showInputMessage="1" showErrorMessage="1" sqref="C27" xr:uid="{78F95EBF-5003-4903-9020-35F05E7AFB06}">
      <formula1>INDIRECT("ReplacementTypeList[Index]")</formula1>
    </dataValidation>
    <dataValidation type="list" allowBlank="1" showInputMessage="1" showErrorMessage="1" sqref="C28" xr:uid="{D91F82C9-3FC9-43F4-8164-40BE07D55FD0}">
      <formula1>INDIRECT("BuildingType[Building]")</formula1>
    </dataValidation>
    <dataValidation type="list" allowBlank="1" showInputMessage="1" showErrorMessage="1" sqref="C29:C30" xr:uid="{60B15262-B986-4CD0-BA66-4F2DF592AA1C}">
      <formula1>INDIRECT("FuelTypeList[Index]")</formula1>
    </dataValidation>
    <dataValidation type="list" allowBlank="1" showInputMessage="1" showErrorMessage="1" sqref="H72" xr:uid="{578F0DDE-43EA-4081-8D7E-7E5F56AA38D9}">
      <formula1>$C$97:$C$116</formula1>
    </dataValidation>
    <dataValidation type="list" allowBlank="1" showInputMessage="1" showErrorMessage="1" sqref="F71:F74" xr:uid="{0C47CE30-FB43-4B39-9909-1A8575659350}">
      <formula1>$C$98:$C$103</formula1>
    </dataValidation>
  </dataValidations>
  <hyperlinks>
    <hyperlink ref="F83" r:id="rId1" xr:uid="{F6987EA4-01DC-46C8-BEBB-2B424A6D7A95}"/>
    <hyperlink ref="F85" r:id="rId2" xr:uid="{673DA257-F75C-49CC-A46A-51D4C52E8673}"/>
    <hyperlink ref="F84" r:id="rId3" xr:uid="{7A7287DC-DE3A-463A-A0CC-A7674A0F2079}"/>
    <hyperlink ref="F82" r:id="rId4" xr:uid="{5A62F060-3C66-4A88-B250-3DBE0F14F831}"/>
  </hyperlinks>
  <pageMargins left="0.7" right="0.7" top="0.75" bottom="0.75" header="0.3" footer="0.3"/>
  <pageSetup orientation="portrait"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C54CF-58ED-43DD-B180-3B44EEC6E97E}">
  <sheetPr codeName="Sheet397"/>
  <dimension ref="A2:R126"/>
  <sheetViews>
    <sheetView topLeftCell="A106" workbookViewId="0">
      <selection activeCell="D109" sqref="B108:D109"/>
    </sheetView>
  </sheetViews>
  <sheetFormatPr defaultColWidth="9.08984375" defaultRowHeight="18.75" customHeight="1" x14ac:dyDescent="0.3"/>
  <cols>
    <col min="1" max="1" width="2.36328125" style="488" customWidth="1"/>
    <col min="2" max="2" width="44.36328125" style="488" bestFit="1" customWidth="1"/>
    <col min="3" max="3" width="21.08984375" style="488" customWidth="1"/>
    <col min="4" max="4" width="21.6328125" style="488" customWidth="1"/>
    <col min="5" max="5" width="14.36328125" style="488" customWidth="1"/>
    <col min="6" max="6" width="15.6328125" style="488" customWidth="1"/>
    <col min="7" max="7" width="19.6328125" style="488" customWidth="1"/>
    <col min="8" max="8" width="16"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C-L-001</v>
      </c>
      <c r="D3" s="1367"/>
      <c r="E3" s="1367"/>
      <c r="F3" s="1367"/>
    </row>
    <row r="4" spans="1:18" ht="18.75" customHeight="1" x14ac:dyDescent="0.3">
      <c r="B4" s="490" t="s">
        <v>11</v>
      </c>
      <c r="C4" s="1367" t="str" cm="1">
        <f t="array" ref="C4">_xlfn.SWITCH(LEFT(C8,1),"R","Residential","C","Commercial","ERROR")</f>
        <v>Commercial</v>
      </c>
      <c r="D4" s="1367"/>
      <c r="E4" s="1367"/>
      <c r="F4" s="1367"/>
    </row>
    <row r="5" spans="1:18" ht="44.25" customHeight="1" x14ac:dyDescent="0.3">
      <c r="B5" s="490" t="s">
        <v>408</v>
      </c>
      <c r="C5" s="1530" t="s">
        <v>248</v>
      </c>
      <c r="D5" s="1531"/>
      <c r="E5" s="1531"/>
      <c r="F5" s="1532"/>
      <c r="R5" s="488"/>
    </row>
    <row r="6" spans="1:18" ht="18.75" customHeight="1" x14ac:dyDescent="0.3">
      <c r="A6" s="573"/>
    </row>
    <row r="7" spans="1:18" ht="18.75" customHeight="1" x14ac:dyDescent="0.3">
      <c r="B7" s="1193" t="s">
        <v>507</v>
      </c>
      <c r="C7" s="493" t="s">
        <v>406</v>
      </c>
      <c r="D7" s="1366" t="s">
        <v>410</v>
      </c>
      <c r="E7" s="1366"/>
      <c r="F7" s="1366"/>
      <c r="R7" s="488"/>
    </row>
    <row r="8" spans="1:18" ht="18.75" customHeight="1" x14ac:dyDescent="0.3">
      <c r="B8" s="490" t="s">
        <v>411</v>
      </c>
      <c r="C8" s="1194" t="s">
        <v>106</v>
      </c>
      <c r="D8" s="1521" t="s">
        <v>1520</v>
      </c>
      <c r="E8" s="1522"/>
      <c r="F8" s="1523"/>
      <c r="R8" s="488"/>
    </row>
    <row r="9" spans="1:18" ht="18.75" customHeight="1" x14ac:dyDescent="0.3">
      <c r="B9" s="490" t="s">
        <v>49</v>
      </c>
      <c r="C9" s="1194" t="s">
        <v>677</v>
      </c>
      <c r="D9" s="1524"/>
      <c r="E9" s="1525"/>
      <c r="F9" s="1526"/>
      <c r="R9" s="488"/>
    </row>
    <row r="10" spans="1:18" ht="18.75" customHeight="1" x14ac:dyDescent="0.3">
      <c r="B10" s="490" t="s">
        <v>412</v>
      </c>
      <c r="C10" s="1194"/>
      <c r="D10" s="1524"/>
      <c r="E10" s="1525"/>
      <c r="F10" s="1526"/>
      <c r="R10" s="488"/>
    </row>
    <row r="11" spans="1:18" ht="18.75" customHeight="1" x14ac:dyDescent="0.3">
      <c r="B11" s="490" t="s">
        <v>413</v>
      </c>
      <c r="C11" s="1194"/>
      <c r="D11" s="1524"/>
      <c r="E11" s="1525"/>
      <c r="F11" s="1526"/>
      <c r="R11" s="488"/>
    </row>
    <row r="12" spans="1:18" ht="18.75" customHeight="1" x14ac:dyDescent="0.3">
      <c r="B12" s="490" t="s">
        <v>414</v>
      </c>
      <c r="C12" s="602"/>
      <c r="D12" s="1524"/>
      <c r="E12" s="1525"/>
      <c r="F12" s="1526"/>
      <c r="R12" s="488"/>
    </row>
    <row r="13" spans="1:18" ht="18.75" customHeight="1" x14ac:dyDescent="0.3">
      <c r="B13" s="494" t="s">
        <v>415</v>
      </c>
      <c r="C13" s="495">
        <f>N43</f>
        <v>55.540079999999996</v>
      </c>
      <c r="D13" s="1524"/>
      <c r="E13" s="1525"/>
      <c r="F13" s="1526"/>
      <c r="R13" s="488"/>
    </row>
    <row r="14" spans="1:18" ht="18.75" customHeight="1" x14ac:dyDescent="0.3">
      <c r="B14" s="494" t="s">
        <v>416</v>
      </c>
      <c r="C14" s="495">
        <f>N44</f>
        <v>-8.7892176599999983E-2</v>
      </c>
      <c r="D14" s="1524"/>
      <c r="E14" s="1525"/>
      <c r="F14" s="1526"/>
      <c r="R14" s="488"/>
    </row>
    <row r="15" spans="1:18" ht="18.75" customHeight="1" x14ac:dyDescent="0.3">
      <c r="B15" s="494" t="s">
        <v>417</v>
      </c>
      <c r="C15" s="495">
        <f>N42</f>
        <v>0</v>
      </c>
      <c r="D15" s="1524"/>
      <c r="E15" s="1525"/>
      <c r="F15" s="1526"/>
      <c r="R15" s="488"/>
    </row>
    <row r="16" spans="1:18" ht="18.75" customHeight="1" x14ac:dyDescent="0.3">
      <c r="B16" s="494" t="s">
        <v>418</v>
      </c>
      <c r="C16" s="496">
        <f>C37</f>
        <v>0</v>
      </c>
      <c r="D16" s="1527"/>
      <c r="E16" s="1528"/>
      <c r="F16" s="1529"/>
      <c r="R16" s="488"/>
    </row>
    <row r="17" spans="2:18" ht="18.75" customHeight="1" x14ac:dyDescent="0.3">
      <c r="B17" s="490" t="s">
        <v>48</v>
      </c>
      <c r="C17" s="1194" t="s">
        <v>678</v>
      </c>
      <c r="D17" s="1366" t="s">
        <v>419</v>
      </c>
      <c r="E17" s="1366"/>
      <c r="F17" s="1366"/>
      <c r="R17" s="488"/>
    </row>
    <row r="18" spans="2:18" ht="18.75" customHeight="1" x14ac:dyDescent="0.3">
      <c r="B18" s="490" t="s">
        <v>420</v>
      </c>
      <c r="C18" s="541">
        <v>8</v>
      </c>
      <c r="D18" s="1648" t="s">
        <v>1521</v>
      </c>
      <c r="E18" s="1648"/>
      <c r="F18" s="1648"/>
      <c r="R18" s="488"/>
    </row>
    <row r="19" spans="2:18" ht="18.75" customHeight="1" x14ac:dyDescent="0.3">
      <c r="B19" s="613"/>
      <c r="C19" s="614"/>
      <c r="F19" s="489"/>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18.75" customHeight="1" x14ac:dyDescent="0.3">
      <c r="B21" s="499" t="s">
        <v>422</v>
      </c>
      <c r="C21" s="1546" t="s">
        <v>249</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36" t="s">
        <v>250</v>
      </c>
      <c r="D22" s="1536"/>
      <c r="E22" s="1536"/>
      <c r="F22" s="1536"/>
      <c r="G22" s="1536"/>
      <c r="H22" s="1536"/>
      <c r="I22" s="1536"/>
      <c r="J22" s="1536"/>
      <c r="K22" s="1536"/>
      <c r="L22" s="1536"/>
      <c r="M22" s="1536"/>
      <c r="N22" s="1536"/>
      <c r="O22" s="1536"/>
      <c r="P22" s="1536"/>
      <c r="Q22" s="1536"/>
      <c r="R22" s="488"/>
    </row>
    <row r="23" spans="2:18" ht="65.25" customHeight="1"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999" t="s">
        <v>430</v>
      </c>
      <c r="E33" s="1512"/>
      <c r="F33" s="1512"/>
      <c r="G33" s="1512"/>
      <c r="H33" s="1512"/>
      <c r="I33" s="1512"/>
      <c r="J33" s="1512"/>
      <c r="K33" s="1512"/>
      <c r="L33" s="1512"/>
      <c r="M33" s="1512"/>
      <c r="N33" s="1512"/>
      <c r="O33" s="1512"/>
      <c r="P33" s="1512"/>
      <c r="Q33" s="1512"/>
      <c r="R33" s="488"/>
    </row>
    <row r="34" spans="2:18" ht="18.75" customHeight="1" x14ac:dyDescent="0.3">
      <c r="B34" s="494" t="s">
        <v>431</v>
      </c>
      <c r="C34" s="542"/>
      <c r="D34" s="999"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999" t="s">
        <v>430</v>
      </c>
      <c r="E35" s="1475"/>
      <c r="F35" s="1476"/>
      <c r="G35" s="1476"/>
      <c r="H35" s="1476"/>
      <c r="I35" s="1476"/>
      <c r="J35" s="1476"/>
      <c r="K35" s="1476"/>
      <c r="L35" s="1476"/>
      <c r="M35" s="1476"/>
      <c r="N35" s="1476"/>
      <c r="O35" s="1476"/>
      <c r="P35" s="1476"/>
      <c r="Q35" s="1477"/>
    </row>
    <row r="36" spans="2:18" ht="18.75" customHeight="1" x14ac:dyDescent="0.3">
      <c r="B36" s="494" t="s">
        <v>433</v>
      </c>
      <c r="C36" s="905">
        <f>C34</f>
        <v>0</v>
      </c>
      <c r="D36" s="999" t="s">
        <v>430</v>
      </c>
      <c r="E36" s="1442" t="s">
        <v>1522</v>
      </c>
      <c r="F36" s="1442"/>
      <c r="G36" s="1442"/>
      <c r="H36" s="1442"/>
      <c r="I36" s="1442"/>
      <c r="J36" s="1442"/>
      <c r="K36" s="1442"/>
      <c r="L36" s="1442"/>
      <c r="M36" s="1442"/>
      <c r="N36" s="1442"/>
      <c r="O36" s="1442"/>
      <c r="P36" s="1442"/>
      <c r="Q36" s="1442"/>
    </row>
    <row r="37" spans="2:18" ht="18.75" customHeight="1" x14ac:dyDescent="0.3">
      <c r="B37" s="494" t="s">
        <v>434</v>
      </c>
      <c r="C37" s="905">
        <f>IF(C27="RET",C33+(C34-C35),C34-C35)</f>
        <v>0</v>
      </c>
      <c r="D37" s="999"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55.540079999999996</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-8.7892176599999983E-2</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1523</v>
      </c>
      <c r="D49" s="1505"/>
      <c r="E49" s="1505"/>
      <c r="F49" s="1505"/>
      <c r="G49" s="1505"/>
      <c r="H49" s="1505"/>
      <c r="I49" s="1505"/>
      <c r="J49" s="1505"/>
      <c r="K49" s="1505"/>
      <c r="L49" s="1505"/>
      <c r="M49" s="1506"/>
      <c r="N49" s="592">
        <f>H62*H63*H64</f>
        <v>55.540079999999996</v>
      </c>
      <c r="O49" s="1243" t="s">
        <v>443</v>
      </c>
      <c r="P49" s="1511"/>
      <c r="Q49" s="1511"/>
      <c r="R49" s="488"/>
    </row>
    <row r="50" spans="2:18" ht="18.75" customHeight="1" x14ac:dyDescent="0.3">
      <c r="B50" s="582" t="s">
        <v>456</v>
      </c>
      <c r="C50" s="1504" t="s">
        <v>457</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1524</v>
      </c>
      <c r="D56" s="1505"/>
      <c r="E56" s="1505"/>
      <c r="F56" s="1505"/>
      <c r="G56" s="1505"/>
      <c r="H56" s="1505"/>
      <c r="I56" s="1505"/>
      <c r="J56" s="1505"/>
      <c r="K56" s="1505"/>
      <c r="L56" s="1505"/>
      <c r="M56" s="1506"/>
      <c r="N56" s="1000">
        <f>N49*H65</f>
        <v>-8.7892176599999983E-2</v>
      </c>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506" t="s">
        <v>406</v>
      </c>
      <c r="I61" s="506" t="s">
        <v>428</v>
      </c>
      <c r="J61" s="1396" t="s">
        <v>476</v>
      </c>
      <c r="K61" s="1397"/>
      <c r="L61" s="1397"/>
      <c r="M61" s="1397"/>
      <c r="N61" s="1397"/>
      <c r="O61" s="1397"/>
      <c r="P61" s="1397"/>
      <c r="Q61" s="1398"/>
    </row>
    <row r="62" spans="2:18" ht="26" x14ac:dyDescent="0.3">
      <c r="B62" s="533">
        <v>1</v>
      </c>
      <c r="C62" s="546" t="s">
        <v>684</v>
      </c>
      <c r="D62" s="1539" t="s">
        <v>1525</v>
      </c>
      <c r="E62" s="1539"/>
      <c r="F62" s="1217" t="str">
        <f>$H$67</f>
        <v>Fixture, Occupancy Sensor</v>
      </c>
      <c r="G62" s="1217" t="s">
        <v>1526</v>
      </c>
      <c r="H62" s="645">
        <f>INDEX($B$97:$N$117,MATCH($F62,$C$97:$C$117,0),MATCH(G62,$B$96:$N$96,0))</f>
        <v>8.1000000000000003E-2</v>
      </c>
      <c r="I62" s="1217" t="s">
        <v>440</v>
      </c>
      <c r="J62" s="1437" t="s">
        <v>1527</v>
      </c>
      <c r="K62" s="1448"/>
      <c r="L62" s="1448"/>
      <c r="M62" s="1448"/>
      <c r="N62" s="1448"/>
      <c r="O62" s="1448"/>
      <c r="P62" s="1448"/>
      <c r="Q62" s="1438"/>
      <c r="R62" s="488"/>
    </row>
    <row r="63" spans="2:18" ht="26" x14ac:dyDescent="0.3">
      <c r="B63" s="533">
        <v>2</v>
      </c>
      <c r="C63" s="546" t="s">
        <v>695</v>
      </c>
      <c r="D63" s="1539" t="s">
        <v>1477</v>
      </c>
      <c r="E63" s="1539"/>
      <c r="F63" s="1217" t="str">
        <f>$H$67</f>
        <v>Fixture, Occupancy Sensor</v>
      </c>
      <c r="G63" s="1217" t="s">
        <v>1477</v>
      </c>
      <c r="H63" s="554">
        <f>INDEX($B$97:$N$117,MATCH($F63,$C$97:$C$117,0),MATCH(G63,$B$96:$N$96,0))</f>
        <v>0.24</v>
      </c>
      <c r="I63" s="1217" t="s">
        <v>519</v>
      </c>
      <c r="J63" s="1468" t="s">
        <v>1528</v>
      </c>
      <c r="K63" s="1478"/>
      <c r="L63" s="1478"/>
      <c r="M63" s="1478"/>
      <c r="N63" s="1478"/>
      <c r="O63" s="1478"/>
      <c r="P63" s="1478"/>
      <c r="Q63" s="1469"/>
      <c r="R63" s="488"/>
    </row>
    <row r="64" spans="2:18" ht="15" customHeight="1" x14ac:dyDescent="0.3">
      <c r="B64" s="533">
        <v>3</v>
      </c>
      <c r="C64" s="546" t="s">
        <v>698</v>
      </c>
      <c r="D64" s="1539" t="s">
        <v>732</v>
      </c>
      <c r="E64" s="1539"/>
      <c r="F64" s="1217" t="s">
        <v>54</v>
      </c>
      <c r="G64" s="1217" t="s">
        <v>733</v>
      </c>
      <c r="H64" s="974">
        <f>INDEX(BuildingType[],MATCH($C$28,BuildingType[Building],0),MATCH($G$64,BuildingType[#Headers],0))</f>
        <v>2857</v>
      </c>
      <c r="I64" s="1217" t="s">
        <v>532</v>
      </c>
      <c r="J64" s="1462" t="s">
        <v>734</v>
      </c>
      <c r="K64" s="1470"/>
      <c r="L64" s="1470"/>
      <c r="M64" s="1470"/>
      <c r="N64" s="1470"/>
      <c r="O64" s="1470"/>
      <c r="P64" s="1470"/>
      <c r="Q64" s="1471"/>
      <c r="R64" s="488"/>
    </row>
    <row r="65" spans="2:18" ht="34.5" customHeight="1" x14ac:dyDescent="0.3">
      <c r="B65" s="533">
        <v>4</v>
      </c>
      <c r="C65" s="549" t="s">
        <v>704</v>
      </c>
      <c r="D65" s="1539" t="s">
        <v>1529</v>
      </c>
      <c r="E65" s="1539"/>
      <c r="F65" s="1217" t="s">
        <v>789</v>
      </c>
      <c r="G65" s="1217" t="s">
        <v>1530</v>
      </c>
      <c r="H65" s="1001">
        <f>INDEX(BuildingType[],MATCH($C$28,BuildingType[Building],0),MATCH($G$65,BuildingType[#Headers],0))</f>
        <v>-1.5824999999999999E-3</v>
      </c>
      <c r="I65" s="1217" t="s">
        <v>1034</v>
      </c>
      <c r="J65" s="1462" t="s">
        <v>1531</v>
      </c>
      <c r="K65" s="1464"/>
      <c r="L65" s="1464"/>
      <c r="M65" s="1464"/>
      <c r="N65" s="1464"/>
      <c r="O65" s="1464"/>
      <c r="P65" s="1464"/>
      <c r="Q65" s="1463"/>
      <c r="R65" s="488"/>
    </row>
    <row r="66" spans="2:18" ht="25.5" customHeight="1" x14ac:dyDescent="0.3">
      <c r="B66" s="533">
        <v>5</v>
      </c>
      <c r="C66" s="546" t="s">
        <v>517</v>
      </c>
      <c r="D66" s="1468" t="s">
        <v>1532</v>
      </c>
      <c r="E66" s="1469"/>
      <c r="F66" s="1217"/>
      <c r="G66" s="1217"/>
      <c r="H66" s="609">
        <f>SpaceHeatingEfficiency.CI.NG</f>
        <v>0.85</v>
      </c>
      <c r="I66" s="1217" t="s">
        <v>519</v>
      </c>
      <c r="J66" s="1468" t="s">
        <v>1029</v>
      </c>
      <c r="K66" s="1478"/>
      <c r="L66" s="1478"/>
      <c r="M66" s="1478"/>
      <c r="N66" s="1478"/>
      <c r="O66" s="1478"/>
      <c r="P66" s="1478"/>
      <c r="Q66" s="1469"/>
      <c r="R66" s="488"/>
    </row>
    <row r="67" spans="2:18" ht="56.25" customHeight="1" x14ac:dyDescent="0.3">
      <c r="B67" s="533">
        <v>6</v>
      </c>
      <c r="C67" s="551" t="s">
        <v>1194</v>
      </c>
      <c r="D67" s="1543" t="s">
        <v>1533</v>
      </c>
      <c r="E67" s="1543"/>
      <c r="F67" s="552" t="s">
        <v>1534</v>
      </c>
      <c r="G67" s="552"/>
      <c r="H67" s="552" t="s">
        <v>1535</v>
      </c>
      <c r="I67" s="552" t="s">
        <v>597</v>
      </c>
      <c r="J67" s="1659" t="s">
        <v>727</v>
      </c>
      <c r="K67" s="1660"/>
      <c r="L67" s="1660"/>
      <c r="M67" s="1660"/>
      <c r="N67" s="1660"/>
      <c r="O67" s="1660"/>
      <c r="P67" s="1660"/>
      <c r="Q67" s="1661"/>
      <c r="R67" s="488"/>
    </row>
    <row r="68" spans="2:18" ht="13" x14ac:dyDescent="0.3">
      <c r="B68" s="533">
        <v>7</v>
      </c>
      <c r="C68" s="546"/>
      <c r="D68" s="1539"/>
      <c r="E68" s="1539"/>
      <c r="F68" s="1217"/>
      <c r="G68" s="1217"/>
      <c r="H68" s="1217"/>
      <c r="I68" s="1217"/>
      <c r="J68" s="1507"/>
      <c r="K68" s="1514"/>
      <c r="L68" s="1514"/>
      <c r="M68" s="1514"/>
      <c r="N68" s="1514"/>
      <c r="O68" s="1514"/>
      <c r="P68" s="1514"/>
      <c r="Q68" s="1515"/>
      <c r="R68" s="488"/>
    </row>
    <row r="69" spans="2:18" ht="13" x14ac:dyDescent="0.3">
      <c r="B69" s="533">
        <v>8</v>
      </c>
      <c r="C69" s="546"/>
      <c r="D69" s="1539"/>
      <c r="E69" s="1539"/>
      <c r="F69" s="1217"/>
      <c r="G69" s="1217"/>
      <c r="H69" s="1217"/>
      <c r="I69" s="1217"/>
      <c r="J69" s="1507"/>
      <c r="K69" s="1514"/>
      <c r="L69" s="1514"/>
      <c r="M69" s="1514"/>
      <c r="N69" s="1514"/>
      <c r="O69" s="1514"/>
      <c r="P69" s="1514"/>
      <c r="Q69" s="1515"/>
      <c r="R69" s="488"/>
    </row>
    <row r="70" spans="2:18" ht="13" x14ac:dyDescent="0.3">
      <c r="B70" s="533">
        <v>9</v>
      </c>
      <c r="C70" s="546"/>
      <c r="D70" s="1539"/>
      <c r="E70" s="1539"/>
      <c r="F70" s="1217"/>
      <c r="G70" s="1217"/>
      <c r="H70" s="1217"/>
      <c r="I70" s="1217"/>
      <c r="J70" s="1507"/>
      <c r="K70" s="1514"/>
      <c r="L70" s="1514"/>
      <c r="M70" s="1514"/>
      <c r="N70" s="1514"/>
      <c r="O70" s="1514"/>
      <c r="P70" s="1514"/>
      <c r="Q70" s="1515"/>
      <c r="R70" s="488"/>
    </row>
    <row r="71" spans="2:18" ht="13" x14ac:dyDescent="0.3">
      <c r="B71" s="533">
        <v>10</v>
      </c>
      <c r="C71" s="546"/>
      <c r="D71" s="1539"/>
      <c r="E71" s="1539"/>
      <c r="F71" s="1217"/>
      <c r="G71" s="1217"/>
      <c r="H71" s="571"/>
      <c r="I71" s="1217"/>
      <c r="J71" s="1507"/>
      <c r="K71" s="1514"/>
      <c r="L71" s="1514"/>
      <c r="M71" s="1514"/>
      <c r="N71" s="1514"/>
      <c r="O71" s="1514"/>
      <c r="P71" s="1514"/>
      <c r="Q71" s="1515"/>
      <c r="R71" s="488"/>
    </row>
    <row r="72" spans="2:18" s="491" customFormat="1" ht="13" x14ac:dyDescent="0.3">
      <c r="B72" s="533">
        <v>11</v>
      </c>
      <c r="C72" s="555"/>
      <c r="D72" s="1437"/>
      <c r="E72" s="1438"/>
      <c r="F72" s="556"/>
      <c r="G72" s="557"/>
      <c r="H72" s="556"/>
      <c r="I72" s="557"/>
      <c r="J72" s="1437"/>
      <c r="K72" s="1448"/>
      <c r="L72" s="1448"/>
      <c r="M72" s="1448"/>
      <c r="N72" s="1448"/>
      <c r="O72" s="1448"/>
      <c r="P72" s="1448"/>
      <c r="Q72" s="1438"/>
    </row>
    <row r="73" spans="2:18" s="491" customFormat="1" ht="13" x14ac:dyDescent="0.3">
      <c r="B73" s="533">
        <v>12</v>
      </c>
      <c r="C73" s="555"/>
      <c r="D73" s="1437"/>
      <c r="E73" s="1438"/>
      <c r="F73" s="556"/>
      <c r="G73" s="557"/>
      <c r="H73" s="558"/>
      <c r="I73" s="557"/>
      <c r="J73" s="1472"/>
      <c r="K73" s="1473"/>
      <c r="L73" s="1473"/>
      <c r="M73" s="1473"/>
      <c r="N73" s="1473"/>
      <c r="O73" s="1473"/>
      <c r="P73" s="1473"/>
      <c r="Q73" s="1474"/>
    </row>
    <row r="74" spans="2:18" s="491" customFormat="1" ht="13" x14ac:dyDescent="0.3">
      <c r="B74" s="533">
        <v>13</v>
      </c>
      <c r="C74" s="555"/>
      <c r="D74" s="1437"/>
      <c r="E74" s="1438"/>
      <c r="F74" s="556"/>
      <c r="G74" s="557"/>
      <c r="H74" s="556"/>
      <c r="I74" s="557"/>
      <c r="J74" s="1472"/>
      <c r="K74" s="1473"/>
      <c r="L74" s="1473"/>
      <c r="M74" s="1473"/>
      <c r="N74" s="1473"/>
      <c r="O74" s="1473"/>
      <c r="P74" s="1473"/>
      <c r="Q74" s="1474"/>
    </row>
    <row r="75" spans="2:18" s="489" customFormat="1" ht="13.15" customHeight="1" x14ac:dyDescent="0.3">
      <c r="B75" s="533">
        <v>14</v>
      </c>
      <c r="C75" s="555"/>
      <c r="D75" s="1437"/>
      <c r="E75" s="1438"/>
      <c r="F75" s="556"/>
      <c r="G75" s="557"/>
      <c r="H75" s="556"/>
      <c r="I75" s="557"/>
      <c r="J75" s="1472"/>
      <c r="K75" s="1473"/>
      <c r="L75" s="1473"/>
      <c r="M75" s="1473"/>
      <c r="N75" s="1473"/>
      <c r="O75" s="1473"/>
      <c r="P75" s="1473"/>
      <c r="Q75" s="1474"/>
    </row>
    <row r="76" spans="2:18" s="489" customFormat="1" ht="13" x14ac:dyDescent="0.3">
      <c r="B76" s="533">
        <v>15</v>
      </c>
      <c r="C76" s="555"/>
      <c r="D76" s="1437"/>
      <c r="E76" s="1438"/>
      <c r="F76" s="556"/>
      <c r="G76" s="557"/>
      <c r="H76" s="559"/>
      <c r="I76" s="557"/>
      <c r="J76" s="1472"/>
      <c r="K76" s="1473"/>
      <c r="L76" s="1473"/>
      <c r="M76" s="1473"/>
      <c r="N76" s="1473"/>
      <c r="O76" s="1473"/>
      <c r="P76" s="1473"/>
      <c r="Q76" s="1474"/>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233"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233"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233"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233"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233" t="s">
        <v>491</v>
      </c>
      <c r="F85" s="1489" t="s">
        <v>485</v>
      </c>
      <c r="G85" s="1490"/>
      <c r="H85" s="1490"/>
      <c r="I85" s="1490"/>
      <c r="J85" s="1490"/>
      <c r="K85" s="1490"/>
      <c r="L85" s="1490"/>
      <c r="M85" s="1490"/>
      <c r="N85" s="1490"/>
      <c r="O85" s="1490"/>
      <c r="P85" s="1490"/>
      <c r="Q85" s="1491"/>
      <c r="R85" s="488"/>
    </row>
    <row r="86" spans="2:18" ht="13" x14ac:dyDescent="0.3">
      <c r="B86" s="533">
        <v>6</v>
      </c>
      <c r="C86" s="560"/>
      <c r="D86" s="562"/>
      <c r="E86" s="1233"/>
      <c r="F86" s="1486"/>
      <c r="G86" s="1487"/>
      <c r="H86" s="1487"/>
      <c r="I86" s="1487"/>
      <c r="J86" s="1487"/>
      <c r="K86" s="1487"/>
      <c r="L86" s="1487"/>
      <c r="M86" s="1487"/>
      <c r="N86" s="1487"/>
      <c r="O86" s="1487"/>
      <c r="P86" s="1487"/>
      <c r="Q86" s="1488"/>
      <c r="R86" s="488"/>
    </row>
    <row r="87" spans="2:18" ht="13" x14ac:dyDescent="0.3">
      <c r="B87" s="533">
        <v>7</v>
      </c>
      <c r="C87" s="563"/>
      <c r="D87" s="1233"/>
      <c r="E87" s="1233"/>
      <c r="F87" s="1489"/>
      <c r="G87" s="1490"/>
      <c r="H87" s="1490"/>
      <c r="I87" s="1490"/>
      <c r="J87" s="1490"/>
      <c r="K87" s="1490"/>
      <c r="L87" s="1490"/>
      <c r="M87" s="1490"/>
      <c r="N87" s="1490"/>
      <c r="O87" s="1490"/>
      <c r="P87" s="1490"/>
      <c r="Q87" s="1491"/>
      <c r="R87" s="488"/>
    </row>
    <row r="88" spans="2:18" ht="13" x14ac:dyDescent="0.3">
      <c r="B88" s="533">
        <v>8</v>
      </c>
      <c r="C88" s="563"/>
      <c r="D88" s="564"/>
      <c r="E88" s="1233"/>
      <c r="F88" s="1489"/>
      <c r="G88" s="1490"/>
      <c r="H88" s="1490"/>
      <c r="I88" s="1490"/>
      <c r="J88" s="1490"/>
      <c r="K88" s="1490"/>
      <c r="L88" s="1490"/>
      <c r="M88" s="1490"/>
      <c r="N88" s="1490"/>
      <c r="O88" s="1490"/>
      <c r="P88" s="1490"/>
      <c r="Q88" s="1491"/>
      <c r="R88" s="488"/>
    </row>
    <row r="89" spans="2:18" ht="13" x14ac:dyDescent="0.3">
      <c r="B89" s="533">
        <v>9</v>
      </c>
      <c r="C89" s="563"/>
      <c r="D89" s="1233"/>
      <c r="E89" s="1233"/>
      <c r="F89" s="1489"/>
      <c r="G89" s="1490"/>
      <c r="H89" s="1490"/>
      <c r="I89" s="1490"/>
      <c r="J89" s="1490"/>
      <c r="K89" s="1490"/>
      <c r="L89" s="1490"/>
      <c r="M89" s="1490"/>
      <c r="N89" s="1490"/>
      <c r="O89" s="1490"/>
      <c r="P89" s="1490"/>
      <c r="Q89" s="1491"/>
      <c r="R89" s="488"/>
    </row>
    <row r="90" spans="2:18" ht="13" x14ac:dyDescent="0.3">
      <c r="B90" s="533">
        <v>10</v>
      </c>
      <c r="C90" s="563"/>
      <c r="D90" s="564"/>
      <c r="E90" s="1233"/>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t="s">
        <v>1536</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c r="R95" s="488"/>
    </row>
    <row r="96" spans="2:18" ht="25.5" customHeight="1" x14ac:dyDescent="0.3">
      <c r="B96" s="1188" t="s">
        <v>478</v>
      </c>
      <c r="C96" s="1402" t="s">
        <v>538</v>
      </c>
      <c r="D96" s="1431"/>
      <c r="E96" s="565" t="s">
        <v>1526</v>
      </c>
      <c r="F96" s="565" t="s">
        <v>434</v>
      </c>
      <c r="G96" s="565" t="s">
        <v>1477</v>
      </c>
      <c r="H96" s="565"/>
      <c r="I96" s="565"/>
      <c r="J96" s="565"/>
      <c r="K96" s="565"/>
      <c r="L96" s="565"/>
      <c r="M96" s="565"/>
      <c r="N96" s="566"/>
      <c r="O96" s="1410"/>
      <c r="P96" s="1411"/>
      <c r="Q96" s="1412"/>
      <c r="R96" s="488"/>
    </row>
    <row r="97" spans="2:18" ht="26" x14ac:dyDescent="0.3">
      <c r="B97" s="533">
        <v>1</v>
      </c>
      <c r="C97" s="546" t="s">
        <v>1535</v>
      </c>
      <c r="D97" s="1184"/>
      <c r="E97" s="569">
        <v>8.1000000000000003E-2</v>
      </c>
      <c r="F97" s="569">
        <v>67</v>
      </c>
      <c r="G97" s="569">
        <v>0.24</v>
      </c>
      <c r="H97" s="678"/>
      <c r="I97" s="679"/>
      <c r="J97" s="568"/>
      <c r="K97" s="568"/>
      <c r="L97" s="568"/>
      <c r="M97" s="568"/>
      <c r="N97" s="568"/>
      <c r="O97" s="1501"/>
      <c r="P97" s="1502"/>
      <c r="Q97" s="1503"/>
      <c r="R97" s="488"/>
    </row>
    <row r="98" spans="2:18" ht="26" x14ac:dyDescent="0.3">
      <c r="B98" s="533">
        <v>2</v>
      </c>
      <c r="C98" s="546" t="s">
        <v>1537</v>
      </c>
      <c r="D98" s="1184"/>
      <c r="E98" s="569">
        <v>8.4000000000000005E-2</v>
      </c>
      <c r="F98" s="569">
        <v>55</v>
      </c>
      <c r="G98" s="569">
        <v>0.24</v>
      </c>
      <c r="H98" s="678"/>
      <c r="I98" s="679"/>
      <c r="J98" s="568"/>
      <c r="K98" s="568"/>
      <c r="L98" s="568"/>
      <c r="M98" s="568"/>
      <c r="N98" s="568"/>
      <c r="O98" s="1495"/>
      <c r="P98" s="1496"/>
      <c r="Q98" s="1497"/>
      <c r="R98" s="488"/>
    </row>
    <row r="99" spans="2:18" ht="26" x14ac:dyDescent="0.3">
      <c r="B99" s="533">
        <v>3</v>
      </c>
      <c r="C99" s="546" t="s">
        <v>1538</v>
      </c>
      <c r="D99" s="1184"/>
      <c r="E99" s="569">
        <v>0.33800000000000002</v>
      </c>
      <c r="F99" s="569">
        <v>125</v>
      </c>
      <c r="G99" s="569">
        <v>0.24</v>
      </c>
      <c r="H99" s="568"/>
      <c r="I99" s="680"/>
      <c r="J99" s="568"/>
      <c r="K99" s="568"/>
      <c r="L99" s="568"/>
      <c r="M99" s="568"/>
      <c r="N99" s="568"/>
      <c r="O99" s="1495"/>
      <c r="P99" s="1496"/>
      <c r="Q99" s="1497"/>
      <c r="R99" s="488"/>
    </row>
    <row r="100" spans="2:18" ht="26" x14ac:dyDescent="0.3">
      <c r="B100" s="533">
        <v>4</v>
      </c>
      <c r="C100" s="546" t="s">
        <v>1539</v>
      </c>
      <c r="D100" s="1184"/>
      <c r="E100" s="569">
        <v>9.5000000000000001E-2</v>
      </c>
      <c r="F100" s="569">
        <v>50</v>
      </c>
      <c r="G100" s="569">
        <v>0.28000000000000003</v>
      </c>
      <c r="H100" s="678"/>
      <c r="I100" s="679"/>
      <c r="J100" s="568"/>
      <c r="K100" s="568"/>
      <c r="L100" s="568"/>
      <c r="M100" s="568"/>
      <c r="N100" s="568"/>
      <c r="O100" s="1495"/>
      <c r="P100" s="1496"/>
      <c r="Q100" s="1497"/>
      <c r="R100" s="488"/>
    </row>
    <row r="101" spans="2:18" ht="13" x14ac:dyDescent="0.3">
      <c r="B101" s="533">
        <v>5</v>
      </c>
      <c r="C101" s="546" t="s">
        <v>1540</v>
      </c>
      <c r="D101" s="1184"/>
      <c r="E101" s="569">
        <v>0.23899999999999999</v>
      </c>
      <c r="F101" s="569">
        <v>65</v>
      </c>
      <c r="G101" s="569">
        <v>0.28000000000000003</v>
      </c>
      <c r="H101" s="678"/>
      <c r="I101" s="679"/>
      <c r="J101" s="568"/>
      <c r="K101" s="568"/>
      <c r="L101" s="568"/>
      <c r="M101" s="568"/>
      <c r="N101" s="568"/>
      <c r="O101" s="1495"/>
      <c r="P101" s="1496"/>
      <c r="Q101" s="1497"/>
      <c r="R101" s="488"/>
    </row>
    <row r="102" spans="2:18" ht="52" x14ac:dyDescent="0.3">
      <c r="B102" s="533">
        <v>6</v>
      </c>
      <c r="C102" s="546" t="s">
        <v>1541</v>
      </c>
      <c r="D102" s="570"/>
      <c r="E102" s="569">
        <v>3.1E-2</v>
      </c>
      <c r="F102" s="569">
        <v>50</v>
      </c>
      <c r="G102" s="569">
        <v>0.38</v>
      </c>
      <c r="H102" s="1190"/>
      <c r="I102" s="569"/>
      <c r="J102" s="569"/>
      <c r="K102" s="569"/>
      <c r="L102" s="569"/>
      <c r="M102" s="569"/>
      <c r="N102" s="569"/>
      <c r="O102" s="1492"/>
      <c r="P102" s="1493"/>
      <c r="Q102" s="1494"/>
      <c r="R102" s="488"/>
    </row>
    <row r="103" spans="2:18" ht="52" x14ac:dyDescent="0.3">
      <c r="B103" s="533">
        <v>7</v>
      </c>
      <c r="C103" s="546" t="s">
        <v>1541</v>
      </c>
      <c r="D103" s="570"/>
      <c r="E103" s="569">
        <v>0.11799999999999999</v>
      </c>
      <c r="F103" s="569">
        <v>50</v>
      </c>
      <c r="G103" s="569">
        <v>0.38</v>
      </c>
      <c r="H103" s="1190"/>
      <c r="I103" s="569"/>
      <c r="J103" s="569"/>
      <c r="K103" s="569"/>
      <c r="L103" s="569"/>
      <c r="M103" s="569"/>
      <c r="N103" s="569"/>
      <c r="O103" s="1492"/>
      <c r="P103" s="1493"/>
      <c r="Q103" s="1494"/>
      <c r="R103" s="488"/>
    </row>
    <row r="104" spans="2:18" ht="26" x14ac:dyDescent="0.3">
      <c r="B104" s="533">
        <v>8</v>
      </c>
      <c r="C104" s="546" t="s">
        <v>1542</v>
      </c>
      <c r="D104" s="570"/>
      <c r="E104" s="569">
        <v>8.5999999999999993E-2</v>
      </c>
      <c r="F104" s="569">
        <v>82</v>
      </c>
      <c r="G104" s="569">
        <v>0.41</v>
      </c>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row r="119" spans="2:18" ht="18.75" customHeight="1" x14ac:dyDescent="0.3">
      <c r="B119" s="980" t="s">
        <v>1543</v>
      </c>
    </row>
    <row r="120" spans="2:18" ht="49.5" customHeight="1" x14ac:dyDescent="0.3">
      <c r="B120" s="995" t="s">
        <v>1544</v>
      </c>
      <c r="C120" s="995" t="s">
        <v>1545</v>
      </c>
      <c r="D120" s="995" t="s">
        <v>1546</v>
      </c>
      <c r="E120" s="995" t="s">
        <v>1547</v>
      </c>
      <c r="F120" s="995" t="s">
        <v>1548</v>
      </c>
    </row>
    <row r="121" spans="2:18" ht="18.75" customHeight="1" x14ac:dyDescent="0.3">
      <c r="B121" s="996" t="s">
        <v>1549</v>
      </c>
      <c r="C121" s="997">
        <v>3</v>
      </c>
      <c r="D121" s="997">
        <v>240.9</v>
      </c>
      <c r="E121" s="998">
        <v>269</v>
      </c>
      <c r="F121" s="998">
        <v>194</v>
      </c>
    </row>
    <row r="122" spans="2:18" ht="18.75" customHeight="1" x14ac:dyDescent="0.3">
      <c r="B122" s="996" t="s">
        <v>1550</v>
      </c>
      <c r="C122" s="997">
        <v>30</v>
      </c>
      <c r="D122" s="997">
        <v>75.75</v>
      </c>
      <c r="E122" s="998">
        <v>168</v>
      </c>
      <c r="F122" s="998">
        <v>104</v>
      </c>
    </row>
    <row r="123" spans="2:18" ht="18.75" customHeight="1" x14ac:dyDescent="0.3">
      <c r="B123" s="996" t="s">
        <v>1551</v>
      </c>
      <c r="C123" s="997">
        <v>89</v>
      </c>
      <c r="D123" s="997">
        <v>74.24666666666667</v>
      </c>
      <c r="E123" s="998">
        <v>269</v>
      </c>
      <c r="F123" s="998">
        <v>194</v>
      </c>
    </row>
    <row r="124" spans="2:18" ht="18.75" customHeight="1" x14ac:dyDescent="0.3">
      <c r="B124" s="996" t="s">
        <v>1552</v>
      </c>
      <c r="C124" s="997">
        <v>237</v>
      </c>
      <c r="D124" s="997">
        <v>137.31863636363636</v>
      </c>
      <c r="E124" s="998">
        <v>517</v>
      </c>
      <c r="F124" s="998">
        <v>393</v>
      </c>
    </row>
    <row r="125" spans="2:18" ht="18.75" customHeight="1" x14ac:dyDescent="0.3">
      <c r="B125" s="996" t="s">
        <v>1553</v>
      </c>
      <c r="C125" s="997">
        <v>2824</v>
      </c>
      <c r="D125" s="997">
        <v>48.20035714285715</v>
      </c>
      <c r="E125" s="998">
        <v>180</v>
      </c>
      <c r="F125" s="998">
        <v>137</v>
      </c>
    </row>
    <row r="126" spans="2:18" ht="18.75" customHeight="1" x14ac:dyDescent="0.3">
      <c r="B126" s="996" t="s">
        <v>1554</v>
      </c>
      <c r="C126" s="997">
        <v>496</v>
      </c>
      <c r="D126" s="997">
        <v>71.213999999999999</v>
      </c>
      <c r="E126" s="998">
        <v>301.875</v>
      </c>
      <c r="F126" s="998">
        <v>229.625</v>
      </c>
    </row>
  </sheetData>
  <sheetProtection algorithmName="SHA-512" hashValue="D+ASYqYJziLqv9hiY+bKN/nqN03Ygh/hMe0b7DvPMW/focKPjeMVh4uxlfvhPQmFiS1d1f+ex/W5DLsnOS3FJQ==" saltValue="5sfUBkusTYJVtUwOA8nzTA==" spinCount="100000" sheet="1" objects="1" scenarios="1" selectLockedCells="1" selectUnlockedCells="1"/>
  <mergeCells count="121">
    <mergeCell ref="O101:Q101"/>
    <mergeCell ref="O102:Q102"/>
    <mergeCell ref="O103:Q103"/>
    <mergeCell ref="O104:Q104"/>
    <mergeCell ref="O105:Q105"/>
    <mergeCell ref="O106:Q106"/>
    <mergeCell ref="J67:Q67"/>
    <mergeCell ref="F80:Q80"/>
    <mergeCell ref="F81:Q81"/>
    <mergeCell ref="F82:Q82"/>
    <mergeCell ref="F83:Q83"/>
    <mergeCell ref="F84:Q84"/>
    <mergeCell ref="F85:Q85"/>
    <mergeCell ref="F86:Q86"/>
    <mergeCell ref="F87:Q87"/>
    <mergeCell ref="F88:Q88"/>
    <mergeCell ref="J72:Q72"/>
    <mergeCell ref="J68:Q68"/>
    <mergeCell ref="O113:Q113"/>
    <mergeCell ref="O114:Q114"/>
    <mergeCell ref="O115:Q115"/>
    <mergeCell ref="O116:Q116"/>
    <mergeCell ref="O107:Q107"/>
    <mergeCell ref="O108:Q108"/>
    <mergeCell ref="O109:Q109"/>
    <mergeCell ref="O110:Q110"/>
    <mergeCell ref="O111:Q111"/>
    <mergeCell ref="O112:Q112"/>
    <mergeCell ref="B95:D95"/>
    <mergeCell ref="C96:D96"/>
    <mergeCell ref="O97:Q97"/>
    <mergeCell ref="O98:Q98"/>
    <mergeCell ref="O99:Q99"/>
    <mergeCell ref="O100:Q100"/>
    <mergeCell ref="E94:N94"/>
    <mergeCell ref="O94:Q96"/>
    <mergeCell ref="F89:Q89"/>
    <mergeCell ref="F90:Q90"/>
    <mergeCell ref="D71:E71"/>
    <mergeCell ref="J71:Q71"/>
    <mergeCell ref="D69:E69"/>
    <mergeCell ref="J69:Q69"/>
    <mergeCell ref="J66:Q66"/>
    <mergeCell ref="D67:E67"/>
    <mergeCell ref="D63:E63"/>
    <mergeCell ref="J63:Q63"/>
    <mergeCell ref="D64:E64"/>
    <mergeCell ref="J64:Q64"/>
    <mergeCell ref="D65:E65"/>
    <mergeCell ref="D66:E66"/>
    <mergeCell ref="J65:Q65"/>
    <mergeCell ref="D68:E68"/>
    <mergeCell ref="D62:E62"/>
    <mergeCell ref="J62:Q62"/>
    <mergeCell ref="C54:M54"/>
    <mergeCell ref="P54:Q54"/>
    <mergeCell ref="C55:M55"/>
    <mergeCell ref="P55:Q55"/>
    <mergeCell ref="C56:M56"/>
    <mergeCell ref="P56:Q56"/>
    <mergeCell ref="D70:E70"/>
    <mergeCell ref="J70:Q70"/>
    <mergeCell ref="C45:M45"/>
    <mergeCell ref="P45:Q45"/>
    <mergeCell ref="E37:Q37"/>
    <mergeCell ref="C41:M41"/>
    <mergeCell ref="P41:Q41"/>
    <mergeCell ref="C57:M57"/>
    <mergeCell ref="P57:Q57"/>
    <mergeCell ref="D61:E61"/>
    <mergeCell ref="J61:Q61"/>
    <mergeCell ref="C42:M42"/>
    <mergeCell ref="P42:Q42"/>
    <mergeCell ref="D75:E75"/>
    <mergeCell ref="J75:Q75"/>
    <mergeCell ref="D76:E76"/>
    <mergeCell ref="J76:Q76"/>
    <mergeCell ref="C2:F2"/>
    <mergeCell ref="C3:F3"/>
    <mergeCell ref="C4:F4"/>
    <mergeCell ref="D7:F7"/>
    <mergeCell ref="D17:F17"/>
    <mergeCell ref="D18:F18"/>
    <mergeCell ref="D8:F16"/>
    <mergeCell ref="C5:F5"/>
    <mergeCell ref="D72:E72"/>
    <mergeCell ref="B20:Q20"/>
    <mergeCell ref="C21:Q21"/>
    <mergeCell ref="C22:Q22"/>
    <mergeCell ref="C23:Q23"/>
    <mergeCell ref="D25:Q25"/>
    <mergeCell ref="E35:Q35"/>
    <mergeCell ref="E36:Q36"/>
    <mergeCell ref="C50:M50"/>
    <mergeCell ref="P50:Q50"/>
    <mergeCell ref="C51:M51"/>
    <mergeCell ref="P51:Q51"/>
    <mergeCell ref="D26:Q26"/>
    <mergeCell ref="D27:Q27"/>
    <mergeCell ref="D28:Q28"/>
    <mergeCell ref="D73:E73"/>
    <mergeCell ref="J73:Q73"/>
    <mergeCell ref="D74:E74"/>
    <mergeCell ref="J74:Q74"/>
    <mergeCell ref="C53:M53"/>
    <mergeCell ref="P53:Q53"/>
    <mergeCell ref="E32:Q32"/>
    <mergeCell ref="E33:Q33"/>
    <mergeCell ref="E34:Q34"/>
    <mergeCell ref="C47:M47"/>
    <mergeCell ref="P47:Q47"/>
    <mergeCell ref="C48:M48"/>
    <mergeCell ref="P48:Q48"/>
    <mergeCell ref="C49:M49"/>
    <mergeCell ref="P49:Q49"/>
    <mergeCell ref="C43:M43"/>
    <mergeCell ref="P43:Q43"/>
    <mergeCell ref="C44:M44"/>
    <mergeCell ref="P44:Q44"/>
    <mergeCell ref="D29:Q29"/>
    <mergeCell ref="D30:Q30"/>
  </mergeCells>
  <conditionalFormatting sqref="H71">
    <cfRule type="expression" dxfId="2708" priority="77">
      <formula>IF(OR(#REF!="L",#REF!="C"),TRUE,FALSE)</formula>
    </cfRule>
  </conditionalFormatting>
  <conditionalFormatting sqref="H66">
    <cfRule type="expression" dxfId="2707" priority="72">
      <formula>IF(OR(#REF!="L",#REF!="C"),TRUE,FALSE)</formula>
    </cfRule>
  </conditionalFormatting>
  <conditionalFormatting sqref="H70">
    <cfRule type="expression" dxfId="2706" priority="70">
      <formula>IF(OR(#REF!="L",#REF!="C"),TRUE,FALSE)</formula>
    </cfRule>
  </conditionalFormatting>
  <conditionalFormatting sqref="H62">
    <cfRule type="expression" dxfId="2705" priority="44">
      <formula>IF(OR(#REF!="L",#REF!="C"),TRUE,FALSE)</formula>
    </cfRule>
  </conditionalFormatting>
  <conditionalFormatting sqref="H63">
    <cfRule type="expression" dxfId="2704" priority="43">
      <formula>IF(OR(#REF!="L",#REF!="C"),TRUE,FALSE)</formula>
    </cfRule>
  </conditionalFormatting>
  <conditionalFormatting sqref="H64">
    <cfRule type="expression" dxfId="2703" priority="42">
      <formula>IF(OR(#REF!="L",#REF!="C"),TRUE,FALSE)</formula>
    </cfRule>
  </conditionalFormatting>
  <conditionalFormatting sqref="H69">
    <cfRule type="expression" dxfId="2702" priority="41">
      <formula>IF(OR(#REF!="L",#REF!="C"),TRUE,FALSE)</formula>
    </cfRule>
  </conditionalFormatting>
  <conditionalFormatting sqref="H72">
    <cfRule type="expression" dxfId="2701" priority="40">
      <formula>IF(OR(#REF!="L",#REF!="C"),TRUE,FALSE)</formula>
    </cfRule>
  </conditionalFormatting>
  <conditionalFormatting sqref="H73">
    <cfRule type="expression" dxfId="2700" priority="39">
      <formula>IF(OR(#REF!="L",#REF!="C"),TRUE,FALSE)</formula>
    </cfRule>
  </conditionalFormatting>
  <conditionalFormatting sqref="H74">
    <cfRule type="expression" dxfId="2699" priority="38">
      <formula>IF(OR(#REF!="L",#REF!="C"),TRUE,FALSE)</formula>
    </cfRule>
  </conditionalFormatting>
  <conditionalFormatting sqref="H75">
    <cfRule type="expression" dxfId="2698" priority="37">
      <formula>IF(OR(#REF!="L",#REF!="C"),TRUE,FALSE)</formula>
    </cfRule>
  </conditionalFormatting>
  <conditionalFormatting sqref="H76">
    <cfRule type="expression" dxfId="2697" priority="35">
      <formula>IF(OR(#REF!="L",#REF!="C"),TRUE,FALSE)</formula>
    </cfRule>
  </conditionalFormatting>
  <conditionalFormatting sqref="H65">
    <cfRule type="expression" dxfId="2696" priority="33">
      <formula>IF(OR(#REF!="L",#REF!="C"),TRUE,FALSE)</formula>
    </cfRule>
  </conditionalFormatting>
  <conditionalFormatting sqref="H68">
    <cfRule type="expression" dxfId="2695" priority="32">
      <formula>IF(OR(#REF!="L",#REF!="C"),TRUE,FALSE)</formula>
    </cfRule>
  </conditionalFormatting>
  <conditionalFormatting sqref="F109:F116 G103 H104:H116 G105:G116">
    <cfRule type="expression" dxfId="2694" priority="29">
      <formula>IF(OR(#REF!="L",#REF!="C"),TRUE,FALSE)</formula>
    </cfRule>
  </conditionalFormatting>
  <conditionalFormatting sqref="E110:E116">
    <cfRule type="expression" dxfId="2693" priority="28">
      <formula>IF(OR(#REF!="L",#REF!="C"),TRUE,FALSE)</formula>
    </cfRule>
  </conditionalFormatting>
  <conditionalFormatting sqref="E107">
    <cfRule type="expression" dxfId="2692" priority="27">
      <formula>IF(OR(#REF!="L",#REF!="C"),TRUE,FALSE)</formula>
    </cfRule>
  </conditionalFormatting>
  <conditionalFormatting sqref="E108">
    <cfRule type="expression" dxfId="2691" priority="26">
      <formula>IF(OR(#REF!="L",#REF!="C"),TRUE,FALSE)</formula>
    </cfRule>
  </conditionalFormatting>
  <conditionalFormatting sqref="E109">
    <cfRule type="expression" dxfId="2690" priority="25">
      <formula>IF(OR(#REF!="L",#REF!="C"),TRUE,FALSE)</formula>
    </cfRule>
  </conditionalFormatting>
  <conditionalFormatting sqref="E106">
    <cfRule type="expression" dxfId="2689" priority="24">
      <formula>IF(OR(#REF!="L",#REF!="C"),TRUE,FALSE)</formula>
    </cfRule>
  </conditionalFormatting>
  <conditionalFormatting sqref="E95 G95 I95 K95 M95">
    <cfRule type="duplicateValues" dxfId="2688" priority="23"/>
  </conditionalFormatting>
  <conditionalFormatting sqref="M104:M116">
    <cfRule type="expression" dxfId="2687" priority="13">
      <formula>IF(OR(#REF!="L",#REF!="C"),TRUE,FALSE)</formula>
    </cfRule>
  </conditionalFormatting>
  <conditionalFormatting sqref="F103 F105:F106">
    <cfRule type="expression" dxfId="2686" priority="22">
      <formula>IF(OR(#REF!="L",#REF!="C"),TRUE,FALSE)</formula>
    </cfRule>
  </conditionalFormatting>
  <conditionalFormatting sqref="I102:I103">
    <cfRule type="expression" dxfId="2685" priority="20">
      <formula>IF(OR(#REF!="L",#REF!="C"),TRUE,FALSE)</formula>
    </cfRule>
  </conditionalFormatting>
  <conditionalFormatting sqref="N102:N103">
    <cfRule type="expression" dxfId="2684" priority="10">
      <formula>IF(OR(#REF!="L",#REF!="C"),TRUE,FALSE)</formula>
    </cfRule>
  </conditionalFormatting>
  <conditionalFormatting sqref="I104:I116">
    <cfRule type="expression" dxfId="2683" priority="21">
      <formula>IF(OR(#REF!="L",#REF!="C"),TRUE,FALSE)</formula>
    </cfRule>
  </conditionalFormatting>
  <conditionalFormatting sqref="J102:J103">
    <cfRule type="expression" dxfId="2682" priority="18">
      <formula>IF(OR(#REF!="L",#REF!="C"),TRUE,FALSE)</formula>
    </cfRule>
  </conditionalFormatting>
  <conditionalFormatting sqref="J104:J116">
    <cfRule type="expression" dxfId="2681" priority="19">
      <formula>IF(OR(#REF!="L",#REF!="C"),TRUE,FALSE)</formula>
    </cfRule>
  </conditionalFormatting>
  <conditionalFormatting sqref="K102:K103">
    <cfRule type="expression" dxfId="2680" priority="16">
      <formula>IF(OR(#REF!="L",#REF!="C"),TRUE,FALSE)</formula>
    </cfRule>
  </conditionalFormatting>
  <conditionalFormatting sqref="K104:K116">
    <cfRule type="expression" dxfId="2679" priority="17">
      <formula>IF(OR(#REF!="L",#REF!="C"),TRUE,FALSE)</formula>
    </cfRule>
  </conditionalFormatting>
  <conditionalFormatting sqref="L102:L103">
    <cfRule type="expression" dxfId="2678" priority="14">
      <formula>IF(OR(#REF!="L",#REF!="C"),TRUE,FALSE)</formula>
    </cfRule>
  </conditionalFormatting>
  <conditionalFormatting sqref="L104:L116">
    <cfRule type="expression" dxfId="2677" priority="15">
      <formula>IF(OR(#REF!="L",#REF!="C"),TRUE,FALSE)</formula>
    </cfRule>
  </conditionalFormatting>
  <conditionalFormatting sqref="M102:M103">
    <cfRule type="expression" dxfId="2676" priority="12">
      <formula>IF(OR(#REF!="L",#REF!="C"),TRUE,FALSE)</formula>
    </cfRule>
  </conditionalFormatting>
  <conditionalFormatting sqref="N104:N116">
    <cfRule type="expression" dxfId="2675" priority="11">
      <formula>IF(OR(#REF!="L",#REF!="C"),TRUE,FALSE)</formula>
    </cfRule>
  </conditionalFormatting>
  <conditionalFormatting sqref="O102:O103">
    <cfRule type="expression" dxfId="2674" priority="8">
      <formula>IF(OR(#REF!="L",#REF!="C"),TRUE,FALSE)</formula>
    </cfRule>
  </conditionalFormatting>
  <conditionalFormatting sqref="O104:O116">
    <cfRule type="expression" dxfId="2673" priority="9">
      <formula>IF(OR(#REF!="L",#REF!="C"),TRUE,FALSE)</formula>
    </cfRule>
  </conditionalFormatting>
  <conditionalFormatting sqref="E96:F96 I96:N96">
    <cfRule type="duplicateValues" dxfId="2672" priority="30"/>
  </conditionalFormatting>
  <conditionalFormatting sqref="F96:I96">
    <cfRule type="duplicateValues" dxfId="2671" priority="31"/>
  </conditionalFormatting>
  <conditionalFormatting sqref="E103">
    <cfRule type="expression" dxfId="2670" priority="7">
      <formula>IF(OR(#REF!="L",#REF!="C"),TRUE,FALSE)</formula>
    </cfRule>
  </conditionalFormatting>
  <conditionalFormatting sqref="G104">
    <cfRule type="expression" dxfId="2669" priority="6">
      <formula>IF(OR(#REF!="L",#REF!="C"),TRUE,FALSE)</formula>
    </cfRule>
  </conditionalFormatting>
  <conditionalFormatting sqref="F104">
    <cfRule type="expression" dxfId="2668" priority="5">
      <formula>IF(OR(#REF!="L",#REF!="C"),TRUE,FALSE)</formula>
    </cfRule>
  </conditionalFormatting>
  <conditionalFormatting sqref="E104">
    <cfRule type="expression" dxfId="2667" priority="4">
      <formula>IF(OR(#REF!="L",#REF!="C"),TRUE,FALSE)</formula>
    </cfRule>
  </conditionalFormatting>
  <conditionalFormatting sqref="G97:G102">
    <cfRule type="expression" dxfId="2666" priority="3">
      <formula>IF(OR(#REF!="L",#REF!="C"),TRUE,FALSE)</formula>
    </cfRule>
  </conditionalFormatting>
  <conditionalFormatting sqref="F97:F102">
    <cfRule type="expression" dxfId="2665" priority="2">
      <formula>IF(OR(#REF!="L",#REF!="C"),TRUE,FALSE)</formula>
    </cfRule>
  </conditionalFormatting>
  <conditionalFormatting sqref="E97:E102">
    <cfRule type="expression" dxfId="2664" priority="1">
      <formula>IF(OR(#REF!="L",#REF!="C"),TRUE,FALSE)</formula>
    </cfRule>
  </conditionalFormatting>
  <dataValidations count="8">
    <dataValidation type="list" allowBlank="1" showInputMessage="1" showErrorMessage="1" sqref="H67" xr:uid="{80C1C784-58ED-4F1B-B6D0-14711E22BC25}">
      <formula1>$C$97:$C$116</formula1>
    </dataValidation>
    <dataValidation type="list" allowBlank="1" showInputMessage="1" showErrorMessage="1" sqref="F72:F74" xr:uid="{94FF5FB7-2990-409A-A406-36FEA26A530E}">
      <formula1>$C$102:$C$107</formula1>
    </dataValidation>
    <dataValidation type="list" allowBlank="1" showInputMessage="1" showErrorMessage="1" sqref="C4" xr:uid="{C1A7CB54-B541-43E1-BE21-16BF5E1DC225}">
      <formula1>"COM,RES"</formula1>
    </dataValidation>
    <dataValidation type="list" allowBlank="1" showInputMessage="1" showErrorMessage="1" sqref="C9" xr:uid="{2E953B04-A3B5-466B-A6FA-67D2C173F82E}">
      <formula1>INDIRECT("MeasureTypeList[Index]")</formula1>
    </dataValidation>
    <dataValidation type="list" allowBlank="1" showInputMessage="1" showErrorMessage="1" sqref="C26" xr:uid="{37D1FFE7-6E8F-4FE1-9762-EBA9E6C987A6}">
      <formula1>INDIRECT("RegionList[Index]")</formula1>
    </dataValidation>
    <dataValidation type="list" allowBlank="1" showInputMessage="1" showErrorMessage="1" sqref="C27" xr:uid="{47E80AC6-C061-4B11-876C-B9F1872F17FB}">
      <formula1>INDIRECT("ReplacementTypeList[Index]")</formula1>
    </dataValidation>
    <dataValidation type="list" allowBlank="1" showInputMessage="1" showErrorMessage="1" sqref="C28" xr:uid="{F881561F-FE12-4988-BE5D-40C5926E25D2}">
      <formula1>INDIRECT("BuildingType[Building]")</formula1>
    </dataValidation>
    <dataValidation type="list" allowBlank="1" showInputMessage="1" showErrorMessage="1" sqref="C29 C30" xr:uid="{9BF7396C-F5FB-48C1-8441-F29B253736C5}">
      <formula1>INDIRECT("FuelTypeList[Index]")</formula1>
    </dataValidation>
  </dataValidations>
  <hyperlinks>
    <hyperlink ref="F82" r:id="rId1" xr:uid="{A21AFB7E-4C2B-43DC-B7EE-DA1F3F8A4F5B}"/>
    <hyperlink ref="F83" r:id="rId2" xr:uid="{110214F1-4372-48FD-8EDA-6281AFC2BF3A}"/>
    <hyperlink ref="F85" r:id="rId3" xr:uid="{BFBD0300-8ACB-42E9-B01B-A37E43F15DD3}"/>
    <hyperlink ref="F84" r:id="rId4" xr:uid="{38754179-93F2-4DA8-B87E-58A145EB5B70}"/>
  </hyperlinks>
  <pageMargins left="0.7" right="0.7" top="0.75" bottom="0.75" header="0.3" footer="0.3"/>
  <pageSetup orientation="portrait"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1E45B-48FF-4565-A78A-8DBCE5AD5E8C}">
  <sheetPr codeName="Sheet17">
    <tabColor theme="1" tint="0.499984740745262"/>
  </sheetPr>
  <dimension ref="A1:F74"/>
  <sheetViews>
    <sheetView workbookViewId="0">
      <selection activeCell="G5" sqref="G5"/>
    </sheetView>
  </sheetViews>
  <sheetFormatPr defaultColWidth="9.08984375" defaultRowHeight="14.5" x14ac:dyDescent="0.35"/>
  <cols>
    <col min="1" max="1" width="13" style="484" customWidth="1"/>
    <col min="2" max="2" width="11" style="123" customWidth="1"/>
    <col min="3" max="3" width="16.26953125" style="123" customWidth="1"/>
    <col min="4" max="4" width="17.08984375" style="123" customWidth="1"/>
    <col min="5" max="5" width="44.08984375" style="123" customWidth="1"/>
    <col min="6" max="6" width="38.26953125" style="123" customWidth="1"/>
    <col min="7" max="16384" width="9.08984375" style="123"/>
  </cols>
  <sheetData>
    <row r="1" spans="1:6" s="487" customFormat="1" x14ac:dyDescent="0.35">
      <c r="A1" s="485" t="s">
        <v>11</v>
      </c>
      <c r="B1" s="486" t="s">
        <v>189</v>
      </c>
      <c r="C1" s="486" t="s">
        <v>190</v>
      </c>
      <c r="D1" s="486" t="s">
        <v>191</v>
      </c>
      <c r="E1" s="486" t="s">
        <v>192</v>
      </c>
      <c r="F1" s="486" t="s">
        <v>193</v>
      </c>
    </row>
    <row r="2" spans="1:6" ht="72" x14ac:dyDescent="0.35">
      <c r="A2" s="1133" t="s">
        <v>12</v>
      </c>
      <c r="B2" s="1133" t="s">
        <v>68</v>
      </c>
      <c r="C2" s="1137" t="str">
        <f>HYPERLINK("#'"&amp;B2&amp;"'!A1","Go to "&amp;B2)</f>
        <v>Go to C-HC-001</v>
      </c>
      <c r="D2" s="1131" t="s">
        <v>196</v>
      </c>
      <c r="E2" s="1131" t="s">
        <v>197</v>
      </c>
      <c r="F2" s="1132" t="s">
        <v>198</v>
      </c>
    </row>
    <row r="3" spans="1:6" ht="98.25" customHeight="1" x14ac:dyDescent="0.35">
      <c r="A3" s="1133" t="s">
        <v>12</v>
      </c>
      <c r="B3" s="1133" t="s">
        <v>71</v>
      </c>
      <c r="C3" s="1137" t="str">
        <f t="shared" ref="C3:C66" si="0">HYPERLINK("#'"&amp;B3&amp;"'!A1","Go to "&amp;B3)</f>
        <v>Go to C-HC-002</v>
      </c>
      <c r="D3" s="1131" t="s">
        <v>199</v>
      </c>
      <c r="E3" s="1131" t="s">
        <v>200</v>
      </c>
      <c r="F3" s="1132" t="s">
        <v>201</v>
      </c>
    </row>
    <row r="4" spans="1:6" ht="72" customHeight="1" x14ac:dyDescent="0.35">
      <c r="A4" s="1133" t="s">
        <v>12</v>
      </c>
      <c r="B4" s="1133" t="s">
        <v>75</v>
      </c>
      <c r="C4" s="1137" t="str">
        <f t="shared" si="0"/>
        <v>Go to C-HC-003</v>
      </c>
      <c r="D4" s="1131" t="s">
        <v>202</v>
      </c>
      <c r="E4" s="1131" t="s">
        <v>203</v>
      </c>
      <c r="F4" s="1132" t="s">
        <v>204</v>
      </c>
    </row>
    <row r="5" spans="1:6" ht="64.5" customHeight="1" x14ac:dyDescent="0.35">
      <c r="A5" s="1133" t="s">
        <v>12</v>
      </c>
      <c r="B5" s="1133" t="s">
        <v>76</v>
      </c>
      <c r="C5" s="1137" t="str">
        <f t="shared" si="0"/>
        <v>Go to C-HC-004</v>
      </c>
      <c r="D5" s="1131" t="s">
        <v>205</v>
      </c>
      <c r="E5" s="1131" t="s">
        <v>206</v>
      </c>
      <c r="F5" s="1132" t="s">
        <v>207</v>
      </c>
    </row>
    <row r="6" spans="1:6" ht="124.5" customHeight="1" x14ac:dyDescent="0.35">
      <c r="A6" s="1133" t="s">
        <v>12</v>
      </c>
      <c r="B6" s="1133" t="s">
        <v>79</v>
      </c>
      <c r="C6" s="1137" t="str">
        <f t="shared" si="0"/>
        <v>Go to C-HC-005</v>
      </c>
      <c r="D6" s="1131" t="s">
        <v>208</v>
      </c>
      <c r="E6" s="1131" t="s">
        <v>209</v>
      </c>
      <c r="F6" s="1132" t="s">
        <v>210</v>
      </c>
    </row>
    <row r="7" spans="1:6" ht="48" x14ac:dyDescent="0.35">
      <c r="A7" s="1133" t="s">
        <v>12</v>
      </c>
      <c r="B7" s="1133" t="s">
        <v>80</v>
      </c>
      <c r="C7" s="1137" t="str">
        <f t="shared" si="0"/>
        <v>Go to C-HC-006</v>
      </c>
      <c r="D7" s="1131" t="s">
        <v>211</v>
      </c>
      <c r="E7" s="1131" t="s">
        <v>212</v>
      </c>
      <c r="F7" s="1132" t="s">
        <v>213</v>
      </c>
    </row>
    <row r="8" spans="1:6" ht="60" x14ac:dyDescent="0.35">
      <c r="A8" s="1133" t="s">
        <v>12</v>
      </c>
      <c r="B8" s="1133" t="s">
        <v>81</v>
      </c>
      <c r="C8" s="1137" t="str">
        <f t="shared" si="0"/>
        <v>Go to C-HC-007</v>
      </c>
      <c r="D8" s="1131" t="s">
        <v>214</v>
      </c>
      <c r="E8" s="1131" t="s">
        <v>215</v>
      </c>
      <c r="F8" s="1132" t="s">
        <v>216</v>
      </c>
    </row>
    <row r="9" spans="1:6" ht="135" customHeight="1" x14ac:dyDescent="0.35">
      <c r="A9" s="1133" t="s">
        <v>12</v>
      </c>
      <c r="B9" s="1133" t="s">
        <v>83</v>
      </c>
      <c r="C9" s="1137" t="str">
        <f t="shared" si="0"/>
        <v>Go to C-HC-008</v>
      </c>
      <c r="D9" s="1131" t="s">
        <v>217</v>
      </c>
      <c r="E9" s="1131" t="s">
        <v>218</v>
      </c>
      <c r="F9" s="1132" t="s">
        <v>219</v>
      </c>
    </row>
    <row r="10" spans="1:6" ht="87" customHeight="1" x14ac:dyDescent="0.35">
      <c r="A10" s="1133" t="s">
        <v>12</v>
      </c>
      <c r="B10" s="1133" t="s">
        <v>87</v>
      </c>
      <c r="C10" s="1137" t="str">
        <f t="shared" si="0"/>
        <v>Go to C-HC-009</v>
      </c>
      <c r="D10" s="1131" t="s">
        <v>220</v>
      </c>
      <c r="E10" s="1131" t="s">
        <v>221</v>
      </c>
      <c r="F10" s="1132" t="s">
        <v>222</v>
      </c>
    </row>
    <row r="11" spans="1:6" ht="194.25" customHeight="1" x14ac:dyDescent="0.35">
      <c r="A11" s="1133" t="s">
        <v>12</v>
      </c>
      <c r="B11" s="1133" t="s">
        <v>89</v>
      </c>
      <c r="C11" s="1137" t="str">
        <f t="shared" si="0"/>
        <v>Go to C-HC-010</v>
      </c>
      <c r="D11" s="1131" t="s">
        <v>223</v>
      </c>
      <c r="E11" s="1131" t="s">
        <v>224</v>
      </c>
      <c r="F11" s="1132" t="s">
        <v>225</v>
      </c>
    </row>
    <row r="12" spans="1:6" ht="36" x14ac:dyDescent="0.35">
      <c r="A12" s="1133" t="s">
        <v>12</v>
      </c>
      <c r="B12" s="1133" t="s">
        <v>91</v>
      </c>
      <c r="C12" s="1137" t="str">
        <f t="shared" si="0"/>
        <v>Go to C-HC-011</v>
      </c>
      <c r="D12" s="1131" t="s">
        <v>226</v>
      </c>
      <c r="E12" s="1131" t="s">
        <v>227</v>
      </c>
      <c r="F12" s="1132" t="s">
        <v>228</v>
      </c>
    </row>
    <row r="13" spans="1:6" ht="98.5" x14ac:dyDescent="0.35">
      <c r="A13" s="1133" t="s">
        <v>12</v>
      </c>
      <c r="B13" s="1131" t="s">
        <v>93</v>
      </c>
      <c r="C13" s="1137" t="str">
        <f t="shared" si="0"/>
        <v>Go to C-HC-012</v>
      </c>
      <c r="D13" s="1131" t="s">
        <v>229</v>
      </c>
      <c r="E13" s="1131" t="s">
        <v>224</v>
      </c>
      <c r="F13" s="1132" t="s">
        <v>230</v>
      </c>
    </row>
    <row r="14" spans="1:6" ht="48" x14ac:dyDescent="0.35">
      <c r="A14" s="1133" t="s">
        <v>12</v>
      </c>
      <c r="B14" s="1133" t="s">
        <v>95</v>
      </c>
      <c r="C14" s="1137" t="str">
        <f t="shared" si="0"/>
        <v>Go to C-HC-013</v>
      </c>
      <c r="D14" s="1131" t="s">
        <v>231</v>
      </c>
      <c r="E14" s="1131" t="s">
        <v>232</v>
      </c>
      <c r="F14" s="1132" t="s">
        <v>233</v>
      </c>
    </row>
    <row r="15" spans="1:6" ht="48" x14ac:dyDescent="0.35">
      <c r="A15" s="1133" t="s">
        <v>12</v>
      </c>
      <c r="B15" s="1131" t="s">
        <v>97</v>
      </c>
      <c r="C15" s="1137" t="str">
        <f t="shared" si="0"/>
        <v>Go to C-HC-014</v>
      </c>
      <c r="D15" s="1131" t="s">
        <v>234</v>
      </c>
      <c r="E15" s="1131" t="s">
        <v>235</v>
      </c>
      <c r="F15" s="1132" t="s">
        <v>233</v>
      </c>
    </row>
    <row r="16" spans="1:6" ht="75" customHeight="1" x14ac:dyDescent="0.35">
      <c r="A16" s="1133" t="s">
        <v>12</v>
      </c>
      <c r="B16" s="1133" t="s">
        <v>98</v>
      </c>
      <c r="C16" s="1137" t="str">
        <f t="shared" si="0"/>
        <v>Go to C-HC-015</v>
      </c>
      <c r="D16" s="1131" t="s">
        <v>236</v>
      </c>
      <c r="E16" s="1131" t="s">
        <v>237</v>
      </c>
      <c r="F16" s="1132" t="s">
        <v>238</v>
      </c>
    </row>
    <row r="17" spans="1:6" ht="84" x14ac:dyDescent="0.35">
      <c r="A17" s="1133" t="s">
        <v>12</v>
      </c>
      <c r="B17" s="1133" t="s">
        <v>99</v>
      </c>
      <c r="C17" s="1137" t="str">
        <f t="shared" si="0"/>
        <v>Go to C-HC-016</v>
      </c>
      <c r="D17" s="1131" t="s">
        <v>239</v>
      </c>
      <c r="E17" s="1131" t="s">
        <v>240</v>
      </c>
      <c r="F17" s="1132" t="s">
        <v>241</v>
      </c>
    </row>
    <row r="18" spans="1:6" ht="72" x14ac:dyDescent="0.35">
      <c r="A18" s="1133" t="s">
        <v>12</v>
      </c>
      <c r="B18" s="1133" t="s">
        <v>102</v>
      </c>
      <c r="C18" s="1137" t="str">
        <f t="shared" si="0"/>
        <v>Go to C-K-001</v>
      </c>
      <c r="D18" s="1131" t="s">
        <v>242</v>
      </c>
      <c r="E18" s="1131" t="s">
        <v>243</v>
      </c>
      <c r="F18" s="1132" t="s">
        <v>244</v>
      </c>
    </row>
    <row r="19" spans="1:6" ht="48" x14ac:dyDescent="0.35">
      <c r="A19" s="1133" t="s">
        <v>12</v>
      </c>
      <c r="B19" s="1133" t="s">
        <v>104</v>
      </c>
      <c r="C19" s="1137" t="str">
        <f t="shared" si="0"/>
        <v>Go to C-K-002</v>
      </c>
      <c r="D19" s="1131" t="s">
        <v>245</v>
      </c>
      <c r="E19" s="1131" t="s">
        <v>246</v>
      </c>
      <c r="F19" s="1132" t="s">
        <v>247</v>
      </c>
    </row>
    <row r="20" spans="1:6" ht="72" x14ac:dyDescent="0.35">
      <c r="A20" s="1133" t="s">
        <v>12</v>
      </c>
      <c r="B20" s="1133" t="s">
        <v>106</v>
      </c>
      <c r="C20" s="1137" t="str">
        <f t="shared" si="0"/>
        <v>Go to C-L-001</v>
      </c>
      <c r="D20" s="1131" t="s">
        <v>248</v>
      </c>
      <c r="E20" s="1131" t="s">
        <v>249</v>
      </c>
      <c r="F20" s="1132" t="s">
        <v>250</v>
      </c>
    </row>
    <row r="21" spans="1:6" ht="60" x14ac:dyDescent="0.35">
      <c r="A21" s="1133" t="s">
        <v>12</v>
      </c>
      <c r="B21" s="1133" t="s">
        <v>109</v>
      </c>
      <c r="C21" s="1137" t="str">
        <f t="shared" si="0"/>
        <v>Go to C-L-002</v>
      </c>
      <c r="D21" s="1131" t="s">
        <v>251</v>
      </c>
      <c r="E21" s="1131" t="s">
        <v>252</v>
      </c>
      <c r="F21" s="1132" t="s">
        <v>253</v>
      </c>
    </row>
    <row r="22" spans="1:6" ht="72" x14ac:dyDescent="0.35">
      <c r="A22" s="1133" t="s">
        <v>12</v>
      </c>
      <c r="B22" s="1133" t="s">
        <v>110</v>
      </c>
      <c r="C22" s="1137" t="str">
        <f t="shared" si="0"/>
        <v>Go to C-L-003</v>
      </c>
      <c r="D22" s="1131" t="s">
        <v>254</v>
      </c>
      <c r="E22" s="1131" t="s">
        <v>255</v>
      </c>
      <c r="F22" s="1132" t="s">
        <v>256</v>
      </c>
    </row>
    <row r="23" spans="1:6" ht="60" x14ac:dyDescent="0.35">
      <c r="A23" s="1133" t="s">
        <v>12</v>
      </c>
      <c r="B23" s="1133" t="s">
        <v>112</v>
      </c>
      <c r="C23" s="1137" t="str">
        <f t="shared" si="0"/>
        <v>Go to C-L-004</v>
      </c>
      <c r="D23" s="1131" t="s">
        <v>257</v>
      </c>
      <c r="E23" s="1131" t="s">
        <v>258</v>
      </c>
      <c r="F23" s="1131" t="s">
        <v>259</v>
      </c>
    </row>
    <row r="24" spans="1:6" ht="36" x14ac:dyDescent="0.35">
      <c r="A24" s="1133" t="s">
        <v>12</v>
      </c>
      <c r="B24" s="1133" t="s">
        <v>114</v>
      </c>
      <c r="C24" s="1137" t="str">
        <f t="shared" si="0"/>
        <v>Go to C-L-005</v>
      </c>
      <c r="D24" s="1131" t="s">
        <v>260</v>
      </c>
      <c r="E24" s="1131" t="s">
        <v>261</v>
      </c>
      <c r="F24" s="1131" t="s">
        <v>262</v>
      </c>
    </row>
    <row r="25" spans="1:6" ht="96" x14ac:dyDescent="0.35">
      <c r="A25" s="1133" t="s">
        <v>12</v>
      </c>
      <c r="B25" s="1133" t="s">
        <v>115</v>
      </c>
      <c r="C25" s="1137" t="str">
        <f t="shared" si="0"/>
        <v>Go to C-L-006</v>
      </c>
      <c r="D25" s="1131" t="s">
        <v>263</v>
      </c>
      <c r="E25" s="1131" t="s">
        <v>264</v>
      </c>
      <c r="F25" s="1131" t="s">
        <v>265</v>
      </c>
    </row>
    <row r="26" spans="1:6" ht="48" x14ac:dyDescent="0.35">
      <c r="A26" s="1133" t="s">
        <v>12</v>
      </c>
      <c r="B26" s="1133" t="s">
        <v>116</v>
      </c>
      <c r="C26" s="1137" t="str">
        <f t="shared" si="0"/>
        <v>Go to C-L-007</v>
      </c>
      <c r="D26" s="1131" t="s">
        <v>266</v>
      </c>
      <c r="E26" s="1131" t="s">
        <v>267</v>
      </c>
      <c r="F26" s="1131" t="s">
        <v>268</v>
      </c>
    </row>
    <row r="27" spans="1:6" ht="48" x14ac:dyDescent="0.35">
      <c r="A27" s="1133" t="s">
        <v>12</v>
      </c>
      <c r="B27" s="1133" t="s">
        <v>117</v>
      </c>
      <c r="C27" s="1137" t="str">
        <f t="shared" si="0"/>
        <v>Go to C-L-008</v>
      </c>
      <c r="D27" s="1131" t="s">
        <v>269</v>
      </c>
      <c r="E27" s="1131" t="s">
        <v>270</v>
      </c>
      <c r="F27" s="1131" t="s">
        <v>271</v>
      </c>
    </row>
    <row r="28" spans="1:6" ht="96" customHeight="1" x14ac:dyDescent="0.35">
      <c r="A28" s="1133" t="s">
        <v>12</v>
      </c>
      <c r="B28" s="1133" t="s">
        <v>118</v>
      </c>
      <c r="C28" s="1137" t="str">
        <f t="shared" si="0"/>
        <v>Go to C-L-009</v>
      </c>
      <c r="D28" s="1131" t="s">
        <v>272</v>
      </c>
      <c r="E28" s="1131" t="s">
        <v>273</v>
      </c>
      <c r="F28" s="1131" t="s">
        <v>274</v>
      </c>
    </row>
    <row r="29" spans="1:6" ht="48" x14ac:dyDescent="0.35">
      <c r="A29" s="1133" t="s">
        <v>12</v>
      </c>
      <c r="B29" s="1133" t="s">
        <v>119</v>
      </c>
      <c r="C29" s="1137" t="str">
        <f t="shared" si="0"/>
        <v>Go to C-R-001</v>
      </c>
      <c r="D29" s="1131" t="s">
        <v>275</v>
      </c>
      <c r="E29" s="1131" t="s">
        <v>276</v>
      </c>
      <c r="F29" s="1132" t="s">
        <v>277</v>
      </c>
    </row>
    <row r="30" spans="1:6" ht="124.5" customHeight="1" x14ac:dyDescent="0.35">
      <c r="A30" s="1133" t="s">
        <v>12</v>
      </c>
      <c r="B30" s="1133" t="s">
        <v>122</v>
      </c>
      <c r="C30" s="1137" t="str">
        <f t="shared" si="0"/>
        <v>Go to C-R-002</v>
      </c>
      <c r="D30" s="1131" t="s">
        <v>278</v>
      </c>
      <c r="E30" s="1131" t="s">
        <v>279</v>
      </c>
      <c r="F30" s="1132" t="s">
        <v>280</v>
      </c>
    </row>
    <row r="31" spans="1:6" ht="72" x14ac:dyDescent="0.35">
      <c r="A31" s="1133" t="s">
        <v>12</v>
      </c>
      <c r="B31" s="1134" t="s">
        <v>124</v>
      </c>
      <c r="C31" s="1137" t="str">
        <f t="shared" si="0"/>
        <v>Go to C-R-003</v>
      </c>
      <c r="D31" s="1131" t="s">
        <v>281</v>
      </c>
      <c r="E31" s="1131" t="s">
        <v>282</v>
      </c>
      <c r="F31" s="1132" t="s">
        <v>283</v>
      </c>
    </row>
    <row r="32" spans="1:6" ht="60" x14ac:dyDescent="0.35">
      <c r="A32" s="1133" t="s">
        <v>12</v>
      </c>
      <c r="B32" s="1133" t="s">
        <v>126</v>
      </c>
      <c r="C32" s="1137" t="str">
        <f t="shared" si="0"/>
        <v>Go to C-R-004</v>
      </c>
      <c r="D32" s="1131" t="s">
        <v>284</v>
      </c>
      <c r="E32" s="1131" t="s">
        <v>285</v>
      </c>
      <c r="F32" s="1132" t="s">
        <v>286</v>
      </c>
    </row>
    <row r="33" spans="1:6" ht="48" x14ac:dyDescent="0.35">
      <c r="A33" s="1133" t="s">
        <v>12</v>
      </c>
      <c r="B33" s="1133" t="s">
        <v>127</v>
      </c>
      <c r="C33" s="1137" t="str">
        <f t="shared" si="0"/>
        <v>Go to C-R-005</v>
      </c>
      <c r="D33" s="1131" t="s">
        <v>287</v>
      </c>
      <c r="E33" s="1131" t="s">
        <v>288</v>
      </c>
      <c r="F33" s="1132" t="s">
        <v>289</v>
      </c>
    </row>
    <row r="34" spans="1:6" ht="48" x14ac:dyDescent="0.35">
      <c r="A34" s="1133" t="s">
        <v>12</v>
      </c>
      <c r="B34" s="1133" t="s">
        <v>129</v>
      </c>
      <c r="C34" s="1137" t="str">
        <f t="shared" si="0"/>
        <v>Go to C-R-006</v>
      </c>
      <c r="D34" s="1131" t="s">
        <v>290</v>
      </c>
      <c r="E34" s="1131" t="s">
        <v>291</v>
      </c>
      <c r="F34" s="1132" t="s">
        <v>292</v>
      </c>
    </row>
    <row r="35" spans="1:6" ht="72" x14ac:dyDescent="0.35">
      <c r="A35" s="1133" t="s">
        <v>12</v>
      </c>
      <c r="B35" s="1133" t="s">
        <v>131</v>
      </c>
      <c r="C35" s="1137" t="str">
        <f t="shared" si="0"/>
        <v>Go to C-R-007</v>
      </c>
      <c r="D35" s="1131" t="s">
        <v>293</v>
      </c>
      <c r="E35" s="1131" t="s">
        <v>294</v>
      </c>
      <c r="F35" s="1132" t="s">
        <v>295</v>
      </c>
    </row>
    <row r="36" spans="1:6" ht="108" x14ac:dyDescent="0.35">
      <c r="A36" s="1133" t="s">
        <v>12</v>
      </c>
      <c r="B36" s="1133" t="s">
        <v>132</v>
      </c>
      <c r="C36" s="1137" t="str">
        <f t="shared" si="0"/>
        <v>Go to C-R-008</v>
      </c>
      <c r="D36" s="1131" t="s">
        <v>296</v>
      </c>
      <c r="E36" s="1131" t="s">
        <v>297</v>
      </c>
      <c r="F36" s="1132" t="s">
        <v>298</v>
      </c>
    </row>
    <row r="37" spans="1:6" ht="60" x14ac:dyDescent="0.35">
      <c r="A37" s="1133" t="s">
        <v>12</v>
      </c>
      <c r="B37" s="1133" t="s">
        <v>134</v>
      </c>
      <c r="C37" s="1137" t="str">
        <f t="shared" si="0"/>
        <v>Go to C-R-009</v>
      </c>
      <c r="D37" s="1131" t="s">
        <v>299</v>
      </c>
      <c r="E37" s="1131" t="s">
        <v>300</v>
      </c>
      <c r="F37" s="1132" t="s">
        <v>286</v>
      </c>
    </row>
    <row r="38" spans="1:6" ht="48" x14ac:dyDescent="0.35">
      <c r="A38" s="1133" t="s">
        <v>12</v>
      </c>
      <c r="B38" s="1133" t="s">
        <v>135</v>
      </c>
      <c r="C38" s="1137" t="str">
        <f t="shared" si="0"/>
        <v>Go to C-R-010</v>
      </c>
      <c r="D38" s="1131" t="s">
        <v>301</v>
      </c>
      <c r="E38" s="1131" t="s">
        <v>302</v>
      </c>
      <c r="F38" s="1132" t="s">
        <v>303</v>
      </c>
    </row>
    <row r="39" spans="1:6" ht="72" x14ac:dyDescent="0.35">
      <c r="A39" s="1133" t="s">
        <v>12</v>
      </c>
      <c r="B39" s="1133" t="s">
        <v>137</v>
      </c>
      <c r="C39" s="1137" t="str">
        <f t="shared" si="0"/>
        <v>Go to C-R-011</v>
      </c>
      <c r="D39" s="1131" t="s">
        <v>304</v>
      </c>
      <c r="E39" s="1131" t="s">
        <v>305</v>
      </c>
      <c r="F39" s="1132" t="s">
        <v>306</v>
      </c>
    </row>
    <row r="40" spans="1:6" ht="72" x14ac:dyDescent="0.35">
      <c r="A40" s="1133" t="s">
        <v>12</v>
      </c>
      <c r="B40" s="1133" t="s">
        <v>139</v>
      </c>
      <c r="C40" s="1137" t="str">
        <f t="shared" si="0"/>
        <v>Go to C-W-001</v>
      </c>
      <c r="D40" s="1131" t="s">
        <v>307</v>
      </c>
      <c r="E40" s="1132" t="s">
        <v>308</v>
      </c>
      <c r="F40" s="1132" t="s">
        <v>309</v>
      </c>
    </row>
    <row r="41" spans="1:6" ht="60" x14ac:dyDescent="0.35">
      <c r="A41" s="1133" t="s">
        <v>12</v>
      </c>
      <c r="B41" s="1133" t="s">
        <v>141</v>
      </c>
      <c r="C41" s="1137" t="str">
        <f t="shared" si="0"/>
        <v>Go to C-W-002</v>
      </c>
      <c r="D41" s="1131" t="s">
        <v>310</v>
      </c>
      <c r="E41" s="1132" t="s">
        <v>311</v>
      </c>
      <c r="F41" s="1132" t="s">
        <v>312</v>
      </c>
    </row>
    <row r="42" spans="1:6" ht="72" x14ac:dyDescent="0.35">
      <c r="A42" s="1133" t="s">
        <v>12</v>
      </c>
      <c r="B42" s="1133" t="s">
        <v>143</v>
      </c>
      <c r="C42" s="1137" t="str">
        <f t="shared" si="0"/>
        <v>Go to C-W-003</v>
      </c>
      <c r="D42" s="1131" t="s">
        <v>313</v>
      </c>
      <c r="E42" s="1132" t="s">
        <v>314</v>
      </c>
      <c r="F42" s="1132" t="s">
        <v>315</v>
      </c>
    </row>
    <row r="43" spans="1:6" ht="48" x14ac:dyDescent="0.35">
      <c r="A43" s="1133" t="s">
        <v>12</v>
      </c>
      <c r="B43" s="1133" t="s">
        <v>144</v>
      </c>
      <c r="C43" s="1137" t="str">
        <f t="shared" si="0"/>
        <v>Go to C-W-004</v>
      </c>
      <c r="D43" s="1131" t="s">
        <v>316</v>
      </c>
      <c r="E43" s="1132" t="s">
        <v>317</v>
      </c>
      <c r="F43" s="1132" t="s">
        <v>318</v>
      </c>
    </row>
    <row r="44" spans="1:6" ht="96" x14ac:dyDescent="0.35">
      <c r="A44" s="1133" t="s">
        <v>12</v>
      </c>
      <c r="B44" s="1133" t="s">
        <v>145</v>
      </c>
      <c r="C44" s="1137" t="str">
        <f t="shared" si="0"/>
        <v>Go to C-WB-001</v>
      </c>
      <c r="D44" s="1131" t="s">
        <v>319</v>
      </c>
      <c r="E44" s="1132" t="s">
        <v>320</v>
      </c>
      <c r="F44" s="1132" t="s">
        <v>321</v>
      </c>
    </row>
    <row r="45" spans="1:6" ht="48" x14ac:dyDescent="0.35">
      <c r="A45" s="1133" t="s">
        <v>12</v>
      </c>
      <c r="B45" s="1133" t="s">
        <v>150</v>
      </c>
      <c r="C45" s="1137" t="str">
        <f t="shared" si="0"/>
        <v>Go to C-WB-002</v>
      </c>
      <c r="D45" s="1131" t="s">
        <v>322</v>
      </c>
      <c r="E45" s="1132" t="s">
        <v>323</v>
      </c>
      <c r="F45" s="1132" t="s">
        <v>324</v>
      </c>
    </row>
    <row r="46" spans="1:6" ht="72" x14ac:dyDescent="0.35">
      <c r="A46" s="1133" t="s">
        <v>12</v>
      </c>
      <c r="B46" s="1133" t="s">
        <v>147</v>
      </c>
      <c r="C46" s="1137" t="str">
        <f t="shared" si="0"/>
        <v>Go to C-WB-003</v>
      </c>
      <c r="D46" s="1131" t="s">
        <v>325</v>
      </c>
      <c r="E46" s="1132" t="s">
        <v>326</v>
      </c>
      <c r="F46" s="1132" t="s">
        <v>327</v>
      </c>
    </row>
    <row r="47" spans="1:6" ht="132" x14ac:dyDescent="0.35">
      <c r="A47" s="1133" t="s">
        <v>12</v>
      </c>
      <c r="B47" s="1133" t="s">
        <v>148</v>
      </c>
      <c r="C47" s="1137" t="str">
        <f t="shared" si="0"/>
        <v>Go to C-WB-004</v>
      </c>
      <c r="D47" s="1131" t="s">
        <v>328</v>
      </c>
      <c r="E47" s="1132" t="s">
        <v>329</v>
      </c>
      <c r="F47" s="1132" t="s">
        <v>330</v>
      </c>
    </row>
    <row r="48" spans="1:6" ht="48" x14ac:dyDescent="0.35">
      <c r="A48" s="1133" t="s">
        <v>12</v>
      </c>
      <c r="B48" s="1133" t="s">
        <v>149</v>
      </c>
      <c r="C48" s="1137" t="str">
        <f t="shared" si="0"/>
        <v>Go to C-WB-005</v>
      </c>
      <c r="D48" s="1131" t="s">
        <v>331</v>
      </c>
      <c r="E48" s="1132" t="s">
        <v>332</v>
      </c>
      <c r="F48" s="1132" t="s">
        <v>333</v>
      </c>
    </row>
    <row r="49" spans="1:6" ht="168" x14ac:dyDescent="0.35">
      <c r="A49" s="1135" t="s">
        <v>334</v>
      </c>
      <c r="B49" s="1135" t="s">
        <v>185</v>
      </c>
      <c r="C49" s="1137" t="str">
        <f t="shared" si="0"/>
        <v>Go to DER-001</v>
      </c>
      <c r="D49" s="1132" t="s">
        <v>335</v>
      </c>
      <c r="E49" s="1132" t="s">
        <v>336</v>
      </c>
      <c r="F49" s="1132" t="s">
        <v>337</v>
      </c>
    </row>
    <row r="50" spans="1:6" ht="60" x14ac:dyDescent="0.35">
      <c r="A50" s="1135" t="s">
        <v>334</v>
      </c>
      <c r="B50" s="1135" t="s">
        <v>186</v>
      </c>
      <c r="C50" s="1137" t="str">
        <f t="shared" si="0"/>
        <v>Go to DER-002</v>
      </c>
      <c r="D50" s="1132" t="s">
        <v>338</v>
      </c>
      <c r="E50" s="1132" t="s">
        <v>339</v>
      </c>
      <c r="F50" s="1132" t="s">
        <v>340</v>
      </c>
    </row>
    <row r="51" spans="1:6" ht="144" x14ac:dyDescent="0.35">
      <c r="A51" s="1135" t="s">
        <v>334</v>
      </c>
      <c r="B51" s="1135" t="s">
        <v>187</v>
      </c>
      <c r="C51" s="1137" t="str">
        <f t="shared" si="0"/>
        <v>Go to DER-003</v>
      </c>
      <c r="D51" s="1132" t="s">
        <v>341</v>
      </c>
      <c r="E51" s="1132" t="s">
        <v>342</v>
      </c>
      <c r="F51" s="1132" t="s">
        <v>343</v>
      </c>
    </row>
    <row r="52" spans="1:6" ht="72" x14ac:dyDescent="0.35">
      <c r="A52" s="1135" t="s">
        <v>334</v>
      </c>
      <c r="B52" s="1135" t="s">
        <v>188</v>
      </c>
      <c r="C52" s="1137" t="str">
        <f t="shared" si="0"/>
        <v>Go to DER-004</v>
      </c>
      <c r="D52" s="1132" t="s">
        <v>344</v>
      </c>
      <c r="E52" s="1132" t="s">
        <v>345</v>
      </c>
      <c r="F52" s="1132" t="s">
        <v>346</v>
      </c>
    </row>
    <row r="53" spans="1:6" ht="60" x14ac:dyDescent="0.35">
      <c r="A53" s="1136" t="s">
        <v>347</v>
      </c>
      <c r="B53" s="1133" t="s">
        <v>151</v>
      </c>
      <c r="C53" s="1137" t="str">
        <f t="shared" si="0"/>
        <v>Go to R-HC-001</v>
      </c>
      <c r="D53" s="1132" t="s">
        <v>348</v>
      </c>
      <c r="E53" s="1132" t="s">
        <v>349</v>
      </c>
      <c r="F53" s="1132" t="s">
        <v>350</v>
      </c>
    </row>
    <row r="54" spans="1:6" ht="48" x14ac:dyDescent="0.35">
      <c r="A54" s="1136" t="s">
        <v>347</v>
      </c>
      <c r="B54" s="1133" t="s">
        <v>153</v>
      </c>
      <c r="C54" s="1137" t="str">
        <f t="shared" si="0"/>
        <v>Go to R-HC-002</v>
      </c>
      <c r="D54" s="1132" t="s">
        <v>351</v>
      </c>
      <c r="E54" s="1132" t="s">
        <v>352</v>
      </c>
      <c r="F54" s="1132" t="s">
        <v>353</v>
      </c>
    </row>
    <row r="55" spans="1:6" ht="48" x14ac:dyDescent="0.35">
      <c r="A55" s="1136" t="s">
        <v>347</v>
      </c>
      <c r="B55" s="1135" t="s">
        <v>154</v>
      </c>
      <c r="C55" s="1137" t="str">
        <f t="shared" si="0"/>
        <v>Go to R-HC-003</v>
      </c>
      <c r="D55" s="1132" t="s">
        <v>220</v>
      </c>
      <c r="E55" s="1132" t="s">
        <v>354</v>
      </c>
      <c r="F55" s="1132" t="s">
        <v>355</v>
      </c>
    </row>
    <row r="56" spans="1:6" ht="48" x14ac:dyDescent="0.35">
      <c r="A56" s="1136" t="s">
        <v>347</v>
      </c>
      <c r="B56" s="1135" t="s">
        <v>155</v>
      </c>
      <c r="C56" s="1137" t="str">
        <f t="shared" si="0"/>
        <v>Go to R-HC-004</v>
      </c>
      <c r="D56" s="1132" t="s">
        <v>356</v>
      </c>
      <c r="E56" s="1132" t="s">
        <v>357</v>
      </c>
      <c r="F56" s="1132" t="s">
        <v>358</v>
      </c>
    </row>
    <row r="57" spans="1:6" ht="48" x14ac:dyDescent="0.35">
      <c r="A57" s="1136" t="s">
        <v>347</v>
      </c>
      <c r="B57" s="1133" t="s">
        <v>157</v>
      </c>
      <c r="C57" s="1137" t="str">
        <f t="shared" si="0"/>
        <v>Go to R-HC-005</v>
      </c>
      <c r="D57" s="1131" t="s">
        <v>208</v>
      </c>
      <c r="E57" s="1131" t="s">
        <v>359</v>
      </c>
      <c r="F57" s="1132" t="s">
        <v>360</v>
      </c>
    </row>
    <row r="58" spans="1:6" ht="36" x14ac:dyDescent="0.35">
      <c r="A58" s="1136" t="s">
        <v>347</v>
      </c>
      <c r="B58" s="1135" t="s">
        <v>159</v>
      </c>
      <c r="C58" s="1137" t="str">
        <f t="shared" si="0"/>
        <v>Go to R-HC-006</v>
      </c>
      <c r="D58" s="1132" t="s">
        <v>361</v>
      </c>
      <c r="E58" s="1132" t="s">
        <v>362</v>
      </c>
      <c r="F58" s="1132" t="s">
        <v>363</v>
      </c>
    </row>
    <row r="59" spans="1:6" ht="36" x14ac:dyDescent="0.35">
      <c r="A59" s="1136" t="s">
        <v>347</v>
      </c>
      <c r="B59" s="1135" t="s">
        <v>161</v>
      </c>
      <c r="C59" s="1137" t="str">
        <f t="shared" si="0"/>
        <v>Go to R-HC-007</v>
      </c>
      <c r="D59" s="1132" t="s">
        <v>364</v>
      </c>
      <c r="E59" s="1132" t="s">
        <v>362</v>
      </c>
      <c r="F59" s="1132" t="s">
        <v>363</v>
      </c>
    </row>
    <row r="60" spans="1:6" ht="48" x14ac:dyDescent="0.35">
      <c r="A60" s="1136" t="s">
        <v>347</v>
      </c>
      <c r="B60" s="1135" t="s">
        <v>162</v>
      </c>
      <c r="C60" s="1137" t="str">
        <f t="shared" si="0"/>
        <v>Go to R-HC-008</v>
      </c>
      <c r="D60" s="1132" t="s">
        <v>365</v>
      </c>
      <c r="E60" s="1132" t="s">
        <v>366</v>
      </c>
      <c r="F60" s="1132" t="s">
        <v>367</v>
      </c>
    </row>
    <row r="61" spans="1:6" ht="36" x14ac:dyDescent="0.35">
      <c r="A61" s="1136" t="s">
        <v>347</v>
      </c>
      <c r="B61" s="1135" t="s">
        <v>164</v>
      </c>
      <c r="C61" s="1137" t="str">
        <f t="shared" si="0"/>
        <v>Go to R-HC-009</v>
      </c>
      <c r="D61" s="1132" t="s">
        <v>239</v>
      </c>
      <c r="E61" s="1132" t="s">
        <v>368</v>
      </c>
      <c r="F61" s="1132" t="s">
        <v>369</v>
      </c>
    </row>
    <row r="62" spans="1:6" ht="48" x14ac:dyDescent="0.35">
      <c r="A62" s="1136" t="s">
        <v>347</v>
      </c>
      <c r="B62" s="1133" t="s">
        <v>165</v>
      </c>
      <c r="C62" s="1137" t="str">
        <f t="shared" si="0"/>
        <v>Go to R-L-001</v>
      </c>
      <c r="D62" s="1131" t="s">
        <v>248</v>
      </c>
      <c r="E62" s="1131" t="s">
        <v>370</v>
      </c>
      <c r="F62" s="1131" t="s">
        <v>371</v>
      </c>
    </row>
    <row r="63" spans="1:6" ht="36" x14ac:dyDescent="0.35">
      <c r="A63" s="1136" t="s">
        <v>347</v>
      </c>
      <c r="B63" s="1133" t="s">
        <v>166</v>
      </c>
      <c r="C63" s="1137" t="str">
        <f t="shared" si="0"/>
        <v>Go to R-L-002</v>
      </c>
      <c r="D63" s="1131" t="s">
        <v>372</v>
      </c>
      <c r="E63" s="1131" t="s">
        <v>373</v>
      </c>
      <c r="F63" s="1131" t="s">
        <v>374</v>
      </c>
    </row>
    <row r="64" spans="1:6" ht="36" x14ac:dyDescent="0.35">
      <c r="A64" s="1136" t="s">
        <v>347</v>
      </c>
      <c r="B64" s="1133" t="s">
        <v>168</v>
      </c>
      <c r="C64" s="1137" t="str">
        <f t="shared" si="0"/>
        <v>Go to R-L-003</v>
      </c>
      <c r="D64" s="1131" t="s">
        <v>263</v>
      </c>
      <c r="E64" s="1131" t="s">
        <v>375</v>
      </c>
      <c r="F64" s="1131" t="s">
        <v>376</v>
      </c>
    </row>
    <row r="65" spans="1:6" ht="36" x14ac:dyDescent="0.35">
      <c r="A65" s="1136" t="s">
        <v>347</v>
      </c>
      <c r="B65" s="1133" t="s">
        <v>170</v>
      </c>
      <c r="C65" s="1137" t="str">
        <f t="shared" si="0"/>
        <v>Go to R-W-001</v>
      </c>
      <c r="D65" s="1132" t="s">
        <v>316</v>
      </c>
      <c r="E65" s="1132" t="s">
        <v>377</v>
      </c>
      <c r="F65" s="1132" t="s">
        <v>378</v>
      </c>
    </row>
    <row r="66" spans="1:6" ht="60" x14ac:dyDescent="0.35">
      <c r="A66" s="1136" t="s">
        <v>347</v>
      </c>
      <c r="B66" s="1133" t="s">
        <v>172</v>
      </c>
      <c r="C66" s="1137" t="str">
        <f t="shared" si="0"/>
        <v>Go to R-W-002</v>
      </c>
      <c r="D66" s="1132" t="s">
        <v>307</v>
      </c>
      <c r="E66" s="1132" t="s">
        <v>379</v>
      </c>
      <c r="F66" s="1132" t="s">
        <v>380</v>
      </c>
    </row>
    <row r="67" spans="1:6" ht="48" x14ac:dyDescent="0.35">
      <c r="A67" s="1136" t="s">
        <v>347</v>
      </c>
      <c r="B67" s="1133" t="s">
        <v>174</v>
      </c>
      <c r="C67" s="1137" t="str">
        <f t="shared" ref="C67:C74" si="1">HYPERLINK("#'"&amp;B67&amp;"'!A1","Go to "&amp;B67)</f>
        <v>Go to R-W-003</v>
      </c>
      <c r="D67" s="1132" t="s">
        <v>381</v>
      </c>
      <c r="E67" s="1132" t="s">
        <v>382</v>
      </c>
      <c r="F67" s="1132" t="s">
        <v>383</v>
      </c>
    </row>
    <row r="68" spans="1:6" ht="48" x14ac:dyDescent="0.35">
      <c r="A68" s="1136" t="s">
        <v>347</v>
      </c>
      <c r="B68" s="1133" t="s">
        <v>176</v>
      </c>
      <c r="C68" s="1137" t="str">
        <f t="shared" si="1"/>
        <v>Go to R-WB-001</v>
      </c>
      <c r="D68" s="1131" t="s">
        <v>384</v>
      </c>
      <c r="E68" s="1131" t="s">
        <v>385</v>
      </c>
      <c r="F68" s="1132" t="s">
        <v>386</v>
      </c>
    </row>
    <row r="69" spans="1:6" ht="36" x14ac:dyDescent="0.35">
      <c r="A69" s="1136" t="s">
        <v>347</v>
      </c>
      <c r="B69" s="1133" t="s">
        <v>178</v>
      </c>
      <c r="C69" s="1137" t="str">
        <f t="shared" si="1"/>
        <v>Go to R-WB-002</v>
      </c>
      <c r="D69" s="1132" t="s">
        <v>387</v>
      </c>
      <c r="E69" s="1131" t="s">
        <v>388</v>
      </c>
      <c r="F69" s="1132" t="s">
        <v>389</v>
      </c>
    </row>
    <row r="70" spans="1:6" ht="60" x14ac:dyDescent="0.35">
      <c r="A70" s="1136" t="s">
        <v>347</v>
      </c>
      <c r="B70" s="1133" t="s">
        <v>179</v>
      </c>
      <c r="C70" s="1137" t="str">
        <f t="shared" si="1"/>
        <v>Go to R-WB-003</v>
      </c>
      <c r="D70" s="1132" t="s">
        <v>390</v>
      </c>
      <c r="E70" s="1131" t="s">
        <v>391</v>
      </c>
      <c r="F70" s="1132" t="s">
        <v>392</v>
      </c>
    </row>
    <row r="71" spans="1:6" ht="186" customHeight="1" x14ac:dyDescent="0.35">
      <c r="A71" s="1136" t="s">
        <v>347</v>
      </c>
      <c r="B71" s="1133" t="s">
        <v>180</v>
      </c>
      <c r="C71" s="1137" t="str">
        <f t="shared" si="1"/>
        <v>Go to R-WB-004</v>
      </c>
      <c r="D71" s="1132" t="s">
        <v>393</v>
      </c>
      <c r="E71" s="1131" t="s">
        <v>394</v>
      </c>
      <c r="F71" s="1132" t="s">
        <v>395</v>
      </c>
    </row>
    <row r="72" spans="1:6" ht="36" x14ac:dyDescent="0.35">
      <c r="A72" s="1136" t="s">
        <v>347</v>
      </c>
      <c r="B72" s="1135" t="s">
        <v>181</v>
      </c>
      <c r="C72" s="1137" t="str">
        <f t="shared" si="1"/>
        <v>Go to R-WB-005</v>
      </c>
      <c r="D72" s="1132" t="s">
        <v>396</v>
      </c>
      <c r="E72" s="1132" t="s">
        <v>397</v>
      </c>
      <c r="F72" s="1132" t="s">
        <v>398</v>
      </c>
    </row>
    <row r="73" spans="1:6" ht="216.75" customHeight="1" x14ac:dyDescent="0.35">
      <c r="A73" s="1136" t="s">
        <v>347</v>
      </c>
      <c r="B73" s="1135" t="s">
        <v>183</v>
      </c>
      <c r="C73" s="1137" t="str">
        <f t="shared" si="1"/>
        <v>Go to R-WB-006</v>
      </c>
      <c r="D73" s="1132" t="s">
        <v>399</v>
      </c>
      <c r="E73" s="1132" t="s">
        <v>400</v>
      </c>
      <c r="F73" s="1132" t="s">
        <v>401</v>
      </c>
    </row>
    <row r="74" spans="1:6" ht="96.75" customHeight="1" x14ac:dyDescent="0.35">
      <c r="A74" s="1136" t="s">
        <v>347</v>
      </c>
      <c r="B74" s="1135" t="s">
        <v>184</v>
      </c>
      <c r="C74" s="1137" t="str">
        <f t="shared" si="1"/>
        <v>Go to R-WB-007</v>
      </c>
      <c r="D74" s="1132" t="s">
        <v>402</v>
      </c>
      <c r="E74" s="1132" t="s">
        <v>403</v>
      </c>
      <c r="F74" s="1132" t="s">
        <v>404</v>
      </c>
    </row>
  </sheetData>
  <sheetProtection algorithmName="SHA-512" hashValue="rss04gkCOtesdsS3OCPA6GEFUNSF0bvaSvNSZhUSIZBYkcmx4HsuDKpGcanL2o+w2H0hvg6XsDrX6rrcm0qVAw==" saltValue="2FHFduJe0u647fIUbPlgIA==" spinCount="100000" sheet="1" objects="1" scenarios="1" selectLockedCells="1" selectUnlockedCells="1"/>
  <autoFilter ref="A1:F74" xr:uid="{68AA39CE-61F0-4CBE-BBD9-76172D6E5431}">
    <sortState xmlns:xlrd2="http://schemas.microsoft.com/office/spreadsheetml/2017/richdata2" ref="A2:F74">
      <sortCondition ref="B1:B74"/>
    </sortState>
  </autoFilter>
  <conditionalFormatting sqref="C2:C74">
    <cfRule type="containsText" dxfId="4357" priority="1" operator="containsText" text="new">
      <formula>NOT(ISERROR(SEARCH("new",C2)))</formula>
    </cfRule>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DE10E-E0C2-44B1-9C7D-FBE9EAA61F22}">
  <sheetPr codeName="Sheet400"/>
  <dimension ref="A2:R116"/>
  <sheetViews>
    <sheetView topLeftCell="A82" workbookViewId="0">
      <selection activeCell="H65" sqref="H65"/>
    </sheetView>
  </sheetViews>
  <sheetFormatPr defaultColWidth="9.08984375" defaultRowHeight="18.75" customHeight="1" x14ac:dyDescent="0.3"/>
  <cols>
    <col min="1" max="1" width="2.36328125" style="488" customWidth="1"/>
    <col min="2" max="2" width="44.36328125" style="488" bestFit="1" customWidth="1"/>
    <col min="3" max="3" width="21.08984375" style="488" customWidth="1"/>
    <col min="4" max="4" width="21.6328125" style="488" customWidth="1"/>
    <col min="5" max="5" width="14.36328125" style="488" customWidth="1"/>
    <col min="6" max="6" width="15.6328125" style="488" customWidth="1"/>
    <col min="7" max="7" width="19.6328125" style="488" customWidth="1"/>
    <col min="8" max="8" width="16"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C-L-002</v>
      </c>
      <c r="D3" s="1367"/>
      <c r="E3" s="1367"/>
      <c r="F3" s="1367"/>
    </row>
    <row r="4" spans="1:18" ht="18.75" customHeight="1" x14ac:dyDescent="0.3">
      <c r="B4" s="490" t="s">
        <v>11</v>
      </c>
      <c r="C4" s="1367" t="str" cm="1">
        <f t="array" ref="C4">_xlfn.SWITCH(LEFT(C8,1),"R","Residential","C","Commercial","ERROR")</f>
        <v>Commercial</v>
      </c>
      <c r="D4" s="1367"/>
      <c r="E4" s="1367"/>
      <c r="F4" s="1367"/>
    </row>
    <row r="5" spans="1:18" ht="44.25" customHeight="1" x14ac:dyDescent="0.3">
      <c r="B5" s="490" t="s">
        <v>408</v>
      </c>
      <c r="C5" s="1530" t="s">
        <v>251</v>
      </c>
      <c r="D5" s="1531"/>
      <c r="E5" s="1531"/>
      <c r="F5" s="1532"/>
      <c r="R5" s="488"/>
    </row>
    <row r="6" spans="1:18" ht="18.75" customHeight="1" x14ac:dyDescent="0.3">
      <c r="A6" s="573"/>
    </row>
    <row r="7" spans="1:18" ht="18.75" customHeight="1" x14ac:dyDescent="0.3">
      <c r="B7" s="1193" t="s">
        <v>507</v>
      </c>
      <c r="C7" s="493" t="s">
        <v>406</v>
      </c>
      <c r="D7" s="1366" t="s">
        <v>410</v>
      </c>
      <c r="E7" s="1366"/>
      <c r="F7" s="1366"/>
      <c r="R7" s="488"/>
    </row>
    <row r="8" spans="1:18" ht="18.75" customHeight="1" x14ac:dyDescent="0.3">
      <c r="B8" s="490" t="s">
        <v>411</v>
      </c>
      <c r="C8" s="1194" t="s">
        <v>109</v>
      </c>
      <c r="D8" s="1521" t="s">
        <v>1555</v>
      </c>
      <c r="E8" s="1522"/>
      <c r="F8" s="1523"/>
      <c r="R8" s="488"/>
    </row>
    <row r="9" spans="1:18" ht="18.75" customHeight="1" x14ac:dyDescent="0.3">
      <c r="B9" s="490" t="s">
        <v>49</v>
      </c>
      <c r="C9" s="1194" t="s">
        <v>677</v>
      </c>
      <c r="D9" s="1524"/>
      <c r="E9" s="1525"/>
      <c r="F9" s="1526"/>
      <c r="R9" s="488"/>
    </row>
    <row r="10" spans="1:18" ht="18.75" customHeight="1" x14ac:dyDescent="0.3">
      <c r="B10" s="490" t="s">
        <v>412</v>
      </c>
      <c r="C10" s="1194"/>
      <c r="D10" s="1524"/>
      <c r="E10" s="1525"/>
      <c r="F10" s="1526"/>
      <c r="R10" s="488"/>
    </row>
    <row r="11" spans="1:18" ht="18.75" customHeight="1" x14ac:dyDescent="0.3">
      <c r="B11" s="490" t="s">
        <v>413</v>
      </c>
      <c r="C11" s="1194"/>
      <c r="D11" s="1524"/>
      <c r="E11" s="1525"/>
      <c r="F11" s="1526"/>
      <c r="R11" s="488"/>
    </row>
    <row r="12" spans="1:18" ht="18.75" customHeight="1" x14ac:dyDescent="0.3">
      <c r="B12" s="490" t="s">
        <v>414</v>
      </c>
      <c r="C12" s="602"/>
      <c r="D12" s="1524"/>
      <c r="E12" s="1525"/>
      <c r="F12" s="1526"/>
      <c r="R12" s="488"/>
    </row>
    <row r="13" spans="1:18" ht="18.75" customHeight="1" x14ac:dyDescent="0.3">
      <c r="B13" s="494" t="s">
        <v>415</v>
      </c>
      <c r="C13" s="495">
        <f>N49</f>
        <v>100.73781999999999</v>
      </c>
      <c r="D13" s="1524"/>
      <c r="E13" s="1525"/>
      <c r="F13" s="1526"/>
      <c r="R13" s="488"/>
    </row>
    <row r="14" spans="1:18" ht="18.75" customHeight="1" x14ac:dyDescent="0.3">
      <c r="B14" s="494" t="s">
        <v>416</v>
      </c>
      <c r="C14" s="495">
        <v>0</v>
      </c>
      <c r="D14" s="1524"/>
      <c r="E14" s="1525"/>
      <c r="F14" s="1526"/>
      <c r="R14" s="488"/>
    </row>
    <row r="15" spans="1:18" ht="18.75" customHeight="1" x14ac:dyDescent="0.3">
      <c r="B15" s="494" t="s">
        <v>417</v>
      </c>
      <c r="C15" s="495">
        <f>N56</f>
        <v>0</v>
      </c>
      <c r="D15" s="1524"/>
      <c r="E15" s="1525"/>
      <c r="F15" s="1526"/>
      <c r="R15" s="488"/>
    </row>
    <row r="16" spans="1:18" ht="18.75" customHeight="1" x14ac:dyDescent="0.3">
      <c r="B16" s="494" t="s">
        <v>418</v>
      </c>
      <c r="C16" s="496">
        <f>C37</f>
        <v>0</v>
      </c>
      <c r="D16" s="1527"/>
      <c r="E16" s="1528"/>
      <c r="F16" s="1529"/>
      <c r="R16" s="488"/>
    </row>
    <row r="17" spans="2:18" ht="18.75" customHeight="1" x14ac:dyDescent="0.3">
      <c r="B17" s="490" t="s">
        <v>48</v>
      </c>
      <c r="C17" s="1194" t="s">
        <v>678</v>
      </c>
      <c r="D17" s="1366" t="s">
        <v>419</v>
      </c>
      <c r="E17" s="1366"/>
      <c r="F17" s="1366"/>
      <c r="R17" s="488"/>
    </row>
    <row r="18" spans="2:18" ht="18.75" customHeight="1" x14ac:dyDescent="0.3">
      <c r="B18" s="490" t="s">
        <v>420</v>
      </c>
      <c r="C18" s="541">
        <v>8</v>
      </c>
      <c r="D18" s="1648" t="s">
        <v>1521</v>
      </c>
      <c r="E18" s="1648"/>
      <c r="F18" s="1648"/>
      <c r="R18" s="488"/>
    </row>
    <row r="19" spans="2:18" ht="18.75" customHeight="1" x14ac:dyDescent="0.3">
      <c r="B19" s="613"/>
      <c r="C19" s="614"/>
      <c r="F19" s="489"/>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18.75" customHeight="1" x14ac:dyDescent="0.3">
      <c r="B21" s="499" t="s">
        <v>422</v>
      </c>
      <c r="C21" s="1546" t="s">
        <v>252</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36" t="s">
        <v>253</v>
      </c>
      <c r="D22" s="1536"/>
      <c r="E22" s="1536"/>
      <c r="F22" s="1536"/>
      <c r="G22" s="1536"/>
      <c r="H22" s="1536"/>
      <c r="I22" s="1536"/>
      <c r="J22" s="1536"/>
      <c r="K22" s="1536"/>
      <c r="L22" s="1536"/>
      <c r="M22" s="1536"/>
      <c r="N22" s="1536"/>
      <c r="O22" s="1536"/>
      <c r="P22" s="1536"/>
      <c r="Q22" s="1536"/>
      <c r="R22" s="488"/>
    </row>
    <row r="23" spans="2:18" ht="96.75" customHeight="1"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999" t="s">
        <v>430</v>
      </c>
      <c r="E33" s="1512"/>
      <c r="F33" s="1512"/>
      <c r="G33" s="1512"/>
      <c r="H33" s="1512"/>
      <c r="I33" s="1512"/>
      <c r="J33" s="1512"/>
      <c r="K33" s="1512"/>
      <c r="L33" s="1512"/>
      <c r="M33" s="1512"/>
      <c r="N33" s="1512"/>
      <c r="O33" s="1512"/>
      <c r="P33" s="1512"/>
      <c r="Q33" s="1512"/>
      <c r="R33" s="488"/>
    </row>
    <row r="34" spans="2:18" ht="18.75" customHeight="1" x14ac:dyDescent="0.3">
      <c r="B34" s="494" t="s">
        <v>431</v>
      </c>
      <c r="C34" s="542"/>
      <c r="D34" s="999"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999" t="s">
        <v>430</v>
      </c>
      <c r="E35" s="1512"/>
      <c r="F35" s="1512"/>
      <c r="G35" s="1512"/>
      <c r="H35" s="1512"/>
      <c r="I35" s="1512"/>
      <c r="J35" s="1512"/>
      <c r="K35" s="1512"/>
      <c r="L35" s="1512"/>
      <c r="M35" s="1512"/>
      <c r="N35" s="1512"/>
      <c r="O35" s="1512"/>
      <c r="P35" s="1512"/>
      <c r="Q35" s="1512"/>
    </row>
    <row r="36" spans="2:18" ht="18.75" customHeight="1" x14ac:dyDescent="0.3">
      <c r="B36" s="494" t="s">
        <v>433</v>
      </c>
      <c r="C36" s="905">
        <f>C34</f>
        <v>0</v>
      </c>
      <c r="D36" s="999" t="s">
        <v>430</v>
      </c>
      <c r="E36" s="1442" t="s">
        <v>1522</v>
      </c>
      <c r="F36" s="1442"/>
      <c r="G36" s="1442"/>
      <c r="H36" s="1442"/>
      <c r="I36" s="1442"/>
      <c r="J36" s="1442"/>
      <c r="K36" s="1442"/>
      <c r="L36" s="1442"/>
      <c r="M36" s="1442"/>
      <c r="N36" s="1442"/>
      <c r="O36" s="1442"/>
      <c r="P36" s="1442"/>
      <c r="Q36" s="1442"/>
    </row>
    <row r="37" spans="2:18" ht="18.75" customHeight="1" x14ac:dyDescent="0.3">
      <c r="B37" s="494" t="s">
        <v>434</v>
      </c>
      <c r="C37" s="905">
        <f>IF(C27="RET",C33+(C34-C35),C34-C35)</f>
        <v>0</v>
      </c>
      <c r="D37" s="999"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100.73781999999999</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1523</v>
      </c>
      <c r="D49" s="1505"/>
      <c r="E49" s="1505"/>
      <c r="F49" s="1505"/>
      <c r="G49" s="1505"/>
      <c r="H49" s="1505"/>
      <c r="I49" s="1505"/>
      <c r="J49" s="1505"/>
      <c r="K49" s="1505"/>
      <c r="L49" s="1505"/>
      <c r="M49" s="1506"/>
      <c r="N49" s="592">
        <f>H62*H63*H64</f>
        <v>100.73781999999999</v>
      </c>
      <c r="O49" s="1243" t="s">
        <v>443</v>
      </c>
      <c r="P49" s="1511"/>
      <c r="Q49" s="1511"/>
      <c r="R49" s="488"/>
    </row>
    <row r="50" spans="2:18" ht="18.75" customHeight="1" x14ac:dyDescent="0.3">
      <c r="B50" s="582" t="s">
        <v>456</v>
      </c>
      <c r="C50" s="1504" t="s">
        <v>457</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1011</v>
      </c>
      <c r="D56" s="1505"/>
      <c r="E56" s="1505"/>
      <c r="F56" s="1505"/>
      <c r="G56" s="1505"/>
      <c r="H56" s="1505"/>
      <c r="I56" s="1505"/>
      <c r="J56" s="1505"/>
      <c r="K56" s="1505"/>
      <c r="L56" s="1505"/>
      <c r="M56" s="1506"/>
      <c r="N56" s="1000"/>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506" t="s">
        <v>406</v>
      </c>
      <c r="I61" s="506" t="s">
        <v>428</v>
      </c>
      <c r="J61" s="1396" t="s">
        <v>476</v>
      </c>
      <c r="K61" s="1397"/>
      <c r="L61" s="1397"/>
      <c r="M61" s="1397"/>
      <c r="N61" s="1397"/>
      <c r="O61" s="1397"/>
      <c r="P61" s="1397"/>
      <c r="Q61" s="1398"/>
    </row>
    <row r="62" spans="2:18" ht="45" customHeight="1" x14ac:dyDescent="0.3">
      <c r="B62" s="533">
        <v>1</v>
      </c>
      <c r="C62" s="546" t="s">
        <v>684</v>
      </c>
      <c r="D62" s="1539" t="s">
        <v>1525</v>
      </c>
      <c r="E62" s="1539"/>
      <c r="F62" s="1217" t="str">
        <f>$H$67</f>
        <v>Outdoor, fixture occupancy sensor</v>
      </c>
      <c r="G62" s="1217" t="s">
        <v>1526</v>
      </c>
      <c r="H62" s="645">
        <f>INDEX($B$97:$N$117,MATCH($F62,$C$97:$C$117,0),MATCH(G62,$B$96:$N$96,0))</f>
        <v>8.5999999999999993E-2</v>
      </c>
      <c r="I62" s="1217" t="s">
        <v>726</v>
      </c>
      <c r="J62" s="1437" t="s">
        <v>1527</v>
      </c>
      <c r="K62" s="1448"/>
      <c r="L62" s="1448"/>
      <c r="M62" s="1448"/>
      <c r="N62" s="1448"/>
      <c r="O62" s="1448"/>
      <c r="P62" s="1448"/>
      <c r="Q62" s="1438"/>
      <c r="R62" s="488"/>
    </row>
    <row r="63" spans="2:18" ht="26" x14ac:dyDescent="0.3">
      <c r="B63" s="533">
        <v>2</v>
      </c>
      <c r="C63" s="546" t="s">
        <v>695</v>
      </c>
      <c r="D63" s="1539" t="s">
        <v>1477</v>
      </c>
      <c r="E63" s="1539"/>
      <c r="F63" s="1217" t="str">
        <f>$H$67</f>
        <v>Outdoor, fixture occupancy sensor</v>
      </c>
      <c r="G63" s="1217" t="s">
        <v>1477</v>
      </c>
      <c r="H63" s="554">
        <f>INDEX($B$97:$N$117,MATCH($F63,$C$97:$C$117,0),MATCH(G63,$B$96:$N$96,0))</f>
        <v>0.41</v>
      </c>
      <c r="I63" s="1217" t="s">
        <v>519</v>
      </c>
      <c r="J63" s="1468" t="s">
        <v>1528</v>
      </c>
      <c r="K63" s="1478"/>
      <c r="L63" s="1478"/>
      <c r="M63" s="1478"/>
      <c r="N63" s="1478"/>
      <c r="O63" s="1478"/>
      <c r="P63" s="1478"/>
      <c r="Q63" s="1469"/>
      <c r="R63" s="488"/>
    </row>
    <row r="64" spans="2:18" ht="15" customHeight="1" x14ac:dyDescent="0.3">
      <c r="B64" s="533">
        <v>3</v>
      </c>
      <c r="C64" s="546" t="s">
        <v>698</v>
      </c>
      <c r="D64" s="1539" t="s">
        <v>732</v>
      </c>
      <c r="E64" s="1539"/>
      <c r="F64" s="1217" t="s">
        <v>54</v>
      </c>
      <c r="G64" s="1217" t="s">
        <v>733</v>
      </c>
      <c r="H64" s="974">
        <f>INDEX(BuildingType[],MATCH($C$28,BuildingType[Building],0),MATCH($G$64,BuildingType[#Headers],0))</f>
        <v>2857</v>
      </c>
      <c r="I64" s="1217" t="s">
        <v>532</v>
      </c>
      <c r="J64" s="1462" t="s">
        <v>734</v>
      </c>
      <c r="K64" s="1470"/>
      <c r="L64" s="1470"/>
      <c r="M64" s="1470"/>
      <c r="N64" s="1470"/>
      <c r="O64" s="1470"/>
      <c r="P64" s="1470"/>
      <c r="Q64" s="1471"/>
      <c r="R64" s="488"/>
    </row>
    <row r="65" spans="2:18" ht="27" customHeight="1" x14ac:dyDescent="0.3">
      <c r="B65" s="533">
        <v>4</v>
      </c>
      <c r="C65" s="549" t="s">
        <v>704</v>
      </c>
      <c r="D65" s="1539" t="s">
        <v>1529</v>
      </c>
      <c r="E65" s="1539"/>
      <c r="F65" s="1217" t="s">
        <v>789</v>
      </c>
      <c r="G65" s="1217" t="s">
        <v>1530</v>
      </c>
      <c r="H65" s="1001">
        <v>0</v>
      </c>
      <c r="I65" s="1217" t="s">
        <v>1034</v>
      </c>
      <c r="J65" s="1462" t="s">
        <v>1556</v>
      </c>
      <c r="K65" s="1464"/>
      <c r="L65" s="1464"/>
      <c r="M65" s="1464"/>
      <c r="N65" s="1464"/>
      <c r="O65" s="1464"/>
      <c r="P65" s="1464"/>
      <c r="Q65" s="1463"/>
      <c r="R65" s="488"/>
    </row>
    <row r="66" spans="2:18" ht="25.5" customHeight="1" x14ac:dyDescent="0.3">
      <c r="B66" s="533">
        <v>5</v>
      </c>
      <c r="C66" s="546" t="s">
        <v>517</v>
      </c>
      <c r="D66" s="1468" t="s">
        <v>1532</v>
      </c>
      <c r="E66" s="1469"/>
      <c r="F66" s="1224"/>
      <c r="G66" s="1224"/>
      <c r="H66" s="963">
        <f>SpaceHeatingEfficiency.CI.NG</f>
        <v>0.85</v>
      </c>
      <c r="I66" s="1224" t="s">
        <v>519</v>
      </c>
      <c r="J66" s="1468" t="s">
        <v>1029</v>
      </c>
      <c r="K66" s="1478"/>
      <c r="L66" s="1478"/>
      <c r="M66" s="1478"/>
      <c r="N66" s="1478"/>
      <c r="O66" s="1478"/>
      <c r="P66" s="1478"/>
      <c r="Q66" s="1469"/>
      <c r="R66" s="488"/>
    </row>
    <row r="67" spans="2:18" ht="42.75" customHeight="1" x14ac:dyDescent="0.3">
      <c r="B67" s="535">
        <v>6</v>
      </c>
      <c r="C67" s="551" t="s">
        <v>1194</v>
      </c>
      <c r="D67" s="1543" t="s">
        <v>1533</v>
      </c>
      <c r="E67" s="1543"/>
      <c r="F67" s="552" t="s">
        <v>1534</v>
      </c>
      <c r="G67" s="552"/>
      <c r="H67" s="552" t="s">
        <v>1557</v>
      </c>
      <c r="I67" s="552" t="s">
        <v>597</v>
      </c>
      <c r="J67" s="1659" t="s">
        <v>727</v>
      </c>
      <c r="K67" s="1660"/>
      <c r="L67" s="1660"/>
      <c r="M67" s="1660"/>
      <c r="N67" s="1660"/>
      <c r="O67" s="1660"/>
      <c r="P67" s="1660"/>
      <c r="Q67" s="1661"/>
      <c r="R67" s="488"/>
    </row>
    <row r="68" spans="2:18" ht="13" x14ac:dyDescent="0.3">
      <c r="B68" s="533">
        <v>7</v>
      </c>
      <c r="C68" s="546"/>
      <c r="D68" s="1539"/>
      <c r="E68" s="1539"/>
      <c r="F68" s="1217"/>
      <c r="G68" s="1217"/>
      <c r="H68" s="1217"/>
      <c r="I68" s="1217"/>
      <c r="J68" s="1507"/>
      <c r="K68" s="1514"/>
      <c r="L68" s="1514"/>
      <c r="M68" s="1514"/>
      <c r="N68" s="1514"/>
      <c r="O68" s="1514"/>
      <c r="P68" s="1514"/>
      <c r="Q68" s="1515"/>
      <c r="R68" s="488"/>
    </row>
    <row r="69" spans="2:18" ht="13" x14ac:dyDescent="0.3">
      <c r="B69" s="533">
        <v>8</v>
      </c>
      <c r="C69" s="546"/>
      <c r="D69" s="1539"/>
      <c r="E69" s="1539"/>
      <c r="F69" s="1217"/>
      <c r="G69" s="1217"/>
      <c r="H69" s="1217"/>
      <c r="I69" s="1217"/>
      <c r="J69" s="1507"/>
      <c r="K69" s="1514"/>
      <c r="L69" s="1514"/>
      <c r="M69" s="1514"/>
      <c r="N69" s="1514"/>
      <c r="O69" s="1514"/>
      <c r="P69" s="1514"/>
      <c r="Q69" s="1515"/>
      <c r="R69" s="488"/>
    </row>
    <row r="70" spans="2:18" ht="13" x14ac:dyDescent="0.3">
      <c r="B70" s="533">
        <v>9</v>
      </c>
      <c r="C70" s="546"/>
      <c r="D70" s="1539"/>
      <c r="E70" s="1539"/>
      <c r="F70" s="1217"/>
      <c r="G70" s="1217"/>
      <c r="H70" s="571"/>
      <c r="I70" s="1217"/>
      <c r="J70" s="1507"/>
      <c r="K70" s="1514"/>
      <c r="L70" s="1514"/>
      <c r="M70" s="1514"/>
      <c r="N70" s="1514"/>
      <c r="O70" s="1514"/>
      <c r="P70" s="1514"/>
      <c r="Q70" s="1515"/>
      <c r="R70" s="488"/>
    </row>
    <row r="71" spans="2:18" s="491" customFormat="1" ht="13" x14ac:dyDescent="0.3">
      <c r="B71" s="533">
        <v>10</v>
      </c>
      <c r="C71" s="555"/>
      <c r="D71" s="1437"/>
      <c r="E71" s="1438"/>
      <c r="F71" s="556"/>
      <c r="G71" s="557"/>
      <c r="H71" s="556"/>
      <c r="I71" s="557"/>
      <c r="J71" s="1437"/>
      <c r="K71" s="1448"/>
      <c r="L71" s="1448"/>
      <c r="M71" s="1448"/>
      <c r="N71" s="1448"/>
      <c r="O71" s="1448"/>
      <c r="P71" s="1448"/>
      <c r="Q71" s="1438"/>
    </row>
    <row r="72" spans="2:18" s="491" customFormat="1" ht="13" x14ac:dyDescent="0.3">
      <c r="B72" s="533">
        <v>11</v>
      </c>
      <c r="C72" s="555"/>
      <c r="D72" s="1195"/>
      <c r="E72" s="1196"/>
      <c r="F72" s="556"/>
      <c r="G72" s="557"/>
      <c r="H72" s="556"/>
      <c r="I72" s="557"/>
      <c r="J72" s="1195"/>
      <c r="K72" s="1197"/>
      <c r="L72" s="1197"/>
      <c r="M72" s="1197"/>
      <c r="N72" s="1197"/>
      <c r="O72" s="1197"/>
      <c r="P72" s="1197"/>
      <c r="Q72" s="1196"/>
    </row>
    <row r="73" spans="2:18" s="491" customFormat="1" ht="13" x14ac:dyDescent="0.3">
      <c r="B73" s="533">
        <v>12</v>
      </c>
      <c r="C73" s="555"/>
      <c r="D73" s="1437"/>
      <c r="E73" s="1438"/>
      <c r="F73" s="556"/>
      <c r="G73" s="557"/>
      <c r="H73" s="558"/>
      <c r="I73" s="557"/>
      <c r="J73" s="1472"/>
      <c r="K73" s="1473"/>
      <c r="L73" s="1473"/>
      <c r="M73" s="1473"/>
      <c r="N73" s="1473"/>
      <c r="O73" s="1473"/>
      <c r="P73" s="1473"/>
      <c r="Q73" s="1474"/>
    </row>
    <row r="74" spans="2:18" s="491" customFormat="1" ht="13" x14ac:dyDescent="0.3">
      <c r="B74" s="533">
        <v>13</v>
      </c>
      <c r="C74" s="555"/>
      <c r="D74" s="1437"/>
      <c r="E74" s="1438"/>
      <c r="F74" s="556"/>
      <c r="G74" s="557"/>
      <c r="H74" s="556"/>
      <c r="I74" s="557"/>
      <c r="J74" s="1472"/>
      <c r="K74" s="1473"/>
      <c r="L74" s="1473"/>
      <c r="M74" s="1473"/>
      <c r="N74" s="1473"/>
      <c r="O74" s="1473"/>
      <c r="P74" s="1473"/>
      <c r="Q74" s="1474"/>
    </row>
    <row r="75" spans="2:18" s="489" customFormat="1" ht="13.15" customHeight="1" x14ac:dyDescent="0.3">
      <c r="B75" s="533">
        <v>14</v>
      </c>
      <c r="C75" s="555"/>
      <c r="D75" s="1437"/>
      <c r="E75" s="1438"/>
      <c r="F75" s="556"/>
      <c r="G75" s="557"/>
      <c r="H75" s="556"/>
      <c r="I75" s="557"/>
      <c r="J75" s="1472"/>
      <c r="K75" s="1473"/>
      <c r="L75" s="1473"/>
      <c r="M75" s="1473"/>
      <c r="N75" s="1473"/>
      <c r="O75" s="1473"/>
      <c r="P75" s="1473"/>
      <c r="Q75" s="1474"/>
    </row>
    <row r="76" spans="2:18" s="489" customFormat="1" ht="13" x14ac:dyDescent="0.3">
      <c r="B76" s="533">
        <v>15</v>
      </c>
      <c r="C76" s="555"/>
      <c r="D76" s="1437"/>
      <c r="E76" s="1438"/>
      <c r="F76" s="556"/>
      <c r="G76" s="557"/>
      <c r="H76" s="559"/>
      <c r="I76" s="557"/>
      <c r="J76" s="1472"/>
      <c r="K76" s="1473"/>
      <c r="L76" s="1473"/>
      <c r="M76" s="1473"/>
      <c r="N76" s="1473"/>
      <c r="O76" s="1473"/>
      <c r="P76" s="1473"/>
      <c r="Q76" s="1474"/>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233"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233"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233"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233"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233" t="s">
        <v>491</v>
      </c>
      <c r="F85" s="1489" t="s">
        <v>485</v>
      </c>
      <c r="G85" s="1490"/>
      <c r="H85" s="1490"/>
      <c r="I85" s="1490"/>
      <c r="J85" s="1490"/>
      <c r="K85" s="1490"/>
      <c r="L85" s="1490"/>
      <c r="M85" s="1490"/>
      <c r="N85" s="1490"/>
      <c r="O85" s="1490"/>
      <c r="P85" s="1490"/>
      <c r="Q85" s="1491"/>
      <c r="R85" s="488"/>
    </row>
    <row r="86" spans="2:18" ht="13" x14ac:dyDescent="0.3">
      <c r="B86" s="533">
        <v>6</v>
      </c>
      <c r="C86" s="560"/>
      <c r="D86" s="562"/>
      <c r="E86" s="1233"/>
      <c r="F86" s="1486"/>
      <c r="G86" s="1487"/>
      <c r="H86" s="1487"/>
      <c r="I86" s="1487"/>
      <c r="J86" s="1487"/>
      <c r="K86" s="1487"/>
      <c r="L86" s="1487"/>
      <c r="M86" s="1487"/>
      <c r="N86" s="1487"/>
      <c r="O86" s="1487"/>
      <c r="P86" s="1487"/>
      <c r="Q86" s="1488"/>
      <c r="R86" s="488"/>
    </row>
    <row r="87" spans="2:18" ht="13" x14ac:dyDescent="0.3">
      <c r="B87" s="533">
        <v>7</v>
      </c>
      <c r="C87" s="563"/>
      <c r="D87" s="1233"/>
      <c r="E87" s="1233"/>
      <c r="F87" s="1489"/>
      <c r="G87" s="1490"/>
      <c r="H87" s="1490"/>
      <c r="I87" s="1490"/>
      <c r="J87" s="1490"/>
      <c r="K87" s="1490"/>
      <c r="L87" s="1490"/>
      <c r="M87" s="1490"/>
      <c r="N87" s="1490"/>
      <c r="O87" s="1490"/>
      <c r="P87" s="1490"/>
      <c r="Q87" s="1491"/>
      <c r="R87" s="488"/>
    </row>
    <row r="88" spans="2:18" ht="13" x14ac:dyDescent="0.3">
      <c r="B88" s="533">
        <v>8</v>
      </c>
      <c r="C88" s="563"/>
      <c r="D88" s="564"/>
      <c r="E88" s="1233"/>
      <c r="F88" s="1489"/>
      <c r="G88" s="1490"/>
      <c r="H88" s="1490"/>
      <c r="I88" s="1490"/>
      <c r="J88" s="1490"/>
      <c r="K88" s="1490"/>
      <c r="L88" s="1490"/>
      <c r="M88" s="1490"/>
      <c r="N88" s="1490"/>
      <c r="O88" s="1490"/>
      <c r="P88" s="1490"/>
      <c r="Q88" s="1491"/>
      <c r="R88" s="488"/>
    </row>
    <row r="89" spans="2:18" ht="13" x14ac:dyDescent="0.3">
      <c r="B89" s="533">
        <v>9</v>
      </c>
      <c r="C89" s="563"/>
      <c r="D89" s="1233"/>
      <c r="E89" s="1233"/>
      <c r="F89" s="1489"/>
      <c r="G89" s="1490"/>
      <c r="H89" s="1490"/>
      <c r="I89" s="1490"/>
      <c r="J89" s="1490"/>
      <c r="K89" s="1490"/>
      <c r="L89" s="1490"/>
      <c r="M89" s="1490"/>
      <c r="N89" s="1490"/>
      <c r="O89" s="1490"/>
      <c r="P89" s="1490"/>
      <c r="Q89" s="1491"/>
      <c r="R89" s="488"/>
    </row>
    <row r="90" spans="2:18" ht="13" x14ac:dyDescent="0.3">
      <c r="B90" s="533">
        <v>10</v>
      </c>
      <c r="C90" s="563"/>
      <c r="D90" s="564"/>
      <c r="E90" s="1233"/>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t="s">
        <v>1536</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c r="R95" s="488"/>
    </row>
    <row r="96" spans="2:18" ht="25.5" customHeight="1" x14ac:dyDescent="0.3">
      <c r="B96" s="1188" t="s">
        <v>478</v>
      </c>
      <c r="C96" s="1402" t="s">
        <v>538</v>
      </c>
      <c r="D96" s="1431"/>
      <c r="E96" s="565" t="s">
        <v>1526</v>
      </c>
      <c r="F96" s="565" t="s">
        <v>434</v>
      </c>
      <c r="G96" s="565" t="s">
        <v>1477</v>
      </c>
      <c r="H96" s="565"/>
      <c r="I96" s="565"/>
      <c r="J96" s="565"/>
      <c r="K96" s="565"/>
      <c r="L96" s="565"/>
      <c r="M96" s="565"/>
      <c r="N96" s="566"/>
      <c r="O96" s="1410"/>
      <c r="P96" s="1411"/>
      <c r="Q96" s="1412"/>
      <c r="R96" s="488"/>
    </row>
    <row r="97" spans="2:18" ht="26" x14ac:dyDescent="0.3">
      <c r="B97" s="533">
        <v>1</v>
      </c>
      <c r="C97" s="546" t="s">
        <v>1557</v>
      </c>
      <c r="D97" s="1184"/>
      <c r="E97" s="569">
        <v>8.5999999999999993E-2</v>
      </c>
      <c r="F97" s="569">
        <v>82</v>
      </c>
      <c r="G97" s="569">
        <v>0.41</v>
      </c>
      <c r="H97" s="678"/>
      <c r="I97" s="679"/>
      <c r="J97" s="568"/>
      <c r="K97" s="568"/>
      <c r="L97" s="568"/>
      <c r="M97" s="568"/>
      <c r="N97" s="568"/>
      <c r="O97" s="1501"/>
      <c r="P97" s="1502"/>
      <c r="Q97" s="1503"/>
      <c r="R97" s="488"/>
    </row>
    <row r="98" spans="2:18" ht="13" x14ac:dyDescent="0.3">
      <c r="B98" s="533">
        <v>2</v>
      </c>
      <c r="C98" s="546"/>
      <c r="D98" s="1184"/>
      <c r="E98" s="569"/>
      <c r="F98" s="569"/>
      <c r="G98" s="569"/>
      <c r="H98" s="678"/>
      <c r="I98" s="679"/>
      <c r="J98" s="568"/>
      <c r="K98" s="568"/>
      <c r="L98" s="568"/>
      <c r="M98" s="568"/>
      <c r="N98" s="568"/>
      <c r="O98" s="1495"/>
      <c r="P98" s="1496"/>
      <c r="Q98" s="1497"/>
      <c r="R98" s="488"/>
    </row>
    <row r="99" spans="2:18" ht="13" x14ac:dyDescent="0.3">
      <c r="B99" s="533">
        <v>3</v>
      </c>
      <c r="C99" s="546"/>
      <c r="D99" s="1184"/>
      <c r="E99" s="569"/>
      <c r="F99" s="569"/>
      <c r="G99" s="569"/>
      <c r="H99" s="568"/>
      <c r="I99" s="680"/>
      <c r="J99" s="568"/>
      <c r="K99" s="568"/>
      <c r="L99" s="568"/>
      <c r="M99" s="568"/>
      <c r="N99" s="568"/>
      <c r="O99" s="1495"/>
      <c r="P99" s="1496"/>
      <c r="Q99" s="1497"/>
      <c r="R99" s="488"/>
    </row>
    <row r="100" spans="2:18" ht="13" x14ac:dyDescent="0.3">
      <c r="B100" s="533">
        <v>4</v>
      </c>
      <c r="C100" s="546"/>
      <c r="D100" s="1184"/>
      <c r="E100" s="569"/>
      <c r="F100" s="569"/>
      <c r="G100" s="569"/>
      <c r="H100" s="678"/>
      <c r="I100" s="679"/>
      <c r="J100" s="568"/>
      <c r="K100" s="568"/>
      <c r="L100" s="568"/>
      <c r="M100" s="568"/>
      <c r="N100" s="568"/>
      <c r="O100" s="1495"/>
      <c r="P100" s="1496"/>
      <c r="Q100" s="1497"/>
      <c r="R100" s="488"/>
    </row>
    <row r="101" spans="2:18" ht="13" x14ac:dyDescent="0.3">
      <c r="B101" s="533">
        <v>5</v>
      </c>
      <c r="C101" s="546"/>
      <c r="D101" s="1184"/>
      <c r="E101" s="569"/>
      <c r="F101" s="569"/>
      <c r="G101" s="569"/>
      <c r="H101" s="678"/>
      <c r="I101" s="679"/>
      <c r="J101" s="568"/>
      <c r="K101" s="568"/>
      <c r="L101" s="568"/>
      <c r="M101" s="568"/>
      <c r="N101" s="568"/>
      <c r="O101" s="1495"/>
      <c r="P101" s="1496"/>
      <c r="Q101" s="1497"/>
      <c r="R101" s="488"/>
    </row>
    <row r="102" spans="2:18" ht="13" x14ac:dyDescent="0.3">
      <c r="B102" s="533">
        <v>6</v>
      </c>
      <c r="C102" s="546"/>
      <c r="D102" s="570"/>
      <c r="E102" s="569"/>
      <c r="F102" s="569"/>
      <c r="G102" s="569"/>
      <c r="H102" s="1190"/>
      <c r="I102" s="569"/>
      <c r="J102" s="569"/>
      <c r="K102" s="569"/>
      <c r="L102" s="569"/>
      <c r="M102" s="569"/>
      <c r="N102" s="569"/>
      <c r="O102" s="1492"/>
      <c r="P102" s="1493"/>
      <c r="Q102" s="1494"/>
      <c r="R102" s="488"/>
    </row>
    <row r="103" spans="2:18" ht="13" x14ac:dyDescent="0.3">
      <c r="B103" s="533">
        <v>7</v>
      </c>
      <c r="C103" s="546"/>
      <c r="D103" s="570"/>
      <c r="E103" s="569"/>
      <c r="F103" s="569"/>
      <c r="G103" s="569"/>
      <c r="H103" s="1190"/>
      <c r="I103" s="569"/>
      <c r="J103" s="569"/>
      <c r="K103" s="569"/>
      <c r="L103" s="569"/>
      <c r="M103" s="569"/>
      <c r="N103" s="569"/>
      <c r="O103" s="1492"/>
      <c r="P103" s="1493"/>
      <c r="Q103" s="1494"/>
      <c r="R103" s="488"/>
    </row>
    <row r="104" spans="2:18" ht="13" x14ac:dyDescent="0.3">
      <c r="B104" s="533">
        <v>8</v>
      </c>
      <c r="C104" s="546"/>
      <c r="D104" s="570"/>
      <c r="E104" s="569"/>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sheetData>
  <sheetProtection algorithmName="SHA-512" hashValue="75moz0oGF3fY8Nag39cbjM4kD6+yCvVvg/hfsVEofIinihBTfp7+BiqkdWcvLiu4RvA7AaDna423yzO4x2vhPQ==" saltValue="SZnyDj/a5HKLdU6gNNTEiw==" spinCount="100000" sheet="1" objects="1" scenarios="1" selectLockedCells="1" selectUnlockedCells="1"/>
  <mergeCells count="119">
    <mergeCell ref="O98:Q98"/>
    <mergeCell ref="O99:Q99"/>
    <mergeCell ref="O100:Q100"/>
    <mergeCell ref="O101:Q101"/>
    <mergeCell ref="O102:Q102"/>
    <mergeCell ref="O103:Q103"/>
    <mergeCell ref="E94:N94"/>
    <mergeCell ref="O94:Q96"/>
    <mergeCell ref="O116:Q116"/>
    <mergeCell ref="O110:Q110"/>
    <mergeCell ref="O111:Q111"/>
    <mergeCell ref="O112:Q112"/>
    <mergeCell ref="O113:Q113"/>
    <mergeCell ref="O114:Q114"/>
    <mergeCell ref="O115:Q115"/>
    <mergeCell ref="O104:Q104"/>
    <mergeCell ref="O105:Q105"/>
    <mergeCell ref="O106:Q106"/>
    <mergeCell ref="O107:Q107"/>
    <mergeCell ref="O108:Q108"/>
    <mergeCell ref="O109:Q109"/>
    <mergeCell ref="B95:D95"/>
    <mergeCell ref="C96:D96"/>
    <mergeCell ref="O97:Q97"/>
    <mergeCell ref="F84:Q84"/>
    <mergeCell ref="F85:Q85"/>
    <mergeCell ref="F86:Q86"/>
    <mergeCell ref="F87:Q87"/>
    <mergeCell ref="F88:Q88"/>
    <mergeCell ref="F89:Q89"/>
    <mergeCell ref="F90:Q90"/>
    <mergeCell ref="F80:Q80"/>
    <mergeCell ref="F81:Q81"/>
    <mergeCell ref="F82:Q82"/>
    <mergeCell ref="F83:Q83"/>
    <mergeCell ref="D71:E71"/>
    <mergeCell ref="J71:Q71"/>
    <mergeCell ref="D73:E73"/>
    <mergeCell ref="J73:Q73"/>
    <mergeCell ref="D74:E74"/>
    <mergeCell ref="J74:Q74"/>
    <mergeCell ref="D75:E75"/>
    <mergeCell ref="J75:Q75"/>
    <mergeCell ref="D76:E76"/>
    <mergeCell ref="J76:Q76"/>
    <mergeCell ref="D70:E70"/>
    <mergeCell ref="J70:Q70"/>
    <mergeCell ref="J66:Q66"/>
    <mergeCell ref="D67:E67"/>
    <mergeCell ref="J67:Q67"/>
    <mergeCell ref="D68:E68"/>
    <mergeCell ref="J68:Q68"/>
    <mergeCell ref="D69:E69"/>
    <mergeCell ref="J69:Q69"/>
    <mergeCell ref="D66:E66"/>
    <mergeCell ref="D63:E63"/>
    <mergeCell ref="J63:Q63"/>
    <mergeCell ref="D64:E64"/>
    <mergeCell ref="J64:Q64"/>
    <mergeCell ref="J65:Q65"/>
    <mergeCell ref="C57:M57"/>
    <mergeCell ref="P57:Q57"/>
    <mergeCell ref="D61:E61"/>
    <mergeCell ref="J61:Q61"/>
    <mergeCell ref="D62:E62"/>
    <mergeCell ref="J62:Q62"/>
    <mergeCell ref="D65:E65"/>
    <mergeCell ref="C54:M54"/>
    <mergeCell ref="P54:Q54"/>
    <mergeCell ref="C55:M55"/>
    <mergeCell ref="P55:Q55"/>
    <mergeCell ref="C56:M56"/>
    <mergeCell ref="P56:Q56"/>
    <mergeCell ref="C50:M50"/>
    <mergeCell ref="P50:Q50"/>
    <mergeCell ref="C51:M51"/>
    <mergeCell ref="P51:Q51"/>
    <mergeCell ref="C53:M53"/>
    <mergeCell ref="P53:Q53"/>
    <mergeCell ref="C47:M47"/>
    <mergeCell ref="P47:Q47"/>
    <mergeCell ref="C48:M48"/>
    <mergeCell ref="P48:Q48"/>
    <mergeCell ref="C42:M42"/>
    <mergeCell ref="P42:Q42"/>
    <mergeCell ref="C49:M49"/>
    <mergeCell ref="P49:Q49"/>
    <mergeCell ref="C43:M43"/>
    <mergeCell ref="P43:Q43"/>
    <mergeCell ref="C44:M44"/>
    <mergeCell ref="P44:Q44"/>
    <mergeCell ref="C45:M45"/>
    <mergeCell ref="P45:Q45"/>
    <mergeCell ref="C2:F2"/>
    <mergeCell ref="C3:F3"/>
    <mergeCell ref="C4:F4"/>
    <mergeCell ref="D7:F7"/>
    <mergeCell ref="D17:F17"/>
    <mergeCell ref="D18:F18"/>
    <mergeCell ref="D8:F16"/>
    <mergeCell ref="C5:F5"/>
    <mergeCell ref="B20:Q20"/>
    <mergeCell ref="C21:Q21"/>
    <mergeCell ref="C22:Q22"/>
    <mergeCell ref="C23:Q23"/>
    <mergeCell ref="D25:Q25"/>
    <mergeCell ref="E35:Q35"/>
    <mergeCell ref="E36:Q36"/>
    <mergeCell ref="E37:Q37"/>
    <mergeCell ref="C41:M41"/>
    <mergeCell ref="P41:Q41"/>
    <mergeCell ref="D26:Q26"/>
    <mergeCell ref="D27:Q27"/>
    <mergeCell ref="D28:Q28"/>
    <mergeCell ref="E32:Q32"/>
    <mergeCell ref="E33:Q33"/>
    <mergeCell ref="E34:Q34"/>
    <mergeCell ref="D29:Q29"/>
    <mergeCell ref="D30:Q30"/>
  </mergeCells>
  <conditionalFormatting sqref="H70">
    <cfRule type="expression" dxfId="2663" priority="72">
      <formula>IF(OR(#REF!="L",#REF!="C"),TRUE,FALSE)</formula>
    </cfRule>
  </conditionalFormatting>
  <conditionalFormatting sqref="H69">
    <cfRule type="expression" dxfId="2662" priority="68">
      <formula>IF(OR(#REF!="L",#REF!="C"),TRUE,FALSE)</formula>
    </cfRule>
  </conditionalFormatting>
  <conditionalFormatting sqref="H66">
    <cfRule type="expression" dxfId="2661" priority="32">
      <formula>IF(OR(#REF!="L",#REF!="C"),TRUE,FALSE)</formula>
    </cfRule>
  </conditionalFormatting>
  <conditionalFormatting sqref="H62">
    <cfRule type="expression" dxfId="2660" priority="44">
      <formula>IF(OR(#REF!="L",#REF!="C"),TRUE,FALSE)</formula>
    </cfRule>
  </conditionalFormatting>
  <conditionalFormatting sqref="H63">
    <cfRule type="expression" dxfId="2659" priority="43">
      <formula>IF(OR(#REF!="L",#REF!="C"),TRUE,FALSE)</formula>
    </cfRule>
  </conditionalFormatting>
  <conditionalFormatting sqref="H64">
    <cfRule type="expression" dxfId="2658" priority="42">
      <formula>IF(OR(#REF!="L",#REF!="C"),TRUE,FALSE)</formula>
    </cfRule>
  </conditionalFormatting>
  <conditionalFormatting sqref="H68">
    <cfRule type="expression" dxfId="2657" priority="41">
      <formula>IF(OR(#REF!="L",#REF!="C"),TRUE,FALSE)</formula>
    </cfRule>
  </conditionalFormatting>
  <conditionalFormatting sqref="H71:H72">
    <cfRule type="expression" dxfId="2656" priority="40">
      <formula>IF(OR(#REF!="L",#REF!="C"),TRUE,FALSE)</formula>
    </cfRule>
  </conditionalFormatting>
  <conditionalFormatting sqref="H73">
    <cfRule type="expression" dxfId="2655" priority="39">
      <formula>IF(OR(#REF!="L",#REF!="C"),TRUE,FALSE)</formula>
    </cfRule>
  </conditionalFormatting>
  <conditionalFormatting sqref="H74">
    <cfRule type="expression" dxfId="2654" priority="38">
      <formula>IF(OR(#REF!="L",#REF!="C"),TRUE,FALSE)</formula>
    </cfRule>
  </conditionalFormatting>
  <conditionalFormatting sqref="H75">
    <cfRule type="expression" dxfId="2653" priority="37">
      <formula>IF(OR(#REF!="L",#REF!="C"),TRUE,FALSE)</formula>
    </cfRule>
  </conditionalFormatting>
  <conditionalFormatting sqref="H76">
    <cfRule type="expression" dxfId="2652" priority="35">
      <formula>IF(OR(#REF!="L",#REF!="C"),TRUE,FALSE)</formula>
    </cfRule>
  </conditionalFormatting>
  <conditionalFormatting sqref="H65">
    <cfRule type="expression" dxfId="2651" priority="33">
      <formula>IF(OR(#REF!="L",#REF!="C"),TRUE,FALSE)</formula>
    </cfRule>
  </conditionalFormatting>
  <conditionalFormatting sqref="F109:F116 G103 H104:H116 G105:G116">
    <cfRule type="expression" dxfId="2650" priority="29">
      <formula>IF(OR(#REF!="L",#REF!="C"),TRUE,FALSE)</formula>
    </cfRule>
  </conditionalFormatting>
  <conditionalFormatting sqref="E110:E116">
    <cfRule type="expression" dxfId="2649" priority="28">
      <formula>IF(OR(#REF!="L",#REF!="C"),TRUE,FALSE)</formula>
    </cfRule>
  </conditionalFormatting>
  <conditionalFormatting sqref="E107">
    <cfRule type="expression" dxfId="2648" priority="27">
      <formula>IF(OR(#REF!="L",#REF!="C"),TRUE,FALSE)</formula>
    </cfRule>
  </conditionalFormatting>
  <conditionalFormatting sqref="E108">
    <cfRule type="expression" dxfId="2647" priority="26">
      <formula>IF(OR(#REF!="L",#REF!="C"),TRUE,FALSE)</formula>
    </cfRule>
  </conditionalFormatting>
  <conditionalFormatting sqref="E109">
    <cfRule type="expression" dxfId="2646" priority="25">
      <formula>IF(OR(#REF!="L",#REF!="C"),TRUE,FALSE)</formula>
    </cfRule>
  </conditionalFormatting>
  <conditionalFormatting sqref="E106">
    <cfRule type="expression" dxfId="2645" priority="24">
      <formula>IF(OR(#REF!="L",#REF!="C"),TRUE,FALSE)</formula>
    </cfRule>
  </conditionalFormatting>
  <conditionalFormatting sqref="E95 G95 I95 K95 M95">
    <cfRule type="duplicateValues" dxfId="2644" priority="23"/>
  </conditionalFormatting>
  <conditionalFormatting sqref="M104:M116">
    <cfRule type="expression" dxfId="2643" priority="13">
      <formula>IF(OR(#REF!="L",#REF!="C"),TRUE,FALSE)</formula>
    </cfRule>
  </conditionalFormatting>
  <conditionalFormatting sqref="F103 F105:F106">
    <cfRule type="expression" dxfId="2642" priority="22">
      <formula>IF(OR(#REF!="L",#REF!="C"),TRUE,FALSE)</formula>
    </cfRule>
  </conditionalFormatting>
  <conditionalFormatting sqref="I102:I103">
    <cfRule type="expression" dxfId="2641" priority="20">
      <formula>IF(OR(#REF!="L",#REF!="C"),TRUE,FALSE)</formula>
    </cfRule>
  </conditionalFormatting>
  <conditionalFormatting sqref="N102:N103">
    <cfRule type="expression" dxfId="2640" priority="10">
      <formula>IF(OR(#REF!="L",#REF!="C"),TRUE,FALSE)</formula>
    </cfRule>
  </conditionalFormatting>
  <conditionalFormatting sqref="I104:I116">
    <cfRule type="expression" dxfId="2639" priority="21">
      <formula>IF(OR(#REF!="L",#REF!="C"),TRUE,FALSE)</formula>
    </cfRule>
  </conditionalFormatting>
  <conditionalFormatting sqref="J102:J103">
    <cfRule type="expression" dxfId="2638" priority="18">
      <formula>IF(OR(#REF!="L",#REF!="C"),TRUE,FALSE)</formula>
    </cfRule>
  </conditionalFormatting>
  <conditionalFormatting sqref="J104:J116">
    <cfRule type="expression" dxfId="2637" priority="19">
      <formula>IF(OR(#REF!="L",#REF!="C"),TRUE,FALSE)</formula>
    </cfRule>
  </conditionalFormatting>
  <conditionalFormatting sqref="K102:K103">
    <cfRule type="expression" dxfId="2636" priority="16">
      <formula>IF(OR(#REF!="L",#REF!="C"),TRUE,FALSE)</formula>
    </cfRule>
  </conditionalFormatting>
  <conditionalFormatting sqref="K104:K116">
    <cfRule type="expression" dxfId="2635" priority="17">
      <formula>IF(OR(#REF!="L",#REF!="C"),TRUE,FALSE)</formula>
    </cfRule>
  </conditionalFormatting>
  <conditionalFormatting sqref="L102:L103">
    <cfRule type="expression" dxfId="2634" priority="14">
      <formula>IF(OR(#REF!="L",#REF!="C"),TRUE,FALSE)</formula>
    </cfRule>
  </conditionalFormatting>
  <conditionalFormatting sqref="L104:L116">
    <cfRule type="expression" dxfId="2633" priority="15">
      <formula>IF(OR(#REF!="L",#REF!="C"),TRUE,FALSE)</formula>
    </cfRule>
  </conditionalFormatting>
  <conditionalFormatting sqref="M102:M103">
    <cfRule type="expression" dxfId="2632" priority="12">
      <formula>IF(OR(#REF!="L",#REF!="C"),TRUE,FALSE)</formula>
    </cfRule>
  </conditionalFormatting>
  <conditionalFormatting sqref="N104:N116">
    <cfRule type="expression" dxfId="2631" priority="11">
      <formula>IF(OR(#REF!="L",#REF!="C"),TRUE,FALSE)</formula>
    </cfRule>
  </conditionalFormatting>
  <conditionalFormatting sqref="O102:O103">
    <cfRule type="expression" dxfId="2630" priority="8">
      <formula>IF(OR(#REF!="L",#REF!="C"),TRUE,FALSE)</formula>
    </cfRule>
  </conditionalFormatting>
  <conditionalFormatting sqref="O104:O116">
    <cfRule type="expression" dxfId="2629" priority="9">
      <formula>IF(OR(#REF!="L",#REF!="C"),TRUE,FALSE)</formula>
    </cfRule>
  </conditionalFormatting>
  <conditionalFormatting sqref="E96:F96 I96:N96">
    <cfRule type="duplicateValues" dxfId="2628" priority="30"/>
  </conditionalFormatting>
  <conditionalFormatting sqref="F96:I96">
    <cfRule type="duplicateValues" dxfId="2627" priority="31"/>
  </conditionalFormatting>
  <conditionalFormatting sqref="E103">
    <cfRule type="expression" dxfId="2626" priority="7">
      <formula>IF(OR(#REF!="L",#REF!="C"),TRUE,FALSE)</formula>
    </cfRule>
  </conditionalFormatting>
  <conditionalFormatting sqref="G104">
    <cfRule type="expression" dxfId="2625" priority="6">
      <formula>IF(OR(#REF!="L",#REF!="C"),TRUE,FALSE)</formula>
    </cfRule>
  </conditionalFormatting>
  <conditionalFormatting sqref="F104">
    <cfRule type="expression" dxfId="2624" priority="5">
      <formula>IF(OR(#REF!="L",#REF!="C"),TRUE,FALSE)</formula>
    </cfRule>
  </conditionalFormatting>
  <conditionalFormatting sqref="E104">
    <cfRule type="expression" dxfId="2623" priority="4">
      <formula>IF(OR(#REF!="L",#REF!="C"),TRUE,FALSE)</formula>
    </cfRule>
  </conditionalFormatting>
  <conditionalFormatting sqref="G97:G102">
    <cfRule type="expression" dxfId="2622" priority="3">
      <formula>IF(OR(#REF!="L",#REF!="C"),TRUE,FALSE)</formula>
    </cfRule>
  </conditionalFormatting>
  <conditionalFormatting sqref="F97:F102">
    <cfRule type="expression" dxfId="2621" priority="2">
      <formula>IF(OR(#REF!="L",#REF!="C"),TRUE,FALSE)</formula>
    </cfRule>
  </conditionalFormatting>
  <conditionalFormatting sqref="E97:E102">
    <cfRule type="expression" dxfId="2620" priority="1">
      <formula>IF(OR(#REF!="L",#REF!="C"),TRUE,FALSE)</formula>
    </cfRule>
  </conditionalFormatting>
  <dataValidations count="8">
    <dataValidation type="list" allowBlank="1" showInputMessage="1" showErrorMessage="1" sqref="H67" xr:uid="{2D700FCC-F3CC-43CD-A6FE-66CF4D2DE751}">
      <formula1>$C$97:$C$116</formula1>
    </dataValidation>
    <dataValidation type="list" allowBlank="1" showInputMessage="1" showErrorMessage="1" sqref="F71:F74" xr:uid="{FF93D7DC-BD23-464E-87E3-7ACC52760498}">
      <formula1>$C$102:$C$107</formula1>
    </dataValidation>
    <dataValidation type="list" allowBlank="1" showInputMessage="1" showErrorMessage="1" sqref="C4" xr:uid="{56A8FAF5-0DE1-4BBC-8EDB-1FB0B50B3D83}">
      <formula1>"COM,RES"</formula1>
    </dataValidation>
    <dataValidation type="list" allowBlank="1" showInputMessage="1" showErrorMessage="1" sqref="C9" xr:uid="{94E807DB-79AF-42D9-A3EB-4293A94CF15C}">
      <formula1>INDIRECT("MeasureTypeList[Index]")</formula1>
    </dataValidation>
    <dataValidation type="list" allowBlank="1" showInputMessage="1" showErrorMessage="1" sqref="C26" xr:uid="{16E1EA00-F82B-44EE-9336-33C29D8525AF}">
      <formula1>INDIRECT("RegionList[Index]")</formula1>
    </dataValidation>
    <dataValidation type="list" allowBlank="1" showInputMessage="1" showErrorMessage="1" sqref="C27" xr:uid="{9BA38681-923C-41D3-9891-2BED2A4C160F}">
      <formula1>INDIRECT("ReplacementTypeList[Index]")</formula1>
    </dataValidation>
    <dataValidation type="list" allowBlank="1" showInputMessage="1" showErrorMessage="1" sqref="C28" xr:uid="{9DBAE48B-F11A-4B5E-BDDD-6B14FB550508}">
      <formula1>INDIRECT("BuildingType[Building]")</formula1>
    </dataValidation>
    <dataValidation type="list" allowBlank="1" showInputMessage="1" showErrorMessage="1" sqref="C29 C30" xr:uid="{4FD36DAD-A230-4BA1-AC82-07C452659B24}">
      <formula1>INDIRECT("FuelTypeList[Index]")</formula1>
    </dataValidation>
  </dataValidations>
  <hyperlinks>
    <hyperlink ref="F82" r:id="rId1" xr:uid="{6B0A4DB8-8FBA-4C16-8D0D-94D94493322B}"/>
    <hyperlink ref="F83" r:id="rId2" xr:uid="{CAFDA674-C796-4ACF-A871-CFB5B1548166}"/>
    <hyperlink ref="F85" r:id="rId3" xr:uid="{38B180CD-50D2-45A1-8AEC-947C69C2542D}"/>
    <hyperlink ref="F84" r:id="rId4" xr:uid="{F95EFF0B-E2BC-4969-8CF3-B277E8E658DA}"/>
  </hyperlinks>
  <pageMargins left="0.7" right="0.7" top="0.75" bottom="0.75" header="0.3" footer="0.3"/>
  <pageSetup orientation="portrait" r:id="rId5"/>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77F32-C89C-4E7D-AE15-84E6A56F272B}">
  <sheetPr codeName="Sheet399"/>
  <dimension ref="A2:R123"/>
  <sheetViews>
    <sheetView workbookViewId="0"/>
  </sheetViews>
  <sheetFormatPr defaultColWidth="9.08984375" defaultRowHeight="18.75" customHeight="1" x14ac:dyDescent="0.3"/>
  <cols>
    <col min="1" max="1" width="2.36328125" style="488" customWidth="1"/>
    <col min="2" max="2" width="44.36328125" style="488" bestFit="1" customWidth="1"/>
    <col min="3" max="3" width="21.08984375" style="488" customWidth="1"/>
    <col min="4" max="4" width="21.6328125" style="488" customWidth="1"/>
    <col min="5" max="5" width="14.36328125" style="488" customWidth="1"/>
    <col min="6" max="6" width="15.6328125" style="488" customWidth="1"/>
    <col min="7" max="7" width="19.6328125" style="488" customWidth="1"/>
    <col min="8" max="8" width="16" style="488" customWidth="1"/>
    <col min="9" max="9" width="14.0898437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C-L-003</v>
      </c>
      <c r="D3" s="1367"/>
      <c r="E3" s="1367"/>
      <c r="F3" s="1367"/>
    </row>
    <row r="4" spans="1:18" ht="18.75" customHeight="1" x14ac:dyDescent="0.3">
      <c r="B4" s="490" t="s">
        <v>11</v>
      </c>
      <c r="C4" s="1367" t="str" cm="1">
        <f t="array" ref="C4">_xlfn.SWITCH(LEFT(C8,1),"R","Residential","C","Commercial","ERROR")</f>
        <v>Commercial</v>
      </c>
      <c r="D4" s="1367"/>
      <c r="E4" s="1367"/>
      <c r="F4" s="1367"/>
    </row>
    <row r="5" spans="1:18" ht="44.25" customHeight="1" x14ac:dyDescent="0.3">
      <c r="B5" s="490" t="s">
        <v>408</v>
      </c>
      <c r="C5" s="1530" t="s">
        <v>254</v>
      </c>
      <c r="D5" s="1531"/>
      <c r="E5" s="1531"/>
      <c r="F5" s="1532"/>
      <c r="R5" s="488"/>
    </row>
    <row r="6" spans="1:18" ht="18.75" customHeight="1" x14ac:dyDescent="0.3">
      <c r="A6" s="573"/>
    </row>
    <row r="7" spans="1:18" ht="18.75" customHeight="1" x14ac:dyDescent="0.3">
      <c r="B7" s="1193" t="s">
        <v>507</v>
      </c>
      <c r="C7" s="493" t="s">
        <v>406</v>
      </c>
      <c r="D7" s="1366" t="s">
        <v>410</v>
      </c>
      <c r="E7" s="1366"/>
      <c r="F7" s="1366"/>
      <c r="R7" s="488"/>
    </row>
    <row r="8" spans="1:18" ht="18.75" customHeight="1" x14ac:dyDescent="0.3">
      <c r="B8" s="490" t="s">
        <v>411</v>
      </c>
      <c r="C8" s="1194" t="s">
        <v>110</v>
      </c>
      <c r="D8" s="1521" t="s">
        <v>1558</v>
      </c>
      <c r="E8" s="1522"/>
      <c r="F8" s="1523"/>
      <c r="R8" s="488"/>
    </row>
    <row r="9" spans="1:18" ht="18.75" customHeight="1" x14ac:dyDescent="0.3">
      <c r="B9" s="490" t="s">
        <v>49</v>
      </c>
      <c r="C9" s="1194" t="s">
        <v>716</v>
      </c>
      <c r="D9" s="1524"/>
      <c r="E9" s="1525"/>
      <c r="F9" s="1526"/>
      <c r="R9" s="488"/>
    </row>
    <row r="10" spans="1:18" ht="18.75" customHeight="1" x14ac:dyDescent="0.3">
      <c r="B10" s="490" t="s">
        <v>412</v>
      </c>
      <c r="C10" s="1194"/>
      <c r="D10" s="1524"/>
      <c r="E10" s="1525"/>
      <c r="F10" s="1526"/>
      <c r="R10" s="488"/>
    </row>
    <row r="11" spans="1:18" ht="18.75" customHeight="1" x14ac:dyDescent="0.3">
      <c r="B11" s="490" t="s">
        <v>413</v>
      </c>
      <c r="C11" s="1194"/>
      <c r="D11" s="1524"/>
      <c r="E11" s="1525"/>
      <c r="F11" s="1526"/>
      <c r="R11" s="488"/>
    </row>
    <row r="12" spans="1:18" ht="18.75" customHeight="1" x14ac:dyDescent="0.3">
      <c r="B12" s="490" t="s">
        <v>414</v>
      </c>
      <c r="C12" s="602"/>
      <c r="D12" s="1524"/>
      <c r="E12" s="1525"/>
      <c r="F12" s="1526"/>
      <c r="R12" s="488"/>
    </row>
    <row r="13" spans="1:18" ht="18.75" customHeight="1" x14ac:dyDescent="0.3">
      <c r="B13" s="494" t="s">
        <v>415</v>
      </c>
      <c r="C13" s="495">
        <f>N43</f>
        <v>15.07281713796058</v>
      </c>
      <c r="D13" s="1524"/>
      <c r="E13" s="1525"/>
      <c r="F13" s="1526"/>
      <c r="R13" s="488"/>
    </row>
    <row r="14" spans="1:18" ht="18.75" customHeight="1" x14ac:dyDescent="0.3">
      <c r="B14" s="494" t="s">
        <v>416</v>
      </c>
      <c r="C14" s="495">
        <f>N42</f>
        <v>0</v>
      </c>
      <c r="D14" s="1524"/>
      <c r="E14" s="1525"/>
      <c r="F14" s="1526"/>
      <c r="R14" s="488"/>
    </row>
    <row r="15" spans="1:18" ht="18.75" customHeight="1" x14ac:dyDescent="0.3">
      <c r="B15" s="494" t="s">
        <v>417</v>
      </c>
      <c r="C15" s="495">
        <f>N44</f>
        <v>-2.3852733120822617E-2</v>
      </c>
      <c r="D15" s="1524"/>
      <c r="E15" s="1525"/>
      <c r="F15" s="1526"/>
      <c r="R15" s="488"/>
    </row>
    <row r="16" spans="1:18" ht="18.75" customHeight="1" x14ac:dyDescent="0.3">
      <c r="B16" s="494" t="s">
        <v>418</v>
      </c>
      <c r="C16" s="496">
        <f>C37</f>
        <v>0</v>
      </c>
      <c r="D16" s="1527"/>
      <c r="E16" s="1528"/>
      <c r="F16" s="1529"/>
      <c r="R16" s="488"/>
    </row>
    <row r="17" spans="2:18" ht="18.75" customHeight="1" x14ac:dyDescent="0.3">
      <c r="B17" s="490" t="s">
        <v>48</v>
      </c>
      <c r="C17" s="1194" t="s">
        <v>717</v>
      </c>
      <c r="D17" s="1366" t="s">
        <v>419</v>
      </c>
      <c r="E17" s="1366"/>
      <c r="F17" s="1366"/>
      <c r="R17" s="488"/>
    </row>
    <row r="18" spans="2:18" ht="18.75" customHeight="1" x14ac:dyDescent="0.3">
      <c r="B18" s="490" t="s">
        <v>420</v>
      </c>
      <c r="C18" s="541">
        <v>9</v>
      </c>
      <c r="D18" s="1648" t="s">
        <v>1559</v>
      </c>
      <c r="E18" s="1648"/>
      <c r="F18" s="1648"/>
      <c r="R18" s="488"/>
    </row>
    <row r="19" spans="2:18" ht="18.75" customHeight="1" x14ac:dyDescent="0.3">
      <c r="B19" s="613"/>
      <c r="C19" s="614"/>
      <c r="F19" s="489"/>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18.75" customHeight="1" x14ac:dyDescent="0.3">
      <c r="B21" s="499" t="s">
        <v>422</v>
      </c>
      <c r="C21" s="1546" t="s">
        <v>255</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36" t="s">
        <v>256</v>
      </c>
      <c r="D22" s="1536"/>
      <c r="E22" s="1536"/>
      <c r="F22" s="1536"/>
      <c r="G22" s="1536"/>
      <c r="H22" s="1536"/>
      <c r="I22" s="1536"/>
      <c r="J22" s="1536"/>
      <c r="K22" s="1536"/>
      <c r="L22" s="1536"/>
      <c r="M22" s="1536"/>
      <c r="N22" s="1536"/>
      <c r="O22" s="1536"/>
      <c r="P22" s="1536"/>
      <c r="Q22" s="1536"/>
      <c r="R22" s="488"/>
    </row>
    <row r="23" spans="2:18" ht="13"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475"/>
      <c r="F33" s="1476"/>
      <c r="G33" s="1476"/>
      <c r="H33" s="1476"/>
      <c r="I33" s="1476"/>
      <c r="J33" s="1476"/>
      <c r="K33" s="1476"/>
      <c r="L33" s="1476"/>
      <c r="M33" s="1476"/>
      <c r="N33" s="1476"/>
      <c r="O33" s="1476"/>
      <c r="P33" s="1476"/>
      <c r="Q33" s="1477"/>
      <c r="R33" s="488"/>
    </row>
    <row r="34" spans="2:18" ht="18.75" customHeight="1" x14ac:dyDescent="0.3">
      <c r="B34" s="494" t="s">
        <v>431</v>
      </c>
      <c r="C34" s="542"/>
      <c r="D34" s="586" t="s">
        <v>430</v>
      </c>
      <c r="E34" s="1475"/>
      <c r="F34" s="1476"/>
      <c r="G34" s="1476"/>
      <c r="H34" s="1476"/>
      <c r="I34" s="1476"/>
      <c r="J34" s="1476"/>
      <c r="K34" s="1476"/>
      <c r="L34" s="1476"/>
      <c r="M34" s="1476"/>
      <c r="N34" s="1476"/>
      <c r="O34" s="1476"/>
      <c r="P34" s="1476"/>
      <c r="Q34" s="1477"/>
    </row>
    <row r="35" spans="2:18" ht="18.75" customHeight="1" x14ac:dyDescent="0.3">
      <c r="B35" s="490" t="s">
        <v>432</v>
      </c>
      <c r="C35" s="542"/>
      <c r="D35" s="586" t="s">
        <v>430</v>
      </c>
      <c r="E35" s="1475"/>
      <c r="F35" s="1476"/>
      <c r="G35" s="1476"/>
      <c r="H35" s="1476"/>
      <c r="I35" s="1476"/>
      <c r="J35" s="1476"/>
      <c r="K35" s="1476"/>
      <c r="L35" s="1476"/>
      <c r="M35" s="1476"/>
      <c r="N35" s="1476"/>
      <c r="O35" s="1476"/>
      <c r="P35" s="1476"/>
      <c r="Q35" s="1477"/>
    </row>
    <row r="36" spans="2:18" ht="18.75" customHeight="1" x14ac:dyDescent="0.3">
      <c r="B36" s="494" t="s">
        <v>433</v>
      </c>
      <c r="C36" s="905">
        <f>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905">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15.07281713796058</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-2.3852733120822617E-2</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1560</v>
      </c>
      <c r="D49" s="1505"/>
      <c r="E49" s="1505"/>
      <c r="F49" s="1505"/>
      <c r="G49" s="1505"/>
      <c r="H49" s="1505"/>
      <c r="I49" s="1505"/>
      <c r="J49" s="1505"/>
      <c r="K49" s="1505"/>
      <c r="L49" s="1505"/>
      <c r="M49" s="1506"/>
      <c r="N49" s="592">
        <f>(H62-H63)/1000*H64</f>
        <v>15.07281713796058</v>
      </c>
      <c r="O49" s="1243" t="s">
        <v>443</v>
      </c>
      <c r="P49" s="1511"/>
      <c r="Q49" s="1511"/>
      <c r="R49" s="488"/>
    </row>
    <row r="50" spans="2:18" ht="18.75" customHeight="1" x14ac:dyDescent="0.3">
      <c r="B50" s="582" t="s">
        <v>456</v>
      </c>
      <c r="C50" s="1504" t="s">
        <v>457</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1524</v>
      </c>
      <c r="D56" s="1505"/>
      <c r="E56" s="1505"/>
      <c r="F56" s="1505"/>
      <c r="G56" s="1505"/>
      <c r="H56" s="1505"/>
      <c r="I56" s="1505"/>
      <c r="J56" s="1505"/>
      <c r="K56" s="1505"/>
      <c r="L56" s="1505"/>
      <c r="M56" s="1506"/>
      <c r="N56" s="1000">
        <f>N49*H65</f>
        <v>-2.3852733120822617E-2</v>
      </c>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506" t="s">
        <v>406</v>
      </c>
      <c r="I61" s="506" t="s">
        <v>428</v>
      </c>
      <c r="J61" s="1396" t="s">
        <v>476</v>
      </c>
      <c r="K61" s="1397"/>
      <c r="L61" s="1397"/>
      <c r="M61" s="1397"/>
      <c r="N61" s="1397"/>
      <c r="O61" s="1397"/>
      <c r="P61" s="1397"/>
      <c r="Q61" s="1398"/>
    </row>
    <row r="62" spans="2:18" ht="60" customHeight="1" x14ac:dyDescent="0.3">
      <c r="B62" s="535">
        <v>1</v>
      </c>
      <c r="C62" s="551" t="s">
        <v>722</v>
      </c>
      <c r="D62" s="1543" t="s">
        <v>723</v>
      </c>
      <c r="E62" s="1543"/>
      <c r="F62" s="552" t="str">
        <f>H67</f>
        <v>LED Recessed, Surface, Pendant Downlights</v>
      </c>
      <c r="G62" s="552" t="s">
        <v>725</v>
      </c>
      <c r="H62" s="1006">
        <f>INDEX($B$96:$N$108,MATCH($F62,$C$96:$C$108,0),MATCH($G62,$B$96:$N$96,0))</f>
        <v>23.754927163667524</v>
      </c>
      <c r="I62" s="552" t="s">
        <v>726</v>
      </c>
      <c r="J62" s="1482" t="s">
        <v>1561</v>
      </c>
      <c r="K62" s="1484"/>
      <c r="L62" s="1484"/>
      <c r="M62" s="1484"/>
      <c r="N62" s="1484"/>
      <c r="O62" s="1484"/>
      <c r="P62" s="1484"/>
      <c r="Q62" s="1483"/>
      <c r="R62" s="488"/>
    </row>
    <row r="63" spans="2:18" ht="40.5" customHeight="1" x14ac:dyDescent="0.3">
      <c r="B63" s="535">
        <v>2</v>
      </c>
      <c r="C63" s="551" t="s">
        <v>728</v>
      </c>
      <c r="D63" s="1543" t="s">
        <v>729</v>
      </c>
      <c r="E63" s="1543"/>
      <c r="F63" s="552" t="str">
        <f>H67</f>
        <v>LED Recessed, Surface, Pendant Downlights</v>
      </c>
      <c r="G63" s="552" t="s">
        <v>1562</v>
      </c>
      <c r="H63" s="1006">
        <f>INDEX($B$96:$N$108,MATCH($F63,$C$96:$C$108,0),MATCH($G63,$B$96:$N$96,0))</f>
        <v>18.479177377892032</v>
      </c>
      <c r="I63" s="552" t="s">
        <v>726</v>
      </c>
      <c r="J63" s="1482" t="s">
        <v>1561</v>
      </c>
      <c r="K63" s="1484"/>
      <c r="L63" s="1484"/>
      <c r="M63" s="1484"/>
      <c r="N63" s="1484"/>
      <c r="O63" s="1484"/>
      <c r="P63" s="1484"/>
      <c r="Q63" s="1483"/>
      <c r="R63" s="488"/>
    </row>
    <row r="64" spans="2:18" ht="31.5" customHeight="1" x14ac:dyDescent="0.3">
      <c r="B64" s="534">
        <v>3</v>
      </c>
      <c r="C64" s="546" t="s">
        <v>698</v>
      </c>
      <c r="D64" s="1539" t="s">
        <v>732</v>
      </c>
      <c r="E64" s="1539"/>
      <c r="F64" s="1217" t="s">
        <v>789</v>
      </c>
      <c r="G64" s="1217" t="s">
        <v>733</v>
      </c>
      <c r="H64" s="974">
        <f>INDEX(BuildingType[],MATCH($C$28,BuildingType[Building],0),MATCH($G$64,BuildingType[#Headers],0))</f>
        <v>2857</v>
      </c>
      <c r="I64" s="1217" t="s">
        <v>532</v>
      </c>
      <c r="J64" s="1462" t="s">
        <v>734</v>
      </c>
      <c r="K64" s="1470"/>
      <c r="L64" s="1470"/>
      <c r="M64" s="1470"/>
      <c r="N64" s="1470"/>
      <c r="O64" s="1470"/>
      <c r="P64" s="1470"/>
      <c r="Q64" s="1471"/>
      <c r="R64" s="488"/>
    </row>
    <row r="65" spans="2:18" ht="37.5" customHeight="1" x14ac:dyDescent="0.3">
      <c r="B65" s="534">
        <v>4</v>
      </c>
      <c r="C65" s="549" t="s">
        <v>704</v>
      </c>
      <c r="D65" s="1539" t="s">
        <v>1563</v>
      </c>
      <c r="E65" s="1539"/>
      <c r="F65" s="1217" t="s">
        <v>789</v>
      </c>
      <c r="G65" s="1217" t="s">
        <v>1530</v>
      </c>
      <c r="H65" s="1001">
        <f>INDEX(BuildingType[],MATCH($C$28,BuildingType[Building],0),MATCH($G$65,BuildingType[#Headers],0))</f>
        <v>-1.5824999999999999E-3</v>
      </c>
      <c r="I65" s="1217" t="s">
        <v>1034</v>
      </c>
      <c r="J65" s="1462" t="s">
        <v>1531</v>
      </c>
      <c r="K65" s="1464"/>
      <c r="L65" s="1464"/>
      <c r="M65" s="1464"/>
      <c r="N65" s="1464"/>
      <c r="O65" s="1464"/>
      <c r="P65" s="1464"/>
      <c r="Q65" s="1463"/>
      <c r="R65" s="488"/>
    </row>
    <row r="66" spans="2:18" ht="24.75" customHeight="1" x14ac:dyDescent="0.3">
      <c r="B66" s="534">
        <v>5</v>
      </c>
      <c r="C66" s="546" t="s">
        <v>517</v>
      </c>
      <c r="D66" s="1539" t="s">
        <v>1564</v>
      </c>
      <c r="E66" s="1539"/>
      <c r="F66" s="1217"/>
      <c r="G66" s="1217"/>
      <c r="H66" s="963">
        <f>SpaceHeatingEfficiency.CI.NG</f>
        <v>0.85</v>
      </c>
      <c r="I66" s="1224" t="s">
        <v>519</v>
      </c>
      <c r="J66" s="1468" t="s">
        <v>1029</v>
      </c>
      <c r="K66" s="1478"/>
      <c r="L66" s="1478"/>
      <c r="M66" s="1478"/>
      <c r="N66" s="1478"/>
      <c r="O66" s="1478"/>
      <c r="P66" s="1478"/>
      <c r="Q66" s="1469"/>
      <c r="R66" s="488"/>
    </row>
    <row r="67" spans="2:18" ht="49.5" customHeight="1" x14ac:dyDescent="0.3">
      <c r="B67" s="535">
        <v>6</v>
      </c>
      <c r="C67" s="551" t="s">
        <v>1194</v>
      </c>
      <c r="D67" s="1543" t="s">
        <v>1565</v>
      </c>
      <c r="E67" s="1543"/>
      <c r="F67" s="1007"/>
      <c r="G67" s="552"/>
      <c r="H67" s="552" t="s">
        <v>1566</v>
      </c>
      <c r="I67" s="552" t="s">
        <v>597</v>
      </c>
      <c r="J67" s="1659" t="s">
        <v>727</v>
      </c>
      <c r="K67" s="1660"/>
      <c r="L67" s="1660"/>
      <c r="M67" s="1660"/>
      <c r="N67" s="1660"/>
      <c r="O67" s="1660"/>
      <c r="P67" s="1660"/>
      <c r="Q67" s="1661"/>
      <c r="R67" s="488"/>
    </row>
    <row r="68" spans="2:18" ht="13" x14ac:dyDescent="0.3">
      <c r="B68" s="534">
        <v>7</v>
      </c>
      <c r="C68" s="546"/>
      <c r="D68" s="1539"/>
      <c r="E68" s="1539"/>
      <c r="F68" s="1217"/>
      <c r="G68" s="1217"/>
      <c r="H68" s="1217"/>
      <c r="I68" s="1217"/>
      <c r="J68" s="1507"/>
      <c r="K68" s="1514"/>
      <c r="L68" s="1514"/>
      <c r="M68" s="1514"/>
      <c r="N68" s="1514"/>
      <c r="O68" s="1514"/>
      <c r="P68" s="1514"/>
      <c r="Q68" s="1515"/>
      <c r="R68" s="488"/>
    </row>
    <row r="69" spans="2:18" ht="30.75" customHeight="1" x14ac:dyDescent="0.3">
      <c r="B69" s="534">
        <v>8</v>
      </c>
      <c r="C69" s="546"/>
      <c r="D69" s="1539"/>
      <c r="E69" s="1539"/>
      <c r="F69" s="1217"/>
      <c r="G69" s="1217"/>
      <c r="H69" s="609"/>
      <c r="I69" s="1217"/>
      <c r="J69" s="1468"/>
      <c r="K69" s="1478"/>
      <c r="L69" s="1478"/>
      <c r="M69" s="1478"/>
      <c r="N69" s="1478"/>
      <c r="O69" s="1478"/>
      <c r="P69" s="1478"/>
      <c r="Q69" s="1469"/>
      <c r="R69" s="488"/>
    </row>
    <row r="70" spans="2:18" ht="13" x14ac:dyDescent="0.3">
      <c r="B70" s="534">
        <v>9</v>
      </c>
      <c r="C70" s="546"/>
      <c r="D70" s="1539"/>
      <c r="E70" s="1539"/>
      <c r="F70" s="1217"/>
      <c r="G70" s="1217"/>
      <c r="H70" s="571"/>
      <c r="I70" s="1217"/>
      <c r="J70" s="1507"/>
      <c r="K70" s="1514"/>
      <c r="L70" s="1514"/>
      <c r="M70" s="1514"/>
      <c r="N70" s="1514"/>
      <c r="O70" s="1514"/>
      <c r="P70" s="1514"/>
      <c r="Q70" s="1515"/>
      <c r="R70" s="488"/>
    </row>
    <row r="71" spans="2:18" ht="13" x14ac:dyDescent="0.3">
      <c r="B71" s="534">
        <v>10</v>
      </c>
      <c r="C71" s="546"/>
      <c r="D71" s="1185"/>
      <c r="E71" s="1186"/>
      <c r="F71" s="1217"/>
      <c r="G71" s="1217"/>
      <c r="H71" s="571"/>
      <c r="I71" s="1217"/>
      <c r="J71" s="1507"/>
      <c r="K71" s="1514"/>
      <c r="L71" s="1514"/>
      <c r="M71" s="1514"/>
      <c r="N71" s="1514"/>
      <c r="O71" s="1514"/>
      <c r="P71" s="1514"/>
      <c r="Q71" s="1515"/>
      <c r="R71" s="488"/>
    </row>
    <row r="72" spans="2:18" s="491" customFormat="1" ht="13" x14ac:dyDescent="0.3">
      <c r="B72" s="534">
        <v>11</v>
      </c>
      <c r="C72" s="555"/>
      <c r="D72" s="1437"/>
      <c r="E72" s="1438"/>
      <c r="F72" s="556"/>
      <c r="G72" s="557"/>
      <c r="H72" s="556"/>
      <c r="I72" s="557"/>
      <c r="J72" s="1437"/>
      <c r="K72" s="1448"/>
      <c r="L72" s="1448"/>
      <c r="M72" s="1448"/>
      <c r="N72" s="1448"/>
      <c r="O72" s="1448"/>
      <c r="P72" s="1448"/>
      <c r="Q72" s="1438"/>
    </row>
    <row r="73" spans="2:18" s="491" customFormat="1" ht="13" x14ac:dyDescent="0.3">
      <c r="B73" s="534">
        <v>12</v>
      </c>
      <c r="C73" s="555"/>
      <c r="D73" s="1437"/>
      <c r="E73" s="1438"/>
      <c r="F73" s="556"/>
      <c r="G73" s="557"/>
      <c r="H73" s="558"/>
      <c r="I73" s="557"/>
      <c r="J73" s="1472"/>
      <c r="K73" s="1473"/>
      <c r="L73" s="1473"/>
      <c r="M73" s="1473"/>
      <c r="N73" s="1473"/>
      <c r="O73" s="1473"/>
      <c r="P73" s="1473"/>
      <c r="Q73" s="1474"/>
    </row>
    <row r="74" spans="2:18" s="491" customFormat="1" ht="13" x14ac:dyDescent="0.3">
      <c r="B74" s="534">
        <v>13</v>
      </c>
      <c r="C74" s="555"/>
      <c r="D74" s="1437"/>
      <c r="E74" s="1438"/>
      <c r="F74" s="556"/>
      <c r="G74" s="557"/>
      <c r="H74" s="556"/>
      <c r="I74" s="557"/>
      <c r="J74" s="1472"/>
      <c r="K74" s="1473"/>
      <c r="L74" s="1473"/>
      <c r="M74" s="1473"/>
      <c r="N74" s="1473"/>
      <c r="O74" s="1473"/>
      <c r="P74" s="1473"/>
      <c r="Q74" s="1474"/>
    </row>
    <row r="75" spans="2:18" s="489" customFormat="1" ht="13.15" customHeight="1" x14ac:dyDescent="0.3">
      <c r="B75" s="534">
        <v>14</v>
      </c>
      <c r="C75" s="555"/>
      <c r="D75" s="1437"/>
      <c r="E75" s="1438"/>
      <c r="F75" s="556"/>
      <c r="G75" s="557"/>
      <c r="H75" s="556"/>
      <c r="I75" s="557"/>
      <c r="J75" s="1472"/>
      <c r="K75" s="1473"/>
      <c r="L75" s="1473"/>
      <c r="M75" s="1473"/>
      <c r="N75" s="1473"/>
      <c r="O75" s="1473"/>
      <c r="P75" s="1473"/>
      <c r="Q75" s="1474"/>
    </row>
    <row r="76" spans="2:18" s="489" customFormat="1" ht="13" x14ac:dyDescent="0.3">
      <c r="B76" s="534">
        <v>15</v>
      </c>
      <c r="C76" s="555"/>
      <c r="D76" s="1437"/>
      <c r="E76" s="1438"/>
      <c r="F76" s="556"/>
      <c r="G76" s="557"/>
      <c r="H76" s="559"/>
      <c r="I76" s="557"/>
      <c r="J76" s="1472"/>
      <c r="K76" s="1473"/>
      <c r="L76" s="1473"/>
      <c r="M76" s="1473"/>
      <c r="N76" s="1473"/>
      <c r="O76" s="1473"/>
      <c r="P76" s="1473"/>
      <c r="Q76" s="1474"/>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182"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182"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c r="R85" s="488"/>
    </row>
    <row r="86" spans="2:18" ht="13" x14ac:dyDescent="0.3">
      <c r="B86" s="533">
        <v>6</v>
      </c>
      <c r="C86" s="563"/>
      <c r="D86" s="564"/>
      <c r="E86" s="1182"/>
      <c r="F86" s="1489"/>
      <c r="G86" s="1490"/>
      <c r="H86" s="1490"/>
      <c r="I86" s="1490"/>
      <c r="J86" s="1490"/>
      <c r="K86" s="1490"/>
      <c r="L86" s="1490"/>
      <c r="M86" s="1490"/>
      <c r="N86" s="1490"/>
      <c r="O86" s="1490"/>
      <c r="P86" s="1490"/>
      <c r="Q86" s="1491"/>
      <c r="R86" s="488"/>
    </row>
    <row r="87" spans="2:18" ht="13" x14ac:dyDescent="0.3">
      <c r="B87" s="533">
        <v>7</v>
      </c>
      <c r="C87" s="563"/>
      <c r="D87" s="1233"/>
      <c r="E87" s="1182"/>
      <c r="F87" s="1489"/>
      <c r="G87" s="1490"/>
      <c r="H87" s="1490"/>
      <c r="I87" s="1490"/>
      <c r="J87" s="1490"/>
      <c r="K87" s="1490"/>
      <c r="L87" s="1490"/>
      <c r="M87" s="1490"/>
      <c r="N87" s="1490"/>
      <c r="O87" s="1490"/>
      <c r="P87" s="1490"/>
      <c r="Q87" s="1491"/>
      <c r="R87" s="488"/>
    </row>
    <row r="88" spans="2:18" ht="13" x14ac:dyDescent="0.3">
      <c r="B88" s="533">
        <v>8</v>
      </c>
      <c r="C88" s="563"/>
      <c r="D88" s="564"/>
      <c r="E88" s="1182"/>
      <c r="F88" s="1489"/>
      <c r="G88" s="1490"/>
      <c r="H88" s="1490"/>
      <c r="I88" s="1490"/>
      <c r="J88" s="1490"/>
      <c r="K88" s="1490"/>
      <c r="L88" s="1490"/>
      <c r="M88" s="1490"/>
      <c r="N88" s="1490"/>
      <c r="O88" s="1490"/>
      <c r="P88" s="1490"/>
      <c r="Q88" s="1491"/>
      <c r="R88" s="488"/>
    </row>
    <row r="89" spans="2:18" ht="13" x14ac:dyDescent="0.3">
      <c r="B89" s="533">
        <v>9</v>
      </c>
      <c r="C89" s="563"/>
      <c r="D89" s="1233"/>
      <c r="E89" s="1182"/>
      <c r="F89" s="1489"/>
      <c r="G89" s="1490"/>
      <c r="H89" s="1490"/>
      <c r="I89" s="1490"/>
      <c r="J89" s="1490"/>
      <c r="K89" s="1490"/>
      <c r="L89" s="1490"/>
      <c r="M89" s="1490"/>
      <c r="N89" s="1490"/>
      <c r="O89" s="1490"/>
      <c r="P89" s="1490"/>
      <c r="Q89" s="1491"/>
      <c r="R89" s="488"/>
    </row>
    <row r="90" spans="2:18" ht="13" x14ac:dyDescent="0.3">
      <c r="B90" s="533">
        <v>10</v>
      </c>
      <c r="C90" s="563"/>
      <c r="D90" s="564"/>
      <c r="E90" s="1182"/>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t="s">
        <v>1567</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08"/>
      <c r="Q95" s="1409"/>
      <c r="R95" s="488"/>
    </row>
    <row r="96" spans="2:18" ht="25.5" customHeight="1" x14ac:dyDescent="0.3">
      <c r="B96" s="1188" t="s">
        <v>478</v>
      </c>
      <c r="C96" s="1402" t="s">
        <v>538</v>
      </c>
      <c r="D96" s="1431"/>
      <c r="E96" s="565" t="s">
        <v>725</v>
      </c>
      <c r="F96" s="565" t="s">
        <v>1562</v>
      </c>
      <c r="G96" s="565" t="s">
        <v>429</v>
      </c>
      <c r="H96" s="565" t="s">
        <v>432</v>
      </c>
      <c r="I96" s="565" t="s">
        <v>431</v>
      </c>
      <c r="J96" s="565"/>
      <c r="K96" s="565"/>
      <c r="L96" s="565"/>
      <c r="M96" s="565"/>
      <c r="N96" s="566"/>
      <c r="O96" s="1410"/>
      <c r="P96" s="1411"/>
      <c r="Q96" s="1412"/>
      <c r="R96" s="488"/>
    </row>
    <row r="97" spans="2:18" ht="26" x14ac:dyDescent="0.3">
      <c r="B97" s="533">
        <v>1</v>
      </c>
      <c r="C97" s="546" t="s">
        <v>1566</v>
      </c>
      <c r="D97" s="1184" t="s">
        <v>887</v>
      </c>
      <c r="E97" s="1251">
        <f>D123</f>
        <v>23.754927163667524</v>
      </c>
      <c r="F97" s="1190">
        <f>F123</f>
        <v>18.479177377892032</v>
      </c>
      <c r="G97" s="1190"/>
      <c r="H97" s="1251">
        <f>Lighting!AB51</f>
        <v>27.366666666666667</v>
      </c>
      <c r="I97" s="568">
        <f>J123</f>
        <v>68.503597775854459</v>
      </c>
      <c r="J97" s="568"/>
      <c r="K97" s="568"/>
      <c r="L97" s="568"/>
      <c r="M97" s="568"/>
      <c r="N97" s="568"/>
      <c r="O97" s="1501" t="s">
        <v>1568</v>
      </c>
      <c r="P97" s="1502"/>
      <c r="Q97" s="1503"/>
      <c r="R97" s="488"/>
    </row>
    <row r="98" spans="2:18" ht="13" x14ac:dyDescent="0.3">
      <c r="B98" s="533">
        <v>2</v>
      </c>
      <c r="C98" s="546"/>
      <c r="D98" s="1184"/>
      <c r="E98" s="1190"/>
      <c r="F98" s="1190"/>
      <c r="G98" s="1190"/>
      <c r="H98" s="1190"/>
      <c r="I98" s="568"/>
      <c r="J98" s="568"/>
      <c r="K98" s="568"/>
      <c r="L98" s="568"/>
      <c r="M98" s="568"/>
      <c r="N98" s="568"/>
      <c r="O98" s="1501"/>
      <c r="P98" s="1502"/>
      <c r="Q98" s="1503"/>
      <c r="R98" s="488"/>
    </row>
    <row r="99" spans="2:18" ht="13" x14ac:dyDescent="0.3">
      <c r="B99" s="533">
        <v>3</v>
      </c>
      <c r="C99" s="546"/>
      <c r="D99" s="1184"/>
      <c r="E99" s="1190"/>
      <c r="F99" s="1190"/>
      <c r="G99" s="1190"/>
      <c r="H99" s="1190"/>
      <c r="I99" s="568"/>
      <c r="J99" s="568"/>
      <c r="K99" s="568"/>
      <c r="L99" s="568"/>
      <c r="M99" s="568"/>
      <c r="N99" s="568"/>
      <c r="O99" s="1501"/>
      <c r="P99" s="1502"/>
      <c r="Q99" s="1503"/>
      <c r="R99" s="488"/>
    </row>
    <row r="100" spans="2:18" ht="13" x14ac:dyDescent="0.3">
      <c r="B100" s="533">
        <v>4</v>
      </c>
      <c r="C100" s="546"/>
      <c r="D100" s="1184"/>
      <c r="E100" s="1190"/>
      <c r="F100" s="1190"/>
      <c r="G100" s="1190"/>
      <c r="H100" s="1190"/>
      <c r="I100" s="568"/>
      <c r="J100" s="568"/>
      <c r="K100" s="568"/>
      <c r="L100" s="568"/>
      <c r="M100" s="568"/>
      <c r="N100" s="568"/>
      <c r="O100" s="1501"/>
      <c r="P100" s="1502"/>
      <c r="Q100" s="1503"/>
      <c r="R100" s="488"/>
    </row>
    <row r="101" spans="2:18" ht="13" x14ac:dyDescent="0.3">
      <c r="B101" s="533">
        <v>5</v>
      </c>
      <c r="C101" s="546"/>
      <c r="D101" s="1184"/>
      <c r="E101" s="1190"/>
      <c r="F101" s="1190"/>
      <c r="G101" s="1190"/>
      <c r="H101" s="1190"/>
      <c r="I101" s="568"/>
      <c r="J101" s="568"/>
      <c r="K101" s="568"/>
      <c r="L101" s="568"/>
      <c r="M101" s="568"/>
      <c r="N101" s="568"/>
      <c r="O101" s="1501"/>
      <c r="P101" s="1502"/>
      <c r="Q101" s="1503"/>
      <c r="R101" s="488"/>
    </row>
    <row r="102" spans="2:18" ht="13" x14ac:dyDescent="0.3">
      <c r="B102" s="533">
        <v>6</v>
      </c>
      <c r="C102" s="546"/>
      <c r="D102" s="1184"/>
      <c r="E102" s="1190"/>
      <c r="F102" s="1190"/>
      <c r="G102" s="1190"/>
      <c r="H102" s="1190"/>
      <c r="I102" s="568"/>
      <c r="J102" s="568"/>
      <c r="K102" s="568"/>
      <c r="L102" s="568"/>
      <c r="M102" s="568"/>
      <c r="N102" s="568"/>
      <c r="O102" s="1501"/>
      <c r="P102" s="1502"/>
      <c r="Q102" s="1503"/>
      <c r="R102" s="488"/>
    </row>
    <row r="103" spans="2:18" ht="13" x14ac:dyDescent="0.3">
      <c r="B103" s="533">
        <v>7</v>
      </c>
      <c r="C103" s="546"/>
      <c r="D103" s="1184"/>
      <c r="E103" s="1190"/>
      <c r="F103" s="1190"/>
      <c r="G103" s="1190"/>
      <c r="H103" s="1190"/>
      <c r="I103" s="568"/>
      <c r="J103" s="568"/>
      <c r="K103" s="568"/>
      <c r="L103" s="568"/>
      <c r="M103" s="568"/>
      <c r="N103" s="568"/>
      <c r="O103" s="1501"/>
      <c r="P103" s="1502"/>
      <c r="Q103" s="1503"/>
      <c r="R103" s="488"/>
    </row>
    <row r="104" spans="2:18" ht="13" x14ac:dyDescent="0.3">
      <c r="B104" s="533">
        <v>8</v>
      </c>
      <c r="C104" s="546"/>
      <c r="D104" s="1184"/>
      <c r="E104" s="1190"/>
      <c r="F104" s="1190"/>
      <c r="G104" s="1190"/>
      <c r="H104" s="1190"/>
      <c r="I104" s="568"/>
      <c r="J104" s="568"/>
      <c r="K104" s="568"/>
      <c r="L104" s="568"/>
      <c r="M104" s="568"/>
      <c r="N104" s="568"/>
      <c r="O104" s="1501"/>
      <c r="P104" s="1502"/>
      <c r="Q104" s="1503"/>
      <c r="R104" s="488"/>
    </row>
    <row r="105" spans="2:18" ht="13" x14ac:dyDescent="0.3">
      <c r="B105" s="533">
        <v>9</v>
      </c>
      <c r="C105" s="546"/>
      <c r="D105" s="1184"/>
      <c r="E105" s="1190"/>
      <c r="F105" s="1190"/>
      <c r="G105" s="1190"/>
      <c r="H105" s="1190"/>
      <c r="I105" s="568"/>
      <c r="J105" s="568"/>
      <c r="K105" s="568"/>
      <c r="L105" s="568"/>
      <c r="M105" s="568"/>
      <c r="N105" s="568"/>
      <c r="O105" s="1501"/>
      <c r="P105" s="1502"/>
      <c r="Q105" s="1503"/>
      <c r="R105" s="488"/>
    </row>
    <row r="106" spans="2:18" ht="13" x14ac:dyDescent="0.3">
      <c r="B106" s="533">
        <v>10</v>
      </c>
      <c r="C106" s="546"/>
      <c r="D106" s="1184"/>
      <c r="E106" s="1190"/>
      <c r="F106" s="1190"/>
      <c r="G106" s="1190"/>
      <c r="H106" s="1190"/>
      <c r="I106" s="568"/>
      <c r="J106" s="568"/>
      <c r="K106" s="568"/>
      <c r="L106" s="568"/>
      <c r="M106" s="568"/>
      <c r="N106" s="568"/>
      <c r="O106" s="1501"/>
      <c r="P106" s="1502"/>
      <c r="Q106" s="1503"/>
      <c r="R106" s="488"/>
    </row>
    <row r="107" spans="2:18" ht="13" x14ac:dyDescent="0.3">
      <c r="B107" s="533">
        <v>11</v>
      </c>
      <c r="C107" s="546"/>
      <c r="D107" s="1184"/>
      <c r="E107" s="1190"/>
      <c r="F107" s="1190"/>
      <c r="G107" s="1190"/>
      <c r="H107" s="1190"/>
      <c r="I107" s="568"/>
      <c r="J107" s="568"/>
      <c r="K107" s="568"/>
      <c r="L107" s="568"/>
      <c r="M107" s="568"/>
      <c r="N107" s="568"/>
      <c r="O107" s="1501"/>
      <c r="P107" s="1502"/>
      <c r="Q107" s="1503"/>
      <c r="R107" s="488"/>
    </row>
    <row r="108" spans="2:18" ht="13" x14ac:dyDescent="0.3">
      <c r="B108" s="533">
        <v>12</v>
      </c>
      <c r="C108" s="546"/>
      <c r="D108" s="1184"/>
      <c r="E108" s="1190"/>
      <c r="F108" s="1190"/>
      <c r="G108" s="1190"/>
      <c r="H108" s="1190"/>
      <c r="I108" s="568"/>
      <c r="J108" s="568"/>
      <c r="K108" s="568"/>
      <c r="L108" s="568"/>
      <c r="M108" s="568"/>
      <c r="N108" s="568"/>
      <c r="O108" s="1501"/>
      <c r="P108" s="1502"/>
      <c r="Q108" s="1503"/>
      <c r="R108" s="488"/>
    </row>
    <row r="109" spans="2:18" ht="13" x14ac:dyDescent="0.3">
      <c r="B109" s="533">
        <v>13</v>
      </c>
      <c r="C109" s="546"/>
      <c r="D109" s="1184"/>
      <c r="E109" s="1190"/>
      <c r="F109" s="1190"/>
      <c r="G109" s="1190"/>
      <c r="H109" s="1190"/>
      <c r="I109" s="568"/>
      <c r="J109" s="568"/>
      <c r="K109" s="568"/>
      <c r="L109" s="568"/>
      <c r="M109" s="568"/>
      <c r="N109" s="568"/>
      <c r="O109" s="1501"/>
      <c r="P109" s="1502"/>
      <c r="Q109" s="1503"/>
      <c r="R109" s="488"/>
    </row>
    <row r="110" spans="2:18" ht="13" x14ac:dyDescent="0.3">
      <c r="B110" s="533">
        <v>14</v>
      </c>
      <c r="C110" s="546"/>
      <c r="D110" s="1184"/>
      <c r="E110" s="1190"/>
      <c r="F110" s="1190"/>
      <c r="G110" s="1190"/>
      <c r="H110" s="1190"/>
      <c r="I110" s="568"/>
      <c r="J110" s="568"/>
      <c r="K110" s="568"/>
      <c r="L110" s="568"/>
      <c r="M110" s="568"/>
      <c r="N110" s="568"/>
      <c r="O110" s="1501"/>
      <c r="P110" s="1502"/>
      <c r="Q110" s="1503"/>
      <c r="R110" s="488"/>
    </row>
    <row r="111" spans="2:18" ht="13" x14ac:dyDescent="0.3">
      <c r="B111" s="533">
        <v>15</v>
      </c>
      <c r="C111" s="546"/>
      <c r="D111" s="1184"/>
      <c r="E111" s="1190"/>
      <c r="F111" s="1190"/>
      <c r="G111" s="1190"/>
      <c r="H111" s="1190"/>
      <c r="I111" s="568"/>
      <c r="J111" s="568"/>
      <c r="K111" s="568"/>
      <c r="L111" s="568"/>
      <c r="M111" s="568"/>
      <c r="N111" s="568"/>
      <c r="O111" s="1501"/>
      <c r="P111" s="1502"/>
      <c r="Q111" s="1503"/>
      <c r="R111" s="488"/>
    </row>
    <row r="112" spans="2:18" ht="13" x14ac:dyDescent="0.3">
      <c r="B112" s="533">
        <v>16</v>
      </c>
      <c r="C112" s="546"/>
      <c r="D112" s="1184"/>
      <c r="E112" s="1190"/>
      <c r="F112" s="1190"/>
      <c r="G112" s="1190"/>
      <c r="H112" s="1190"/>
      <c r="I112" s="568"/>
      <c r="J112" s="568"/>
      <c r="K112" s="568"/>
      <c r="L112" s="568"/>
      <c r="M112" s="568"/>
      <c r="N112" s="568"/>
      <c r="O112" s="1501"/>
      <c r="P112" s="1502"/>
      <c r="Q112" s="1503"/>
      <c r="R112" s="488"/>
    </row>
    <row r="113" spans="2:18" ht="13" x14ac:dyDescent="0.3">
      <c r="B113" s="533">
        <v>17</v>
      </c>
      <c r="C113" s="546"/>
      <c r="D113" s="1184"/>
      <c r="E113" s="1190"/>
      <c r="F113" s="1190"/>
      <c r="G113" s="1190"/>
      <c r="H113" s="1190"/>
      <c r="I113" s="568"/>
      <c r="J113" s="568"/>
      <c r="K113" s="568"/>
      <c r="L113" s="568"/>
      <c r="M113" s="568"/>
      <c r="N113" s="568"/>
      <c r="O113" s="1501"/>
      <c r="P113" s="1502"/>
      <c r="Q113" s="1503"/>
      <c r="R113" s="488"/>
    </row>
    <row r="114" spans="2:18" ht="13" x14ac:dyDescent="0.3">
      <c r="B114" s="533">
        <v>18</v>
      </c>
      <c r="C114" s="546"/>
      <c r="D114" s="1184"/>
      <c r="E114" s="1190"/>
      <c r="F114" s="1190"/>
      <c r="G114" s="1190"/>
      <c r="H114" s="1190"/>
      <c r="I114" s="568"/>
      <c r="J114" s="568"/>
      <c r="K114" s="568"/>
      <c r="L114" s="568"/>
      <c r="M114" s="568"/>
      <c r="N114" s="568"/>
      <c r="O114" s="1501"/>
      <c r="P114" s="1502"/>
      <c r="Q114" s="1503"/>
      <c r="R114" s="488"/>
    </row>
    <row r="115" spans="2:18" ht="13" x14ac:dyDescent="0.3">
      <c r="B115" s="533">
        <v>19</v>
      </c>
      <c r="C115" s="546"/>
      <c r="D115" s="1184"/>
      <c r="E115" s="1190"/>
      <c r="F115" s="1190"/>
      <c r="G115" s="1190"/>
      <c r="H115" s="1190"/>
      <c r="I115" s="568"/>
      <c r="J115" s="568"/>
      <c r="K115" s="568"/>
      <c r="L115" s="568"/>
      <c r="M115" s="568"/>
      <c r="N115" s="568"/>
      <c r="O115" s="1501"/>
      <c r="P115" s="1502"/>
      <c r="Q115" s="1503"/>
      <c r="R115" s="488"/>
    </row>
    <row r="116" spans="2:18" ht="13" x14ac:dyDescent="0.3">
      <c r="B116" s="533">
        <v>20</v>
      </c>
      <c r="C116" s="546"/>
      <c r="D116" s="1184"/>
      <c r="E116" s="1190"/>
      <c r="F116" s="1190"/>
      <c r="G116" s="1190"/>
      <c r="H116" s="1190"/>
      <c r="I116" s="568"/>
      <c r="J116" s="568"/>
      <c r="K116" s="568"/>
      <c r="L116" s="568"/>
      <c r="M116" s="568"/>
      <c r="N116" s="568"/>
      <c r="O116" s="1501"/>
      <c r="P116" s="1502"/>
      <c r="Q116" s="1503"/>
      <c r="R116" s="488"/>
    </row>
    <row r="118" spans="2:18" ht="18.75" customHeight="1" x14ac:dyDescent="0.3">
      <c r="B118" s="980" t="s">
        <v>1543</v>
      </c>
    </row>
    <row r="119" spans="2:18" ht="42" customHeight="1" x14ac:dyDescent="0.3">
      <c r="B119" s="995" t="s">
        <v>1544</v>
      </c>
      <c r="C119" s="995" t="s">
        <v>1545</v>
      </c>
      <c r="D119" s="995" t="s">
        <v>1547</v>
      </c>
      <c r="E119" s="995" t="s">
        <v>1569</v>
      </c>
      <c r="F119" s="995" t="s">
        <v>1548</v>
      </c>
      <c r="G119" s="995" t="s">
        <v>1570</v>
      </c>
      <c r="H119" s="995" t="s">
        <v>1571</v>
      </c>
      <c r="I119" s="995" t="s">
        <v>1572</v>
      </c>
      <c r="J119" s="995" t="s">
        <v>1546</v>
      </c>
    </row>
    <row r="120" spans="2:18" ht="18.75" customHeight="1" x14ac:dyDescent="0.3">
      <c r="B120" s="996" t="s">
        <v>1573</v>
      </c>
      <c r="C120" s="997">
        <v>8972</v>
      </c>
      <c r="D120" s="998">
        <v>25</v>
      </c>
      <c r="E120" s="998"/>
      <c r="F120" s="998">
        <v>20</v>
      </c>
      <c r="G120" s="1002"/>
      <c r="H120" s="1002">
        <v>229</v>
      </c>
      <c r="I120" s="997">
        <v>14.004366812227074</v>
      </c>
      <c r="J120" s="997">
        <v>79.187598253275112</v>
      </c>
      <c r="K120" s="1003">
        <f>C120/SUM($C$120:$C$122)</f>
        <v>0.76880891173950305</v>
      </c>
    </row>
    <row r="121" spans="2:18" ht="18.75" customHeight="1" x14ac:dyDescent="0.3">
      <c r="B121" s="996" t="s">
        <v>1574</v>
      </c>
      <c r="C121" s="997">
        <v>520</v>
      </c>
      <c r="D121" s="998">
        <v>18</v>
      </c>
      <c r="E121" s="998"/>
      <c r="F121" s="998">
        <v>11</v>
      </c>
      <c r="G121" s="1002"/>
      <c r="H121" s="1002">
        <v>17</v>
      </c>
      <c r="I121" s="997">
        <v>14</v>
      </c>
      <c r="J121" s="997">
        <v>31.145882352941179</v>
      </c>
      <c r="K121" s="1003">
        <f>C121/SUM($C$120:$C$122)</f>
        <v>4.4558697514995714E-2</v>
      </c>
    </row>
    <row r="122" spans="2:18" ht="18.75" customHeight="1" x14ac:dyDescent="0.3">
      <c r="B122" s="996" t="s">
        <v>1575</v>
      </c>
      <c r="C122" s="997">
        <v>2178</v>
      </c>
      <c r="D122" s="998">
        <v>20</v>
      </c>
      <c r="E122" s="998"/>
      <c r="F122" s="998">
        <v>14</v>
      </c>
      <c r="G122" s="1002"/>
      <c r="H122" s="1002">
        <v>65</v>
      </c>
      <c r="I122" s="997">
        <v>14</v>
      </c>
      <c r="J122" s="997">
        <v>33.41138461538462</v>
      </c>
      <c r="K122" s="1003">
        <f>C122/SUM($C$120:$C$122)</f>
        <v>0.18663239074550128</v>
      </c>
    </row>
    <row r="123" spans="2:18" ht="18.75" customHeight="1" x14ac:dyDescent="0.3">
      <c r="B123" s="488" t="s">
        <v>1576</v>
      </c>
      <c r="D123" s="1004">
        <f>SUMPRODUCT(D120:D122,$K$120:$K$122)</f>
        <v>23.754927163667524</v>
      </c>
      <c r="F123" s="1004">
        <f>SUMPRODUCT(F120:F122,$K$120:$K$122)</f>
        <v>18.479177377892032</v>
      </c>
      <c r="J123" s="1005">
        <f>SUMPRODUCT(J120:J122,$K$120:$K$122)</f>
        <v>68.503597775854459</v>
      </c>
    </row>
  </sheetData>
  <sheetProtection algorithmName="SHA-512" hashValue="wfOxEHZjk5QsKlDYn1TpPfgjlvwYUmJTz+EqBIZlaENauX03g61us6nKIsBPp0UUn+o2RcYHnjUVhJbm51Liqg==" saltValue="GkSDnZeYoBbbn4BwbhGN2w==" spinCount="100000" sheet="1" objects="1" scenarios="1" selectLockedCells="1" selectUnlockedCells="1"/>
  <mergeCells count="120">
    <mergeCell ref="O97:Q97"/>
    <mergeCell ref="O111:Q111"/>
    <mergeCell ref="O112:Q112"/>
    <mergeCell ref="O113:Q113"/>
    <mergeCell ref="O114:Q114"/>
    <mergeCell ref="O115:Q115"/>
    <mergeCell ref="O116:Q116"/>
    <mergeCell ref="O109:Q109"/>
    <mergeCell ref="O110:Q110"/>
    <mergeCell ref="O102:Q102"/>
    <mergeCell ref="O103:Q103"/>
    <mergeCell ref="O104:Q104"/>
    <mergeCell ref="O105:Q105"/>
    <mergeCell ref="D76:E76"/>
    <mergeCell ref="J76:Q76"/>
    <mergeCell ref="D73:E73"/>
    <mergeCell ref="J73:Q73"/>
    <mergeCell ref="B95:D95"/>
    <mergeCell ref="C96:D96"/>
    <mergeCell ref="D75:E75"/>
    <mergeCell ref="J75:Q75"/>
    <mergeCell ref="D74:E74"/>
    <mergeCell ref="J74:Q74"/>
    <mergeCell ref="P47:Q47"/>
    <mergeCell ref="O107:Q107"/>
    <mergeCell ref="O108:Q108"/>
    <mergeCell ref="D70:E70"/>
    <mergeCell ref="J70:Q70"/>
    <mergeCell ref="E94:N94"/>
    <mergeCell ref="O94:Q96"/>
    <mergeCell ref="F80:Q80"/>
    <mergeCell ref="F81:Q81"/>
    <mergeCell ref="F82:Q82"/>
    <mergeCell ref="F83:Q83"/>
    <mergeCell ref="F84:Q84"/>
    <mergeCell ref="F85:Q85"/>
    <mergeCell ref="F86:Q86"/>
    <mergeCell ref="F87:Q87"/>
    <mergeCell ref="F88:Q88"/>
    <mergeCell ref="F89:Q89"/>
    <mergeCell ref="F90:Q90"/>
    <mergeCell ref="O98:Q98"/>
    <mergeCell ref="O99:Q99"/>
    <mergeCell ref="O100:Q100"/>
    <mergeCell ref="O106:Q106"/>
    <mergeCell ref="C54:M54"/>
    <mergeCell ref="O101:Q101"/>
    <mergeCell ref="C2:F2"/>
    <mergeCell ref="C3:F3"/>
    <mergeCell ref="C4:F4"/>
    <mergeCell ref="D7:F7"/>
    <mergeCell ref="D17:F17"/>
    <mergeCell ref="E33:Q33"/>
    <mergeCell ref="E34:Q34"/>
    <mergeCell ref="D18:F18"/>
    <mergeCell ref="D8:F16"/>
    <mergeCell ref="C5:F5"/>
    <mergeCell ref="D29:Q29"/>
    <mergeCell ref="D30:Q30"/>
    <mergeCell ref="B20:Q20"/>
    <mergeCell ref="C21:Q21"/>
    <mergeCell ref="C22:Q22"/>
    <mergeCell ref="C23:Q23"/>
    <mergeCell ref="D25:Q25"/>
    <mergeCell ref="D26:Q26"/>
    <mergeCell ref="D27:Q27"/>
    <mergeCell ref="D28:Q28"/>
    <mergeCell ref="E32:Q32"/>
    <mergeCell ref="P54:Q54"/>
    <mergeCell ref="C55:M55"/>
    <mergeCell ref="P55:Q55"/>
    <mergeCell ref="C56:M56"/>
    <mergeCell ref="P56:Q56"/>
    <mergeCell ref="C57:M57"/>
    <mergeCell ref="P57:Q57"/>
    <mergeCell ref="D61:E61"/>
    <mergeCell ref="J61:Q61"/>
    <mergeCell ref="D62:E62"/>
    <mergeCell ref="J62:Q62"/>
    <mergeCell ref="J65:Q65"/>
    <mergeCell ref="D65:E65"/>
    <mergeCell ref="D66:E66"/>
    <mergeCell ref="D72:E72"/>
    <mergeCell ref="D63:E63"/>
    <mergeCell ref="J63:Q63"/>
    <mergeCell ref="D64:E64"/>
    <mergeCell ref="J64:Q64"/>
    <mergeCell ref="D69:E69"/>
    <mergeCell ref="J69:Q69"/>
    <mergeCell ref="J72:Q72"/>
    <mergeCell ref="J66:Q66"/>
    <mergeCell ref="D67:E67"/>
    <mergeCell ref="J67:Q67"/>
    <mergeCell ref="D68:E68"/>
    <mergeCell ref="J68:Q68"/>
    <mergeCell ref="J71:Q71"/>
    <mergeCell ref="C51:M51"/>
    <mergeCell ref="P51:Q51"/>
    <mergeCell ref="C53:M53"/>
    <mergeCell ref="P53:Q53"/>
    <mergeCell ref="E35:Q35"/>
    <mergeCell ref="E36:Q36"/>
    <mergeCell ref="E37:Q37"/>
    <mergeCell ref="C41:M41"/>
    <mergeCell ref="P41:Q41"/>
    <mergeCell ref="C42:M42"/>
    <mergeCell ref="P42:Q42"/>
    <mergeCell ref="C50:M50"/>
    <mergeCell ref="P50:Q50"/>
    <mergeCell ref="C48:M48"/>
    <mergeCell ref="P48:Q48"/>
    <mergeCell ref="C49:M49"/>
    <mergeCell ref="P49:Q49"/>
    <mergeCell ref="C43:M43"/>
    <mergeCell ref="P43:Q43"/>
    <mergeCell ref="C44:M44"/>
    <mergeCell ref="P44:Q44"/>
    <mergeCell ref="C45:M45"/>
    <mergeCell ref="P45:Q45"/>
    <mergeCell ref="C47:M47"/>
  </mergeCells>
  <conditionalFormatting sqref="H70:H71">
    <cfRule type="expression" dxfId="2619" priority="51">
      <formula>IF(OR(#REF!="L",#REF!="C"),TRUE,FALSE)</formula>
    </cfRule>
  </conditionalFormatting>
  <conditionalFormatting sqref="H68:H69">
    <cfRule type="expression" dxfId="2618" priority="44">
      <formula>IF(OR(#REF!="L",#REF!="C"),TRUE,FALSE)</formula>
    </cfRule>
  </conditionalFormatting>
  <conditionalFormatting sqref="H62">
    <cfRule type="expression" dxfId="2617" priority="14">
      <formula>IF(OR(#REF!="L",#REF!="C"),TRUE,FALSE)</formula>
    </cfRule>
  </conditionalFormatting>
  <conditionalFormatting sqref="H64">
    <cfRule type="expression" dxfId="2616" priority="13">
      <formula>IF(OR(#REF!="L",#REF!="C"),TRUE,FALSE)</formula>
    </cfRule>
  </conditionalFormatting>
  <conditionalFormatting sqref="H69">
    <cfRule type="expression" dxfId="2615" priority="18">
      <formula>IF(OR(#REF!="L",#REF!="C"),TRUE,FALSE)</formula>
    </cfRule>
  </conditionalFormatting>
  <conditionalFormatting sqref="H63">
    <cfRule type="expression" dxfId="2614" priority="12">
      <formula>IF(OR(#REF!="L",#REF!="C"),TRUE,FALSE)</formula>
    </cfRule>
  </conditionalFormatting>
  <conditionalFormatting sqref="E95 G95 I95 K95 M95">
    <cfRule type="duplicateValues" dxfId="2613" priority="11"/>
  </conditionalFormatting>
  <conditionalFormatting sqref="E96:N96">
    <cfRule type="duplicateValues" dxfId="2612" priority="10"/>
  </conditionalFormatting>
  <conditionalFormatting sqref="H72">
    <cfRule type="expression" dxfId="2611" priority="9">
      <formula>IF(OR(#REF!="L",#REF!="C"),TRUE,FALSE)</formula>
    </cfRule>
  </conditionalFormatting>
  <conditionalFormatting sqref="H73">
    <cfRule type="expression" dxfId="2610" priority="8">
      <formula>IF(OR(#REF!="L",#REF!="C"),TRUE,FALSE)</formula>
    </cfRule>
  </conditionalFormatting>
  <conditionalFormatting sqref="H74">
    <cfRule type="expression" dxfId="2609" priority="7">
      <formula>IF(OR(#REF!="L",#REF!="C"),TRUE,FALSE)</formula>
    </cfRule>
  </conditionalFormatting>
  <conditionalFormatting sqref="H75">
    <cfRule type="expression" dxfId="2608" priority="6">
      <formula>IF(OR(#REF!="L",#REF!="C"),TRUE,FALSE)</formula>
    </cfRule>
  </conditionalFormatting>
  <conditionalFormatting sqref="H76">
    <cfRule type="expression" dxfId="2607" priority="4">
      <formula>IF(OR(#REF!="L",#REF!="C"),TRUE,FALSE)</formula>
    </cfRule>
  </conditionalFormatting>
  <conditionalFormatting sqref="H65">
    <cfRule type="expression" dxfId="2606" priority="2">
      <formula>IF(OR(#REF!="L",#REF!="C"),TRUE,FALSE)</formula>
    </cfRule>
  </conditionalFormatting>
  <conditionalFormatting sqref="H66">
    <cfRule type="expression" dxfId="2605" priority="1">
      <formula>IF(OR(#REF!="L",#REF!="C"),TRUE,FALSE)</formula>
    </cfRule>
  </conditionalFormatting>
  <dataValidations count="8">
    <dataValidation type="list" allowBlank="1" showInputMessage="1" showErrorMessage="1" sqref="F69 F72:F74" xr:uid="{74A32DD6-59AA-42CE-AF1C-90ADD590F063}">
      <formula1>#REF!</formula1>
    </dataValidation>
    <dataValidation type="list" allowBlank="1" showInputMessage="1" showErrorMessage="1" sqref="C4" xr:uid="{E847BEB0-3ECE-406B-AC24-AE90EB5A02D3}">
      <formula1>"COM,RES"</formula1>
    </dataValidation>
    <dataValidation type="list" allowBlank="1" showInputMessage="1" showErrorMessage="1" sqref="H67 F62:F63" xr:uid="{A9D6789A-2288-419A-A899-086482805C7F}">
      <formula1>$C$97:$C$108</formula1>
    </dataValidation>
    <dataValidation type="list" allowBlank="1" showInputMessage="1" showErrorMessage="1" sqref="C9" xr:uid="{615E87E1-007B-4517-94D8-4A01DE986D3D}">
      <formula1>INDIRECT("MeasureTypeList[Index]")</formula1>
    </dataValidation>
    <dataValidation type="list" allowBlank="1" showInputMessage="1" showErrorMessage="1" sqref="C26" xr:uid="{A6231B3C-42B0-4D67-9E58-C32836CB6BE2}">
      <formula1>INDIRECT("RegionList[Index]")</formula1>
    </dataValidation>
    <dataValidation type="list" allowBlank="1" showInputMessage="1" showErrorMessage="1" sqref="C27" xr:uid="{A0CF73C5-D7FC-4007-93EB-C577D2D3669D}">
      <formula1>INDIRECT("ReplacementTypeList[Index]")</formula1>
    </dataValidation>
    <dataValidation type="list" allowBlank="1" showInputMessage="1" showErrorMessage="1" sqref="C28" xr:uid="{82913476-49F6-457F-8978-844FA51D369F}">
      <formula1>INDIRECT("BuildingType[Building]")</formula1>
    </dataValidation>
    <dataValidation type="list" allowBlank="1" showInputMessage="1" showErrorMessage="1" sqref="C29 C30" xr:uid="{2FD4C08E-399D-420E-B380-1D2C9F5F6F5F}">
      <formula1>INDIRECT("FuelTypeList[Index]")</formula1>
    </dataValidation>
  </dataValidations>
  <hyperlinks>
    <hyperlink ref="F82" r:id="rId1" xr:uid="{C28A04D1-A332-4EDC-9E82-625FAFCB3E7F}"/>
    <hyperlink ref="F83" r:id="rId2" xr:uid="{700112C9-EE4E-4B93-BACC-7D98A4F371FC}"/>
    <hyperlink ref="F85" r:id="rId3" xr:uid="{44239B8B-35B1-441C-B4F3-9EDC8217D289}"/>
    <hyperlink ref="F84" r:id="rId4" xr:uid="{391B4B54-8502-4EF5-8B04-4A7CA8B81E21}"/>
  </hyperlinks>
  <pageMargins left="0.7" right="0.7" top="0.75" bottom="0.75" header="0.3" footer="0.3"/>
  <pageSetup orientation="portrait" r:id="rId5"/>
  <legacyDrawing r:id="rId6"/>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64C88-F233-47E4-9D0C-4F10CBE2C60A}">
  <sheetPr codeName="Sheet296"/>
  <dimension ref="A2:R118"/>
  <sheetViews>
    <sheetView workbookViewId="0"/>
  </sheetViews>
  <sheetFormatPr defaultColWidth="9.08984375" defaultRowHeight="18.75" customHeight="1" x14ac:dyDescent="0.3"/>
  <cols>
    <col min="1" max="1" width="2.36328125" style="488" customWidth="1"/>
    <col min="2" max="2" width="44.36328125" style="488" bestFit="1" customWidth="1"/>
    <col min="3" max="3" width="21.08984375" style="488" customWidth="1"/>
    <col min="4" max="4" width="21.6328125" style="488" customWidth="1"/>
    <col min="5" max="5" width="14.36328125" style="488" customWidth="1"/>
    <col min="6" max="6" width="15.6328125" style="488" customWidth="1"/>
    <col min="7" max="7" width="19.6328125" style="488" customWidth="1"/>
    <col min="8" max="8" width="16"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C-L-004</v>
      </c>
      <c r="D3" s="1367"/>
      <c r="E3" s="1367"/>
      <c r="F3" s="1367"/>
    </row>
    <row r="4" spans="1:18" ht="18.75" customHeight="1" x14ac:dyDescent="0.3">
      <c r="B4" s="490" t="s">
        <v>11</v>
      </c>
      <c r="C4" s="1367" t="str" cm="1">
        <f t="array" ref="C4">_xlfn.SWITCH(LEFT(C8,1),"R","Residential","C","Commercial","ERROR")</f>
        <v>Commercial</v>
      </c>
      <c r="D4" s="1367"/>
      <c r="E4" s="1367"/>
      <c r="F4" s="1367"/>
    </row>
    <row r="5" spans="1:18" ht="18" customHeight="1" x14ac:dyDescent="0.3">
      <c r="B5" s="490" t="s">
        <v>408</v>
      </c>
      <c r="C5" s="1530" t="s">
        <v>257</v>
      </c>
      <c r="D5" s="1531"/>
      <c r="E5" s="1531"/>
      <c r="F5" s="1532"/>
      <c r="R5" s="488"/>
    </row>
    <row r="6" spans="1:18" ht="18.75" customHeight="1" x14ac:dyDescent="0.3">
      <c r="A6" s="573"/>
    </row>
    <row r="7" spans="1:18" ht="18.75" customHeight="1" x14ac:dyDescent="0.3">
      <c r="B7" s="1193" t="s">
        <v>507</v>
      </c>
      <c r="C7" s="493" t="s">
        <v>406</v>
      </c>
      <c r="D7" s="1366" t="s">
        <v>410</v>
      </c>
      <c r="E7" s="1366"/>
      <c r="F7" s="1366"/>
      <c r="R7" s="488"/>
    </row>
    <row r="8" spans="1:18" ht="18.75" customHeight="1" x14ac:dyDescent="0.3">
      <c r="B8" s="490" t="s">
        <v>411</v>
      </c>
      <c r="C8" s="1194" t="s">
        <v>112</v>
      </c>
      <c r="D8" s="1521" t="s">
        <v>1577</v>
      </c>
      <c r="E8" s="1522"/>
      <c r="F8" s="1523"/>
      <c r="R8" s="488"/>
    </row>
    <row r="9" spans="1:18" ht="33" customHeight="1" x14ac:dyDescent="0.3">
      <c r="B9" s="490" t="s">
        <v>49</v>
      </c>
      <c r="C9" s="1194" t="s">
        <v>716</v>
      </c>
      <c r="D9" s="1524"/>
      <c r="E9" s="1525"/>
      <c r="F9" s="1526"/>
      <c r="R9" s="488"/>
    </row>
    <row r="10" spans="1:18" ht="18.75" customHeight="1" x14ac:dyDescent="0.3">
      <c r="B10" s="490" t="s">
        <v>412</v>
      </c>
      <c r="C10" s="1194"/>
      <c r="D10" s="1524"/>
      <c r="E10" s="1525"/>
      <c r="F10" s="1526"/>
      <c r="R10" s="488"/>
    </row>
    <row r="11" spans="1:18" ht="18.75" customHeight="1" x14ac:dyDescent="0.3">
      <c r="B11" s="490" t="s">
        <v>413</v>
      </c>
      <c r="C11" s="1194"/>
      <c r="D11" s="1524"/>
      <c r="E11" s="1525"/>
      <c r="F11" s="1526"/>
      <c r="R11" s="488"/>
    </row>
    <row r="12" spans="1:18" ht="18.75" customHeight="1" x14ac:dyDescent="0.3">
      <c r="B12" s="490" t="s">
        <v>414</v>
      </c>
      <c r="C12" s="602"/>
      <c r="D12" s="1524"/>
      <c r="E12" s="1525"/>
      <c r="F12" s="1526"/>
      <c r="R12" s="488"/>
    </row>
    <row r="13" spans="1:18" ht="18.75" customHeight="1" x14ac:dyDescent="0.3">
      <c r="B13" s="494" t="s">
        <v>415</v>
      </c>
      <c r="C13" s="495">
        <f>N43</f>
        <v>269.33996314960604</v>
      </c>
      <c r="D13" s="1524"/>
      <c r="E13" s="1525"/>
      <c r="F13" s="1526"/>
      <c r="R13" s="488"/>
    </row>
    <row r="14" spans="1:18" ht="18.75" customHeight="1" x14ac:dyDescent="0.3">
      <c r="B14" s="494" t="s">
        <v>416</v>
      </c>
      <c r="C14" s="495">
        <f>N42</f>
        <v>0</v>
      </c>
      <c r="D14" s="1524"/>
      <c r="E14" s="1525"/>
      <c r="F14" s="1526"/>
      <c r="R14" s="488"/>
    </row>
    <row r="15" spans="1:18" ht="18.75" customHeight="1" x14ac:dyDescent="0.3">
      <c r="B15" s="494" t="s">
        <v>417</v>
      </c>
      <c r="C15" s="495">
        <f>N44</f>
        <v>-0.42623049168425153</v>
      </c>
      <c r="D15" s="1524"/>
      <c r="E15" s="1525"/>
      <c r="F15" s="1526"/>
      <c r="R15" s="488"/>
    </row>
    <row r="16" spans="1:18" ht="18.75" customHeight="1" x14ac:dyDescent="0.3">
      <c r="B16" s="494" t="s">
        <v>418</v>
      </c>
      <c r="C16" s="496">
        <f>C37</f>
        <v>0</v>
      </c>
      <c r="D16" s="1527"/>
      <c r="E16" s="1528"/>
      <c r="F16" s="1529"/>
      <c r="R16" s="488"/>
    </row>
    <row r="17" spans="2:18" ht="18.75" customHeight="1" x14ac:dyDescent="0.3">
      <c r="B17" s="490" t="s">
        <v>48</v>
      </c>
      <c r="C17" s="1194" t="s">
        <v>717</v>
      </c>
      <c r="D17" s="1366" t="s">
        <v>419</v>
      </c>
      <c r="E17" s="1366"/>
      <c r="F17" s="1366"/>
      <c r="R17" s="488"/>
    </row>
    <row r="18" spans="2:18" ht="18.75" customHeight="1" x14ac:dyDescent="0.3">
      <c r="B18" s="490" t="s">
        <v>420</v>
      </c>
      <c r="C18" s="541">
        <v>9</v>
      </c>
      <c r="D18" s="1648" t="s">
        <v>1559</v>
      </c>
      <c r="E18" s="1648"/>
      <c r="F18" s="1648"/>
      <c r="R18" s="488"/>
    </row>
    <row r="19" spans="2:18" ht="18.75" customHeight="1" x14ac:dyDescent="0.3">
      <c r="B19" s="613"/>
      <c r="C19" s="614"/>
      <c r="F19" s="489"/>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18.75" customHeight="1" x14ac:dyDescent="0.3">
      <c r="B21" s="499" t="s">
        <v>422</v>
      </c>
      <c r="C21" s="1536" t="s">
        <v>258</v>
      </c>
      <c r="D21" s="1536"/>
      <c r="E21" s="1536"/>
      <c r="F21" s="1536"/>
      <c r="G21" s="1536"/>
      <c r="H21" s="1536"/>
      <c r="I21" s="1536"/>
      <c r="J21" s="1536"/>
      <c r="K21" s="1536"/>
      <c r="L21" s="1536"/>
      <c r="M21" s="1536"/>
      <c r="N21" s="1536"/>
      <c r="O21" s="1536"/>
      <c r="P21" s="1536"/>
      <c r="Q21" s="1536"/>
      <c r="R21" s="488"/>
    </row>
    <row r="22" spans="2:18" ht="18.75" customHeight="1" x14ac:dyDescent="0.3">
      <c r="B22" s="500" t="s">
        <v>423</v>
      </c>
      <c r="C22" s="1536" t="s">
        <v>259</v>
      </c>
      <c r="D22" s="1536"/>
      <c r="E22" s="1536"/>
      <c r="F22" s="1536"/>
      <c r="G22" s="1536"/>
      <c r="H22" s="1536"/>
      <c r="I22" s="1536"/>
      <c r="J22" s="1536"/>
      <c r="K22" s="1536"/>
      <c r="L22" s="1536"/>
      <c r="M22" s="1536"/>
      <c r="N22" s="1536"/>
      <c r="O22" s="1536"/>
      <c r="P22" s="1536"/>
      <c r="Q22" s="1536"/>
      <c r="R22" s="488"/>
    </row>
    <row r="23" spans="2:18" ht="13"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475"/>
      <c r="F33" s="1476"/>
      <c r="G33" s="1476"/>
      <c r="H33" s="1476"/>
      <c r="I33" s="1476"/>
      <c r="J33" s="1476"/>
      <c r="K33" s="1476"/>
      <c r="L33" s="1476"/>
      <c r="M33" s="1476"/>
      <c r="N33" s="1476"/>
      <c r="O33" s="1476"/>
      <c r="P33" s="1476"/>
      <c r="Q33" s="1477"/>
      <c r="R33" s="488"/>
    </row>
    <row r="34" spans="2:18" ht="18.75" customHeight="1" x14ac:dyDescent="0.3">
      <c r="B34" s="494" t="s">
        <v>431</v>
      </c>
      <c r="C34" s="542"/>
      <c r="D34" s="586" t="s">
        <v>430</v>
      </c>
      <c r="E34" s="1512"/>
      <c r="F34" s="1512"/>
      <c r="G34" s="1512"/>
      <c r="H34" s="1512"/>
      <c r="I34" s="1512"/>
      <c r="J34" s="1512"/>
      <c r="K34" s="1512"/>
      <c r="L34" s="1512"/>
      <c r="M34" s="1512"/>
      <c r="N34" s="1512"/>
      <c r="O34" s="1512"/>
      <c r="P34" s="1512"/>
      <c r="Q34" s="1512"/>
    </row>
    <row r="35" spans="2:18" ht="18.75" customHeight="1" x14ac:dyDescent="0.3">
      <c r="B35" s="490" t="s">
        <v>432</v>
      </c>
      <c r="C35" s="542"/>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905">
        <f>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905">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269.33996314960604</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-0.42623049168425153</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1560</v>
      </c>
      <c r="D49" s="1505"/>
      <c r="E49" s="1505"/>
      <c r="F49" s="1505"/>
      <c r="G49" s="1505"/>
      <c r="H49" s="1505"/>
      <c r="I49" s="1505"/>
      <c r="J49" s="1505"/>
      <c r="K49" s="1505"/>
      <c r="L49" s="1505"/>
      <c r="M49" s="1506"/>
      <c r="N49" s="592">
        <f>(H62-H63)/1000*H64</f>
        <v>269.33996314960604</v>
      </c>
      <c r="O49" s="1243" t="s">
        <v>443</v>
      </c>
      <c r="P49" s="1511"/>
      <c r="Q49" s="1511"/>
      <c r="R49" s="488"/>
    </row>
    <row r="50" spans="2:18" ht="18.75" customHeight="1" x14ac:dyDescent="0.3">
      <c r="B50" s="582" t="s">
        <v>456</v>
      </c>
      <c r="C50" s="1504" t="s">
        <v>457</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1524</v>
      </c>
      <c r="D56" s="1505"/>
      <c r="E56" s="1505"/>
      <c r="F56" s="1505"/>
      <c r="G56" s="1505"/>
      <c r="H56" s="1505"/>
      <c r="I56" s="1505"/>
      <c r="J56" s="1505"/>
      <c r="K56" s="1505"/>
      <c r="L56" s="1505"/>
      <c r="M56" s="1506"/>
      <c r="N56" s="1000">
        <f>N49*H65</f>
        <v>-0.42623049168425153</v>
      </c>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506" t="s">
        <v>406</v>
      </c>
      <c r="I61" s="506" t="s">
        <v>428</v>
      </c>
      <c r="J61" s="1396" t="s">
        <v>476</v>
      </c>
      <c r="K61" s="1397"/>
      <c r="L61" s="1397"/>
      <c r="M61" s="1397"/>
      <c r="N61" s="1397"/>
      <c r="O61" s="1397"/>
      <c r="P61" s="1397"/>
      <c r="Q61" s="1398"/>
    </row>
    <row r="62" spans="2:18" ht="60" customHeight="1" x14ac:dyDescent="0.3">
      <c r="B62" s="535">
        <v>1</v>
      </c>
      <c r="C62" s="551" t="s">
        <v>722</v>
      </c>
      <c r="D62" s="1543" t="s">
        <v>723</v>
      </c>
      <c r="E62" s="1543"/>
      <c r="F62" s="552" t="str">
        <f>H67</f>
        <v>Bay fixture and retrofit kit - LED - 10,000 to 14,999 lumen</v>
      </c>
      <c r="G62" s="552" t="s">
        <v>725</v>
      </c>
      <c r="H62" s="1006">
        <f>INDEX($B$96:$N$99,MATCH($F62,$C$96:$C$99,0),MATCH($G62,$B$96:$N$96,0))</f>
        <v>196</v>
      </c>
      <c r="I62" s="552" t="s">
        <v>726</v>
      </c>
      <c r="J62" s="1482" t="s">
        <v>1561</v>
      </c>
      <c r="K62" s="1484"/>
      <c r="L62" s="1484"/>
      <c r="M62" s="1484"/>
      <c r="N62" s="1484"/>
      <c r="O62" s="1484"/>
      <c r="P62" s="1484"/>
      <c r="Q62" s="1483"/>
      <c r="R62" s="488"/>
    </row>
    <row r="63" spans="2:18" ht="60" customHeight="1" x14ac:dyDescent="0.3">
      <c r="B63" s="535">
        <v>2</v>
      </c>
      <c r="C63" s="551" t="s">
        <v>728</v>
      </c>
      <c r="D63" s="1543" t="s">
        <v>729</v>
      </c>
      <c r="E63" s="1543"/>
      <c r="F63" s="552" t="str">
        <f>H67</f>
        <v>Bay fixture and retrofit kit - LED - 10,000 to 14,999 lumen</v>
      </c>
      <c r="G63" s="552" t="s">
        <v>1562</v>
      </c>
      <c r="H63" s="1006">
        <f>INDEX($B$96:$N$99,MATCH($F63,$C$96:$C$99,0),MATCH($G63,$B$96:$N$96,0))</f>
        <v>101.72629921259852</v>
      </c>
      <c r="I63" s="552" t="s">
        <v>726</v>
      </c>
      <c r="J63" s="1482" t="s">
        <v>1561</v>
      </c>
      <c r="K63" s="1484"/>
      <c r="L63" s="1484"/>
      <c r="M63" s="1484"/>
      <c r="N63" s="1484"/>
      <c r="O63" s="1484"/>
      <c r="P63" s="1484"/>
      <c r="Q63" s="1483"/>
      <c r="R63" s="488"/>
    </row>
    <row r="64" spans="2:18" ht="15" customHeight="1" x14ac:dyDescent="0.3">
      <c r="B64" s="534">
        <v>3</v>
      </c>
      <c r="C64" s="546" t="s">
        <v>698</v>
      </c>
      <c r="D64" s="1539" t="s">
        <v>732</v>
      </c>
      <c r="E64" s="1539"/>
      <c r="F64" s="1217" t="s">
        <v>789</v>
      </c>
      <c r="G64" s="1217" t="s">
        <v>733</v>
      </c>
      <c r="H64" s="974">
        <f>INDEX(BuildingType[],MATCH($C$28,BuildingType[Building],0),MATCH($G$64,BuildingType[#Headers],0))</f>
        <v>2857</v>
      </c>
      <c r="I64" s="1217" t="s">
        <v>532</v>
      </c>
      <c r="J64" s="1462" t="s">
        <v>734</v>
      </c>
      <c r="K64" s="1470"/>
      <c r="L64" s="1470"/>
      <c r="M64" s="1470"/>
      <c r="N64" s="1470"/>
      <c r="O64" s="1470"/>
      <c r="P64" s="1470"/>
      <c r="Q64" s="1471"/>
      <c r="R64" s="488"/>
    </row>
    <row r="65" spans="2:18" ht="15" customHeight="1" x14ac:dyDescent="0.3">
      <c r="B65" s="534">
        <v>4</v>
      </c>
      <c r="C65" s="549" t="s">
        <v>704</v>
      </c>
      <c r="D65" s="1539" t="s">
        <v>1563</v>
      </c>
      <c r="E65" s="1539"/>
      <c r="F65" s="1217" t="s">
        <v>789</v>
      </c>
      <c r="G65" s="1217" t="s">
        <v>1530</v>
      </c>
      <c r="H65" s="1001">
        <f>INDEX(BuildingType[],MATCH($C$28,BuildingType[Building],0),MATCH($G$65,BuildingType[#Headers],0))</f>
        <v>-1.5824999999999999E-3</v>
      </c>
      <c r="I65" s="1217" t="s">
        <v>1034</v>
      </c>
      <c r="J65" s="1462" t="s">
        <v>1531</v>
      </c>
      <c r="K65" s="1464"/>
      <c r="L65" s="1464"/>
      <c r="M65" s="1464"/>
      <c r="N65" s="1464"/>
      <c r="O65" s="1464"/>
      <c r="P65" s="1464"/>
      <c r="Q65" s="1463"/>
      <c r="R65" s="488"/>
    </row>
    <row r="66" spans="2:18" ht="30" customHeight="1" x14ac:dyDescent="0.3">
      <c r="B66" s="534">
        <v>5</v>
      </c>
      <c r="C66" s="546" t="s">
        <v>517</v>
      </c>
      <c r="D66" s="1539" t="s">
        <v>1564</v>
      </c>
      <c r="E66" s="1539"/>
      <c r="F66" s="1217"/>
      <c r="G66" s="1217"/>
      <c r="H66" s="963">
        <f>SpaceHeatingEfficiency.CI.NG</f>
        <v>0.85</v>
      </c>
      <c r="I66" s="1224" t="s">
        <v>519</v>
      </c>
      <c r="J66" s="1468" t="s">
        <v>1029</v>
      </c>
      <c r="K66" s="1478"/>
      <c r="L66" s="1478"/>
      <c r="M66" s="1478"/>
      <c r="N66" s="1478"/>
      <c r="O66" s="1478"/>
      <c r="P66" s="1478"/>
      <c r="Q66" s="1469"/>
      <c r="R66" s="488"/>
    </row>
    <row r="67" spans="2:18" ht="15" customHeight="1" x14ac:dyDescent="0.3">
      <c r="B67" s="535">
        <v>6</v>
      </c>
      <c r="C67" s="551" t="s">
        <v>1194</v>
      </c>
      <c r="D67" s="1543" t="s">
        <v>1565</v>
      </c>
      <c r="E67" s="1543"/>
      <c r="F67" s="1007"/>
      <c r="G67" s="552"/>
      <c r="H67" s="552" t="s">
        <v>1578</v>
      </c>
      <c r="I67" s="552" t="s">
        <v>597</v>
      </c>
      <c r="J67" s="1659" t="s">
        <v>727</v>
      </c>
      <c r="K67" s="1660"/>
      <c r="L67" s="1660"/>
      <c r="M67" s="1660"/>
      <c r="N67" s="1660"/>
      <c r="O67" s="1660"/>
      <c r="P67" s="1660"/>
      <c r="Q67" s="1661"/>
      <c r="R67" s="488"/>
    </row>
    <row r="68" spans="2:18" ht="15" customHeight="1" x14ac:dyDescent="0.3">
      <c r="B68" s="534">
        <v>7</v>
      </c>
      <c r="C68" s="546"/>
      <c r="D68" s="1539"/>
      <c r="E68" s="1539"/>
      <c r="F68" s="1217"/>
      <c r="G68" s="1217"/>
      <c r="H68" s="1217"/>
      <c r="I68" s="1217"/>
      <c r="J68" s="1507"/>
      <c r="K68" s="1514"/>
      <c r="L68" s="1514"/>
      <c r="M68" s="1514"/>
      <c r="N68" s="1514"/>
      <c r="O68" s="1514"/>
      <c r="P68" s="1514"/>
      <c r="Q68" s="1515"/>
      <c r="R68" s="488"/>
    </row>
    <row r="69" spans="2:18" ht="13" x14ac:dyDescent="0.3">
      <c r="B69" s="534">
        <v>8</v>
      </c>
      <c r="C69" s="546"/>
      <c r="D69" s="1539"/>
      <c r="E69" s="1539"/>
      <c r="F69" s="1217"/>
      <c r="G69" s="1217"/>
      <c r="H69" s="609"/>
      <c r="I69" s="1217"/>
      <c r="J69" s="1468"/>
      <c r="K69" s="1478"/>
      <c r="L69" s="1478"/>
      <c r="M69" s="1478"/>
      <c r="N69" s="1478"/>
      <c r="O69" s="1478"/>
      <c r="P69" s="1478"/>
      <c r="Q69" s="1469"/>
      <c r="R69" s="488"/>
    </row>
    <row r="70" spans="2:18" ht="13" x14ac:dyDescent="0.3">
      <c r="B70" s="534">
        <v>9</v>
      </c>
      <c r="C70" s="546"/>
      <c r="D70" s="1539"/>
      <c r="E70" s="1539"/>
      <c r="F70" s="1217"/>
      <c r="G70" s="1217"/>
      <c r="H70" s="571"/>
      <c r="I70" s="1217"/>
      <c r="J70" s="1507"/>
      <c r="K70" s="1514"/>
      <c r="L70" s="1514"/>
      <c r="M70" s="1514"/>
      <c r="N70" s="1514"/>
      <c r="O70" s="1514"/>
      <c r="P70" s="1514"/>
      <c r="Q70" s="1515"/>
      <c r="R70" s="488"/>
    </row>
    <row r="71" spans="2:18" ht="13" x14ac:dyDescent="0.3">
      <c r="B71" s="534">
        <v>10</v>
      </c>
      <c r="C71" s="546"/>
      <c r="D71" s="1185"/>
      <c r="E71" s="1186"/>
      <c r="F71" s="1217"/>
      <c r="G71" s="1217"/>
      <c r="H71" s="571"/>
      <c r="I71" s="1217"/>
      <c r="J71" s="1507"/>
      <c r="K71" s="1514"/>
      <c r="L71" s="1514"/>
      <c r="M71" s="1514"/>
      <c r="N71" s="1514"/>
      <c r="O71" s="1514"/>
      <c r="P71" s="1514"/>
      <c r="Q71" s="1515"/>
      <c r="R71" s="488"/>
    </row>
    <row r="72" spans="2:18" s="491" customFormat="1" ht="13" x14ac:dyDescent="0.3">
      <c r="B72" s="534">
        <v>11</v>
      </c>
      <c r="C72" s="555"/>
      <c r="D72" s="1437"/>
      <c r="E72" s="1438"/>
      <c r="F72" s="556"/>
      <c r="G72" s="557"/>
      <c r="H72" s="556"/>
      <c r="I72" s="557"/>
      <c r="J72" s="1437"/>
      <c r="K72" s="1448"/>
      <c r="L72" s="1448"/>
      <c r="M72" s="1448"/>
      <c r="N72" s="1448"/>
      <c r="O72" s="1448"/>
      <c r="P72" s="1448"/>
      <c r="Q72" s="1438"/>
    </row>
    <row r="73" spans="2:18" s="491" customFormat="1" ht="13" x14ac:dyDescent="0.3">
      <c r="B73" s="534">
        <v>12</v>
      </c>
      <c r="C73" s="555"/>
      <c r="D73" s="1437"/>
      <c r="E73" s="1438"/>
      <c r="F73" s="556"/>
      <c r="G73" s="557"/>
      <c r="H73" s="558"/>
      <c r="I73" s="557"/>
      <c r="J73" s="1472"/>
      <c r="K73" s="1473"/>
      <c r="L73" s="1473"/>
      <c r="M73" s="1473"/>
      <c r="N73" s="1473"/>
      <c r="O73" s="1473"/>
      <c r="P73" s="1473"/>
      <c r="Q73" s="1474"/>
    </row>
    <row r="74" spans="2:18" s="491" customFormat="1" ht="13" x14ac:dyDescent="0.3">
      <c r="B74" s="534">
        <v>13</v>
      </c>
      <c r="C74" s="555"/>
      <c r="D74" s="1437"/>
      <c r="E74" s="1438"/>
      <c r="F74" s="556"/>
      <c r="G74" s="557"/>
      <c r="H74" s="556"/>
      <c r="I74" s="557"/>
      <c r="J74" s="1472"/>
      <c r="K74" s="1473"/>
      <c r="L74" s="1473"/>
      <c r="M74" s="1473"/>
      <c r="N74" s="1473"/>
      <c r="O74" s="1473"/>
      <c r="P74" s="1473"/>
      <c r="Q74" s="1474"/>
    </row>
    <row r="75" spans="2:18" s="489" customFormat="1" ht="13.15" customHeight="1" x14ac:dyDescent="0.3">
      <c r="B75" s="534">
        <v>14</v>
      </c>
      <c r="C75" s="555"/>
      <c r="D75" s="1437"/>
      <c r="E75" s="1438"/>
      <c r="F75" s="556"/>
      <c r="G75" s="557"/>
      <c r="H75" s="556"/>
      <c r="I75" s="557"/>
      <c r="J75" s="1472"/>
      <c r="K75" s="1473"/>
      <c r="L75" s="1473"/>
      <c r="M75" s="1473"/>
      <c r="N75" s="1473"/>
      <c r="O75" s="1473"/>
      <c r="P75" s="1473"/>
      <c r="Q75" s="1474"/>
    </row>
    <row r="76" spans="2:18" s="489" customFormat="1" ht="13" x14ac:dyDescent="0.3">
      <c r="B76" s="534">
        <v>15</v>
      </c>
      <c r="C76" s="555"/>
      <c r="D76" s="1437"/>
      <c r="E76" s="1438"/>
      <c r="F76" s="556"/>
      <c r="G76" s="557"/>
      <c r="H76" s="559"/>
      <c r="I76" s="557"/>
      <c r="J76" s="1472"/>
      <c r="K76" s="1473"/>
      <c r="L76" s="1473"/>
      <c r="M76" s="1473"/>
      <c r="N76" s="1473"/>
      <c r="O76" s="1473"/>
      <c r="P76" s="1473"/>
      <c r="Q76" s="1474"/>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182"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182"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c r="R85" s="488"/>
    </row>
    <row r="86" spans="2:18" ht="13" x14ac:dyDescent="0.3">
      <c r="B86" s="533">
        <v>6</v>
      </c>
      <c r="C86" s="563"/>
      <c r="D86" s="564"/>
      <c r="E86" s="1182"/>
      <c r="F86" s="1489"/>
      <c r="G86" s="1490"/>
      <c r="H86" s="1490"/>
      <c r="I86" s="1490"/>
      <c r="J86" s="1490"/>
      <c r="K86" s="1490"/>
      <c r="L86" s="1490"/>
      <c r="M86" s="1490"/>
      <c r="N86" s="1490"/>
      <c r="O86" s="1490"/>
      <c r="P86" s="1490"/>
      <c r="Q86" s="1491"/>
      <c r="R86" s="488"/>
    </row>
    <row r="87" spans="2:18" ht="13" x14ac:dyDescent="0.3">
      <c r="B87" s="533">
        <v>7</v>
      </c>
      <c r="C87" s="563"/>
      <c r="D87" s="1233"/>
      <c r="E87" s="1182"/>
      <c r="F87" s="1489"/>
      <c r="G87" s="1490"/>
      <c r="H87" s="1490"/>
      <c r="I87" s="1490"/>
      <c r="J87" s="1490"/>
      <c r="K87" s="1490"/>
      <c r="L87" s="1490"/>
      <c r="M87" s="1490"/>
      <c r="N87" s="1490"/>
      <c r="O87" s="1490"/>
      <c r="P87" s="1490"/>
      <c r="Q87" s="1491"/>
      <c r="R87" s="488"/>
    </row>
    <row r="88" spans="2:18" ht="13" x14ac:dyDescent="0.3">
      <c r="B88" s="533">
        <v>8</v>
      </c>
      <c r="C88" s="563"/>
      <c r="D88" s="564"/>
      <c r="E88" s="1182"/>
      <c r="F88" s="1489"/>
      <c r="G88" s="1490"/>
      <c r="H88" s="1490"/>
      <c r="I88" s="1490"/>
      <c r="J88" s="1490"/>
      <c r="K88" s="1490"/>
      <c r="L88" s="1490"/>
      <c r="M88" s="1490"/>
      <c r="N88" s="1490"/>
      <c r="O88" s="1490"/>
      <c r="P88" s="1490"/>
      <c r="Q88" s="1491"/>
      <c r="R88" s="488"/>
    </row>
    <row r="89" spans="2:18" ht="13" x14ac:dyDescent="0.3">
      <c r="B89" s="533">
        <v>9</v>
      </c>
      <c r="C89" s="563"/>
      <c r="D89" s="1233"/>
      <c r="E89" s="1182"/>
      <c r="F89" s="1489"/>
      <c r="G89" s="1490"/>
      <c r="H89" s="1490"/>
      <c r="I89" s="1490"/>
      <c r="J89" s="1490"/>
      <c r="K89" s="1490"/>
      <c r="L89" s="1490"/>
      <c r="M89" s="1490"/>
      <c r="N89" s="1490"/>
      <c r="O89" s="1490"/>
      <c r="P89" s="1490"/>
      <c r="Q89" s="1491"/>
      <c r="R89" s="488"/>
    </row>
    <row r="90" spans="2:18" ht="13" x14ac:dyDescent="0.3">
      <c r="B90" s="533">
        <v>10</v>
      </c>
      <c r="C90" s="563"/>
      <c r="D90" s="564"/>
      <c r="E90" s="1182"/>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t="s">
        <v>1567</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08"/>
      <c r="Q95" s="1409"/>
      <c r="R95" s="488"/>
    </row>
    <row r="96" spans="2:18" ht="25.5" customHeight="1" x14ac:dyDescent="0.3">
      <c r="B96" s="1188" t="s">
        <v>478</v>
      </c>
      <c r="C96" s="1402" t="s">
        <v>538</v>
      </c>
      <c r="D96" s="1431"/>
      <c r="E96" s="565" t="s">
        <v>725</v>
      </c>
      <c r="F96" s="565" t="s">
        <v>1562</v>
      </c>
      <c r="G96" s="565" t="s">
        <v>429</v>
      </c>
      <c r="H96" s="565" t="s">
        <v>432</v>
      </c>
      <c r="I96" s="565" t="s">
        <v>431</v>
      </c>
      <c r="J96" s="565"/>
      <c r="K96" s="565"/>
      <c r="L96" s="565"/>
      <c r="M96" s="565"/>
      <c r="N96" s="566"/>
      <c r="O96" s="1410"/>
      <c r="P96" s="1411"/>
      <c r="Q96" s="1412"/>
      <c r="R96" s="488"/>
    </row>
    <row r="97" spans="2:18" ht="48.75" customHeight="1" x14ac:dyDescent="0.3">
      <c r="B97" s="533">
        <v>1</v>
      </c>
      <c r="C97" s="570" t="str">
        <f>B111</f>
        <v>Bay fixture and retrofit kit - LED - &lt;10,000 lumen</v>
      </c>
      <c r="D97" s="1184"/>
      <c r="E97" s="1190">
        <f t="shared" ref="E97:F100" si="0">F111</f>
        <v>157</v>
      </c>
      <c r="F97" s="1190">
        <f t="shared" si="0"/>
        <v>58.099999999999987</v>
      </c>
      <c r="G97" s="1190"/>
      <c r="H97" s="1013">
        <v>75</v>
      </c>
      <c r="I97" s="568">
        <f>E111</f>
        <v>199.34348214285714</v>
      </c>
      <c r="J97" s="568"/>
      <c r="K97" s="568"/>
      <c r="L97" s="568"/>
      <c r="M97" s="568"/>
      <c r="N97" s="568"/>
      <c r="O97" s="1501" t="s">
        <v>1579</v>
      </c>
      <c r="P97" s="1502"/>
      <c r="Q97" s="1503"/>
      <c r="R97" s="488"/>
    </row>
    <row r="98" spans="2:18" ht="50.25" customHeight="1" x14ac:dyDescent="0.3">
      <c r="B98" s="533">
        <v>2</v>
      </c>
      <c r="C98" s="570" t="str">
        <f>B112</f>
        <v>Bay fixture and retrofit kit - LED - 10,000 to 14,999 lumen</v>
      </c>
      <c r="D98" s="1184"/>
      <c r="E98" s="1190">
        <f t="shared" si="0"/>
        <v>196</v>
      </c>
      <c r="F98" s="1190">
        <f t="shared" si="0"/>
        <v>101.72629921259852</v>
      </c>
      <c r="G98" s="1190"/>
      <c r="H98" s="1013">
        <v>100</v>
      </c>
      <c r="I98" s="568">
        <f>E112</f>
        <v>285.58417266187053</v>
      </c>
      <c r="J98" s="568"/>
      <c r="K98" s="568"/>
      <c r="L98" s="568"/>
      <c r="M98" s="568"/>
      <c r="N98" s="568"/>
      <c r="O98" s="1501" t="s">
        <v>1579</v>
      </c>
      <c r="P98" s="1502"/>
      <c r="Q98" s="1503"/>
      <c r="R98" s="488"/>
    </row>
    <row r="99" spans="2:18" ht="53.25" customHeight="1" x14ac:dyDescent="0.3">
      <c r="B99" s="533">
        <v>3</v>
      </c>
      <c r="C99" s="570" t="str">
        <f>B113</f>
        <v>Bay fixture and retrofit kit - LED - 15,000 to 19,999 lumen</v>
      </c>
      <c r="D99" s="1184"/>
      <c r="E99" s="1190">
        <f t="shared" si="0"/>
        <v>294</v>
      </c>
      <c r="F99" s="1190">
        <f t="shared" si="0"/>
        <v>140.81733333333329</v>
      </c>
      <c r="G99" s="1190"/>
      <c r="H99" s="1013">
        <v>125</v>
      </c>
      <c r="I99" s="568">
        <f>E113</f>
        <v>336.7302553191488</v>
      </c>
      <c r="J99" s="568"/>
      <c r="K99" s="568"/>
      <c r="L99" s="568"/>
      <c r="M99" s="568"/>
      <c r="N99" s="568"/>
      <c r="O99" s="1501" t="s">
        <v>1579</v>
      </c>
      <c r="P99" s="1502"/>
      <c r="Q99" s="1503"/>
      <c r="R99" s="488"/>
    </row>
    <row r="100" spans="2:18" ht="26" x14ac:dyDescent="0.3">
      <c r="B100" s="533">
        <v>4</v>
      </c>
      <c r="C100" s="570" t="str">
        <f>B114</f>
        <v>Bay fixture and retrofit kit - LED - &gt;20,000 lumen</v>
      </c>
      <c r="D100" s="1184"/>
      <c r="E100" s="1190">
        <f t="shared" si="0"/>
        <v>391.94491287240021</v>
      </c>
      <c r="F100" s="1190">
        <f t="shared" si="0"/>
        <v>176.1919465334893</v>
      </c>
      <c r="G100" s="1190"/>
      <c r="H100" s="1013">
        <v>150</v>
      </c>
      <c r="I100" s="568">
        <f>E114</f>
        <v>334.65292917369203</v>
      </c>
      <c r="J100" s="568"/>
      <c r="K100" s="568"/>
      <c r="L100" s="568"/>
      <c r="M100" s="568"/>
      <c r="N100" s="568"/>
      <c r="O100" s="1501" t="s">
        <v>1579</v>
      </c>
      <c r="P100" s="1502"/>
      <c r="Q100" s="1503"/>
      <c r="R100" s="488"/>
    </row>
    <row r="101" spans="2:18" ht="13" x14ac:dyDescent="0.3">
      <c r="B101" s="533">
        <v>5</v>
      </c>
      <c r="C101" s="546"/>
      <c r="D101" s="1184"/>
      <c r="E101" s="1190"/>
      <c r="F101" s="1190"/>
      <c r="G101" s="1190"/>
      <c r="H101" s="1190"/>
      <c r="I101" s="568"/>
      <c r="J101" s="568"/>
      <c r="K101" s="568"/>
      <c r="L101" s="568"/>
      <c r="M101" s="568"/>
      <c r="N101" s="568"/>
      <c r="O101" s="1495"/>
      <c r="P101" s="1496"/>
      <c r="Q101" s="1497"/>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8.75" customHeight="1" x14ac:dyDescent="0.3">
      <c r="B107" s="980"/>
      <c r="C107" s="618"/>
      <c r="D107" s="618"/>
      <c r="E107" s="618"/>
      <c r="F107" s="618"/>
      <c r="G107" s="618"/>
      <c r="H107" s="618"/>
      <c r="I107" s="618"/>
      <c r="J107" s="618"/>
      <c r="K107" s="618"/>
      <c r="L107" s="618"/>
      <c r="M107" s="618"/>
      <c r="N107" s="618"/>
      <c r="O107" s="618"/>
      <c r="P107" s="618"/>
      <c r="Q107" s="618"/>
    </row>
    <row r="108" spans="2:18" ht="18.75" customHeight="1" x14ac:dyDescent="0.3">
      <c r="B108" s="980"/>
      <c r="C108" s="618"/>
      <c r="D108" s="618"/>
      <c r="E108" s="618"/>
      <c r="F108" s="618"/>
      <c r="G108" s="618"/>
      <c r="H108" s="618"/>
      <c r="I108" s="618"/>
      <c r="J108" s="618"/>
      <c r="K108" s="618"/>
      <c r="L108" s="618"/>
      <c r="M108" s="618"/>
      <c r="N108" s="618"/>
      <c r="O108" s="618"/>
      <c r="P108" s="618"/>
      <c r="Q108" s="618"/>
    </row>
    <row r="109" spans="2:18" ht="18.75" customHeight="1" x14ac:dyDescent="0.3">
      <c r="B109" s="980" t="s">
        <v>1543</v>
      </c>
      <c r="C109" s="618"/>
      <c r="D109" s="618"/>
      <c r="E109" s="618"/>
      <c r="F109" s="618"/>
      <c r="G109" s="618"/>
      <c r="H109" s="618"/>
      <c r="I109" s="618"/>
      <c r="J109" s="618"/>
      <c r="K109" s="618"/>
      <c r="L109" s="618"/>
      <c r="M109" s="618"/>
      <c r="N109" s="618"/>
      <c r="O109" s="618"/>
      <c r="P109" s="618"/>
      <c r="Q109" s="618"/>
    </row>
    <row r="110" spans="2:18" ht="44.25" customHeight="1" x14ac:dyDescent="0.3">
      <c r="B110" s="995" t="s">
        <v>1544</v>
      </c>
      <c r="C110" s="1014" t="s">
        <v>1545</v>
      </c>
      <c r="D110" s="1014" t="s">
        <v>1570</v>
      </c>
      <c r="E110" s="1014" t="s">
        <v>1546</v>
      </c>
      <c r="F110" s="1014" t="s">
        <v>1580</v>
      </c>
      <c r="G110" s="1014" t="s">
        <v>1581</v>
      </c>
      <c r="H110" s="618"/>
      <c r="I110" s="618"/>
      <c r="J110" s="618"/>
      <c r="K110" s="618"/>
      <c r="L110" s="618"/>
      <c r="M110" s="618"/>
      <c r="N110" s="618"/>
      <c r="O110" s="618"/>
      <c r="P110" s="618"/>
      <c r="Q110" s="618"/>
    </row>
    <row r="111" spans="2:18" ht="18.75" customHeight="1" x14ac:dyDescent="0.3">
      <c r="B111" s="1012" t="s">
        <v>1582</v>
      </c>
      <c r="C111" s="1015">
        <v>3223</v>
      </c>
      <c r="D111" s="1016">
        <v>106</v>
      </c>
      <c r="E111" s="1015">
        <v>199.34348214285714</v>
      </c>
      <c r="F111" s="1017">
        <v>157</v>
      </c>
      <c r="G111" s="1017">
        <v>58.099999999999987</v>
      </c>
      <c r="H111" s="618"/>
      <c r="I111" s="618"/>
      <c r="J111" s="618"/>
      <c r="K111" s="618"/>
      <c r="L111" s="618"/>
      <c r="M111" s="618"/>
      <c r="N111" s="618"/>
      <c r="O111" s="618"/>
      <c r="P111" s="618"/>
      <c r="Q111" s="618"/>
    </row>
    <row r="112" spans="2:18" ht="18.75" customHeight="1" x14ac:dyDescent="0.3">
      <c r="B112" s="1012" t="s">
        <v>1578</v>
      </c>
      <c r="C112" s="1015">
        <v>9744</v>
      </c>
      <c r="D112" s="1016">
        <v>127</v>
      </c>
      <c r="E112" s="1015">
        <v>285.58417266187053</v>
      </c>
      <c r="F112" s="1017">
        <v>196</v>
      </c>
      <c r="G112" s="1017">
        <v>101.72629921259852</v>
      </c>
      <c r="H112" s="618"/>
      <c r="I112" s="618"/>
      <c r="J112" s="618"/>
      <c r="K112" s="618"/>
      <c r="L112" s="618"/>
      <c r="M112" s="618"/>
      <c r="N112" s="618"/>
      <c r="O112" s="618"/>
      <c r="P112" s="618"/>
      <c r="Q112" s="618"/>
    </row>
    <row r="113" spans="2:17" ht="18.75" customHeight="1" x14ac:dyDescent="0.3">
      <c r="B113" s="1012" t="s">
        <v>1583</v>
      </c>
      <c r="C113" s="1015">
        <v>7531</v>
      </c>
      <c r="D113" s="1016">
        <v>225</v>
      </c>
      <c r="E113" s="1015">
        <v>336.7302553191488</v>
      </c>
      <c r="F113" s="1017">
        <v>294</v>
      </c>
      <c r="G113" s="1017">
        <v>140.81733333333329</v>
      </c>
      <c r="H113" s="618"/>
      <c r="I113" s="618"/>
      <c r="J113" s="618"/>
      <c r="K113" s="618"/>
      <c r="L113" s="618"/>
      <c r="M113" s="618"/>
      <c r="N113" s="618"/>
      <c r="O113" s="618"/>
      <c r="P113" s="618"/>
      <c r="Q113" s="618"/>
    </row>
    <row r="114" spans="2:17" ht="18.75" customHeight="1" x14ac:dyDescent="0.3">
      <c r="B114" s="1012" t="s">
        <v>1584</v>
      </c>
      <c r="C114" s="1015">
        <v>66364</v>
      </c>
      <c r="D114" s="1016">
        <v>1702</v>
      </c>
      <c r="E114" s="1015">
        <v>334.65292917369203</v>
      </c>
      <c r="F114" s="1017">
        <v>391.94491287240021</v>
      </c>
      <c r="G114" s="1017">
        <v>176.1919465334893</v>
      </c>
      <c r="H114" s="618"/>
      <c r="I114" s="618"/>
      <c r="J114" s="618"/>
      <c r="K114" s="618"/>
      <c r="L114" s="618"/>
      <c r="M114" s="618"/>
      <c r="N114" s="618"/>
      <c r="O114" s="618"/>
      <c r="P114" s="618"/>
      <c r="Q114" s="618"/>
    </row>
    <row r="115" spans="2:17" ht="18.75" customHeight="1" x14ac:dyDescent="0.3">
      <c r="B115" s="1012" t="s">
        <v>1585</v>
      </c>
      <c r="C115" s="1015">
        <v>128</v>
      </c>
      <c r="D115" s="1016">
        <v>5</v>
      </c>
      <c r="E115" s="1015">
        <v>241.04000000000002</v>
      </c>
      <c r="F115" s="1017">
        <v>450</v>
      </c>
      <c r="G115" s="1017">
        <v>132.80000000000001</v>
      </c>
      <c r="H115" s="618"/>
      <c r="I115" s="618"/>
      <c r="J115" s="618"/>
      <c r="K115" s="618"/>
      <c r="L115" s="618"/>
      <c r="M115" s="618"/>
      <c r="N115" s="618"/>
      <c r="O115" s="618"/>
      <c r="P115" s="618"/>
      <c r="Q115" s="618"/>
    </row>
    <row r="116" spans="2:17" ht="18.75" customHeight="1" x14ac:dyDescent="0.3">
      <c r="B116" s="1012" t="s">
        <v>1586</v>
      </c>
      <c r="C116" s="1015">
        <v>390</v>
      </c>
      <c r="D116" s="1016">
        <v>13</v>
      </c>
      <c r="E116" s="1015">
        <v>171.50615384615384</v>
      </c>
      <c r="F116" s="1017">
        <v>590</v>
      </c>
      <c r="G116" s="1017">
        <v>198.15384615384616</v>
      </c>
      <c r="H116" s="618"/>
      <c r="I116" s="618"/>
      <c r="J116" s="618"/>
      <c r="K116" s="618"/>
      <c r="L116" s="618"/>
      <c r="M116" s="618"/>
      <c r="N116" s="618"/>
      <c r="O116" s="618"/>
      <c r="P116" s="618"/>
      <c r="Q116" s="618"/>
    </row>
    <row r="117" spans="2:17" ht="18.75" customHeight="1" x14ac:dyDescent="0.3">
      <c r="B117" s="1008" t="s">
        <v>1587</v>
      </c>
      <c r="C117" s="1009">
        <v>87380</v>
      </c>
      <c r="D117" s="1010">
        <v>2178</v>
      </c>
      <c r="E117" s="1009">
        <v>324.10714892684962</v>
      </c>
      <c r="F117" s="1011">
        <v>359.66184844502845</v>
      </c>
      <c r="G117" s="1011">
        <v>162.47953764921914</v>
      </c>
    </row>
    <row r="118" spans="2:17" ht="18.75" customHeight="1" x14ac:dyDescent="0.3">
      <c r="B118" s="488" t="s">
        <v>1576</v>
      </c>
    </row>
  </sheetData>
  <sheetProtection algorithmName="SHA-512" hashValue="IW+GcYau4Xf24y2Q4WnGdUnOLnIM44+ShEnytXHeteTmxFZUrU/0mAyeUG/92wKZZv6vri39iGI1SEr+e1fv7Q==" saltValue="JlXi/c5X3/UJxVxPZhXWgQ==" spinCount="100000" sheet="1" objects="1" scenarios="1" selectLockedCells="1" selectUnlockedCells="1"/>
  <mergeCells count="110">
    <mergeCell ref="O101:Q101"/>
    <mergeCell ref="O102:Q102"/>
    <mergeCell ref="O103:Q103"/>
    <mergeCell ref="O104:Q104"/>
    <mergeCell ref="O105:Q105"/>
    <mergeCell ref="O106:Q106"/>
    <mergeCell ref="B95:D95"/>
    <mergeCell ref="C96:D96"/>
    <mergeCell ref="O97:Q97"/>
    <mergeCell ref="O98:Q98"/>
    <mergeCell ref="O99:Q99"/>
    <mergeCell ref="O100:Q100"/>
    <mergeCell ref="E94:N94"/>
    <mergeCell ref="O94:Q96"/>
    <mergeCell ref="F80:Q80"/>
    <mergeCell ref="F81:Q81"/>
    <mergeCell ref="F82:Q82"/>
    <mergeCell ref="F83:Q83"/>
    <mergeCell ref="F84:Q84"/>
    <mergeCell ref="F85:Q85"/>
    <mergeCell ref="F86:Q86"/>
    <mergeCell ref="F87:Q87"/>
    <mergeCell ref="F88:Q88"/>
    <mergeCell ref="F89:Q89"/>
    <mergeCell ref="F90:Q90"/>
    <mergeCell ref="D69:E69"/>
    <mergeCell ref="J69:Q69"/>
    <mergeCell ref="D70:E70"/>
    <mergeCell ref="J70:Q70"/>
    <mergeCell ref="J71:Q71"/>
    <mergeCell ref="J66:Q66"/>
    <mergeCell ref="D66:E66"/>
    <mergeCell ref="D67:E67"/>
    <mergeCell ref="J67:Q67"/>
    <mergeCell ref="D68:E68"/>
    <mergeCell ref="J68:Q68"/>
    <mergeCell ref="C51:M51"/>
    <mergeCell ref="P51:Q51"/>
    <mergeCell ref="C53:M53"/>
    <mergeCell ref="P53:Q53"/>
    <mergeCell ref="D63:E63"/>
    <mergeCell ref="J63:Q63"/>
    <mergeCell ref="D64:E64"/>
    <mergeCell ref="J64:Q64"/>
    <mergeCell ref="D65:E65"/>
    <mergeCell ref="J65:Q65"/>
    <mergeCell ref="C57:M57"/>
    <mergeCell ref="P57:Q57"/>
    <mergeCell ref="D61:E61"/>
    <mergeCell ref="J61:Q61"/>
    <mergeCell ref="D62:E62"/>
    <mergeCell ref="J62:Q62"/>
    <mergeCell ref="D73:E73"/>
    <mergeCell ref="J73:Q73"/>
    <mergeCell ref="D74:E74"/>
    <mergeCell ref="J74:Q74"/>
    <mergeCell ref="D75:E75"/>
    <mergeCell ref="J75:Q75"/>
    <mergeCell ref="D76:E76"/>
    <mergeCell ref="J76:Q76"/>
    <mergeCell ref="E32:Q32"/>
    <mergeCell ref="E33:Q33"/>
    <mergeCell ref="E34:Q34"/>
    <mergeCell ref="C47:M47"/>
    <mergeCell ref="P47:Q47"/>
    <mergeCell ref="C48:M48"/>
    <mergeCell ref="P48:Q48"/>
    <mergeCell ref="C49:M49"/>
    <mergeCell ref="P49:Q49"/>
    <mergeCell ref="C43:M43"/>
    <mergeCell ref="P43:Q43"/>
    <mergeCell ref="C44:M44"/>
    <mergeCell ref="P44:Q44"/>
    <mergeCell ref="C45:M45"/>
    <mergeCell ref="P45:Q45"/>
    <mergeCell ref="C54:M54"/>
    <mergeCell ref="D72:E72"/>
    <mergeCell ref="B20:Q20"/>
    <mergeCell ref="C21:Q21"/>
    <mergeCell ref="C22:Q22"/>
    <mergeCell ref="C23:Q23"/>
    <mergeCell ref="D25:Q25"/>
    <mergeCell ref="E35:Q35"/>
    <mergeCell ref="E36:Q36"/>
    <mergeCell ref="E37:Q37"/>
    <mergeCell ref="C41:M41"/>
    <mergeCell ref="P41:Q41"/>
    <mergeCell ref="C42:M42"/>
    <mergeCell ref="P42:Q42"/>
    <mergeCell ref="D26:Q26"/>
    <mergeCell ref="D27:Q27"/>
    <mergeCell ref="D28:Q28"/>
    <mergeCell ref="J72:Q72"/>
    <mergeCell ref="P54:Q54"/>
    <mergeCell ref="C55:M55"/>
    <mergeCell ref="P55:Q55"/>
    <mergeCell ref="C56:M56"/>
    <mergeCell ref="P56:Q56"/>
    <mergeCell ref="C50:M50"/>
    <mergeCell ref="P50:Q50"/>
    <mergeCell ref="D29:Q29"/>
    <mergeCell ref="D30:Q30"/>
    <mergeCell ref="C2:F2"/>
    <mergeCell ref="C3:F3"/>
    <mergeCell ref="C4:F4"/>
    <mergeCell ref="D7:F7"/>
    <mergeCell ref="D17:F17"/>
    <mergeCell ref="D18:F18"/>
    <mergeCell ref="D8:F16"/>
    <mergeCell ref="C5:F5"/>
  </mergeCells>
  <conditionalFormatting sqref="E106">
    <cfRule type="expression" dxfId="2604" priority="49">
      <formula>IF(OR(#REF!="L",#REF!="C"),TRUE,FALSE)</formula>
    </cfRule>
  </conditionalFormatting>
  <conditionalFormatting sqref="G102:G106 H104:H106">
    <cfRule type="expression" dxfId="2603" priority="54">
      <formula>IF(OR(#REF!="L",#REF!="C"),TRUE,FALSE)</formula>
    </cfRule>
  </conditionalFormatting>
  <conditionalFormatting sqref="E95 G95 I95 K95 M95">
    <cfRule type="duplicateValues" dxfId="2602" priority="48"/>
  </conditionalFormatting>
  <conditionalFormatting sqref="M104:M106">
    <cfRule type="expression" dxfId="2601" priority="38">
      <formula>IF(OR(#REF!="L",#REF!="C"),TRUE,FALSE)</formula>
    </cfRule>
  </conditionalFormatting>
  <conditionalFormatting sqref="F102:F106">
    <cfRule type="expression" dxfId="2600" priority="47">
      <formula>IF(OR(#REF!="L",#REF!="C"),TRUE,FALSE)</formula>
    </cfRule>
  </conditionalFormatting>
  <conditionalFormatting sqref="I102:I103">
    <cfRule type="expression" dxfId="2599" priority="45">
      <formula>IF(OR(#REF!="L",#REF!="C"),TRUE,FALSE)</formula>
    </cfRule>
  </conditionalFormatting>
  <conditionalFormatting sqref="N102:N103">
    <cfRule type="expression" dxfId="2598" priority="35">
      <formula>IF(OR(#REF!="L",#REF!="C"),TRUE,FALSE)</formula>
    </cfRule>
  </conditionalFormatting>
  <conditionalFormatting sqref="I104:I106">
    <cfRule type="expression" dxfId="2597" priority="46">
      <formula>IF(OR(#REF!="L",#REF!="C"),TRUE,FALSE)</formula>
    </cfRule>
  </conditionalFormatting>
  <conditionalFormatting sqref="J102:J103">
    <cfRule type="expression" dxfId="2596" priority="43">
      <formula>IF(OR(#REF!="L",#REF!="C"),TRUE,FALSE)</formula>
    </cfRule>
  </conditionalFormatting>
  <conditionalFormatting sqref="J104:J106">
    <cfRule type="expression" dxfId="2595" priority="44">
      <formula>IF(OR(#REF!="L",#REF!="C"),TRUE,FALSE)</formula>
    </cfRule>
  </conditionalFormatting>
  <conditionalFormatting sqref="K102:K103">
    <cfRule type="expression" dxfId="2594" priority="41">
      <formula>IF(OR(#REF!="L",#REF!="C"),TRUE,FALSE)</formula>
    </cfRule>
  </conditionalFormatting>
  <conditionalFormatting sqref="K104:K106">
    <cfRule type="expression" dxfId="2593" priority="42">
      <formula>IF(OR(#REF!="L",#REF!="C"),TRUE,FALSE)</formula>
    </cfRule>
  </conditionalFormatting>
  <conditionalFormatting sqref="L102:L103">
    <cfRule type="expression" dxfId="2592" priority="39">
      <formula>IF(OR(#REF!="L",#REF!="C"),TRUE,FALSE)</formula>
    </cfRule>
  </conditionalFormatting>
  <conditionalFormatting sqref="L104:L106">
    <cfRule type="expression" dxfId="2591" priority="40">
      <formula>IF(OR(#REF!="L",#REF!="C"),TRUE,FALSE)</formula>
    </cfRule>
  </conditionalFormatting>
  <conditionalFormatting sqref="M102:M103">
    <cfRule type="expression" dxfId="2590" priority="37">
      <formula>IF(OR(#REF!="L",#REF!="C"),TRUE,FALSE)</formula>
    </cfRule>
  </conditionalFormatting>
  <conditionalFormatting sqref="N104:N106">
    <cfRule type="expression" dxfId="2589" priority="36">
      <formula>IF(OR(#REF!="L",#REF!="C"),TRUE,FALSE)</formula>
    </cfRule>
  </conditionalFormatting>
  <conditionalFormatting sqref="O102:O103">
    <cfRule type="expression" dxfId="2588" priority="31">
      <formula>IF(OR(#REF!="L",#REF!="C"),TRUE,FALSE)</formula>
    </cfRule>
  </conditionalFormatting>
  <conditionalFormatting sqref="O104:O106">
    <cfRule type="expression" dxfId="2587" priority="32">
      <formula>IF(OR(#REF!="L",#REF!="C"),TRUE,FALSE)</formula>
    </cfRule>
  </conditionalFormatting>
  <conditionalFormatting sqref="E96:N96">
    <cfRule type="duplicateValues" dxfId="2586" priority="30"/>
  </conditionalFormatting>
  <conditionalFormatting sqref="H66">
    <cfRule type="expression" dxfId="2585" priority="1">
      <formula>IF(OR(#REF!="L",#REF!="C"),TRUE,FALSE)</formula>
    </cfRule>
  </conditionalFormatting>
  <conditionalFormatting sqref="H65">
    <cfRule type="expression" dxfId="2584" priority="2">
      <formula>IF(OR(#REF!="L",#REF!="C"),TRUE,FALSE)</formula>
    </cfRule>
  </conditionalFormatting>
  <conditionalFormatting sqref="H70:H71">
    <cfRule type="expression" dxfId="2583" priority="13">
      <formula>IF(OR(#REF!="L",#REF!="C"),TRUE,FALSE)</formula>
    </cfRule>
  </conditionalFormatting>
  <conditionalFormatting sqref="H68:H69">
    <cfRule type="expression" dxfId="2582" priority="12">
      <formula>IF(OR(#REF!="L",#REF!="C"),TRUE,FALSE)</formula>
    </cfRule>
  </conditionalFormatting>
  <conditionalFormatting sqref="H62">
    <cfRule type="expression" dxfId="2581" priority="10">
      <formula>IF(OR(#REF!="L",#REF!="C"),TRUE,FALSE)</formula>
    </cfRule>
  </conditionalFormatting>
  <conditionalFormatting sqref="H64">
    <cfRule type="expression" dxfId="2580" priority="9">
      <formula>IF(OR(#REF!="L",#REF!="C"),TRUE,FALSE)</formula>
    </cfRule>
  </conditionalFormatting>
  <conditionalFormatting sqref="H69">
    <cfRule type="expression" dxfId="2579" priority="11">
      <formula>IF(OR(#REF!="L",#REF!="C"),TRUE,FALSE)</formula>
    </cfRule>
  </conditionalFormatting>
  <conditionalFormatting sqref="H63">
    <cfRule type="expression" dxfId="2578" priority="8">
      <formula>IF(OR(#REF!="L",#REF!="C"),TRUE,FALSE)</formula>
    </cfRule>
  </conditionalFormatting>
  <conditionalFormatting sqref="H72">
    <cfRule type="expression" dxfId="2577" priority="7">
      <formula>IF(OR(#REF!="L",#REF!="C"),TRUE,FALSE)</formula>
    </cfRule>
  </conditionalFormatting>
  <conditionalFormatting sqref="H73">
    <cfRule type="expression" dxfId="2576" priority="6">
      <formula>IF(OR(#REF!="L",#REF!="C"),TRUE,FALSE)</formula>
    </cfRule>
  </conditionalFormatting>
  <conditionalFormatting sqref="H74">
    <cfRule type="expression" dxfId="2575" priority="5">
      <formula>IF(OR(#REF!="L",#REF!="C"),TRUE,FALSE)</formula>
    </cfRule>
  </conditionalFormatting>
  <conditionalFormatting sqref="H75">
    <cfRule type="expression" dxfId="2574" priority="4">
      <formula>IF(OR(#REF!="L",#REF!="C"),TRUE,FALSE)</formula>
    </cfRule>
  </conditionalFormatting>
  <conditionalFormatting sqref="H76">
    <cfRule type="expression" dxfId="2573" priority="3">
      <formula>IF(OR(#REF!="L",#REF!="C"),TRUE,FALSE)</formula>
    </cfRule>
  </conditionalFormatting>
  <dataValidations count="8">
    <dataValidation type="list" allowBlank="1" showInputMessage="1" showErrorMessage="1" sqref="C4" xr:uid="{D3D5E620-3F8F-47C4-96B9-5F870FA4E771}">
      <formula1>"COM,RES"</formula1>
    </dataValidation>
    <dataValidation type="list" allowBlank="1" showInputMessage="1" showErrorMessage="1" sqref="H67 F62:F63" xr:uid="{14C87968-5C0F-4B08-9E3F-6659FE0716DE}">
      <formula1>$C$97:$C$99</formula1>
    </dataValidation>
    <dataValidation type="list" allowBlank="1" showInputMessage="1" showErrorMessage="1" sqref="F69 F72:F74" xr:uid="{E4609EF9-2268-4826-A17F-574BC189C2ED}">
      <formula1>#REF!</formula1>
    </dataValidation>
    <dataValidation type="list" allowBlank="1" showInputMessage="1" showErrorMessage="1" sqref="C9" xr:uid="{D344A8DE-C3F4-4F64-BCBE-8455D366E22E}">
      <formula1>INDIRECT("MeasureTypeList[Index]")</formula1>
    </dataValidation>
    <dataValidation type="list" allowBlank="1" showInputMessage="1" showErrorMessage="1" sqref="C26" xr:uid="{F92D21D5-F89C-4285-B4FC-51E4CF199AE7}">
      <formula1>INDIRECT("RegionList[Index]")</formula1>
    </dataValidation>
    <dataValidation type="list" allowBlank="1" showInputMessage="1" showErrorMessage="1" sqref="C27" xr:uid="{548CA259-B414-4234-825D-311FA31CB2A2}">
      <formula1>INDIRECT("ReplacementTypeList[Index]")</formula1>
    </dataValidation>
    <dataValidation type="list" allowBlank="1" showInputMessage="1" showErrorMessage="1" sqref="C28" xr:uid="{FB9F1777-D0FB-48DB-9AB1-85032F1BC7A0}">
      <formula1>INDIRECT("BuildingType[Building]")</formula1>
    </dataValidation>
    <dataValidation type="list" allowBlank="1" showInputMessage="1" showErrorMessage="1" sqref="C29 C30" xr:uid="{48D9CF38-0417-4467-B6B7-0CCC1C2099AF}">
      <formula1>INDIRECT("FuelTypeList[Index]")</formula1>
    </dataValidation>
  </dataValidations>
  <hyperlinks>
    <hyperlink ref="F82" r:id="rId1" xr:uid="{31266F19-5A2A-49A7-9912-3027340C80FF}"/>
    <hyperlink ref="F83" r:id="rId2" xr:uid="{780A0700-85F5-43F9-8B43-A6A6F4328920}"/>
    <hyperlink ref="F85" r:id="rId3" xr:uid="{E0DD4A4F-EC43-434B-AB1B-B7759BE2D1B8}"/>
    <hyperlink ref="F84" r:id="rId4" xr:uid="{19F58885-BB76-4023-861A-C6AD25FC584D}"/>
  </hyperlinks>
  <pageMargins left="0.7" right="0.7" top="0.75" bottom="0.75" header="0.3" footer="0.3"/>
  <pageSetup orientation="portrait" r:id="rId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E6F74-040E-4293-A725-5D981BA0956C}">
  <sheetPr codeName="Sheet390"/>
  <dimension ref="A2:R116"/>
  <sheetViews>
    <sheetView workbookViewId="0"/>
  </sheetViews>
  <sheetFormatPr defaultColWidth="9.08984375" defaultRowHeight="18.75" customHeight="1" x14ac:dyDescent="0.3"/>
  <cols>
    <col min="1" max="1" width="2.36328125" style="488" customWidth="1"/>
    <col min="2" max="2" width="44.36328125" style="488" bestFit="1" customWidth="1"/>
    <col min="3" max="3" width="21.08984375" style="488" customWidth="1"/>
    <col min="4" max="4" width="23.81640625" style="488" customWidth="1"/>
    <col min="5" max="5" width="14.36328125" style="488" customWidth="1"/>
    <col min="6" max="6" width="15.6328125" style="488" customWidth="1"/>
    <col min="7" max="7" width="19.6328125" style="488" customWidth="1"/>
    <col min="8" max="8" width="16"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C-L-005</v>
      </c>
      <c r="D3" s="1367"/>
      <c r="E3" s="1367"/>
      <c r="F3" s="1367"/>
    </row>
    <row r="4" spans="1:18" ht="18.75" customHeight="1" x14ac:dyDescent="0.3">
      <c r="B4" s="490" t="s">
        <v>11</v>
      </c>
      <c r="C4" s="1367" t="str" cm="1">
        <f t="array" ref="C4">_xlfn.SWITCH(LEFT(C8,1),"R","Residential","C","Commercial","ERROR")</f>
        <v>Commercial</v>
      </c>
      <c r="D4" s="1367"/>
      <c r="E4" s="1367"/>
      <c r="F4" s="1367"/>
    </row>
    <row r="5" spans="1:18" ht="44.25" customHeight="1" x14ac:dyDescent="0.3">
      <c r="B5" s="490" t="s">
        <v>408</v>
      </c>
      <c r="C5" s="1530" t="s">
        <v>260</v>
      </c>
      <c r="D5" s="1531"/>
      <c r="E5" s="1531"/>
      <c r="F5" s="1532"/>
      <c r="R5" s="488"/>
    </row>
    <row r="6" spans="1:18" ht="18.75" customHeight="1" x14ac:dyDescent="0.3">
      <c r="A6" s="573"/>
    </row>
    <row r="7" spans="1:18" ht="18.75" customHeight="1" x14ac:dyDescent="0.3">
      <c r="B7" s="1193" t="s">
        <v>507</v>
      </c>
      <c r="C7" s="493" t="s">
        <v>406</v>
      </c>
      <c r="D7" s="1366" t="s">
        <v>410</v>
      </c>
      <c r="E7" s="1366"/>
      <c r="F7" s="1366"/>
      <c r="R7" s="488"/>
    </row>
    <row r="8" spans="1:18" ht="18.75" customHeight="1" x14ac:dyDescent="0.3">
      <c r="B8" s="490" t="s">
        <v>411</v>
      </c>
      <c r="C8" s="1194" t="s">
        <v>114</v>
      </c>
      <c r="D8" s="1521" t="s">
        <v>1588</v>
      </c>
      <c r="E8" s="1522"/>
      <c r="F8" s="1523"/>
      <c r="R8" s="488"/>
    </row>
    <row r="9" spans="1:18" ht="34.5" customHeight="1" x14ac:dyDescent="0.3">
      <c r="B9" s="490" t="s">
        <v>49</v>
      </c>
      <c r="C9" s="1194" t="s">
        <v>716</v>
      </c>
      <c r="D9" s="1524"/>
      <c r="E9" s="1525"/>
      <c r="F9" s="1526"/>
      <c r="R9" s="488"/>
    </row>
    <row r="10" spans="1:18" ht="18.75" customHeight="1" x14ac:dyDescent="0.3">
      <c r="B10" s="490" t="s">
        <v>412</v>
      </c>
      <c r="C10" s="1194"/>
      <c r="D10" s="1524"/>
      <c r="E10" s="1525"/>
      <c r="F10" s="1526"/>
      <c r="R10" s="488"/>
    </row>
    <row r="11" spans="1:18" ht="18.75" customHeight="1" x14ac:dyDescent="0.3">
      <c r="B11" s="490" t="s">
        <v>413</v>
      </c>
      <c r="C11" s="1194"/>
      <c r="D11" s="1524"/>
      <c r="E11" s="1525"/>
      <c r="F11" s="1526"/>
      <c r="R11" s="488"/>
    </row>
    <row r="12" spans="1:18" ht="18.75" customHeight="1" x14ac:dyDescent="0.3">
      <c r="B12" s="490" t="s">
        <v>414</v>
      </c>
      <c r="C12" s="602"/>
      <c r="D12" s="1524"/>
      <c r="E12" s="1525"/>
      <c r="F12" s="1526"/>
      <c r="R12" s="488"/>
    </row>
    <row r="13" spans="1:18" ht="18.75" customHeight="1" x14ac:dyDescent="0.3">
      <c r="B13" s="494" t="s">
        <v>415</v>
      </c>
      <c r="C13" s="495">
        <f>N43</f>
        <v>68.097201511647128</v>
      </c>
      <c r="D13" s="1524"/>
      <c r="E13" s="1525"/>
      <c r="F13" s="1526"/>
      <c r="R13" s="488"/>
    </row>
    <row r="14" spans="1:18" ht="18.75" customHeight="1" x14ac:dyDescent="0.3">
      <c r="B14" s="494" t="s">
        <v>416</v>
      </c>
      <c r="C14" s="495">
        <f>N42</f>
        <v>0</v>
      </c>
      <c r="D14" s="1524"/>
      <c r="E14" s="1525"/>
      <c r="F14" s="1526"/>
      <c r="R14" s="488"/>
    </row>
    <row r="15" spans="1:18" ht="18.75" customHeight="1" x14ac:dyDescent="0.3">
      <c r="B15" s="494" t="s">
        <v>417</v>
      </c>
      <c r="C15" s="495">
        <f>N44</f>
        <v>-0.10776382139218157</v>
      </c>
      <c r="D15" s="1524"/>
      <c r="E15" s="1525"/>
      <c r="F15" s="1526"/>
      <c r="R15" s="488"/>
    </row>
    <row r="16" spans="1:18" ht="18.75" customHeight="1" x14ac:dyDescent="0.3">
      <c r="B16" s="494" t="s">
        <v>418</v>
      </c>
      <c r="C16" s="496">
        <f>C37</f>
        <v>0</v>
      </c>
      <c r="D16" s="1527"/>
      <c r="E16" s="1528"/>
      <c r="F16" s="1529"/>
      <c r="R16" s="488"/>
    </row>
    <row r="17" spans="2:18" ht="18.75" customHeight="1" x14ac:dyDescent="0.3">
      <c r="B17" s="490" t="s">
        <v>48</v>
      </c>
      <c r="C17" s="1194" t="s">
        <v>717</v>
      </c>
      <c r="D17" s="1366" t="s">
        <v>419</v>
      </c>
      <c r="E17" s="1366"/>
      <c r="F17" s="1366"/>
      <c r="R17" s="488"/>
    </row>
    <row r="18" spans="2:18" ht="18.75" customHeight="1" x14ac:dyDescent="0.3">
      <c r="B18" s="490" t="s">
        <v>420</v>
      </c>
      <c r="C18" s="541">
        <v>15</v>
      </c>
      <c r="D18" s="1648" t="s">
        <v>1559</v>
      </c>
      <c r="E18" s="1648"/>
      <c r="F18" s="1648"/>
      <c r="R18" s="488"/>
    </row>
    <row r="19" spans="2:18" ht="18.75" customHeight="1" x14ac:dyDescent="0.3">
      <c r="B19" s="613"/>
      <c r="C19" s="614"/>
      <c r="F19" s="489"/>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18.75" customHeight="1" x14ac:dyDescent="0.3">
      <c r="B21" s="499" t="s">
        <v>422</v>
      </c>
      <c r="C21" s="1546" t="s">
        <v>261</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46" t="s">
        <v>262</v>
      </c>
      <c r="D22" s="1546"/>
      <c r="E22" s="1546"/>
      <c r="F22" s="1546"/>
      <c r="G22" s="1546"/>
      <c r="H22" s="1546"/>
      <c r="I22" s="1546"/>
      <c r="J22" s="1546"/>
      <c r="K22" s="1546"/>
      <c r="L22" s="1546"/>
      <c r="M22" s="1546"/>
      <c r="N22" s="1546"/>
      <c r="O22" s="1546"/>
      <c r="P22" s="1546"/>
      <c r="Q22" s="1546"/>
      <c r="R22" s="488"/>
    </row>
    <row r="23" spans="2:18" ht="61.9" customHeight="1" x14ac:dyDescent="0.3">
      <c r="B23" s="500" t="s">
        <v>424</v>
      </c>
      <c r="C23" s="1546"/>
      <c r="D23" s="1546"/>
      <c r="E23" s="1546"/>
      <c r="F23" s="1546"/>
      <c r="G23" s="1546"/>
      <c r="H23" s="1546"/>
      <c r="I23" s="1546"/>
      <c r="J23" s="1546"/>
      <c r="K23" s="1546"/>
      <c r="L23" s="1546"/>
      <c r="M23" s="1546"/>
      <c r="N23" s="1546"/>
      <c r="O23" s="1546"/>
      <c r="P23" s="1546"/>
      <c r="Q23" s="154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475"/>
      <c r="F33" s="1476"/>
      <c r="G33" s="1476"/>
      <c r="H33" s="1476"/>
      <c r="I33" s="1476"/>
      <c r="J33" s="1476"/>
      <c r="K33" s="1476"/>
      <c r="L33" s="1476"/>
      <c r="M33" s="1476"/>
      <c r="N33" s="1476"/>
      <c r="O33" s="1476"/>
      <c r="P33" s="1476"/>
      <c r="Q33" s="1477"/>
      <c r="R33" s="488"/>
    </row>
    <row r="34" spans="2:18" ht="18.75" customHeight="1" x14ac:dyDescent="0.3">
      <c r="B34" s="494" t="s">
        <v>431</v>
      </c>
      <c r="C34" s="542"/>
      <c r="D34" s="586" t="s">
        <v>430</v>
      </c>
      <c r="E34" s="1475"/>
      <c r="F34" s="1476"/>
      <c r="G34" s="1476"/>
      <c r="H34" s="1476"/>
      <c r="I34" s="1476"/>
      <c r="J34" s="1476"/>
      <c r="K34" s="1476"/>
      <c r="L34" s="1476"/>
      <c r="M34" s="1476"/>
      <c r="N34" s="1476"/>
      <c r="O34" s="1476"/>
      <c r="P34" s="1476"/>
      <c r="Q34" s="1477"/>
    </row>
    <row r="35" spans="2:18" ht="18.75" customHeight="1" x14ac:dyDescent="0.3">
      <c r="B35" s="490" t="s">
        <v>432</v>
      </c>
      <c r="C35" s="542"/>
      <c r="D35" s="586" t="s">
        <v>430</v>
      </c>
      <c r="E35" s="1475"/>
      <c r="F35" s="1476"/>
      <c r="G35" s="1476"/>
      <c r="H35" s="1476"/>
      <c r="I35" s="1476"/>
      <c r="J35" s="1476"/>
      <c r="K35" s="1476"/>
      <c r="L35" s="1476"/>
      <c r="M35" s="1476"/>
      <c r="N35" s="1476"/>
      <c r="O35" s="1476"/>
      <c r="P35" s="1476"/>
      <c r="Q35" s="1477"/>
    </row>
    <row r="36" spans="2:18" ht="18.75" customHeight="1" x14ac:dyDescent="0.3">
      <c r="B36" s="494" t="s">
        <v>433</v>
      </c>
      <c r="C36" s="905">
        <f>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905">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68.097201511647128</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-0.10776382139218157</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1560</v>
      </c>
      <c r="D49" s="1505"/>
      <c r="E49" s="1505"/>
      <c r="F49" s="1505"/>
      <c r="G49" s="1505"/>
      <c r="H49" s="1505"/>
      <c r="I49" s="1505"/>
      <c r="J49" s="1505"/>
      <c r="K49" s="1505"/>
      <c r="L49" s="1505"/>
      <c r="M49" s="1506"/>
      <c r="N49" s="592">
        <f>(H62-H63)/1000*H64</f>
        <v>68.097201511647128</v>
      </c>
      <c r="O49" s="1243" t="s">
        <v>443</v>
      </c>
      <c r="P49" s="1511"/>
      <c r="Q49" s="1511"/>
      <c r="R49" s="488"/>
    </row>
    <row r="50" spans="2:18" ht="18.75" customHeight="1" x14ac:dyDescent="0.3">
      <c r="B50" s="582" t="s">
        <v>456</v>
      </c>
      <c r="C50" s="1504" t="s">
        <v>457</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1524</v>
      </c>
      <c r="D56" s="1505"/>
      <c r="E56" s="1505"/>
      <c r="F56" s="1505"/>
      <c r="G56" s="1505"/>
      <c r="H56" s="1505"/>
      <c r="I56" s="1505"/>
      <c r="J56" s="1505"/>
      <c r="K56" s="1505"/>
      <c r="L56" s="1505"/>
      <c r="M56" s="1506"/>
      <c r="N56" s="1000">
        <f>N49*H65</f>
        <v>-0.10776382139218157</v>
      </c>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506" t="s">
        <v>406</v>
      </c>
      <c r="I61" s="506" t="s">
        <v>428</v>
      </c>
      <c r="J61" s="1396" t="s">
        <v>476</v>
      </c>
      <c r="K61" s="1397"/>
      <c r="L61" s="1397"/>
      <c r="M61" s="1397"/>
      <c r="N61" s="1397"/>
      <c r="O61" s="1397"/>
      <c r="P61" s="1397"/>
      <c r="Q61" s="1398"/>
    </row>
    <row r="62" spans="2:18" ht="26" x14ac:dyDescent="0.3">
      <c r="B62" s="535">
        <v>1</v>
      </c>
      <c r="C62" s="551" t="s">
        <v>722</v>
      </c>
      <c r="D62" s="1543" t="s">
        <v>723</v>
      </c>
      <c r="E62" s="1543"/>
      <c r="F62" s="552" t="str">
        <f>H67</f>
        <v>LED 2x2 Recessed Light Fixture</v>
      </c>
      <c r="G62" s="552" t="s">
        <v>725</v>
      </c>
      <c r="H62" s="1006">
        <f>INDEX($B$97:$N$116,MATCH($F62,$C$97:$C$100,0),MATCH($G62,$B$96:$N$96,0))</f>
        <v>57.968000000000004</v>
      </c>
      <c r="I62" s="552" t="s">
        <v>726</v>
      </c>
      <c r="J62" s="1482" t="s">
        <v>1561</v>
      </c>
      <c r="K62" s="1484"/>
      <c r="L62" s="1484"/>
      <c r="M62" s="1484"/>
      <c r="N62" s="1484"/>
      <c r="O62" s="1484"/>
      <c r="P62" s="1484"/>
      <c r="Q62" s="1483"/>
      <c r="R62" s="488"/>
    </row>
    <row r="63" spans="2:18" ht="15" customHeight="1" x14ac:dyDescent="0.3">
      <c r="B63" s="535">
        <v>2</v>
      </c>
      <c r="C63" s="551" t="s">
        <v>728</v>
      </c>
      <c r="D63" s="1543" t="s">
        <v>729</v>
      </c>
      <c r="E63" s="1543"/>
      <c r="F63" s="552" t="str">
        <f>H67</f>
        <v>LED 2x2 Recessed Light Fixture</v>
      </c>
      <c r="G63" s="552" t="s">
        <v>1562</v>
      </c>
      <c r="H63" s="1006">
        <f>INDEX($B$97:$N$116,MATCH($F63,$C$97:$C$100,0),MATCH($G63,$B$96:$N$96,0))</f>
        <v>34.132787710309024</v>
      </c>
      <c r="I63" s="552" t="s">
        <v>726</v>
      </c>
      <c r="J63" s="1482" t="s">
        <v>1561</v>
      </c>
      <c r="K63" s="1484"/>
      <c r="L63" s="1484"/>
      <c r="M63" s="1484"/>
      <c r="N63" s="1484"/>
      <c r="O63" s="1484"/>
      <c r="P63" s="1484"/>
      <c r="Q63" s="1483"/>
      <c r="R63" s="488"/>
    </row>
    <row r="64" spans="2:18" ht="15" customHeight="1" x14ac:dyDescent="0.3">
      <c r="B64" s="534">
        <v>3</v>
      </c>
      <c r="C64" s="546" t="s">
        <v>698</v>
      </c>
      <c r="D64" s="1539" t="s">
        <v>732</v>
      </c>
      <c r="E64" s="1539"/>
      <c r="F64" s="1217" t="s">
        <v>789</v>
      </c>
      <c r="G64" s="1217" t="s">
        <v>733</v>
      </c>
      <c r="H64" s="974">
        <f>INDEX(BuildingType[],MATCH($C$28,BuildingType[Building],0),MATCH($G$64,BuildingType[#Headers],0))</f>
        <v>2857</v>
      </c>
      <c r="I64" s="1217" t="s">
        <v>532</v>
      </c>
      <c r="J64" s="1462" t="s">
        <v>734</v>
      </c>
      <c r="K64" s="1470"/>
      <c r="L64" s="1470"/>
      <c r="M64" s="1470"/>
      <c r="N64" s="1470"/>
      <c r="O64" s="1470"/>
      <c r="P64" s="1470"/>
      <c r="Q64" s="1471"/>
      <c r="R64" s="488"/>
    </row>
    <row r="65" spans="2:18" ht="15" customHeight="1" x14ac:dyDescent="0.3">
      <c r="B65" s="534">
        <v>4</v>
      </c>
      <c r="C65" s="549" t="s">
        <v>704</v>
      </c>
      <c r="D65" s="1539" t="s">
        <v>1563</v>
      </c>
      <c r="E65" s="1539"/>
      <c r="F65" s="1217" t="s">
        <v>789</v>
      </c>
      <c r="G65" s="1217" t="s">
        <v>1530</v>
      </c>
      <c r="H65" s="1001">
        <f>INDEX(BuildingType[],MATCH($C$28,BuildingType[Building],0),MATCH($G$65,BuildingType[#Headers],0))</f>
        <v>-1.5824999999999999E-3</v>
      </c>
      <c r="I65" s="1217" t="s">
        <v>1034</v>
      </c>
      <c r="J65" s="1462" t="s">
        <v>1531</v>
      </c>
      <c r="K65" s="1464"/>
      <c r="L65" s="1464"/>
      <c r="M65" s="1464"/>
      <c r="N65" s="1464"/>
      <c r="O65" s="1464"/>
      <c r="P65" s="1464"/>
      <c r="Q65" s="1463"/>
      <c r="R65" s="488"/>
    </row>
    <row r="66" spans="2:18" ht="30" customHeight="1" x14ac:dyDescent="0.3">
      <c r="B66" s="534">
        <v>5</v>
      </c>
      <c r="C66" s="546" t="s">
        <v>517</v>
      </c>
      <c r="D66" s="1539" t="s">
        <v>1564</v>
      </c>
      <c r="E66" s="1539"/>
      <c r="F66" s="1217"/>
      <c r="G66" s="1217"/>
      <c r="H66" s="963">
        <f>SpaceHeatingEfficiency.CI.NG</f>
        <v>0.85</v>
      </c>
      <c r="I66" s="1224" t="s">
        <v>519</v>
      </c>
      <c r="J66" s="1468" t="s">
        <v>1029</v>
      </c>
      <c r="K66" s="1478"/>
      <c r="L66" s="1478"/>
      <c r="M66" s="1478"/>
      <c r="N66" s="1478"/>
      <c r="O66" s="1478"/>
      <c r="P66" s="1478"/>
      <c r="Q66" s="1469"/>
      <c r="R66" s="488"/>
    </row>
    <row r="67" spans="2:18" ht="15" customHeight="1" x14ac:dyDescent="0.3">
      <c r="B67" s="535">
        <v>6</v>
      </c>
      <c r="C67" s="551" t="s">
        <v>1194</v>
      </c>
      <c r="D67" s="1543" t="s">
        <v>1565</v>
      </c>
      <c r="E67" s="1543"/>
      <c r="F67" s="1019"/>
      <c r="G67" s="552"/>
      <c r="H67" s="552" t="s">
        <v>1589</v>
      </c>
      <c r="I67" s="552" t="s">
        <v>597</v>
      </c>
      <c r="J67" s="1722" t="s">
        <v>727</v>
      </c>
      <c r="K67" s="1722"/>
      <c r="L67" s="1722"/>
      <c r="M67" s="1722"/>
      <c r="N67" s="1722"/>
      <c r="O67" s="1722"/>
      <c r="P67" s="1722"/>
      <c r="Q67" s="1722"/>
      <c r="R67" s="488"/>
    </row>
    <row r="68" spans="2:18" ht="13" x14ac:dyDescent="0.3">
      <c r="B68" s="1018">
        <v>7</v>
      </c>
      <c r="C68" s="1020"/>
      <c r="D68" s="1944"/>
      <c r="E68" s="1944"/>
      <c r="F68" s="618"/>
      <c r="G68" s="1021"/>
      <c r="H68" s="1021"/>
      <c r="I68" s="1021"/>
      <c r="J68" s="1945"/>
      <c r="K68" s="1946"/>
      <c r="L68" s="1946"/>
      <c r="M68" s="1946"/>
      <c r="N68" s="1946"/>
      <c r="O68" s="1946"/>
      <c r="P68" s="1946"/>
      <c r="Q68" s="1947"/>
      <c r="R68" s="488"/>
    </row>
    <row r="69" spans="2:18" ht="13" x14ac:dyDescent="0.3">
      <c r="B69" s="533">
        <v>8</v>
      </c>
      <c r="C69" s="546"/>
      <c r="D69" s="1539"/>
      <c r="E69" s="1539"/>
      <c r="F69" s="1217"/>
      <c r="G69" s="1217"/>
      <c r="H69" s="1217"/>
      <c r="I69" s="1217"/>
      <c r="J69" s="1507"/>
      <c r="K69" s="1514"/>
      <c r="L69" s="1514"/>
      <c r="M69" s="1514"/>
      <c r="N69" s="1514"/>
      <c r="O69" s="1514"/>
      <c r="P69" s="1514"/>
      <c r="Q69" s="1515"/>
      <c r="R69" s="488"/>
    </row>
    <row r="70" spans="2:18" ht="13" x14ac:dyDescent="0.3">
      <c r="B70" s="533">
        <v>9</v>
      </c>
      <c r="C70" s="546"/>
      <c r="D70" s="1539"/>
      <c r="E70" s="1539"/>
      <c r="F70" s="1217"/>
      <c r="G70" s="1217"/>
      <c r="H70" s="571"/>
      <c r="I70" s="1217"/>
      <c r="J70" s="1507"/>
      <c r="K70" s="1514"/>
      <c r="L70" s="1514"/>
      <c r="M70" s="1514"/>
      <c r="N70" s="1514"/>
      <c r="O70" s="1514"/>
      <c r="P70" s="1514"/>
      <c r="Q70" s="1515"/>
      <c r="R70" s="488"/>
    </row>
    <row r="71" spans="2:18" ht="13" x14ac:dyDescent="0.3">
      <c r="B71" s="533">
        <v>10</v>
      </c>
      <c r="C71" s="546"/>
      <c r="D71" s="1185"/>
      <c r="E71" s="1186"/>
      <c r="F71" s="1217"/>
      <c r="G71" s="1217"/>
      <c r="H71" s="571"/>
      <c r="I71" s="1217"/>
      <c r="J71" s="1437"/>
      <c r="K71" s="1448"/>
      <c r="L71" s="1448"/>
      <c r="M71" s="1448"/>
      <c r="N71" s="1448"/>
      <c r="O71" s="1448"/>
      <c r="P71" s="1448"/>
      <c r="Q71" s="1438"/>
      <c r="R71" s="488"/>
    </row>
    <row r="72" spans="2:18" s="491" customFormat="1" ht="13" x14ac:dyDescent="0.3">
      <c r="B72" s="536">
        <v>11</v>
      </c>
      <c r="C72" s="555"/>
      <c r="D72" s="1437"/>
      <c r="E72" s="1438"/>
      <c r="F72" s="556"/>
      <c r="G72" s="557"/>
      <c r="H72" s="556"/>
      <c r="I72" s="557"/>
      <c r="J72" s="1437"/>
      <c r="K72" s="1448"/>
      <c r="L72" s="1448"/>
      <c r="M72" s="1448"/>
      <c r="N72" s="1448"/>
      <c r="O72" s="1448"/>
      <c r="P72" s="1448"/>
      <c r="Q72" s="1438"/>
    </row>
    <row r="73" spans="2:18" s="491" customFormat="1" ht="13" x14ac:dyDescent="0.3">
      <c r="B73" s="536">
        <v>12</v>
      </c>
      <c r="C73" s="555"/>
      <c r="D73" s="1437"/>
      <c r="E73" s="1438"/>
      <c r="F73" s="556"/>
      <c r="G73" s="557"/>
      <c r="H73" s="558"/>
      <c r="I73" s="557"/>
      <c r="J73" s="1472"/>
      <c r="K73" s="1473"/>
      <c r="L73" s="1473"/>
      <c r="M73" s="1473"/>
      <c r="N73" s="1473"/>
      <c r="O73" s="1473"/>
      <c r="P73" s="1473"/>
      <c r="Q73" s="1474"/>
    </row>
    <row r="74" spans="2:18" s="491" customFormat="1" ht="13" x14ac:dyDescent="0.3">
      <c r="B74" s="536">
        <v>13</v>
      </c>
      <c r="C74" s="555"/>
      <c r="D74" s="1437"/>
      <c r="E74" s="1438"/>
      <c r="F74" s="556"/>
      <c r="G74" s="557"/>
      <c r="H74" s="556"/>
      <c r="I74" s="557"/>
      <c r="J74" s="1472"/>
      <c r="K74" s="1473"/>
      <c r="L74" s="1473"/>
      <c r="M74" s="1473"/>
      <c r="N74" s="1473"/>
      <c r="O74" s="1473"/>
      <c r="P74" s="1473"/>
      <c r="Q74" s="1474"/>
    </row>
    <row r="75" spans="2:18" s="489" customFormat="1" ht="13.15" customHeight="1" x14ac:dyDescent="0.3">
      <c r="B75" s="536">
        <v>14</v>
      </c>
      <c r="C75" s="555"/>
      <c r="D75" s="1437"/>
      <c r="E75" s="1438"/>
      <c r="F75" s="556"/>
      <c r="G75" s="557"/>
      <c r="H75" s="556"/>
      <c r="I75" s="557"/>
      <c r="J75" s="1472"/>
      <c r="K75" s="1473"/>
      <c r="L75" s="1473"/>
      <c r="M75" s="1473"/>
      <c r="N75" s="1473"/>
      <c r="O75" s="1473"/>
      <c r="P75" s="1473"/>
      <c r="Q75" s="1474"/>
    </row>
    <row r="76" spans="2:18" s="489" customFormat="1" ht="13" x14ac:dyDescent="0.3">
      <c r="B76" s="536">
        <v>15</v>
      </c>
      <c r="C76" s="555"/>
      <c r="D76" s="1437"/>
      <c r="E76" s="1438"/>
      <c r="F76" s="556"/>
      <c r="G76" s="557"/>
      <c r="H76" s="559"/>
      <c r="I76" s="557"/>
      <c r="J76" s="1472"/>
      <c r="K76" s="1473"/>
      <c r="L76" s="1473"/>
      <c r="M76" s="1473"/>
      <c r="N76" s="1473"/>
      <c r="O76" s="1473"/>
      <c r="P76" s="1473"/>
      <c r="Q76" s="1474"/>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182"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182"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c r="R85" s="488"/>
    </row>
    <row r="86" spans="2:18" ht="13" x14ac:dyDescent="0.3">
      <c r="B86" s="533">
        <v>6</v>
      </c>
      <c r="C86" s="563"/>
      <c r="D86" s="564"/>
      <c r="E86" s="1182"/>
      <c r="F86" s="1489"/>
      <c r="G86" s="1490"/>
      <c r="H86" s="1490"/>
      <c r="I86" s="1490"/>
      <c r="J86" s="1490"/>
      <c r="K86" s="1490"/>
      <c r="L86" s="1490"/>
      <c r="M86" s="1490"/>
      <c r="N86" s="1490"/>
      <c r="O86" s="1490"/>
      <c r="P86" s="1490"/>
      <c r="Q86" s="1491"/>
      <c r="R86" s="488"/>
    </row>
    <row r="87" spans="2:18" ht="13" x14ac:dyDescent="0.3">
      <c r="B87" s="533">
        <v>7</v>
      </c>
      <c r="C87" s="563"/>
      <c r="D87" s="1233"/>
      <c r="E87" s="1182"/>
      <c r="F87" s="1489"/>
      <c r="G87" s="1490"/>
      <c r="H87" s="1490"/>
      <c r="I87" s="1490"/>
      <c r="J87" s="1490"/>
      <c r="K87" s="1490"/>
      <c r="L87" s="1490"/>
      <c r="M87" s="1490"/>
      <c r="N87" s="1490"/>
      <c r="O87" s="1490"/>
      <c r="P87" s="1490"/>
      <c r="Q87" s="1491"/>
      <c r="R87" s="488"/>
    </row>
    <row r="88" spans="2:18" ht="13" x14ac:dyDescent="0.3">
      <c r="B88" s="533">
        <v>8</v>
      </c>
      <c r="C88" s="563"/>
      <c r="D88" s="564"/>
      <c r="E88" s="1182"/>
      <c r="F88" s="1489"/>
      <c r="G88" s="1490"/>
      <c r="H88" s="1490"/>
      <c r="I88" s="1490"/>
      <c r="J88" s="1490"/>
      <c r="K88" s="1490"/>
      <c r="L88" s="1490"/>
      <c r="M88" s="1490"/>
      <c r="N88" s="1490"/>
      <c r="O88" s="1490"/>
      <c r="P88" s="1490"/>
      <c r="Q88" s="1491"/>
      <c r="R88" s="488"/>
    </row>
    <row r="89" spans="2:18" ht="13" x14ac:dyDescent="0.3">
      <c r="B89" s="533">
        <v>9</v>
      </c>
      <c r="C89" s="563"/>
      <c r="D89" s="1233"/>
      <c r="E89" s="1182"/>
      <c r="F89" s="1489"/>
      <c r="G89" s="1490"/>
      <c r="H89" s="1490"/>
      <c r="I89" s="1490"/>
      <c r="J89" s="1490"/>
      <c r="K89" s="1490"/>
      <c r="L89" s="1490"/>
      <c r="M89" s="1490"/>
      <c r="N89" s="1490"/>
      <c r="O89" s="1490"/>
      <c r="P89" s="1490"/>
      <c r="Q89" s="1491"/>
      <c r="R89" s="488"/>
    </row>
    <row r="90" spans="2:18" ht="13" x14ac:dyDescent="0.3">
      <c r="B90" s="533">
        <v>10</v>
      </c>
      <c r="C90" s="563"/>
      <c r="D90" s="564"/>
      <c r="E90" s="1182"/>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t="s">
        <v>1567</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08"/>
      <c r="Q95" s="1409"/>
      <c r="R95" s="488"/>
    </row>
    <row r="96" spans="2:18" ht="55.5" customHeight="1" x14ac:dyDescent="0.3">
      <c r="B96" s="1188" t="s">
        <v>478</v>
      </c>
      <c r="C96" s="1402" t="s">
        <v>538</v>
      </c>
      <c r="D96" s="1431"/>
      <c r="E96" s="565" t="s">
        <v>725</v>
      </c>
      <c r="F96" s="565" t="s">
        <v>1562</v>
      </c>
      <c r="G96" s="565" t="s">
        <v>429</v>
      </c>
      <c r="H96" s="565" t="s">
        <v>432</v>
      </c>
      <c r="I96" s="565" t="s">
        <v>431</v>
      </c>
      <c r="J96" s="565"/>
      <c r="K96" s="565"/>
      <c r="L96" s="565"/>
      <c r="M96" s="565"/>
      <c r="N96" s="566"/>
      <c r="O96" s="1410"/>
      <c r="P96" s="1411"/>
      <c r="Q96" s="1412"/>
      <c r="R96" s="488"/>
    </row>
    <row r="97" spans="2:18" ht="26" x14ac:dyDescent="0.3">
      <c r="B97" s="533">
        <v>1</v>
      </c>
      <c r="C97" s="546" t="s">
        <v>1589</v>
      </c>
      <c r="D97" s="1184" t="s">
        <v>1590</v>
      </c>
      <c r="E97" s="1190">
        <v>57.968000000000004</v>
      </c>
      <c r="F97" s="1022">
        <v>34.132787710309024</v>
      </c>
      <c r="G97" s="1190"/>
      <c r="H97" s="1023">
        <v>75</v>
      </c>
      <c r="I97" s="1024">
        <v>122.50493599026183</v>
      </c>
      <c r="J97" s="568"/>
      <c r="K97" s="568"/>
      <c r="L97" s="568"/>
      <c r="M97" s="568"/>
      <c r="N97" s="568"/>
      <c r="O97" s="1501" t="s">
        <v>1591</v>
      </c>
      <c r="P97" s="1502"/>
      <c r="Q97" s="1503"/>
      <c r="R97" s="488"/>
    </row>
    <row r="98" spans="2:18" ht="25.5" customHeight="1" x14ac:dyDescent="0.3">
      <c r="B98" s="533">
        <v>2</v>
      </c>
      <c r="C98" s="546" t="s">
        <v>1589</v>
      </c>
      <c r="D98" s="1184" t="s">
        <v>1592</v>
      </c>
      <c r="E98" s="1190">
        <v>89.183999999999997</v>
      </c>
      <c r="F98" s="1022">
        <v>42.847713428151351</v>
      </c>
      <c r="G98" s="1190"/>
      <c r="H98" s="1023">
        <v>80</v>
      </c>
      <c r="I98" s="1024">
        <v>171.31892875648984</v>
      </c>
      <c r="J98" s="568"/>
      <c r="K98" s="568"/>
      <c r="L98" s="568"/>
      <c r="M98" s="568"/>
      <c r="N98" s="568"/>
      <c r="O98" s="1501" t="s">
        <v>1591</v>
      </c>
      <c r="P98" s="1502"/>
      <c r="Q98" s="1503"/>
      <c r="R98" s="488"/>
    </row>
    <row r="99" spans="2:18" ht="25.5" customHeight="1" x14ac:dyDescent="0.3">
      <c r="B99" s="533">
        <v>3</v>
      </c>
      <c r="C99" s="546" t="s">
        <v>1593</v>
      </c>
      <c r="D99" s="1184" t="s">
        <v>1594</v>
      </c>
      <c r="E99" s="1190">
        <v>57.968000000000004</v>
      </c>
      <c r="F99" s="1022">
        <v>37.936052640607052</v>
      </c>
      <c r="G99" s="1190"/>
      <c r="H99" s="1023">
        <v>75</v>
      </c>
      <c r="I99" s="1024">
        <v>137.20493091156439</v>
      </c>
      <c r="J99" s="568"/>
      <c r="K99" s="568"/>
      <c r="L99" s="568"/>
      <c r="M99" s="568"/>
      <c r="N99" s="568"/>
      <c r="O99" s="1501" t="s">
        <v>1591</v>
      </c>
      <c r="P99" s="1502"/>
      <c r="Q99" s="1503"/>
      <c r="R99" s="488"/>
    </row>
    <row r="100" spans="2:18" ht="25.5" customHeight="1" x14ac:dyDescent="0.3">
      <c r="B100" s="533">
        <v>4</v>
      </c>
      <c r="C100" s="546" t="s">
        <v>1593</v>
      </c>
      <c r="D100" s="1184" t="s">
        <v>1595</v>
      </c>
      <c r="E100" s="1190">
        <v>89.183999999999997</v>
      </c>
      <c r="F100" s="1022">
        <v>54.317419681185712</v>
      </c>
      <c r="G100" s="1190"/>
      <c r="H100" s="1023">
        <v>80</v>
      </c>
      <c r="I100" s="1024">
        <v>178.65545267776562</v>
      </c>
      <c r="J100" s="568"/>
      <c r="K100" s="568"/>
      <c r="L100" s="568"/>
      <c r="M100" s="568"/>
      <c r="N100" s="568"/>
      <c r="O100" s="1501" t="s">
        <v>1591</v>
      </c>
      <c r="P100" s="1502"/>
      <c r="Q100" s="1503"/>
      <c r="R100" s="488"/>
    </row>
    <row r="101" spans="2:18" ht="25.5" customHeight="1" x14ac:dyDescent="0.3">
      <c r="B101" s="533">
        <v>5</v>
      </c>
      <c r="C101" s="546" t="s">
        <v>1593</v>
      </c>
      <c r="D101" s="1184" t="s">
        <v>1596</v>
      </c>
      <c r="E101" s="1190">
        <v>118.91200000000001</v>
      </c>
      <c r="F101" s="1022">
        <v>72.69000843118954</v>
      </c>
      <c r="G101" s="1190"/>
      <c r="H101" s="1023">
        <v>85</v>
      </c>
      <c r="I101" s="1024">
        <v>235.06677218028091</v>
      </c>
      <c r="J101" s="568"/>
      <c r="K101" s="568"/>
      <c r="L101" s="568"/>
      <c r="M101" s="568"/>
      <c r="N101" s="568"/>
      <c r="O101" s="1501" t="s">
        <v>1591</v>
      </c>
      <c r="P101" s="1502"/>
      <c r="Q101" s="1503"/>
      <c r="R101" s="488"/>
    </row>
    <row r="102" spans="2:18" ht="25.5" customHeight="1" x14ac:dyDescent="0.3">
      <c r="B102" s="533">
        <v>6</v>
      </c>
      <c r="C102" s="546" t="s">
        <v>1597</v>
      </c>
      <c r="D102" s="1184" t="s">
        <v>1598</v>
      </c>
      <c r="E102" s="1190">
        <v>29.496000000000002</v>
      </c>
      <c r="F102" s="1025">
        <v>18.080422089027049</v>
      </c>
      <c r="G102" s="1190"/>
      <c r="H102" s="1023">
        <v>70</v>
      </c>
      <c r="I102" s="1024">
        <v>106.06767050959981</v>
      </c>
      <c r="J102" s="569"/>
      <c r="K102" s="569"/>
      <c r="L102" s="569"/>
      <c r="M102" s="569"/>
      <c r="N102" s="569"/>
      <c r="O102" s="1501" t="s">
        <v>1591</v>
      </c>
      <c r="P102" s="1502"/>
      <c r="Q102" s="1503"/>
      <c r="R102" s="488"/>
    </row>
    <row r="103" spans="2:18" ht="25.5" customHeight="1" x14ac:dyDescent="0.3">
      <c r="B103" s="533">
        <v>7</v>
      </c>
      <c r="C103" s="546" t="s">
        <v>1597</v>
      </c>
      <c r="D103" s="1184" t="s">
        <v>1599</v>
      </c>
      <c r="E103" s="1190">
        <v>57.968000000000004</v>
      </c>
      <c r="F103" s="1026">
        <v>39.606145888448779</v>
      </c>
      <c r="G103" s="569"/>
      <c r="H103" s="1023">
        <v>75</v>
      </c>
      <c r="I103" s="1024">
        <v>151.03405909530329</v>
      </c>
      <c r="J103" s="569"/>
      <c r="K103" s="569"/>
      <c r="L103" s="569"/>
      <c r="M103" s="569"/>
      <c r="N103" s="569"/>
      <c r="O103" s="1501" t="s">
        <v>1591</v>
      </c>
      <c r="P103" s="1502"/>
      <c r="Q103" s="1503"/>
      <c r="R103" s="488"/>
    </row>
    <row r="104" spans="2:18" ht="25.5" customHeight="1" x14ac:dyDescent="0.3">
      <c r="B104" s="533">
        <v>8</v>
      </c>
      <c r="C104" s="546" t="s">
        <v>1597</v>
      </c>
      <c r="D104" s="1184" t="s">
        <v>1600</v>
      </c>
      <c r="E104" s="1190">
        <v>89.183999999999997</v>
      </c>
      <c r="F104" s="1026">
        <v>53.121224114844345</v>
      </c>
      <c r="G104" s="569"/>
      <c r="H104" s="1024">
        <v>80</v>
      </c>
      <c r="I104" s="1024">
        <v>209.55412489162566</v>
      </c>
      <c r="J104" s="569"/>
      <c r="K104" s="569"/>
      <c r="L104" s="569"/>
      <c r="M104" s="569"/>
      <c r="N104" s="569"/>
      <c r="O104" s="1501" t="s">
        <v>1591</v>
      </c>
      <c r="P104" s="1502"/>
      <c r="Q104" s="1503"/>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sheetData>
  <sheetProtection algorithmName="SHA-512" hashValue="oOgvIpVF26UuqW0ZR7b4QjeEQHNczVPo3bXNuRh+GY34tfPZmoIo/oFyfH1ll+TalxtXtWPEFlInhuC3sxhdOw==" saltValue="FZ7RDBBtOQE2zjJBiHrwfA==" spinCount="100000" sheet="1" objects="1" scenarios="1" selectLockedCells="1" selectUnlockedCells="1"/>
  <mergeCells count="120">
    <mergeCell ref="J71:Q71"/>
    <mergeCell ref="E33:Q33"/>
    <mergeCell ref="E34:Q34"/>
    <mergeCell ref="C22:Q22"/>
    <mergeCell ref="C23:Q23"/>
    <mergeCell ref="D25:Q25"/>
    <mergeCell ref="B20:Q20"/>
    <mergeCell ref="C21:Q21"/>
    <mergeCell ref="P47:Q47"/>
    <mergeCell ref="C48:M48"/>
    <mergeCell ref="P48:Q48"/>
    <mergeCell ref="D29:Q29"/>
    <mergeCell ref="D30:Q30"/>
    <mergeCell ref="C49:M49"/>
    <mergeCell ref="P49:Q49"/>
    <mergeCell ref="C43:M43"/>
    <mergeCell ref="P43:Q43"/>
    <mergeCell ref="C44:M44"/>
    <mergeCell ref="P44:Q44"/>
    <mergeCell ref="C45:M45"/>
    <mergeCell ref="P45:Q45"/>
    <mergeCell ref="P54:Q54"/>
    <mergeCell ref="C55:M55"/>
    <mergeCell ref="P55:Q55"/>
    <mergeCell ref="C56:M56"/>
    <mergeCell ref="P56:Q56"/>
    <mergeCell ref="C50:M50"/>
    <mergeCell ref="P50:Q50"/>
    <mergeCell ref="C51:M51"/>
    <mergeCell ref="P51:Q51"/>
    <mergeCell ref="C53:M53"/>
    <mergeCell ref="P53:Q53"/>
    <mergeCell ref="J63:Q63"/>
    <mergeCell ref="D64:E64"/>
    <mergeCell ref="J64:Q64"/>
    <mergeCell ref="D65:E65"/>
    <mergeCell ref="J65:Q65"/>
    <mergeCell ref="C57:M57"/>
    <mergeCell ref="P57:Q57"/>
    <mergeCell ref="D61:E61"/>
    <mergeCell ref="J61:Q61"/>
    <mergeCell ref="D62:E62"/>
    <mergeCell ref="J62:Q62"/>
    <mergeCell ref="J68:Q68"/>
    <mergeCell ref="D69:E69"/>
    <mergeCell ref="J69:Q69"/>
    <mergeCell ref="D70:E70"/>
    <mergeCell ref="J70:Q70"/>
    <mergeCell ref="J66:Q66"/>
    <mergeCell ref="D66:E66"/>
    <mergeCell ref="D67:E67"/>
    <mergeCell ref="J67:Q67"/>
    <mergeCell ref="E94:N94"/>
    <mergeCell ref="O94:Q96"/>
    <mergeCell ref="F80:Q80"/>
    <mergeCell ref="F81:Q81"/>
    <mergeCell ref="F82:Q82"/>
    <mergeCell ref="F83:Q83"/>
    <mergeCell ref="F84:Q84"/>
    <mergeCell ref="F85:Q85"/>
    <mergeCell ref="F86:Q86"/>
    <mergeCell ref="F87:Q87"/>
    <mergeCell ref="F88:Q88"/>
    <mergeCell ref="F89:Q89"/>
    <mergeCell ref="F90:Q90"/>
    <mergeCell ref="O101:Q101"/>
    <mergeCell ref="O102:Q102"/>
    <mergeCell ref="O103:Q103"/>
    <mergeCell ref="O104:Q104"/>
    <mergeCell ref="O105:Q105"/>
    <mergeCell ref="O106:Q106"/>
    <mergeCell ref="B95:D95"/>
    <mergeCell ref="C96:D96"/>
    <mergeCell ref="O97:Q97"/>
    <mergeCell ref="O98:Q98"/>
    <mergeCell ref="O99:Q99"/>
    <mergeCell ref="O100:Q100"/>
    <mergeCell ref="O113:Q113"/>
    <mergeCell ref="O114:Q114"/>
    <mergeCell ref="O115:Q115"/>
    <mergeCell ref="O116:Q116"/>
    <mergeCell ref="O107:Q107"/>
    <mergeCell ref="O108:Q108"/>
    <mergeCell ref="O109:Q109"/>
    <mergeCell ref="O110:Q110"/>
    <mergeCell ref="O111:Q111"/>
    <mergeCell ref="O112:Q112"/>
    <mergeCell ref="J72:Q72"/>
    <mergeCell ref="D73:E73"/>
    <mergeCell ref="J73:Q73"/>
    <mergeCell ref="D74:E74"/>
    <mergeCell ref="J74:Q74"/>
    <mergeCell ref="D75:E75"/>
    <mergeCell ref="J75:Q75"/>
    <mergeCell ref="D76:E76"/>
    <mergeCell ref="J76:Q76"/>
    <mergeCell ref="C2:F2"/>
    <mergeCell ref="C3:F3"/>
    <mergeCell ref="C4:F4"/>
    <mergeCell ref="D7:F7"/>
    <mergeCell ref="D17:F17"/>
    <mergeCell ref="D18:F18"/>
    <mergeCell ref="D8:F16"/>
    <mergeCell ref="C5:F5"/>
    <mergeCell ref="D72:E72"/>
    <mergeCell ref="D68:E68"/>
    <mergeCell ref="D63:E63"/>
    <mergeCell ref="C54:M54"/>
    <mergeCell ref="C47:M47"/>
    <mergeCell ref="E35:Q35"/>
    <mergeCell ref="E36:Q36"/>
    <mergeCell ref="E37:Q37"/>
    <mergeCell ref="C41:M41"/>
    <mergeCell ref="P41:Q41"/>
    <mergeCell ref="C42:M42"/>
    <mergeCell ref="P42:Q42"/>
    <mergeCell ref="D26:Q26"/>
    <mergeCell ref="D27:Q27"/>
    <mergeCell ref="D28:Q28"/>
    <mergeCell ref="E32:Q32"/>
  </mergeCells>
  <conditionalFormatting sqref="H70:H71">
    <cfRule type="expression" dxfId="2572" priority="50">
      <formula>IF(OR(#REF!="L",#REF!="C"),TRUE,FALSE)</formula>
    </cfRule>
  </conditionalFormatting>
  <conditionalFormatting sqref="H69">
    <cfRule type="expression" dxfId="2571" priority="43">
      <formula>IF(OR(#REF!="L",#REF!="C"),TRUE,FALSE)</formula>
    </cfRule>
  </conditionalFormatting>
  <conditionalFormatting sqref="F109:F116 G102:G116 H104:H116">
    <cfRule type="expression" dxfId="2570" priority="42">
      <formula>IF(OR(#REF!="L",#REF!="C"),TRUE,FALSE)</formula>
    </cfRule>
  </conditionalFormatting>
  <conditionalFormatting sqref="E110:E116">
    <cfRule type="expression" dxfId="2569" priority="41">
      <formula>IF(OR(#REF!="L",#REF!="C"),TRUE,FALSE)</formula>
    </cfRule>
  </conditionalFormatting>
  <conditionalFormatting sqref="E107">
    <cfRule type="expression" dxfId="2568" priority="40">
      <formula>IF(OR(#REF!="L",#REF!="C"),TRUE,FALSE)</formula>
    </cfRule>
  </conditionalFormatting>
  <conditionalFormatting sqref="E108">
    <cfRule type="expression" dxfId="2567" priority="39">
      <formula>IF(OR(#REF!="L",#REF!="C"),TRUE,FALSE)</formula>
    </cfRule>
  </conditionalFormatting>
  <conditionalFormatting sqref="E109">
    <cfRule type="expression" dxfId="2566" priority="38">
      <formula>IF(OR(#REF!="L",#REF!="C"),TRUE,FALSE)</formula>
    </cfRule>
  </conditionalFormatting>
  <conditionalFormatting sqref="E106">
    <cfRule type="expression" dxfId="2565" priority="37">
      <formula>IF(OR(#REF!="L",#REF!="C"),TRUE,FALSE)</formula>
    </cfRule>
  </conditionalFormatting>
  <conditionalFormatting sqref="E95 G95 I95 K95 M95">
    <cfRule type="duplicateValues" dxfId="2564" priority="36"/>
  </conditionalFormatting>
  <conditionalFormatting sqref="M104:M116">
    <cfRule type="expression" dxfId="2563" priority="26">
      <formula>IF(OR(#REF!="L",#REF!="C"),TRUE,FALSE)</formula>
    </cfRule>
  </conditionalFormatting>
  <conditionalFormatting sqref="F102:F106">
    <cfRule type="expression" dxfId="2562" priority="35">
      <formula>IF(OR(#REF!="L",#REF!="C"),TRUE,FALSE)</formula>
    </cfRule>
  </conditionalFormatting>
  <conditionalFormatting sqref="I102:I103">
    <cfRule type="expression" dxfId="2561" priority="33">
      <formula>IF(OR(#REF!="L",#REF!="C"),TRUE,FALSE)</formula>
    </cfRule>
  </conditionalFormatting>
  <conditionalFormatting sqref="N102:N103">
    <cfRule type="expression" dxfId="2560" priority="23">
      <formula>IF(OR(#REF!="L",#REF!="C"),TRUE,FALSE)</formula>
    </cfRule>
  </conditionalFormatting>
  <conditionalFormatting sqref="I104:I116">
    <cfRule type="expression" dxfId="2559" priority="34">
      <formula>IF(OR(#REF!="L",#REF!="C"),TRUE,FALSE)</formula>
    </cfRule>
  </conditionalFormatting>
  <conditionalFormatting sqref="J102:J103">
    <cfRule type="expression" dxfId="2558" priority="31">
      <formula>IF(OR(#REF!="L",#REF!="C"),TRUE,FALSE)</formula>
    </cfRule>
  </conditionalFormatting>
  <conditionalFormatting sqref="J104:J116">
    <cfRule type="expression" dxfId="2557" priority="32">
      <formula>IF(OR(#REF!="L",#REF!="C"),TRUE,FALSE)</formula>
    </cfRule>
  </conditionalFormatting>
  <conditionalFormatting sqref="K102:K103">
    <cfRule type="expression" dxfId="2556" priority="29">
      <formula>IF(OR(#REF!="L",#REF!="C"),TRUE,FALSE)</formula>
    </cfRule>
  </conditionalFormatting>
  <conditionalFormatting sqref="K104:K116">
    <cfRule type="expression" dxfId="2555" priority="30">
      <formula>IF(OR(#REF!="L",#REF!="C"),TRUE,FALSE)</formula>
    </cfRule>
  </conditionalFormatting>
  <conditionalFormatting sqref="L102:L103">
    <cfRule type="expression" dxfId="2554" priority="27">
      <formula>IF(OR(#REF!="L",#REF!="C"),TRUE,FALSE)</formula>
    </cfRule>
  </conditionalFormatting>
  <conditionalFormatting sqref="L104:L116">
    <cfRule type="expression" dxfId="2553" priority="28">
      <formula>IF(OR(#REF!="L",#REF!="C"),TRUE,FALSE)</formula>
    </cfRule>
  </conditionalFormatting>
  <conditionalFormatting sqref="M102:M103">
    <cfRule type="expression" dxfId="2552" priority="25">
      <formula>IF(OR(#REF!="L",#REF!="C"),TRUE,FALSE)</formula>
    </cfRule>
  </conditionalFormatting>
  <conditionalFormatting sqref="N104:N116">
    <cfRule type="expression" dxfId="2551" priority="24">
      <formula>IF(OR(#REF!="L",#REF!="C"),TRUE,FALSE)</formula>
    </cfRule>
  </conditionalFormatting>
  <conditionalFormatting sqref="O105:O116">
    <cfRule type="expression" dxfId="2550" priority="20">
      <formula>IF(OR(#REF!="L",#REF!="C"),TRUE,FALSE)</formula>
    </cfRule>
  </conditionalFormatting>
  <conditionalFormatting sqref="J96:N96">
    <cfRule type="duplicateValues" dxfId="2549" priority="18"/>
  </conditionalFormatting>
  <conditionalFormatting sqref="E96:I96">
    <cfRule type="duplicateValues" dxfId="2548" priority="17"/>
  </conditionalFormatting>
  <conditionalFormatting sqref="H74">
    <cfRule type="expression" dxfId="2547" priority="11">
      <formula>IF(OR(#REF!="L",#REF!="C"),TRUE,FALSE)</formula>
    </cfRule>
  </conditionalFormatting>
  <conditionalFormatting sqref="H75">
    <cfRule type="expression" dxfId="2546" priority="10">
      <formula>IF(OR(#REF!="L",#REF!="C"),TRUE,FALSE)</formula>
    </cfRule>
  </conditionalFormatting>
  <conditionalFormatting sqref="H72">
    <cfRule type="expression" dxfId="2545" priority="13">
      <formula>IF(OR(#REF!="L",#REF!="C"),TRUE,FALSE)</formula>
    </cfRule>
  </conditionalFormatting>
  <conditionalFormatting sqref="H73">
    <cfRule type="expression" dxfId="2544" priority="12">
      <formula>IF(OR(#REF!="L",#REF!="C"),TRUE,FALSE)</formula>
    </cfRule>
  </conditionalFormatting>
  <conditionalFormatting sqref="H76">
    <cfRule type="expression" dxfId="2543" priority="8">
      <formula>IF(OR(#REF!="L",#REF!="C"),TRUE,FALSE)</formula>
    </cfRule>
  </conditionalFormatting>
  <conditionalFormatting sqref="H62">
    <cfRule type="expression" dxfId="2542" priority="5">
      <formula>IF(OR(#REF!="L",#REF!="C"),TRUE,FALSE)</formula>
    </cfRule>
  </conditionalFormatting>
  <conditionalFormatting sqref="H64">
    <cfRule type="expression" dxfId="2541" priority="4">
      <formula>IF(OR(#REF!="L",#REF!="C"),TRUE,FALSE)</formula>
    </cfRule>
  </conditionalFormatting>
  <conditionalFormatting sqref="H63">
    <cfRule type="expression" dxfId="2540" priority="3">
      <formula>IF(OR(#REF!="L",#REF!="C"),TRUE,FALSE)</formula>
    </cfRule>
  </conditionalFormatting>
  <conditionalFormatting sqref="H65">
    <cfRule type="expression" dxfId="2539" priority="2">
      <formula>IF(OR(#REF!="L",#REF!="C"),TRUE,FALSE)</formula>
    </cfRule>
  </conditionalFormatting>
  <conditionalFormatting sqref="H66">
    <cfRule type="expression" dxfId="2538" priority="1">
      <formula>IF(OR(#REF!="L",#REF!="C"),TRUE,FALSE)</formula>
    </cfRule>
  </conditionalFormatting>
  <dataValidations count="9">
    <dataValidation type="list" allowBlank="1" showInputMessage="1" showErrorMessage="1" sqref="H67:H68" xr:uid="{30BFEA41-1E5C-4191-9435-D002F73A9F41}">
      <formula1>$C$97:$C$116</formula1>
    </dataValidation>
    <dataValidation type="list" allowBlank="1" showInputMessage="1" showErrorMessage="1" sqref="F72:F74" xr:uid="{CB5764C2-52EB-411B-A5E3-1A7DED834FF2}">
      <formula1>$C$102:$C$107</formula1>
    </dataValidation>
    <dataValidation type="list" allowBlank="1" showInputMessage="1" showErrorMessage="1" sqref="C4" xr:uid="{851B0B2C-1727-4EB1-9D0A-BDF68C74CF38}">
      <formula1>"COM,RES"</formula1>
    </dataValidation>
    <dataValidation type="list" allowBlank="1" showInputMessage="1" showErrorMessage="1" sqref="F62:F63" xr:uid="{C0213E06-1B75-4763-9E58-C6E1E4B09542}">
      <formula1>$C$98:$C$100</formula1>
    </dataValidation>
    <dataValidation type="list" allowBlank="1" showInputMessage="1" showErrorMessage="1" sqref="C9" xr:uid="{9BA31FFB-7838-427E-ACDE-6C198FB217FD}">
      <formula1>INDIRECT("MeasureTypeList[Index]")</formula1>
    </dataValidation>
    <dataValidation type="list" allowBlank="1" showInputMessage="1" showErrorMessage="1" sqref="C26" xr:uid="{CB18A880-FEB3-44C4-A3F5-1AB80E980CFA}">
      <formula1>INDIRECT("RegionList[Index]")</formula1>
    </dataValidation>
    <dataValidation type="list" allowBlank="1" showInputMessage="1" showErrorMessage="1" sqref="C27" xr:uid="{A3A942E8-691B-4679-8D13-9FC089B4A287}">
      <formula1>INDIRECT("ReplacementTypeList[Index]")</formula1>
    </dataValidation>
    <dataValidation type="list" allowBlank="1" showInputMessage="1" showErrorMessage="1" sqref="C28" xr:uid="{21F8782C-4F4F-49BF-AAD8-4A76A585C962}">
      <formula1>INDIRECT("BuildingType[Building]")</formula1>
    </dataValidation>
    <dataValidation type="list" allowBlank="1" showInputMessage="1" showErrorMessage="1" sqref="C29 C30" xr:uid="{E5ADB347-94F7-445F-A116-12450593620A}">
      <formula1>INDIRECT("FuelTypeList[Index]")</formula1>
    </dataValidation>
  </dataValidations>
  <hyperlinks>
    <hyperlink ref="F82" r:id="rId1" xr:uid="{5450AD1F-6914-4E7A-A2AE-614B47927864}"/>
    <hyperlink ref="F83" r:id="rId2" xr:uid="{6AD00522-C38D-4E7E-ADFD-CFD058FE3619}"/>
    <hyperlink ref="F85" r:id="rId3" xr:uid="{A9B8FEFE-E26E-452B-A364-C333DD0368C0}"/>
    <hyperlink ref="F84" r:id="rId4" xr:uid="{9C868C41-B588-4889-8680-7C8A912FD8E2}"/>
  </hyperlinks>
  <pageMargins left="0.7" right="0.7" top="0.75" bottom="0.75" header="0.3" footer="0.3"/>
  <pageSetup orientation="portrait" r:id="rId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1B6B5-FA92-42FB-932C-20380C69A59C}">
  <sheetPr codeName="Sheet387"/>
  <dimension ref="A2:R137"/>
  <sheetViews>
    <sheetView workbookViewId="0"/>
  </sheetViews>
  <sheetFormatPr defaultColWidth="9.08984375" defaultRowHeight="18.75" customHeight="1" x14ac:dyDescent="0.3"/>
  <cols>
    <col min="1" max="1" width="2.36328125" style="488" customWidth="1"/>
    <col min="2" max="2" width="44.36328125" style="488" bestFit="1" customWidth="1"/>
    <col min="3" max="3" width="33.08984375" style="488" customWidth="1"/>
    <col min="4" max="4" width="21.6328125" style="488" customWidth="1"/>
    <col min="5" max="5" width="14.36328125" style="488" customWidth="1"/>
    <col min="6" max="6" width="15.6328125" style="488" customWidth="1"/>
    <col min="7" max="7" width="19.6328125" style="488" customWidth="1"/>
    <col min="8" max="8" width="16"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C-L-006</v>
      </c>
      <c r="D3" s="1367"/>
      <c r="E3" s="1367"/>
      <c r="F3" s="1367"/>
    </row>
    <row r="4" spans="1:18" ht="18.75" customHeight="1" x14ac:dyDescent="0.3">
      <c r="B4" s="490" t="s">
        <v>11</v>
      </c>
      <c r="C4" s="1367" t="str" cm="1">
        <f t="array" ref="C4">_xlfn.SWITCH(LEFT(C8,1),"R","Residential","C","Commercial","ERROR")</f>
        <v>Commercial</v>
      </c>
      <c r="D4" s="1367"/>
      <c r="E4" s="1367"/>
      <c r="F4" s="1367"/>
    </row>
    <row r="5" spans="1:18" ht="44.25" customHeight="1" x14ac:dyDescent="0.3">
      <c r="B5" s="490" t="s">
        <v>408</v>
      </c>
      <c r="C5" s="1530" t="s">
        <v>263</v>
      </c>
      <c r="D5" s="1531"/>
      <c r="E5" s="1531"/>
      <c r="F5" s="1532"/>
      <c r="R5" s="488"/>
    </row>
    <row r="6" spans="1:18" ht="18.75" customHeight="1" x14ac:dyDescent="0.3">
      <c r="A6" s="573"/>
    </row>
    <row r="7" spans="1:18" ht="18.75" customHeight="1" x14ac:dyDescent="0.3">
      <c r="B7" s="1193" t="s">
        <v>507</v>
      </c>
      <c r="C7" s="493" t="s">
        <v>406</v>
      </c>
      <c r="D7" s="1366" t="s">
        <v>410</v>
      </c>
      <c r="E7" s="1366"/>
      <c r="F7" s="1366"/>
      <c r="R7" s="488"/>
    </row>
    <row r="8" spans="1:18" ht="18.75" customHeight="1" x14ac:dyDescent="0.3">
      <c r="B8" s="490" t="s">
        <v>411</v>
      </c>
      <c r="C8" s="1194" t="s">
        <v>115</v>
      </c>
      <c r="D8" s="1521" t="s">
        <v>1601</v>
      </c>
      <c r="E8" s="1522"/>
      <c r="F8" s="1523"/>
      <c r="R8" s="488"/>
    </row>
    <row r="9" spans="1:18" ht="32.25" customHeight="1" x14ac:dyDescent="0.3">
      <c r="B9" s="490" t="s">
        <v>49</v>
      </c>
      <c r="C9" s="1194" t="s">
        <v>752</v>
      </c>
      <c r="D9" s="1524"/>
      <c r="E9" s="1525"/>
      <c r="F9" s="1526"/>
      <c r="R9" s="488"/>
    </row>
    <row r="10" spans="1:18" ht="18.75" customHeight="1" x14ac:dyDescent="0.3">
      <c r="B10" s="490" t="s">
        <v>412</v>
      </c>
      <c r="C10" s="1194"/>
      <c r="D10" s="1524"/>
      <c r="E10" s="1525"/>
      <c r="F10" s="1526"/>
      <c r="R10" s="488"/>
    </row>
    <row r="11" spans="1:18" ht="18.75" customHeight="1" x14ac:dyDescent="0.3">
      <c r="B11" s="490" t="s">
        <v>413</v>
      </c>
      <c r="C11" s="1194"/>
      <c r="D11" s="1524"/>
      <c r="E11" s="1525"/>
      <c r="F11" s="1526"/>
      <c r="R11" s="488"/>
    </row>
    <row r="12" spans="1:18" ht="18.75" customHeight="1" x14ac:dyDescent="0.3">
      <c r="B12" s="490" t="s">
        <v>414</v>
      </c>
      <c r="C12" s="602"/>
      <c r="D12" s="1524"/>
      <c r="E12" s="1525"/>
      <c r="F12" s="1526"/>
      <c r="R12" s="488"/>
    </row>
    <row r="13" spans="1:18" ht="18.75" customHeight="1" x14ac:dyDescent="0.3">
      <c r="B13" s="494" t="s">
        <v>415</v>
      </c>
      <c r="C13" s="495">
        <f>N43</f>
        <v>63.711100000000002</v>
      </c>
      <c r="D13" s="1524"/>
      <c r="E13" s="1525"/>
      <c r="F13" s="1526"/>
      <c r="R13" s="488"/>
    </row>
    <row r="14" spans="1:18" ht="18.75" customHeight="1" x14ac:dyDescent="0.3">
      <c r="B14" s="494" t="s">
        <v>416</v>
      </c>
      <c r="C14" s="495">
        <f>N42</f>
        <v>0</v>
      </c>
      <c r="D14" s="1524"/>
      <c r="E14" s="1525"/>
      <c r="F14" s="1526"/>
      <c r="R14" s="488"/>
    </row>
    <row r="15" spans="1:18" ht="18.75" customHeight="1" x14ac:dyDescent="0.3">
      <c r="B15" s="494" t="s">
        <v>417</v>
      </c>
      <c r="C15" s="495">
        <f>N44</f>
        <v>-0.10082281575</v>
      </c>
      <c r="D15" s="1524"/>
      <c r="E15" s="1525"/>
      <c r="F15" s="1526"/>
      <c r="R15" s="488"/>
    </row>
    <row r="16" spans="1:18" ht="18.75" customHeight="1" x14ac:dyDescent="0.3">
      <c r="B16" s="494" t="s">
        <v>418</v>
      </c>
      <c r="C16" s="496">
        <f>C37</f>
        <v>0</v>
      </c>
      <c r="D16" s="1527"/>
      <c r="E16" s="1528"/>
      <c r="F16" s="1529"/>
      <c r="R16" s="488"/>
    </row>
    <row r="17" spans="2:18" ht="18.75" customHeight="1" x14ac:dyDescent="0.3">
      <c r="B17" s="490" t="s">
        <v>48</v>
      </c>
      <c r="C17" s="1194" t="s">
        <v>753</v>
      </c>
      <c r="D17" s="1366" t="s">
        <v>419</v>
      </c>
      <c r="E17" s="1366"/>
      <c r="F17" s="1366"/>
      <c r="R17" s="488"/>
    </row>
    <row r="18" spans="2:18" ht="18.75" customHeight="1" x14ac:dyDescent="0.3">
      <c r="B18" s="490" t="s">
        <v>420</v>
      </c>
      <c r="C18" s="541">
        <v>15</v>
      </c>
      <c r="D18" s="1648" t="s">
        <v>1559</v>
      </c>
      <c r="E18" s="1648"/>
      <c r="F18" s="1648"/>
      <c r="R18" s="488"/>
    </row>
    <row r="19" spans="2:18" ht="18.75" customHeight="1" x14ac:dyDescent="0.3">
      <c r="B19" s="613"/>
      <c r="C19" s="614"/>
      <c r="F19" s="489"/>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51.75" customHeight="1" x14ac:dyDescent="0.3">
      <c r="B21" s="499" t="s">
        <v>422</v>
      </c>
      <c r="C21" s="1536" t="s">
        <v>264</v>
      </c>
      <c r="D21" s="1536"/>
      <c r="E21" s="1536"/>
      <c r="F21" s="1536"/>
      <c r="G21" s="1536"/>
      <c r="H21" s="1536"/>
      <c r="I21" s="1536"/>
      <c r="J21" s="1536"/>
      <c r="K21" s="1536"/>
      <c r="L21" s="1536"/>
      <c r="M21" s="1536"/>
      <c r="N21" s="1536"/>
      <c r="O21" s="1536"/>
      <c r="P21" s="1536"/>
      <c r="Q21" s="1536"/>
      <c r="R21" s="488"/>
    </row>
    <row r="22" spans="2:18" ht="18.75" customHeight="1" x14ac:dyDescent="0.3">
      <c r="B22" s="500" t="s">
        <v>423</v>
      </c>
      <c r="C22" s="1536" t="s">
        <v>265</v>
      </c>
      <c r="D22" s="1536"/>
      <c r="E22" s="1536"/>
      <c r="F22" s="1536"/>
      <c r="G22" s="1536"/>
      <c r="H22" s="1536"/>
      <c r="I22" s="1536"/>
      <c r="J22" s="1536"/>
      <c r="K22" s="1536"/>
      <c r="L22" s="1536"/>
      <c r="M22" s="1536"/>
      <c r="N22" s="1536"/>
      <c r="O22" s="1536"/>
      <c r="P22" s="1536"/>
      <c r="Q22" s="1536"/>
      <c r="R22" s="488"/>
    </row>
    <row r="23" spans="2:18" ht="75" customHeight="1"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475"/>
      <c r="F33" s="1476"/>
      <c r="G33" s="1476"/>
      <c r="H33" s="1476"/>
      <c r="I33" s="1476"/>
      <c r="J33" s="1476"/>
      <c r="K33" s="1476"/>
      <c r="L33" s="1476"/>
      <c r="M33" s="1476"/>
      <c r="N33" s="1476"/>
      <c r="O33" s="1476"/>
      <c r="P33" s="1476"/>
      <c r="Q33" s="1477"/>
      <c r="R33" s="488"/>
    </row>
    <row r="34" spans="2:18" ht="18.75" customHeight="1" x14ac:dyDescent="0.3">
      <c r="B34" s="494" t="s">
        <v>431</v>
      </c>
      <c r="C34" s="542"/>
      <c r="D34" s="586" t="s">
        <v>430</v>
      </c>
      <c r="E34" s="1475"/>
      <c r="F34" s="1476"/>
      <c r="G34" s="1476"/>
      <c r="H34" s="1476"/>
      <c r="I34" s="1476"/>
      <c r="J34" s="1476"/>
      <c r="K34" s="1476"/>
      <c r="L34" s="1476"/>
      <c r="M34" s="1476"/>
      <c r="N34" s="1476"/>
      <c r="O34" s="1476"/>
      <c r="P34" s="1476"/>
      <c r="Q34" s="1477"/>
    </row>
    <row r="35" spans="2:18" ht="18.75" customHeight="1" x14ac:dyDescent="0.3">
      <c r="B35" s="490" t="s">
        <v>432</v>
      </c>
      <c r="C35" s="542"/>
      <c r="D35" s="586" t="s">
        <v>430</v>
      </c>
      <c r="E35" s="1475"/>
      <c r="F35" s="1476"/>
      <c r="G35" s="1476"/>
      <c r="H35" s="1476"/>
      <c r="I35" s="1476"/>
      <c r="J35" s="1476"/>
      <c r="K35" s="1476"/>
      <c r="L35" s="1476"/>
      <c r="M35" s="1476"/>
      <c r="N35" s="1476"/>
      <c r="O35" s="1476"/>
      <c r="P35" s="1476"/>
      <c r="Q35" s="1477"/>
    </row>
    <row r="36" spans="2:18" ht="18.75" customHeight="1" x14ac:dyDescent="0.3">
      <c r="B36" s="494" t="s">
        <v>433</v>
      </c>
      <c r="C36" s="905">
        <f>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905">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63.711100000000002</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-0.10082281575</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1560</v>
      </c>
      <c r="D49" s="1505"/>
      <c r="E49" s="1505"/>
      <c r="F49" s="1505"/>
      <c r="G49" s="1505"/>
      <c r="H49" s="1505"/>
      <c r="I49" s="1505"/>
      <c r="J49" s="1505"/>
      <c r="K49" s="1505"/>
      <c r="L49" s="1505"/>
      <c r="M49" s="1506"/>
      <c r="N49" s="592">
        <f>(H62-H63)/1000*H64</f>
        <v>63.711100000000002</v>
      </c>
      <c r="O49" s="1243" t="s">
        <v>443</v>
      </c>
      <c r="P49" s="1511"/>
      <c r="Q49" s="1511"/>
      <c r="R49" s="488"/>
    </row>
    <row r="50" spans="2:18" ht="18.75" customHeight="1" x14ac:dyDescent="0.3">
      <c r="B50" s="582" t="s">
        <v>456</v>
      </c>
      <c r="C50" s="1504" t="s">
        <v>457</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1524</v>
      </c>
      <c r="D56" s="1505"/>
      <c r="E56" s="1505"/>
      <c r="F56" s="1505"/>
      <c r="G56" s="1505"/>
      <c r="H56" s="1505"/>
      <c r="I56" s="1505"/>
      <c r="J56" s="1505"/>
      <c r="K56" s="1505"/>
      <c r="L56" s="1505"/>
      <c r="M56" s="1506"/>
      <c r="N56" s="1000">
        <f>N49*H65</f>
        <v>-0.10082281575</v>
      </c>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506" t="s">
        <v>406</v>
      </c>
      <c r="I61" s="506" t="s">
        <v>428</v>
      </c>
      <c r="J61" s="1396" t="s">
        <v>476</v>
      </c>
      <c r="K61" s="1397"/>
      <c r="L61" s="1397"/>
      <c r="M61" s="1397"/>
      <c r="N61" s="1397"/>
      <c r="O61" s="1397"/>
      <c r="P61" s="1397"/>
      <c r="Q61" s="1398"/>
    </row>
    <row r="62" spans="2:18" ht="13" x14ac:dyDescent="0.3">
      <c r="B62" s="535">
        <v>1</v>
      </c>
      <c r="C62" s="551" t="s">
        <v>722</v>
      </c>
      <c r="D62" s="1482" t="s">
        <v>723</v>
      </c>
      <c r="E62" s="1483"/>
      <c r="F62" s="552" t="str">
        <f>H67</f>
        <v>Omnidirectional</v>
      </c>
      <c r="G62" s="552" t="s">
        <v>725</v>
      </c>
      <c r="H62" s="1006">
        <v>29</v>
      </c>
      <c r="I62" s="552" t="s">
        <v>726</v>
      </c>
      <c r="J62" s="1482" t="s">
        <v>1561</v>
      </c>
      <c r="K62" s="1484"/>
      <c r="L62" s="1484"/>
      <c r="M62" s="1484"/>
      <c r="N62" s="1484"/>
      <c r="O62" s="1484"/>
      <c r="P62" s="1484"/>
      <c r="Q62" s="1483"/>
      <c r="R62" s="488"/>
    </row>
    <row r="63" spans="2:18" ht="13" x14ac:dyDescent="0.3">
      <c r="B63" s="535">
        <v>2</v>
      </c>
      <c r="C63" s="551" t="s">
        <v>728</v>
      </c>
      <c r="D63" s="1482" t="s">
        <v>729</v>
      </c>
      <c r="E63" s="1483"/>
      <c r="F63" s="552" t="str">
        <f>H67</f>
        <v>Omnidirectional</v>
      </c>
      <c r="G63" s="552" t="s">
        <v>1562</v>
      </c>
      <c r="H63" s="1006">
        <v>6.7</v>
      </c>
      <c r="I63" s="552" t="s">
        <v>726</v>
      </c>
      <c r="J63" s="1482" t="s">
        <v>1561</v>
      </c>
      <c r="K63" s="1484"/>
      <c r="L63" s="1484"/>
      <c r="M63" s="1484"/>
      <c r="N63" s="1484"/>
      <c r="O63" s="1484"/>
      <c r="P63" s="1484"/>
      <c r="Q63" s="1483"/>
      <c r="R63" s="488"/>
    </row>
    <row r="64" spans="2:18" ht="15" customHeight="1" x14ac:dyDescent="0.3">
      <c r="B64" s="533">
        <v>3</v>
      </c>
      <c r="C64" s="546" t="s">
        <v>698</v>
      </c>
      <c r="D64" s="1468" t="s">
        <v>732</v>
      </c>
      <c r="E64" s="1469"/>
      <c r="F64" s="1217" t="s">
        <v>789</v>
      </c>
      <c r="G64" s="1217" t="s">
        <v>733</v>
      </c>
      <c r="H64" s="974">
        <f>INDEX(BuildingType[],MATCH($C$28,BuildingType[Building],0),MATCH($G$64,BuildingType[#Headers],0))</f>
        <v>2857</v>
      </c>
      <c r="I64" s="1217" t="s">
        <v>532</v>
      </c>
      <c r="J64" s="1462" t="s">
        <v>734</v>
      </c>
      <c r="K64" s="1464"/>
      <c r="L64" s="1464"/>
      <c r="M64" s="1464"/>
      <c r="N64" s="1464"/>
      <c r="O64" s="1464"/>
      <c r="P64" s="1464"/>
      <c r="Q64" s="1463"/>
      <c r="R64" s="488"/>
    </row>
    <row r="65" spans="2:18" ht="13" x14ac:dyDescent="0.3">
      <c r="B65" s="533">
        <v>4</v>
      </c>
      <c r="C65" s="549" t="s">
        <v>704</v>
      </c>
      <c r="D65" s="1468" t="s">
        <v>1563</v>
      </c>
      <c r="E65" s="1469"/>
      <c r="F65" s="1217" t="s">
        <v>789</v>
      </c>
      <c r="G65" s="1217" t="s">
        <v>1530</v>
      </c>
      <c r="H65" s="1001">
        <f>INDEX(BuildingType[],MATCH($C$28,BuildingType[Building],0),MATCH($G$65,BuildingType[#Headers],0))</f>
        <v>-1.5824999999999999E-3</v>
      </c>
      <c r="I65" s="1217" t="s">
        <v>1034</v>
      </c>
      <c r="J65" s="1462" t="s">
        <v>1531</v>
      </c>
      <c r="K65" s="1464"/>
      <c r="L65" s="1464"/>
      <c r="M65" s="1464"/>
      <c r="N65" s="1464"/>
      <c r="O65" s="1464"/>
      <c r="P65" s="1464"/>
      <c r="Q65" s="1463"/>
      <c r="R65" s="488"/>
    </row>
    <row r="66" spans="2:18" ht="30" customHeight="1" x14ac:dyDescent="0.3">
      <c r="B66" s="533">
        <v>5</v>
      </c>
      <c r="C66" s="546" t="s">
        <v>517</v>
      </c>
      <c r="D66" s="1468" t="s">
        <v>1564</v>
      </c>
      <c r="E66" s="1469"/>
      <c r="F66" s="1217"/>
      <c r="G66" s="1217"/>
      <c r="H66" s="963">
        <f>SpaceHeatingEfficiency.CI.NG</f>
        <v>0.85</v>
      </c>
      <c r="I66" s="1224" t="s">
        <v>519</v>
      </c>
      <c r="J66" s="1468" t="s">
        <v>1029</v>
      </c>
      <c r="K66" s="1478"/>
      <c r="L66" s="1478"/>
      <c r="M66" s="1478"/>
      <c r="N66" s="1478"/>
      <c r="O66" s="1478"/>
      <c r="P66" s="1478"/>
      <c r="Q66" s="1469"/>
      <c r="R66" s="488"/>
    </row>
    <row r="67" spans="2:18" ht="30" customHeight="1" x14ac:dyDescent="0.3">
      <c r="B67" s="533">
        <v>6</v>
      </c>
      <c r="C67" s="551" t="s">
        <v>1194</v>
      </c>
      <c r="D67" s="1482" t="s">
        <v>1602</v>
      </c>
      <c r="E67" s="1483"/>
      <c r="F67" s="552"/>
      <c r="G67" s="552"/>
      <c r="H67" s="552" t="s">
        <v>1603</v>
      </c>
      <c r="I67" s="552" t="s">
        <v>597</v>
      </c>
      <c r="J67" s="1659" t="s">
        <v>1197</v>
      </c>
      <c r="K67" s="1660"/>
      <c r="L67" s="1660"/>
      <c r="M67" s="1660"/>
      <c r="N67" s="1660"/>
      <c r="O67" s="1660"/>
      <c r="P67" s="1660"/>
      <c r="Q67" s="1661"/>
      <c r="R67" s="488"/>
    </row>
    <row r="68" spans="2:18" ht="13" x14ac:dyDescent="0.3">
      <c r="B68" s="533">
        <v>7</v>
      </c>
      <c r="C68" s="546"/>
      <c r="D68" s="1539"/>
      <c r="E68" s="1539"/>
      <c r="F68" s="1217"/>
      <c r="G68" s="1217"/>
      <c r="H68" s="1217"/>
      <c r="I68" s="1217"/>
      <c r="J68" s="1507"/>
      <c r="K68" s="1514"/>
      <c r="L68" s="1514"/>
      <c r="M68" s="1514"/>
      <c r="N68" s="1514"/>
      <c r="O68" s="1514"/>
      <c r="P68" s="1514"/>
      <c r="Q68" s="1515"/>
      <c r="R68" s="488"/>
    </row>
    <row r="69" spans="2:18" ht="13" x14ac:dyDescent="0.3">
      <c r="B69" s="533">
        <v>8</v>
      </c>
      <c r="C69" s="546"/>
      <c r="D69" s="1539"/>
      <c r="E69" s="1539"/>
      <c r="F69" s="1217"/>
      <c r="G69" s="1217"/>
      <c r="H69" s="1217"/>
      <c r="I69" s="1217"/>
      <c r="J69" s="1507"/>
      <c r="K69" s="1514"/>
      <c r="L69" s="1514"/>
      <c r="M69" s="1514"/>
      <c r="N69" s="1514"/>
      <c r="O69" s="1514"/>
      <c r="P69" s="1514"/>
      <c r="Q69" s="1515"/>
      <c r="R69" s="488"/>
    </row>
    <row r="70" spans="2:18" ht="13" x14ac:dyDescent="0.3">
      <c r="B70" s="533">
        <v>9</v>
      </c>
      <c r="C70" s="546"/>
      <c r="D70" s="1539"/>
      <c r="E70" s="1539"/>
      <c r="F70" s="1217"/>
      <c r="G70" s="1217"/>
      <c r="H70" s="571"/>
      <c r="I70" s="1217"/>
      <c r="J70" s="1507"/>
      <c r="K70" s="1514"/>
      <c r="L70" s="1514"/>
      <c r="M70" s="1514"/>
      <c r="N70" s="1514"/>
      <c r="O70" s="1514"/>
      <c r="P70" s="1514"/>
      <c r="Q70" s="1515"/>
      <c r="R70" s="488"/>
    </row>
    <row r="71" spans="2:18" s="491" customFormat="1" ht="13" x14ac:dyDescent="0.3">
      <c r="B71" s="533">
        <v>10</v>
      </c>
      <c r="C71" s="555"/>
      <c r="D71" s="1437"/>
      <c r="E71" s="1438"/>
      <c r="F71" s="556"/>
      <c r="G71" s="557"/>
      <c r="H71" s="556"/>
      <c r="I71" s="557"/>
      <c r="J71" s="1437"/>
      <c r="K71" s="1448"/>
      <c r="L71" s="1448"/>
      <c r="M71" s="1448"/>
      <c r="N71" s="1448"/>
      <c r="O71" s="1448"/>
      <c r="P71" s="1448"/>
      <c r="Q71" s="1438"/>
    </row>
    <row r="72" spans="2:18" s="491" customFormat="1" ht="13" x14ac:dyDescent="0.3">
      <c r="B72" s="533">
        <v>11</v>
      </c>
      <c r="C72" s="555"/>
      <c r="D72" s="1437"/>
      <c r="E72" s="1438"/>
      <c r="F72" s="556"/>
      <c r="G72" s="557"/>
      <c r="H72" s="558"/>
      <c r="I72" s="557"/>
      <c r="J72" s="1472"/>
      <c r="K72" s="1473"/>
      <c r="L72" s="1473"/>
      <c r="M72" s="1473"/>
      <c r="N72" s="1473"/>
      <c r="O72" s="1473"/>
      <c r="P72" s="1473"/>
      <c r="Q72" s="1474"/>
    </row>
    <row r="73" spans="2:18" s="491" customFormat="1" ht="13" x14ac:dyDescent="0.3">
      <c r="B73" s="533">
        <v>12</v>
      </c>
      <c r="C73" s="555"/>
      <c r="D73" s="1195"/>
      <c r="E73" s="1196"/>
      <c r="F73" s="556"/>
      <c r="G73" s="557"/>
      <c r="H73" s="558"/>
      <c r="I73" s="557"/>
      <c r="J73" s="1437"/>
      <c r="K73" s="1448"/>
      <c r="L73" s="1448"/>
      <c r="M73" s="1448"/>
      <c r="N73" s="1448"/>
      <c r="O73" s="1448"/>
      <c r="P73" s="1448"/>
      <c r="Q73" s="1438"/>
    </row>
    <row r="74" spans="2:18" s="491" customFormat="1" ht="13" x14ac:dyDescent="0.3">
      <c r="B74" s="533">
        <v>13</v>
      </c>
      <c r="C74" s="555"/>
      <c r="D74" s="1437"/>
      <c r="E74" s="1438"/>
      <c r="F74" s="556"/>
      <c r="G74" s="557"/>
      <c r="H74" s="556"/>
      <c r="I74" s="557"/>
      <c r="J74" s="1472"/>
      <c r="K74" s="1473"/>
      <c r="L74" s="1473"/>
      <c r="M74" s="1473"/>
      <c r="N74" s="1473"/>
      <c r="O74" s="1473"/>
      <c r="P74" s="1473"/>
      <c r="Q74" s="1474"/>
    </row>
    <row r="75" spans="2:18" s="489" customFormat="1" ht="13.15" customHeight="1" x14ac:dyDescent="0.3">
      <c r="B75" s="533">
        <v>14</v>
      </c>
      <c r="C75" s="555"/>
      <c r="D75" s="1437"/>
      <c r="E75" s="1438"/>
      <c r="F75" s="556"/>
      <c r="G75" s="557"/>
      <c r="H75" s="556"/>
      <c r="I75" s="557"/>
      <c r="J75" s="1472"/>
      <c r="K75" s="1473"/>
      <c r="L75" s="1473"/>
      <c r="M75" s="1473"/>
      <c r="N75" s="1473"/>
      <c r="O75" s="1473"/>
      <c r="P75" s="1473"/>
      <c r="Q75" s="1474"/>
    </row>
    <row r="76" spans="2:18" s="489" customFormat="1" ht="13" x14ac:dyDescent="0.3">
      <c r="B76" s="533">
        <v>15</v>
      </c>
      <c r="C76" s="555"/>
      <c r="D76" s="1437"/>
      <c r="E76" s="1438"/>
      <c r="F76" s="556"/>
      <c r="G76" s="557"/>
      <c r="H76" s="559"/>
      <c r="I76" s="557"/>
      <c r="J76" s="1472"/>
      <c r="K76" s="1473"/>
      <c r="L76" s="1473"/>
      <c r="M76" s="1473"/>
      <c r="N76" s="1473"/>
      <c r="O76" s="1473"/>
      <c r="P76" s="1473"/>
      <c r="Q76" s="1474"/>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182"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182"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c r="R85" s="488"/>
    </row>
    <row r="86" spans="2:18" ht="13" x14ac:dyDescent="0.3">
      <c r="B86" s="533">
        <v>6</v>
      </c>
      <c r="C86" s="563"/>
      <c r="D86" s="564"/>
      <c r="E86" s="1182"/>
      <c r="F86" s="1489"/>
      <c r="G86" s="1490"/>
      <c r="H86" s="1490"/>
      <c r="I86" s="1490"/>
      <c r="J86" s="1490"/>
      <c r="K86" s="1490"/>
      <c r="L86" s="1490"/>
      <c r="M86" s="1490"/>
      <c r="N86" s="1490"/>
      <c r="O86" s="1490"/>
      <c r="P86" s="1490"/>
      <c r="Q86" s="1491"/>
      <c r="R86" s="488"/>
    </row>
    <row r="87" spans="2:18" ht="13" x14ac:dyDescent="0.3">
      <c r="B87" s="533">
        <v>7</v>
      </c>
      <c r="C87" s="563"/>
      <c r="D87" s="1233"/>
      <c r="E87" s="1182"/>
      <c r="F87" s="1489"/>
      <c r="G87" s="1490"/>
      <c r="H87" s="1490"/>
      <c r="I87" s="1490"/>
      <c r="J87" s="1490"/>
      <c r="K87" s="1490"/>
      <c r="L87" s="1490"/>
      <c r="M87" s="1490"/>
      <c r="N87" s="1490"/>
      <c r="O87" s="1490"/>
      <c r="P87" s="1490"/>
      <c r="Q87" s="1491"/>
      <c r="R87" s="488"/>
    </row>
    <row r="88" spans="2:18" ht="13" x14ac:dyDescent="0.3">
      <c r="B88" s="533">
        <v>8</v>
      </c>
      <c r="C88" s="563"/>
      <c r="D88" s="564"/>
      <c r="E88" s="1182"/>
      <c r="F88" s="1489"/>
      <c r="G88" s="1490"/>
      <c r="H88" s="1490"/>
      <c r="I88" s="1490"/>
      <c r="J88" s="1490"/>
      <c r="K88" s="1490"/>
      <c r="L88" s="1490"/>
      <c r="M88" s="1490"/>
      <c r="N88" s="1490"/>
      <c r="O88" s="1490"/>
      <c r="P88" s="1490"/>
      <c r="Q88" s="1491"/>
      <c r="R88" s="488"/>
    </row>
    <row r="89" spans="2:18" ht="13" x14ac:dyDescent="0.3">
      <c r="B89" s="533">
        <v>9</v>
      </c>
      <c r="C89" s="563"/>
      <c r="D89" s="1233"/>
      <c r="E89" s="1182"/>
      <c r="F89" s="1489"/>
      <c r="G89" s="1490"/>
      <c r="H89" s="1490"/>
      <c r="I89" s="1490"/>
      <c r="J89" s="1490"/>
      <c r="K89" s="1490"/>
      <c r="L89" s="1490"/>
      <c r="M89" s="1490"/>
      <c r="N89" s="1490"/>
      <c r="O89" s="1490"/>
      <c r="P89" s="1490"/>
      <c r="Q89" s="1491"/>
      <c r="R89" s="488"/>
    </row>
    <row r="90" spans="2:18" ht="13" x14ac:dyDescent="0.3">
      <c r="B90" s="533">
        <v>10</v>
      </c>
      <c r="C90" s="563"/>
      <c r="D90" s="564"/>
      <c r="E90" s="1182"/>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t="s">
        <v>1604</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08"/>
      <c r="Q95" s="1409"/>
      <c r="R95" s="488"/>
    </row>
    <row r="96" spans="2:18" ht="45.75" customHeight="1" x14ac:dyDescent="0.3">
      <c r="B96" s="1188" t="s">
        <v>478</v>
      </c>
      <c r="C96" s="1402" t="s">
        <v>538</v>
      </c>
      <c r="D96" s="1431"/>
      <c r="E96" s="565" t="s">
        <v>431</v>
      </c>
      <c r="F96" s="565" t="s">
        <v>432</v>
      </c>
      <c r="G96" s="565"/>
      <c r="H96" s="565"/>
      <c r="I96" s="565"/>
      <c r="J96" s="565"/>
      <c r="K96" s="565"/>
      <c r="L96" s="565"/>
      <c r="M96" s="565"/>
      <c r="N96" s="566"/>
      <c r="O96" s="1410"/>
      <c r="P96" s="1411"/>
      <c r="Q96" s="1412"/>
      <c r="R96" s="488"/>
    </row>
    <row r="97" spans="2:18" ht="13" x14ac:dyDescent="0.3">
      <c r="B97" s="533">
        <v>1</v>
      </c>
      <c r="C97" s="546" t="s">
        <v>1603</v>
      </c>
      <c r="D97" s="1184"/>
      <c r="E97" s="1190">
        <v>3.21</v>
      </c>
      <c r="F97" s="1190">
        <v>1.96</v>
      </c>
      <c r="G97" s="1190"/>
      <c r="H97" s="1190"/>
      <c r="I97" s="568"/>
      <c r="J97" s="568"/>
      <c r="K97" s="568"/>
      <c r="L97" s="568"/>
      <c r="M97" s="568"/>
      <c r="N97" s="568"/>
      <c r="O97" s="1501"/>
      <c r="P97" s="1502"/>
      <c r="Q97" s="1503"/>
      <c r="R97" s="488"/>
    </row>
    <row r="98" spans="2:18" ht="13" x14ac:dyDescent="0.3">
      <c r="B98" s="533">
        <v>2</v>
      </c>
      <c r="C98" s="546" t="s">
        <v>1605</v>
      </c>
      <c r="D98" s="1184"/>
      <c r="E98" s="1190">
        <v>3.11</v>
      </c>
      <c r="F98" s="1190">
        <v>1.86</v>
      </c>
      <c r="G98" s="1190"/>
      <c r="H98" s="1190"/>
      <c r="I98" s="568"/>
      <c r="J98" s="568"/>
      <c r="K98" s="568"/>
      <c r="L98" s="568"/>
      <c r="M98" s="568"/>
      <c r="N98" s="568"/>
      <c r="O98" s="1495"/>
      <c r="P98" s="1496"/>
      <c r="Q98" s="1497"/>
      <c r="R98" s="488"/>
    </row>
    <row r="99" spans="2:18" ht="13" x14ac:dyDescent="0.3">
      <c r="B99" s="533">
        <v>3</v>
      </c>
      <c r="C99" s="546"/>
      <c r="D99" s="1184"/>
      <c r="E99" s="1190"/>
      <c r="F99" s="1190"/>
      <c r="G99" s="1190"/>
      <c r="H99" s="1190"/>
      <c r="I99" s="568"/>
      <c r="J99" s="568"/>
      <c r="K99" s="568"/>
      <c r="L99" s="568"/>
      <c r="M99" s="568"/>
      <c r="N99" s="568"/>
      <c r="O99" s="1495"/>
      <c r="P99" s="1496"/>
      <c r="Q99" s="1497"/>
      <c r="R99" s="488"/>
    </row>
    <row r="100" spans="2:18" ht="13" x14ac:dyDescent="0.3">
      <c r="B100" s="533">
        <v>4</v>
      </c>
      <c r="C100" s="546"/>
      <c r="D100" s="1184"/>
      <c r="E100" s="1190"/>
      <c r="F100" s="1190"/>
      <c r="G100" s="1190"/>
      <c r="H100" s="1190"/>
      <c r="I100" s="568"/>
      <c r="J100" s="568"/>
      <c r="K100" s="568"/>
      <c r="L100" s="568"/>
      <c r="M100" s="568"/>
      <c r="N100" s="568"/>
      <c r="O100" s="1495"/>
      <c r="P100" s="1496"/>
      <c r="Q100" s="1497"/>
      <c r="R100" s="488"/>
    </row>
    <row r="101" spans="2:18" ht="13" x14ac:dyDescent="0.3">
      <c r="B101" s="533">
        <v>5</v>
      </c>
      <c r="C101" s="546"/>
      <c r="D101" s="1184"/>
      <c r="E101" s="1190"/>
      <c r="F101" s="1190"/>
      <c r="G101" s="1190"/>
      <c r="H101" s="1190"/>
      <c r="I101" s="568"/>
      <c r="J101" s="568"/>
      <c r="K101" s="568"/>
      <c r="L101" s="568"/>
      <c r="M101" s="568"/>
      <c r="N101" s="568"/>
      <c r="O101" s="1495"/>
      <c r="P101" s="1496"/>
      <c r="Q101" s="1497"/>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row r="118" spans="2:18" ht="18.75" customHeight="1" x14ac:dyDescent="0.3">
      <c r="B118" s="702" t="s">
        <v>493</v>
      </c>
      <c r="E118" s="1662" t="s">
        <v>494</v>
      </c>
      <c r="F118" s="1663"/>
      <c r="G118" s="1663"/>
      <c r="H118" s="1663"/>
      <c r="I118" s="1663"/>
      <c r="J118" s="1663"/>
      <c r="K118" s="1663"/>
      <c r="L118" s="1663"/>
      <c r="M118" s="1663"/>
      <c r="N118" s="1663"/>
      <c r="O118" s="1664" t="s">
        <v>476</v>
      </c>
      <c r="P118" s="1665"/>
      <c r="Q118" s="1666"/>
    </row>
    <row r="119" spans="2:18" ht="18.75" customHeight="1" x14ac:dyDescent="0.3">
      <c r="B119" s="1673" t="s">
        <v>1606</v>
      </c>
      <c r="C119" s="1674"/>
      <c r="D119" s="1675"/>
      <c r="E119" s="703" t="s">
        <v>495</v>
      </c>
      <c r="F119" s="703" t="s">
        <v>496</v>
      </c>
      <c r="G119" s="703" t="s">
        <v>497</v>
      </c>
      <c r="H119" s="703" t="s">
        <v>498</v>
      </c>
      <c r="I119" s="703" t="s">
        <v>499</v>
      </c>
      <c r="J119" s="703" t="s">
        <v>500</v>
      </c>
      <c r="K119" s="703" t="s">
        <v>501</v>
      </c>
      <c r="L119" s="703" t="s">
        <v>502</v>
      </c>
      <c r="M119" s="703" t="s">
        <v>503</v>
      </c>
      <c r="N119" s="1213" t="s">
        <v>504</v>
      </c>
      <c r="O119" s="1667"/>
      <c r="P119" s="1702"/>
      <c r="Q119" s="1669"/>
    </row>
    <row r="120" spans="2:18" ht="47.25" customHeight="1" x14ac:dyDescent="0.3">
      <c r="B120" s="704" t="s">
        <v>478</v>
      </c>
      <c r="C120" s="1662" t="s">
        <v>538</v>
      </c>
      <c r="D120" s="1676"/>
      <c r="E120" s="525" t="s">
        <v>725</v>
      </c>
      <c r="F120" s="525" t="s">
        <v>1562</v>
      </c>
      <c r="G120" s="525"/>
      <c r="H120" s="525"/>
      <c r="I120" s="525"/>
      <c r="J120" s="525"/>
      <c r="K120" s="525"/>
      <c r="L120" s="525"/>
      <c r="M120" s="525"/>
      <c r="N120" s="1214"/>
      <c r="O120" s="1670"/>
      <c r="P120" s="1671"/>
      <c r="Q120" s="1672"/>
    </row>
    <row r="121" spans="2:18" ht="18.75" customHeight="1" x14ac:dyDescent="0.3">
      <c r="B121" s="1240">
        <v>1</v>
      </c>
      <c r="C121" s="515" t="s">
        <v>1607</v>
      </c>
      <c r="D121" s="600"/>
      <c r="E121" s="1239">
        <f>F135</f>
        <v>25</v>
      </c>
      <c r="F121" s="1239">
        <f>G135</f>
        <v>3.5</v>
      </c>
      <c r="G121" s="1239"/>
      <c r="H121" s="1239"/>
      <c r="I121" s="527"/>
      <c r="J121" s="527"/>
      <c r="K121" s="527"/>
      <c r="L121" s="527"/>
      <c r="M121" s="527"/>
      <c r="N121" s="527"/>
      <c r="O121" s="1432"/>
      <c r="P121" s="1433"/>
      <c r="Q121" s="1434"/>
    </row>
    <row r="122" spans="2:18" ht="18.75" customHeight="1" x14ac:dyDescent="0.3">
      <c r="B122" s="1240">
        <v>2</v>
      </c>
      <c r="C122" s="515" t="s">
        <v>1608</v>
      </c>
      <c r="D122" s="600"/>
      <c r="E122" s="1239">
        <f>F136</f>
        <v>29</v>
      </c>
      <c r="F122" s="1239">
        <f>G136</f>
        <v>6.6999999999999957</v>
      </c>
      <c r="G122" s="1239"/>
      <c r="H122" s="1239"/>
      <c r="I122" s="527"/>
      <c r="J122" s="527"/>
      <c r="K122" s="527"/>
      <c r="L122" s="527"/>
      <c r="M122" s="527"/>
      <c r="N122" s="527"/>
      <c r="O122" s="1422"/>
      <c r="P122" s="1423"/>
      <c r="Q122" s="1424"/>
    </row>
    <row r="123" spans="2:18" ht="18.75" customHeight="1" x14ac:dyDescent="0.3">
      <c r="B123" s="1240">
        <v>3</v>
      </c>
      <c r="C123" s="515"/>
      <c r="D123" s="600"/>
      <c r="E123" s="1239"/>
      <c r="F123" s="1239"/>
      <c r="G123" s="1239"/>
      <c r="H123" s="1239"/>
      <c r="I123" s="527"/>
      <c r="J123" s="527"/>
      <c r="K123" s="527"/>
      <c r="L123" s="527"/>
      <c r="M123" s="527"/>
      <c r="N123" s="527"/>
      <c r="O123" s="1422"/>
      <c r="P123" s="1423"/>
      <c r="Q123" s="1424"/>
    </row>
    <row r="124" spans="2:18" ht="18.75" customHeight="1" x14ac:dyDescent="0.3">
      <c r="B124" s="1240">
        <v>4</v>
      </c>
      <c r="C124" s="515"/>
      <c r="D124" s="600"/>
      <c r="E124" s="1239"/>
      <c r="F124" s="1239"/>
      <c r="G124" s="1239"/>
      <c r="H124" s="1239"/>
      <c r="I124" s="527"/>
      <c r="J124" s="527"/>
      <c r="K124" s="527"/>
      <c r="L124" s="527"/>
      <c r="M124" s="527"/>
      <c r="N124" s="527"/>
      <c r="O124" s="1422"/>
      <c r="P124" s="1423"/>
      <c r="Q124" s="1424"/>
    </row>
    <row r="125" spans="2:18" ht="18.75" customHeight="1" x14ac:dyDescent="0.3">
      <c r="B125" s="1240">
        <v>5</v>
      </c>
      <c r="C125" s="515"/>
      <c r="D125" s="600"/>
      <c r="E125" s="1239"/>
      <c r="F125" s="1239"/>
      <c r="G125" s="1239"/>
      <c r="H125" s="1239"/>
      <c r="I125" s="527"/>
      <c r="J125" s="527"/>
      <c r="K125" s="527"/>
      <c r="L125" s="527"/>
      <c r="M125" s="527"/>
      <c r="N125" s="527"/>
      <c r="O125" s="1422"/>
      <c r="P125" s="1423"/>
      <c r="Q125" s="1424"/>
    </row>
    <row r="126" spans="2:18" ht="18.75" customHeight="1" x14ac:dyDescent="0.3">
      <c r="B126" s="1240">
        <v>6</v>
      </c>
      <c r="C126" s="515"/>
      <c r="D126" s="1189"/>
      <c r="E126" s="1239"/>
      <c r="F126" s="619"/>
      <c r="G126" s="1239"/>
      <c r="H126" s="1239"/>
      <c r="I126" s="528"/>
      <c r="J126" s="528"/>
      <c r="K126" s="528"/>
      <c r="L126" s="528"/>
      <c r="M126" s="528"/>
      <c r="N126" s="528"/>
      <c r="O126" s="1425"/>
      <c r="P126" s="1426"/>
      <c r="Q126" s="1427"/>
    </row>
    <row r="127" spans="2:18" ht="18.75" customHeight="1" x14ac:dyDescent="0.3">
      <c r="B127" s="1240">
        <v>7</v>
      </c>
      <c r="C127" s="515"/>
      <c r="D127" s="1189"/>
      <c r="E127" s="1239"/>
      <c r="F127" s="528"/>
      <c r="G127" s="528"/>
      <c r="H127" s="1239"/>
      <c r="I127" s="528"/>
      <c r="J127" s="528"/>
      <c r="K127" s="528"/>
      <c r="L127" s="528"/>
      <c r="M127" s="528"/>
      <c r="N127" s="528"/>
      <c r="O127" s="1425"/>
      <c r="P127" s="1426"/>
      <c r="Q127" s="1427"/>
    </row>
    <row r="128" spans="2:18" ht="18.75" customHeight="1" x14ac:dyDescent="0.3">
      <c r="B128" s="1240">
        <v>8</v>
      </c>
      <c r="C128" s="515"/>
      <c r="D128" s="1189"/>
      <c r="E128" s="1239"/>
      <c r="F128" s="528"/>
      <c r="G128" s="528"/>
      <c r="H128" s="528"/>
      <c r="I128" s="528"/>
      <c r="J128" s="528"/>
      <c r="K128" s="528"/>
      <c r="L128" s="528"/>
      <c r="M128" s="528"/>
      <c r="N128" s="528"/>
      <c r="O128" s="1425"/>
      <c r="P128" s="1426"/>
      <c r="Q128" s="1427"/>
    </row>
    <row r="129" spans="2:17" ht="18.75" customHeight="1" x14ac:dyDescent="0.3">
      <c r="B129" s="1240">
        <v>9</v>
      </c>
      <c r="C129" s="515"/>
      <c r="D129" s="1189"/>
      <c r="E129" s="1239"/>
      <c r="F129" s="1240"/>
      <c r="G129" s="1240"/>
      <c r="H129" s="1240"/>
      <c r="I129" s="528"/>
      <c r="J129" s="528"/>
      <c r="K129" s="528"/>
      <c r="L129" s="528"/>
      <c r="M129" s="528"/>
      <c r="N129" s="528"/>
      <c r="O129" s="1425"/>
      <c r="P129" s="1426"/>
      <c r="Q129" s="1427"/>
    </row>
    <row r="130" spans="2:17" ht="18.75" customHeight="1" x14ac:dyDescent="0.3">
      <c r="B130" s="1240">
        <v>10</v>
      </c>
      <c r="C130" s="515"/>
      <c r="D130" s="1189"/>
      <c r="E130" s="1240"/>
      <c r="F130" s="1240"/>
      <c r="G130" s="1240"/>
      <c r="H130" s="1240"/>
      <c r="I130" s="528"/>
      <c r="J130" s="528"/>
      <c r="K130" s="528"/>
      <c r="L130" s="528"/>
      <c r="M130" s="528"/>
      <c r="N130" s="528"/>
      <c r="O130" s="1425"/>
      <c r="P130" s="1426"/>
      <c r="Q130" s="1427"/>
    </row>
    <row r="133" spans="2:17" ht="18.75" customHeight="1" x14ac:dyDescent="0.3">
      <c r="B133" s="980" t="s">
        <v>1543</v>
      </c>
    </row>
    <row r="134" spans="2:17" ht="48" customHeight="1" x14ac:dyDescent="0.3">
      <c r="B134" s="995" t="s">
        <v>1544</v>
      </c>
      <c r="C134" s="995" t="s">
        <v>1545</v>
      </c>
      <c r="D134" s="995" t="s">
        <v>1570</v>
      </c>
      <c r="E134" s="995" t="s">
        <v>1546</v>
      </c>
      <c r="F134" s="995" t="s">
        <v>1547</v>
      </c>
      <c r="G134" s="995" t="s">
        <v>1548</v>
      </c>
    </row>
    <row r="135" spans="2:17" ht="18.75" customHeight="1" x14ac:dyDescent="0.3">
      <c r="B135" s="996" t="s">
        <v>1609</v>
      </c>
      <c r="C135" s="997">
        <v>63162</v>
      </c>
      <c r="D135" s="1002"/>
      <c r="E135" s="997">
        <v>12.159467005076131</v>
      </c>
      <c r="F135" s="998">
        <v>25</v>
      </c>
      <c r="G135" s="998">
        <v>3.5</v>
      </c>
    </row>
    <row r="136" spans="2:17" ht="18.75" customHeight="1" x14ac:dyDescent="0.3">
      <c r="B136" s="996" t="s">
        <v>1610</v>
      </c>
      <c r="C136" s="997">
        <v>6875</v>
      </c>
      <c r="D136" s="1002"/>
      <c r="E136" s="997">
        <v>18.525263414634146</v>
      </c>
      <c r="F136" s="998">
        <v>29</v>
      </c>
      <c r="G136" s="998">
        <v>6.6999999999999957</v>
      </c>
    </row>
    <row r="137" spans="2:17" ht="18.75" customHeight="1" x14ac:dyDescent="0.3">
      <c r="B137" s="1008" t="s">
        <v>1587</v>
      </c>
      <c r="C137" s="1009">
        <v>70037</v>
      </c>
      <c r="D137" s="1010"/>
      <c r="E137" s="1009">
        <v>13.256095798319315</v>
      </c>
      <c r="F137" s="1011">
        <v>25.689075630252102</v>
      </c>
      <c r="G137" s="1011">
        <v>4.0512605042016885</v>
      </c>
    </row>
  </sheetData>
  <sheetProtection algorithmName="SHA-512" hashValue="qwCggwZayn5O5fEClxt5Js/vzpd/tW3Iy8Z56U5CXD95TdZQvWdIm68Gy3v4mZfmDccJZWjNZ/nmrjz6qzcoaA==" saltValue="iYv217uXRK0ueaP0UhJZJw==" spinCount="100000" sheet="1" objects="1" scenarios="1" selectLockedCells="1" selectUnlockedCells="1"/>
  <mergeCells count="134">
    <mergeCell ref="J73:Q73"/>
    <mergeCell ref="O113:Q113"/>
    <mergeCell ref="O114:Q114"/>
    <mergeCell ref="O115:Q115"/>
    <mergeCell ref="O116:Q116"/>
    <mergeCell ref="O107:Q107"/>
    <mergeCell ref="O108:Q108"/>
    <mergeCell ref="O109:Q109"/>
    <mergeCell ref="O110:Q110"/>
    <mergeCell ref="O111:Q111"/>
    <mergeCell ref="O112:Q112"/>
    <mergeCell ref="O103:Q103"/>
    <mergeCell ref="O104:Q104"/>
    <mergeCell ref="O105:Q105"/>
    <mergeCell ref="O106:Q106"/>
    <mergeCell ref="F90:Q90"/>
    <mergeCell ref="O101:Q101"/>
    <mergeCell ref="O102:Q102"/>
    <mergeCell ref="B95:D95"/>
    <mergeCell ref="C96:D96"/>
    <mergeCell ref="O97:Q97"/>
    <mergeCell ref="O98:Q98"/>
    <mergeCell ref="O99:Q99"/>
    <mergeCell ref="O100:Q100"/>
    <mergeCell ref="D68:E68"/>
    <mergeCell ref="J68:Q68"/>
    <mergeCell ref="D69:E69"/>
    <mergeCell ref="J69:Q69"/>
    <mergeCell ref="D70:E70"/>
    <mergeCell ref="J70:Q70"/>
    <mergeCell ref="E94:N94"/>
    <mergeCell ref="O94:Q96"/>
    <mergeCell ref="F80:Q80"/>
    <mergeCell ref="F81:Q81"/>
    <mergeCell ref="F82:Q82"/>
    <mergeCell ref="F83:Q83"/>
    <mergeCell ref="F84:Q84"/>
    <mergeCell ref="F85:Q85"/>
    <mergeCell ref="F86:Q86"/>
    <mergeCell ref="F87:Q87"/>
    <mergeCell ref="F88:Q88"/>
    <mergeCell ref="F89:Q89"/>
    <mergeCell ref="D66:E66"/>
    <mergeCell ref="J66:Q66"/>
    <mergeCell ref="D67:E67"/>
    <mergeCell ref="J67:Q67"/>
    <mergeCell ref="D63:E63"/>
    <mergeCell ref="J63:Q63"/>
    <mergeCell ref="D64:E64"/>
    <mergeCell ref="J64:Q64"/>
    <mergeCell ref="D65:E65"/>
    <mergeCell ref="J65:Q65"/>
    <mergeCell ref="C57:M57"/>
    <mergeCell ref="P57:Q57"/>
    <mergeCell ref="D61:E61"/>
    <mergeCell ref="J61:Q61"/>
    <mergeCell ref="D62:E62"/>
    <mergeCell ref="J62:Q62"/>
    <mergeCell ref="C55:M55"/>
    <mergeCell ref="P55:Q55"/>
    <mergeCell ref="C56:M56"/>
    <mergeCell ref="P56:Q56"/>
    <mergeCell ref="C50:M50"/>
    <mergeCell ref="P50:Q50"/>
    <mergeCell ref="C51:M51"/>
    <mergeCell ref="P51:Q51"/>
    <mergeCell ref="C53:M53"/>
    <mergeCell ref="P53:Q53"/>
    <mergeCell ref="C49:M49"/>
    <mergeCell ref="P49:Q49"/>
    <mergeCell ref="C43:M43"/>
    <mergeCell ref="P43:Q43"/>
    <mergeCell ref="C44:M44"/>
    <mergeCell ref="P44:Q44"/>
    <mergeCell ref="C45:M45"/>
    <mergeCell ref="P45:Q45"/>
    <mergeCell ref="C54:M54"/>
    <mergeCell ref="P54:Q54"/>
    <mergeCell ref="O127:Q127"/>
    <mergeCell ref="O128:Q128"/>
    <mergeCell ref="O129:Q129"/>
    <mergeCell ref="O130:Q130"/>
    <mergeCell ref="E118:N118"/>
    <mergeCell ref="O118:Q120"/>
    <mergeCell ref="B119:D119"/>
    <mergeCell ref="C120:D120"/>
    <mergeCell ref="O121:Q121"/>
    <mergeCell ref="O122:Q122"/>
    <mergeCell ref="O123:Q123"/>
    <mergeCell ref="O124:Q124"/>
    <mergeCell ref="O125:Q125"/>
    <mergeCell ref="D72:E72"/>
    <mergeCell ref="J72:Q72"/>
    <mergeCell ref="D74:E74"/>
    <mergeCell ref="J74:Q74"/>
    <mergeCell ref="D75:E75"/>
    <mergeCell ref="J75:Q75"/>
    <mergeCell ref="D76:E76"/>
    <mergeCell ref="J76:Q76"/>
    <mergeCell ref="O126:Q126"/>
    <mergeCell ref="D71:E71"/>
    <mergeCell ref="B20:Q20"/>
    <mergeCell ref="C21:Q21"/>
    <mergeCell ref="C22:Q22"/>
    <mergeCell ref="C23:Q23"/>
    <mergeCell ref="D25:Q25"/>
    <mergeCell ref="E35:Q35"/>
    <mergeCell ref="E36:Q36"/>
    <mergeCell ref="E37:Q37"/>
    <mergeCell ref="C41:M41"/>
    <mergeCell ref="P41:Q41"/>
    <mergeCell ref="C42:M42"/>
    <mergeCell ref="P42:Q42"/>
    <mergeCell ref="D26:Q26"/>
    <mergeCell ref="D27:Q27"/>
    <mergeCell ref="D28:Q28"/>
    <mergeCell ref="J71:Q71"/>
    <mergeCell ref="E32:Q32"/>
    <mergeCell ref="E33:Q33"/>
    <mergeCell ref="E34:Q34"/>
    <mergeCell ref="C47:M47"/>
    <mergeCell ref="P47:Q47"/>
    <mergeCell ref="C48:M48"/>
    <mergeCell ref="P48:Q48"/>
    <mergeCell ref="D29:Q29"/>
    <mergeCell ref="D30:Q30"/>
    <mergeCell ref="C2:F2"/>
    <mergeCell ref="C3:F3"/>
    <mergeCell ref="C4:F4"/>
    <mergeCell ref="D7:F7"/>
    <mergeCell ref="D17:F17"/>
    <mergeCell ref="D18:F18"/>
    <mergeCell ref="D8:F16"/>
    <mergeCell ref="C5:F5"/>
  </mergeCells>
  <conditionalFormatting sqref="H70">
    <cfRule type="expression" dxfId="2537" priority="74">
      <formula>IF(OR(#REF!="L",#REF!="C"),TRUE,FALSE)</formula>
    </cfRule>
  </conditionalFormatting>
  <conditionalFormatting sqref="F109:F116 G102:G116 H104:H116">
    <cfRule type="expression" dxfId="2536" priority="66">
      <formula>IF(OR(#REF!="L",#REF!="C"),TRUE,FALSE)</formula>
    </cfRule>
  </conditionalFormatting>
  <conditionalFormatting sqref="E110:E116">
    <cfRule type="expression" dxfId="2535" priority="65">
      <formula>IF(OR(#REF!="L",#REF!="C"),TRUE,FALSE)</formula>
    </cfRule>
  </conditionalFormatting>
  <conditionalFormatting sqref="E107">
    <cfRule type="expression" dxfId="2534" priority="64">
      <formula>IF(OR(#REF!="L",#REF!="C"),TRUE,FALSE)</formula>
    </cfRule>
  </conditionalFormatting>
  <conditionalFormatting sqref="E108">
    <cfRule type="expression" dxfId="2533" priority="63">
      <formula>IF(OR(#REF!="L",#REF!="C"),TRUE,FALSE)</formula>
    </cfRule>
  </conditionalFormatting>
  <conditionalFormatting sqref="E109">
    <cfRule type="expression" dxfId="2532" priority="62">
      <formula>IF(OR(#REF!="L",#REF!="C"),TRUE,FALSE)</formula>
    </cfRule>
  </conditionalFormatting>
  <conditionalFormatting sqref="E106">
    <cfRule type="expression" dxfId="2531" priority="61">
      <formula>IF(OR(#REF!="L",#REF!="C"),TRUE,FALSE)</formula>
    </cfRule>
  </conditionalFormatting>
  <conditionalFormatting sqref="E95 G95 I95 K95 M95">
    <cfRule type="duplicateValues" dxfId="2530" priority="60"/>
  </conditionalFormatting>
  <conditionalFormatting sqref="M104:M116">
    <cfRule type="expression" dxfId="2529" priority="50">
      <formula>IF(OR(#REF!="L",#REF!="C"),TRUE,FALSE)</formula>
    </cfRule>
  </conditionalFormatting>
  <conditionalFormatting sqref="F102:F106">
    <cfRule type="expression" dxfId="2528" priority="59">
      <formula>IF(OR(#REF!="L",#REF!="C"),TRUE,FALSE)</formula>
    </cfRule>
  </conditionalFormatting>
  <conditionalFormatting sqref="I102:I103">
    <cfRule type="expression" dxfId="2527" priority="57">
      <formula>IF(OR(#REF!="L",#REF!="C"),TRUE,FALSE)</formula>
    </cfRule>
  </conditionalFormatting>
  <conditionalFormatting sqref="N102:N103">
    <cfRule type="expression" dxfId="2526" priority="47">
      <formula>IF(OR(#REF!="L",#REF!="C"),TRUE,FALSE)</formula>
    </cfRule>
  </conditionalFormatting>
  <conditionalFormatting sqref="I104:I116">
    <cfRule type="expression" dxfId="2525" priority="58">
      <formula>IF(OR(#REF!="L",#REF!="C"),TRUE,FALSE)</formula>
    </cfRule>
  </conditionalFormatting>
  <conditionalFormatting sqref="J102:J103">
    <cfRule type="expression" dxfId="2524" priority="55">
      <formula>IF(OR(#REF!="L",#REF!="C"),TRUE,FALSE)</formula>
    </cfRule>
  </conditionalFormatting>
  <conditionalFormatting sqref="J104:J116">
    <cfRule type="expression" dxfId="2523" priority="56">
      <formula>IF(OR(#REF!="L",#REF!="C"),TRUE,FALSE)</formula>
    </cfRule>
  </conditionalFormatting>
  <conditionalFormatting sqref="K102:K103">
    <cfRule type="expression" dxfId="2522" priority="53">
      <formula>IF(OR(#REF!="L",#REF!="C"),TRUE,FALSE)</formula>
    </cfRule>
  </conditionalFormatting>
  <conditionalFormatting sqref="K104:K116">
    <cfRule type="expression" dxfId="2521" priority="54">
      <formula>IF(OR(#REF!="L",#REF!="C"),TRUE,FALSE)</formula>
    </cfRule>
  </conditionalFormatting>
  <conditionalFormatting sqref="L102:L103">
    <cfRule type="expression" dxfId="2520" priority="51">
      <formula>IF(OR(#REF!="L",#REF!="C"),TRUE,FALSE)</formula>
    </cfRule>
  </conditionalFormatting>
  <conditionalFormatting sqref="L104:L116">
    <cfRule type="expression" dxfId="2519" priority="52">
      <formula>IF(OR(#REF!="L",#REF!="C"),TRUE,FALSE)</formula>
    </cfRule>
  </conditionalFormatting>
  <conditionalFormatting sqref="M102:M103">
    <cfRule type="expression" dxfId="2518" priority="49">
      <formula>IF(OR(#REF!="L",#REF!="C"),TRUE,FALSE)</formula>
    </cfRule>
  </conditionalFormatting>
  <conditionalFormatting sqref="N104:N116">
    <cfRule type="expression" dxfId="2517" priority="48">
      <formula>IF(OR(#REF!="L",#REF!="C"),TRUE,FALSE)</formula>
    </cfRule>
  </conditionalFormatting>
  <conditionalFormatting sqref="O104:O116">
    <cfRule type="expression" dxfId="2516" priority="44">
      <formula>IF(OR(#REF!="L",#REF!="C"),TRUE,FALSE)</formula>
    </cfRule>
  </conditionalFormatting>
  <conditionalFormatting sqref="O102:O103">
    <cfRule type="expression" dxfId="2515" priority="43">
      <formula>IF(OR(#REF!="L",#REF!="C"),TRUE,FALSE)</formula>
    </cfRule>
  </conditionalFormatting>
  <conditionalFormatting sqref="E96:N96">
    <cfRule type="duplicateValues" dxfId="2514" priority="42"/>
  </conditionalFormatting>
  <conditionalFormatting sqref="G126:G130 H128:H130">
    <cfRule type="expression" dxfId="2513" priority="40">
      <formula>IF(OR(#REF!="L",#REF!="C"),TRUE,FALSE)</formula>
    </cfRule>
  </conditionalFormatting>
  <conditionalFormatting sqref="E130">
    <cfRule type="expression" dxfId="2512" priority="35">
      <formula>IF(OR(#REF!="L",#REF!="C"),TRUE,FALSE)</formula>
    </cfRule>
  </conditionalFormatting>
  <conditionalFormatting sqref="E119 G119 I119 K119 M119">
    <cfRule type="duplicateValues" dxfId="2511" priority="34"/>
  </conditionalFormatting>
  <conditionalFormatting sqref="M128:M130">
    <cfRule type="expression" dxfId="2510" priority="24">
      <formula>IF(OR(#REF!="L",#REF!="C"),TRUE,FALSE)</formula>
    </cfRule>
  </conditionalFormatting>
  <conditionalFormatting sqref="F126:F130">
    <cfRule type="expression" dxfId="2509" priority="33">
      <formula>IF(OR(#REF!="L",#REF!="C"),TRUE,FALSE)</formula>
    </cfRule>
  </conditionalFormatting>
  <conditionalFormatting sqref="I126:I127">
    <cfRule type="expression" dxfId="2508" priority="31">
      <formula>IF(OR(#REF!="L",#REF!="C"),TRUE,FALSE)</formula>
    </cfRule>
  </conditionalFormatting>
  <conditionalFormatting sqref="N126:N127">
    <cfRule type="expression" dxfId="2507" priority="21">
      <formula>IF(OR(#REF!="L",#REF!="C"),TRUE,FALSE)</formula>
    </cfRule>
  </conditionalFormatting>
  <conditionalFormatting sqref="I128:I130">
    <cfRule type="expression" dxfId="2506" priority="32">
      <formula>IF(OR(#REF!="L",#REF!="C"),TRUE,FALSE)</formula>
    </cfRule>
  </conditionalFormatting>
  <conditionalFormatting sqref="J126:J127">
    <cfRule type="expression" dxfId="2505" priority="29">
      <formula>IF(OR(#REF!="L",#REF!="C"),TRUE,FALSE)</formula>
    </cfRule>
  </conditionalFormatting>
  <conditionalFormatting sqref="J128:J130">
    <cfRule type="expression" dxfId="2504" priority="30">
      <formula>IF(OR(#REF!="L",#REF!="C"),TRUE,FALSE)</formula>
    </cfRule>
  </conditionalFormatting>
  <conditionalFormatting sqref="K126:K127">
    <cfRule type="expression" dxfId="2503" priority="27">
      <formula>IF(OR(#REF!="L",#REF!="C"),TRUE,FALSE)</formula>
    </cfRule>
  </conditionalFormatting>
  <conditionalFormatting sqref="K128:K130">
    <cfRule type="expression" dxfId="2502" priority="28">
      <formula>IF(OR(#REF!="L",#REF!="C"),TRUE,FALSE)</formula>
    </cfRule>
  </conditionalFormatting>
  <conditionalFormatting sqref="L126:L127">
    <cfRule type="expression" dxfId="2501" priority="25">
      <formula>IF(OR(#REF!="L",#REF!="C"),TRUE,FALSE)</formula>
    </cfRule>
  </conditionalFormatting>
  <conditionalFormatting sqref="L128:L130">
    <cfRule type="expression" dxfId="2500" priority="26">
      <formula>IF(OR(#REF!="L",#REF!="C"),TRUE,FALSE)</formula>
    </cfRule>
  </conditionalFormatting>
  <conditionalFormatting sqref="M126:M127">
    <cfRule type="expression" dxfId="2499" priority="23">
      <formula>IF(OR(#REF!="L",#REF!="C"),TRUE,FALSE)</formula>
    </cfRule>
  </conditionalFormatting>
  <conditionalFormatting sqref="N128:N130">
    <cfRule type="expression" dxfId="2498" priority="22">
      <formula>IF(OR(#REF!="L",#REF!="C"),TRUE,FALSE)</formula>
    </cfRule>
  </conditionalFormatting>
  <conditionalFormatting sqref="O126:O127">
    <cfRule type="expression" dxfId="2497" priority="19">
      <formula>IF(OR(#REF!="L",#REF!="C"),TRUE,FALSE)</formula>
    </cfRule>
  </conditionalFormatting>
  <conditionalFormatting sqref="O128:O130">
    <cfRule type="expression" dxfId="2496" priority="20">
      <formula>IF(OR(#REF!="L",#REF!="C"),TRUE,FALSE)</formula>
    </cfRule>
  </conditionalFormatting>
  <conditionalFormatting sqref="G120:N120">
    <cfRule type="duplicateValues" dxfId="2495" priority="18"/>
  </conditionalFormatting>
  <conditionalFormatting sqref="E120:F120">
    <cfRule type="duplicateValues" dxfId="2494" priority="17"/>
  </conditionalFormatting>
  <conditionalFormatting sqref="H75">
    <cfRule type="expression" dxfId="2493" priority="11">
      <formula>IF(OR(#REF!="L",#REF!="C"),TRUE,FALSE)</formula>
    </cfRule>
  </conditionalFormatting>
  <conditionalFormatting sqref="H71">
    <cfRule type="expression" dxfId="2492" priority="14">
      <formula>IF(OR(#REF!="L",#REF!="C"),TRUE,FALSE)</formula>
    </cfRule>
  </conditionalFormatting>
  <conditionalFormatting sqref="H72:H73">
    <cfRule type="expression" dxfId="2491" priority="13">
      <formula>IF(OR(#REF!="L",#REF!="C"),TRUE,FALSE)</formula>
    </cfRule>
  </conditionalFormatting>
  <conditionalFormatting sqref="H74">
    <cfRule type="expression" dxfId="2490" priority="12">
      <formula>IF(OR(#REF!="L",#REF!="C"),TRUE,FALSE)</formula>
    </cfRule>
  </conditionalFormatting>
  <conditionalFormatting sqref="H76">
    <cfRule type="expression" dxfId="2489" priority="9">
      <formula>IF(OR(#REF!="L",#REF!="C"),TRUE,FALSE)</formula>
    </cfRule>
  </conditionalFormatting>
  <conditionalFormatting sqref="H62">
    <cfRule type="expression" dxfId="2488" priority="5">
      <formula>IF(OR(#REF!="L",#REF!="C"),TRUE,FALSE)</formula>
    </cfRule>
  </conditionalFormatting>
  <conditionalFormatting sqref="H64">
    <cfRule type="expression" dxfId="2487" priority="4">
      <formula>IF(OR(#REF!="L",#REF!="C"),TRUE,FALSE)</formula>
    </cfRule>
  </conditionalFormatting>
  <conditionalFormatting sqref="H63">
    <cfRule type="expression" dxfId="2486" priority="3">
      <formula>IF(OR(#REF!="L",#REF!="C"),TRUE,FALSE)</formula>
    </cfRule>
  </conditionalFormatting>
  <conditionalFormatting sqref="H65">
    <cfRule type="expression" dxfId="2485" priority="2">
      <formula>IF(OR(#REF!="L",#REF!="C"),TRUE,FALSE)</formula>
    </cfRule>
  </conditionalFormatting>
  <conditionalFormatting sqref="H66">
    <cfRule type="expression" dxfId="2484" priority="1">
      <formula>IF(OR(#REF!="L",#REF!="C"),TRUE,FALSE)</formula>
    </cfRule>
  </conditionalFormatting>
  <dataValidations count="10">
    <dataValidation type="list" allowBlank="1" showInputMessage="1" showErrorMessage="1" sqref="H67:H68" xr:uid="{1F62AF7C-EC57-44B1-B16A-50DB1DF9BD10}">
      <formula1>$C$97:$C$116</formula1>
    </dataValidation>
    <dataValidation type="list" allowBlank="1" showInputMessage="1" showErrorMessage="1" sqref="F71:F74" xr:uid="{6FF9F341-FC3C-495C-9A75-0EA5AC60B5DD}">
      <formula1>$C$102:$C$107</formula1>
    </dataValidation>
    <dataValidation type="list" allowBlank="1" showInputMessage="1" showErrorMessage="1" sqref="C4" xr:uid="{9A549CB2-49E6-45F0-8E74-A8101888E582}">
      <formula1>"COM,RES"</formula1>
    </dataValidation>
    <dataValidation type="list" allowBlank="1" showInputMessage="1" showErrorMessage="1" sqref="H69" xr:uid="{8DD28F1D-C562-454F-8742-83AFA0DA3612}">
      <formula1>$C$121:$C$130</formula1>
    </dataValidation>
    <dataValidation type="list" allowBlank="1" showInputMessage="1" showErrorMessage="1" sqref="F62:F63" xr:uid="{6A8BFDC0-7F6D-4A0E-AA29-B3419A354AA1}">
      <formula1>$C$99:$C$101</formula1>
    </dataValidation>
    <dataValidation type="list" allowBlank="1" showInputMessage="1" showErrorMessage="1" sqref="C9" xr:uid="{36133F3D-149B-4692-B089-DCF3DF46D44F}">
      <formula1>INDIRECT("MeasureTypeList[Index]")</formula1>
    </dataValidation>
    <dataValidation type="list" allowBlank="1" showInputMessage="1" showErrorMessage="1" sqref="C26" xr:uid="{D7E68592-FD57-45E4-AAFB-75375C846C4B}">
      <formula1>INDIRECT("RegionList[Index]")</formula1>
    </dataValidation>
    <dataValidation type="list" allowBlank="1" showInputMessage="1" showErrorMessage="1" sqref="C27" xr:uid="{739BD232-389D-457B-9C2D-14C06FA03ED2}">
      <formula1>INDIRECT("ReplacementTypeList[Index]")</formula1>
    </dataValidation>
    <dataValidation type="list" allowBlank="1" showInputMessage="1" showErrorMessage="1" sqref="C28" xr:uid="{85FBC095-FD7F-4FF5-9ECB-FACA6283621A}">
      <formula1>INDIRECT("BuildingType[Building]")</formula1>
    </dataValidation>
    <dataValidation type="list" allowBlank="1" showInputMessage="1" showErrorMessage="1" sqref="C29 C30" xr:uid="{9FDF0DED-5E13-4E02-90B3-FA9ACA8C5F4B}">
      <formula1>INDIRECT("FuelTypeList[Index]")</formula1>
    </dataValidation>
  </dataValidations>
  <hyperlinks>
    <hyperlink ref="F82" r:id="rId1" xr:uid="{06AA8AD5-97E0-4A6C-BE71-F111F6CF00B1}"/>
    <hyperlink ref="F83" r:id="rId2" xr:uid="{82BF793F-E95D-4DAD-A812-8EA59514A13D}"/>
    <hyperlink ref="F85" r:id="rId3" xr:uid="{33C7536B-02A9-4440-9B6E-E18A44DDCA8C}"/>
    <hyperlink ref="F84" r:id="rId4" xr:uid="{C93F4BC2-B307-493B-95A0-75610D1CFAAE}"/>
  </hyperlinks>
  <pageMargins left="0.7" right="0.7" top="0.75" bottom="0.75" header="0.3" footer="0.3"/>
  <pageSetup orientation="portrait" r:id="rId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5F72-05A3-4EFE-BD55-314CC5323EDC}">
  <sheetPr codeName="Sheet273"/>
  <dimension ref="A2:R161"/>
  <sheetViews>
    <sheetView topLeftCell="A10" workbookViewId="0">
      <selection activeCell="C18" sqref="C18"/>
    </sheetView>
  </sheetViews>
  <sheetFormatPr defaultColWidth="9.08984375" defaultRowHeight="18.75" customHeight="1" x14ac:dyDescent="0.3"/>
  <cols>
    <col min="1" max="1" width="2.36328125" style="488" customWidth="1"/>
    <col min="2" max="2" width="44.36328125" style="488" bestFit="1" customWidth="1"/>
    <col min="3" max="3" width="21.08984375" style="488" customWidth="1"/>
    <col min="4" max="4" width="21.6328125" style="488" customWidth="1"/>
    <col min="5" max="5" width="14.36328125" style="488" customWidth="1"/>
    <col min="6" max="6" width="15.6328125" style="488" customWidth="1"/>
    <col min="7" max="7" width="19.6328125" style="488" customWidth="1"/>
    <col min="8" max="10" width="11.72656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623" customWidth="1"/>
    <col min="19" max="19" width="9.08984375" style="488"/>
    <col min="20" max="20" width="8.6328125" style="488" customWidth="1"/>
    <col min="21" max="16384" width="9.08984375" style="488"/>
  </cols>
  <sheetData>
    <row r="2" spans="1:18" ht="18.75" customHeight="1" x14ac:dyDescent="0.3">
      <c r="B2" s="1203" t="s">
        <v>506</v>
      </c>
      <c r="C2" s="1608" t="s">
        <v>406</v>
      </c>
      <c r="D2" s="1608"/>
      <c r="E2" s="1608"/>
      <c r="F2" s="1608"/>
    </row>
    <row r="3" spans="1:18" ht="18.75" customHeight="1" x14ac:dyDescent="0.3">
      <c r="B3" s="624" t="s">
        <v>407</v>
      </c>
      <c r="C3" s="1367" t="str">
        <f>IF(ISBLANK(C8)+ISBLANK(C10),C8,C8&amp;"_"&amp;C10)</f>
        <v>C-L-007</v>
      </c>
      <c r="D3" s="1367"/>
      <c r="E3" s="1367"/>
      <c r="F3" s="1367"/>
    </row>
    <row r="4" spans="1:18" ht="18.75" customHeight="1" x14ac:dyDescent="0.3">
      <c r="B4" s="624" t="s">
        <v>11</v>
      </c>
      <c r="C4" s="1367" t="str" cm="1">
        <f t="array" ref="C4">_xlfn.SWITCH(LEFT(C8,1),"R","Residential","C","Commercial","ERROR")</f>
        <v>Commercial</v>
      </c>
      <c r="D4" s="1367"/>
      <c r="E4" s="1367"/>
      <c r="F4" s="1367"/>
    </row>
    <row r="5" spans="1:18" ht="44.25" customHeight="1" x14ac:dyDescent="0.3">
      <c r="B5" s="624" t="s">
        <v>408</v>
      </c>
      <c r="C5" s="1530" t="s">
        <v>266</v>
      </c>
      <c r="D5" s="1531"/>
      <c r="E5" s="1531"/>
      <c r="F5" s="1532"/>
      <c r="R5" s="488"/>
    </row>
    <row r="6" spans="1:18" ht="18.75" customHeight="1" x14ac:dyDescent="0.3">
      <c r="A6" s="573"/>
    </row>
    <row r="7" spans="1:18" ht="18.75" customHeight="1" x14ac:dyDescent="0.3">
      <c r="B7" s="1203" t="s">
        <v>507</v>
      </c>
      <c r="C7" s="625" t="s">
        <v>406</v>
      </c>
      <c r="D7" s="1608" t="s">
        <v>410</v>
      </c>
      <c r="E7" s="1608"/>
      <c r="F7" s="1608"/>
      <c r="R7" s="488"/>
    </row>
    <row r="8" spans="1:18" ht="18.75" customHeight="1" x14ac:dyDescent="0.3">
      <c r="B8" s="624" t="s">
        <v>411</v>
      </c>
      <c r="C8" s="1194" t="s">
        <v>116</v>
      </c>
      <c r="D8" s="1521" t="s">
        <v>1611</v>
      </c>
      <c r="E8" s="1522"/>
      <c r="F8" s="1523"/>
      <c r="R8" s="488"/>
    </row>
    <row r="9" spans="1:18" ht="18.75" customHeight="1" x14ac:dyDescent="0.3">
      <c r="B9" s="624" t="s">
        <v>49</v>
      </c>
      <c r="C9" s="1194" t="s">
        <v>752</v>
      </c>
      <c r="D9" s="1524"/>
      <c r="E9" s="1525"/>
      <c r="F9" s="1526"/>
      <c r="R9" s="488"/>
    </row>
    <row r="10" spans="1:18" ht="18.75" customHeight="1" x14ac:dyDescent="0.3">
      <c r="B10" s="624" t="s">
        <v>412</v>
      </c>
      <c r="C10" s="1194"/>
      <c r="D10" s="1524"/>
      <c r="E10" s="1525"/>
      <c r="F10" s="1526"/>
      <c r="R10" s="488"/>
    </row>
    <row r="11" spans="1:18" ht="18.75" customHeight="1" x14ac:dyDescent="0.3">
      <c r="B11" s="624" t="s">
        <v>413</v>
      </c>
      <c r="C11" s="1194"/>
      <c r="D11" s="1524"/>
      <c r="E11" s="1525"/>
      <c r="F11" s="1526"/>
      <c r="R11" s="488"/>
    </row>
    <row r="12" spans="1:18" ht="18.75" customHeight="1" x14ac:dyDescent="0.3">
      <c r="B12" s="624" t="s">
        <v>414</v>
      </c>
      <c r="C12" s="602"/>
      <c r="D12" s="1524"/>
      <c r="E12" s="1525"/>
      <c r="F12" s="1526"/>
      <c r="R12" s="488"/>
    </row>
    <row r="13" spans="1:18" ht="18.75" customHeight="1" x14ac:dyDescent="0.3">
      <c r="B13" s="626" t="s">
        <v>415</v>
      </c>
      <c r="C13" s="495">
        <f>N43</f>
        <v>44.978750807575381</v>
      </c>
      <c r="D13" s="1524"/>
      <c r="E13" s="1525"/>
      <c r="F13" s="1526"/>
      <c r="R13" s="488"/>
    </row>
    <row r="14" spans="1:18" ht="18.75" customHeight="1" x14ac:dyDescent="0.3">
      <c r="B14" s="626" t="s">
        <v>416</v>
      </c>
      <c r="C14" s="495">
        <f>N42</f>
        <v>0</v>
      </c>
      <c r="D14" s="1524"/>
      <c r="E14" s="1525"/>
      <c r="F14" s="1526"/>
      <c r="R14" s="488"/>
    </row>
    <row r="15" spans="1:18" ht="18.75" customHeight="1" x14ac:dyDescent="0.3">
      <c r="B15" s="626" t="s">
        <v>417</v>
      </c>
      <c r="C15" s="495">
        <f>N44</f>
        <v>-7.1178873152988043E-2</v>
      </c>
      <c r="D15" s="1524"/>
      <c r="E15" s="1525"/>
      <c r="F15" s="1526"/>
      <c r="R15" s="488"/>
    </row>
    <row r="16" spans="1:18" ht="18.75" customHeight="1" x14ac:dyDescent="0.3">
      <c r="B16" s="626" t="s">
        <v>418</v>
      </c>
      <c r="C16" s="496">
        <f>C37</f>
        <v>0</v>
      </c>
      <c r="D16" s="1527"/>
      <c r="E16" s="1528"/>
      <c r="F16" s="1529"/>
      <c r="R16" s="488"/>
    </row>
    <row r="17" spans="2:18" ht="18.75" customHeight="1" x14ac:dyDescent="0.3">
      <c r="B17" s="624" t="s">
        <v>48</v>
      </c>
      <c r="C17" s="1194" t="s">
        <v>753</v>
      </c>
      <c r="D17" s="1608" t="s">
        <v>419</v>
      </c>
      <c r="E17" s="1608"/>
      <c r="F17" s="1608"/>
      <c r="R17" s="488"/>
    </row>
    <row r="18" spans="2:18" ht="18.75" customHeight="1" x14ac:dyDescent="0.3">
      <c r="B18" s="624" t="s">
        <v>420</v>
      </c>
      <c r="C18" s="541">
        <f>ROUND(50000/H64,0)</f>
        <v>18</v>
      </c>
      <c r="D18" s="1948" t="s">
        <v>1559</v>
      </c>
      <c r="E18" s="1948"/>
      <c r="F18" s="1948"/>
      <c r="R18" s="488"/>
    </row>
    <row r="19" spans="2:18" ht="18.75" customHeight="1" x14ac:dyDescent="0.3">
      <c r="B19" s="752"/>
      <c r="C19" s="614"/>
      <c r="F19" s="623"/>
      <c r="R19" s="488"/>
    </row>
    <row r="20" spans="2:18" ht="18.75" customHeight="1" x14ac:dyDescent="0.3">
      <c r="B20" s="1609" t="s">
        <v>421</v>
      </c>
      <c r="C20" s="1609"/>
      <c r="D20" s="1609"/>
      <c r="E20" s="1609"/>
      <c r="F20" s="1609"/>
      <c r="G20" s="1609"/>
      <c r="H20" s="1609"/>
      <c r="I20" s="1609"/>
      <c r="J20" s="1609"/>
      <c r="K20" s="1609"/>
      <c r="L20" s="1609"/>
      <c r="M20" s="1609"/>
      <c r="N20" s="1609"/>
      <c r="O20" s="1609"/>
      <c r="P20" s="1609"/>
      <c r="Q20" s="1609"/>
      <c r="R20" s="488"/>
    </row>
    <row r="21" spans="2:18" ht="18.75" customHeight="1" x14ac:dyDescent="0.3">
      <c r="B21" s="656" t="s">
        <v>422</v>
      </c>
      <c r="C21" s="1637" t="s">
        <v>267</v>
      </c>
      <c r="D21" s="1637"/>
      <c r="E21" s="1637"/>
      <c r="F21" s="1637"/>
      <c r="G21" s="1637"/>
      <c r="H21" s="1637"/>
      <c r="I21" s="1637"/>
      <c r="J21" s="1637"/>
      <c r="K21" s="1637"/>
      <c r="L21" s="1637"/>
      <c r="M21" s="1637"/>
      <c r="N21" s="1637"/>
      <c r="O21" s="1637"/>
      <c r="P21" s="1637"/>
      <c r="Q21" s="1637"/>
      <c r="R21" s="488"/>
    </row>
    <row r="22" spans="2:18" ht="18.75" customHeight="1" x14ac:dyDescent="0.3">
      <c r="B22" s="628" t="s">
        <v>423</v>
      </c>
      <c r="C22" s="1536" t="s">
        <v>268</v>
      </c>
      <c r="D22" s="1536"/>
      <c r="E22" s="1536"/>
      <c r="F22" s="1536"/>
      <c r="G22" s="1536"/>
      <c r="H22" s="1536"/>
      <c r="I22" s="1536"/>
      <c r="J22" s="1536"/>
      <c r="K22" s="1536"/>
      <c r="L22" s="1536"/>
      <c r="M22" s="1536"/>
      <c r="N22" s="1536"/>
      <c r="O22" s="1536"/>
      <c r="P22" s="1536"/>
      <c r="Q22" s="1536"/>
      <c r="R22" s="488"/>
    </row>
    <row r="23" spans="2:18" ht="23.25" customHeight="1" x14ac:dyDescent="0.3">
      <c r="B23" s="628"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203" t="s">
        <v>425</v>
      </c>
      <c r="C25" s="625" t="s">
        <v>406</v>
      </c>
      <c r="D25" s="1607" t="s">
        <v>421</v>
      </c>
      <c r="E25" s="1607"/>
      <c r="F25" s="1607"/>
      <c r="G25" s="1607"/>
      <c r="H25" s="1607"/>
      <c r="I25" s="1607"/>
      <c r="J25" s="1607"/>
      <c r="K25" s="1607"/>
      <c r="L25" s="1607"/>
      <c r="M25" s="1607"/>
      <c r="N25" s="1607"/>
      <c r="O25" s="1607"/>
      <c r="P25" s="1607"/>
      <c r="Q25" s="1607"/>
      <c r="R25" s="488"/>
    </row>
    <row r="26" spans="2:18" ht="18.75" customHeight="1" x14ac:dyDescent="0.3">
      <c r="B26" s="624"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624"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624"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624"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624"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203" t="s">
        <v>427</v>
      </c>
      <c r="C32" s="1202" t="s">
        <v>406</v>
      </c>
      <c r="D32" s="625" t="s">
        <v>428</v>
      </c>
      <c r="E32" s="1607" t="s">
        <v>419</v>
      </c>
      <c r="F32" s="1607"/>
      <c r="G32" s="1607"/>
      <c r="H32" s="1607"/>
      <c r="I32" s="1607"/>
      <c r="J32" s="1607"/>
      <c r="K32" s="1607"/>
      <c r="L32" s="1607"/>
      <c r="M32" s="1607"/>
      <c r="N32" s="1607"/>
      <c r="O32" s="1607"/>
      <c r="P32" s="1607"/>
      <c r="Q32" s="1607"/>
    </row>
    <row r="33" spans="2:18" ht="18.75" customHeight="1" x14ac:dyDescent="0.3">
      <c r="B33" s="624" t="s">
        <v>429</v>
      </c>
      <c r="C33" s="640"/>
      <c r="D33" s="586" t="s">
        <v>430</v>
      </c>
      <c r="E33" s="1512"/>
      <c r="F33" s="1512"/>
      <c r="G33" s="1512"/>
      <c r="H33" s="1512"/>
      <c r="I33" s="1512"/>
      <c r="J33" s="1512"/>
      <c r="K33" s="1512"/>
      <c r="L33" s="1512"/>
      <c r="M33" s="1512"/>
      <c r="N33" s="1512"/>
      <c r="O33" s="1512"/>
      <c r="P33" s="1512"/>
      <c r="Q33" s="1512"/>
      <c r="R33" s="488"/>
    </row>
    <row r="34" spans="2:18" ht="18.75" customHeight="1" x14ac:dyDescent="0.3">
      <c r="B34" s="626" t="s">
        <v>431</v>
      </c>
      <c r="C34" s="640"/>
      <c r="D34" s="586" t="s">
        <v>430</v>
      </c>
      <c r="E34" s="1512"/>
      <c r="F34" s="1512"/>
      <c r="G34" s="1512"/>
      <c r="H34" s="1512"/>
      <c r="I34" s="1512"/>
      <c r="J34" s="1512"/>
      <c r="K34" s="1512"/>
      <c r="L34" s="1512"/>
      <c r="M34" s="1512"/>
      <c r="N34" s="1512"/>
      <c r="O34" s="1512"/>
      <c r="P34" s="1512"/>
      <c r="Q34" s="1512"/>
    </row>
    <row r="35" spans="2:18" ht="18.75" customHeight="1" x14ac:dyDescent="0.3">
      <c r="B35" s="624" t="s">
        <v>432</v>
      </c>
      <c r="C35" s="640"/>
      <c r="D35" s="586" t="s">
        <v>430</v>
      </c>
      <c r="E35" s="1512"/>
      <c r="F35" s="1512"/>
      <c r="G35" s="1512"/>
      <c r="H35" s="1512"/>
      <c r="I35" s="1512"/>
      <c r="J35" s="1512"/>
      <c r="K35" s="1512"/>
      <c r="L35" s="1512"/>
      <c r="M35" s="1512"/>
      <c r="N35" s="1512"/>
      <c r="O35" s="1512"/>
      <c r="P35" s="1512"/>
      <c r="Q35" s="1512"/>
    </row>
    <row r="36" spans="2:18" ht="18.75" customHeight="1" x14ac:dyDescent="0.3">
      <c r="B36" s="626" t="s">
        <v>433</v>
      </c>
      <c r="C36" s="657">
        <f>C34</f>
        <v>0</v>
      </c>
      <c r="D36" s="586" t="s">
        <v>430</v>
      </c>
      <c r="E36" s="1442"/>
      <c r="F36" s="1442"/>
      <c r="G36" s="1442"/>
      <c r="H36" s="1442"/>
      <c r="I36" s="1442"/>
      <c r="J36" s="1442"/>
      <c r="K36" s="1442"/>
      <c r="L36" s="1442"/>
      <c r="M36" s="1442"/>
      <c r="N36" s="1442"/>
      <c r="O36" s="1442"/>
      <c r="P36" s="1442"/>
      <c r="Q36" s="1442"/>
    </row>
    <row r="37" spans="2:18" ht="18.75" customHeight="1" x14ac:dyDescent="0.3">
      <c r="B37" s="626" t="s">
        <v>434</v>
      </c>
      <c r="C37" s="657">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630" t="s">
        <v>435</v>
      </c>
      <c r="C39" s="631"/>
      <c r="D39" s="631"/>
      <c r="E39" s="631"/>
      <c r="F39" s="631"/>
      <c r="G39" s="631"/>
      <c r="H39" s="513"/>
      <c r="I39" s="513"/>
      <c r="J39" s="513"/>
      <c r="K39" s="513"/>
      <c r="L39" s="513"/>
      <c r="M39" s="513"/>
      <c r="N39" s="513"/>
      <c r="O39" s="513"/>
      <c r="P39" s="513"/>
      <c r="Q39" s="514"/>
    </row>
    <row r="41" spans="2:18" ht="18.75" customHeight="1" x14ac:dyDescent="0.3">
      <c r="B41" s="632" t="s">
        <v>436</v>
      </c>
      <c r="C41" s="1596" t="s">
        <v>437</v>
      </c>
      <c r="D41" s="1597"/>
      <c r="E41" s="1597"/>
      <c r="F41" s="1597"/>
      <c r="G41" s="1597"/>
      <c r="H41" s="1597"/>
      <c r="I41" s="1597"/>
      <c r="J41" s="1597"/>
      <c r="K41" s="1597"/>
      <c r="L41" s="1597"/>
      <c r="M41" s="1598"/>
      <c r="N41" s="1205" t="s">
        <v>406</v>
      </c>
      <c r="O41" s="1205" t="s">
        <v>428</v>
      </c>
      <c r="P41" s="1599" t="s">
        <v>419</v>
      </c>
      <c r="Q41" s="159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44.978750807575381</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-7.1178873152988043E-2</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623"/>
      <c r="R46" s="488"/>
    </row>
    <row r="47" spans="2:18" ht="18.75" customHeight="1" x14ac:dyDescent="0.3">
      <c r="B47" s="632" t="s">
        <v>450</v>
      </c>
      <c r="C47" s="1596" t="s">
        <v>451</v>
      </c>
      <c r="D47" s="1597"/>
      <c r="E47" s="1597"/>
      <c r="F47" s="1597"/>
      <c r="G47" s="1597"/>
      <c r="H47" s="1597"/>
      <c r="I47" s="1597"/>
      <c r="J47" s="1597"/>
      <c r="K47" s="1597"/>
      <c r="L47" s="1597"/>
      <c r="M47" s="1598"/>
      <c r="N47" s="1205" t="s">
        <v>406</v>
      </c>
      <c r="O47" s="1205" t="s">
        <v>428</v>
      </c>
      <c r="P47" s="1599" t="s">
        <v>419</v>
      </c>
      <c r="Q47" s="1599"/>
      <c r="R47" s="488"/>
    </row>
    <row r="48" spans="2:18" ht="18.75" customHeight="1" x14ac:dyDescent="0.3">
      <c r="B48" s="1030" t="s">
        <v>452</v>
      </c>
      <c r="C48" s="1951" t="s">
        <v>453</v>
      </c>
      <c r="D48" s="1952"/>
      <c r="E48" s="1952"/>
      <c r="F48" s="1952"/>
      <c r="G48" s="1952"/>
      <c r="H48" s="1952"/>
      <c r="I48" s="1952"/>
      <c r="J48" s="1952"/>
      <c r="K48" s="1952"/>
      <c r="L48" s="1952"/>
      <c r="M48" s="1953"/>
      <c r="N48" s="1032"/>
      <c r="O48" s="1027" t="s">
        <v>440</v>
      </c>
      <c r="P48" s="1511"/>
      <c r="Q48" s="1511"/>
      <c r="R48" s="488"/>
    </row>
    <row r="49" spans="2:18" ht="18.75" customHeight="1" x14ac:dyDescent="0.3">
      <c r="B49" s="1030" t="s">
        <v>454</v>
      </c>
      <c r="C49" s="1951" t="s">
        <v>1560</v>
      </c>
      <c r="D49" s="1952"/>
      <c r="E49" s="1952"/>
      <c r="F49" s="1952"/>
      <c r="G49" s="1952"/>
      <c r="H49" s="1952"/>
      <c r="I49" s="1952"/>
      <c r="J49" s="1952"/>
      <c r="K49" s="1952"/>
      <c r="L49" s="1952"/>
      <c r="M49" s="1953"/>
      <c r="N49" s="1033">
        <f>(H62-H63)/1000*H64</f>
        <v>44.978750807575381</v>
      </c>
      <c r="O49" s="1027" t="s">
        <v>443</v>
      </c>
      <c r="P49" s="1511"/>
      <c r="Q49" s="1511"/>
      <c r="R49" s="488"/>
    </row>
    <row r="50" spans="2:18" ht="18.75" customHeight="1" x14ac:dyDescent="0.3">
      <c r="B50" s="1030" t="s">
        <v>456</v>
      </c>
      <c r="C50" s="1951" t="s">
        <v>457</v>
      </c>
      <c r="D50" s="1952"/>
      <c r="E50" s="1952"/>
      <c r="F50" s="1952"/>
      <c r="G50" s="1952"/>
      <c r="H50" s="1952"/>
      <c r="I50" s="1952"/>
      <c r="J50" s="1952"/>
      <c r="K50" s="1952"/>
      <c r="L50" s="1952"/>
      <c r="M50" s="1953"/>
      <c r="N50" s="1033"/>
      <c r="O50" s="1027" t="s">
        <v>446</v>
      </c>
      <c r="P50" s="1511"/>
      <c r="Q50" s="1511"/>
      <c r="R50" s="488"/>
    </row>
    <row r="51" spans="2:18" ht="18.75" customHeight="1" x14ac:dyDescent="0.3">
      <c r="B51" s="1030" t="s">
        <v>458</v>
      </c>
      <c r="C51" s="1951" t="s">
        <v>459</v>
      </c>
      <c r="D51" s="1952"/>
      <c r="E51" s="1952"/>
      <c r="F51" s="1952"/>
      <c r="G51" s="1952"/>
      <c r="H51" s="1952"/>
      <c r="I51" s="1952"/>
      <c r="J51" s="1952"/>
      <c r="K51" s="1952"/>
      <c r="L51" s="1952"/>
      <c r="M51" s="1953"/>
      <c r="N51" s="1033"/>
      <c r="O51" s="1027" t="s">
        <v>449</v>
      </c>
      <c r="P51" s="1511"/>
      <c r="Q51" s="1511"/>
      <c r="R51" s="488"/>
    </row>
    <row r="52" spans="2:18" ht="18.75" customHeight="1" x14ac:dyDescent="0.3">
      <c r="B52" s="1031"/>
      <c r="C52" s="1028"/>
      <c r="D52" s="1028"/>
      <c r="E52" s="1028"/>
      <c r="F52" s="1028"/>
      <c r="G52" s="1028"/>
      <c r="H52" s="1028"/>
      <c r="I52" s="1028"/>
      <c r="J52" s="1028"/>
      <c r="K52" s="1028"/>
      <c r="L52" s="1028"/>
      <c r="M52" s="1028"/>
      <c r="N52" s="1029"/>
      <c r="O52" s="1029"/>
      <c r="Q52" s="623"/>
      <c r="R52" s="488"/>
    </row>
    <row r="53" spans="2:18" s="634" customFormat="1" ht="18.75" customHeight="1" x14ac:dyDescent="0.3">
      <c r="B53" s="632" t="s">
        <v>460</v>
      </c>
      <c r="C53" s="1596" t="s">
        <v>461</v>
      </c>
      <c r="D53" s="1597"/>
      <c r="E53" s="1597"/>
      <c r="F53" s="1597"/>
      <c r="G53" s="1597"/>
      <c r="H53" s="1597"/>
      <c r="I53" s="1597"/>
      <c r="J53" s="1597"/>
      <c r="K53" s="1597"/>
      <c r="L53" s="1597"/>
      <c r="M53" s="1598"/>
      <c r="N53" s="1205" t="s">
        <v>406</v>
      </c>
      <c r="O53" s="1205" t="s">
        <v>428</v>
      </c>
      <c r="P53" s="1599" t="s">
        <v>419</v>
      </c>
      <c r="Q53" s="1599"/>
    </row>
    <row r="54" spans="2:18" s="634" customFormat="1" ht="18.75" customHeight="1" x14ac:dyDescent="0.3">
      <c r="B54" s="664" t="s">
        <v>462</v>
      </c>
      <c r="C54" s="1638" t="s">
        <v>463</v>
      </c>
      <c r="D54" s="1639"/>
      <c r="E54" s="1639"/>
      <c r="F54" s="1639"/>
      <c r="G54" s="1639"/>
      <c r="H54" s="1639"/>
      <c r="I54" s="1639"/>
      <c r="J54" s="1639"/>
      <c r="K54" s="1639"/>
      <c r="L54" s="1639"/>
      <c r="M54" s="1640"/>
      <c r="N54" s="667"/>
      <c r="O54" s="1246" t="s">
        <v>440</v>
      </c>
      <c r="P54" s="1641"/>
      <c r="Q54" s="1641"/>
    </row>
    <row r="55" spans="2:18" s="634" customFormat="1" ht="18.75" customHeight="1" x14ac:dyDescent="0.3">
      <c r="B55" s="664" t="s">
        <v>464</v>
      </c>
      <c r="C55" s="1638" t="s">
        <v>465</v>
      </c>
      <c r="D55" s="1639"/>
      <c r="E55" s="1639"/>
      <c r="F55" s="1639"/>
      <c r="G55" s="1639"/>
      <c r="H55" s="1639"/>
      <c r="I55" s="1639"/>
      <c r="J55" s="1639"/>
      <c r="K55" s="1639"/>
      <c r="L55" s="1639"/>
      <c r="M55" s="1640"/>
      <c r="N55" s="668"/>
      <c r="O55" s="1246" t="s">
        <v>443</v>
      </c>
      <c r="P55" s="1641"/>
      <c r="Q55" s="1641"/>
    </row>
    <row r="56" spans="2:18" s="634" customFormat="1" ht="18.75" customHeight="1" x14ac:dyDescent="0.3">
      <c r="B56" s="664" t="s">
        <v>466</v>
      </c>
      <c r="C56" s="1504" t="s">
        <v>1524</v>
      </c>
      <c r="D56" s="1505"/>
      <c r="E56" s="1505"/>
      <c r="F56" s="1505"/>
      <c r="G56" s="1505"/>
      <c r="H56" s="1505"/>
      <c r="I56" s="1505"/>
      <c r="J56" s="1505"/>
      <c r="K56" s="1505"/>
      <c r="L56" s="1505"/>
      <c r="M56" s="1506"/>
      <c r="N56" s="1000">
        <f>N49*H65</f>
        <v>-7.1178873152988043E-2</v>
      </c>
      <c r="O56" s="1246" t="s">
        <v>446</v>
      </c>
      <c r="P56" s="1641" t="s">
        <v>1612</v>
      </c>
      <c r="Q56" s="1641"/>
    </row>
    <row r="57" spans="2:18" s="634" customFormat="1" ht="18.75" customHeight="1" x14ac:dyDescent="0.3">
      <c r="B57" s="664" t="s">
        <v>468</v>
      </c>
      <c r="C57" s="1638" t="s">
        <v>469</v>
      </c>
      <c r="D57" s="1639"/>
      <c r="E57" s="1639"/>
      <c r="F57" s="1639"/>
      <c r="G57" s="1639"/>
      <c r="H57" s="1639"/>
      <c r="I57" s="1639"/>
      <c r="J57" s="1639"/>
      <c r="K57" s="1639"/>
      <c r="L57" s="1639"/>
      <c r="M57" s="1640"/>
      <c r="N57" s="669"/>
      <c r="O57" s="1246" t="s">
        <v>449</v>
      </c>
      <c r="P57" s="1641"/>
      <c r="Q57" s="1641"/>
    </row>
    <row r="58" spans="2:18" s="634" customFormat="1" ht="18.75" customHeight="1" x14ac:dyDescent="0.3">
      <c r="B58" s="660"/>
      <c r="C58" s="661"/>
      <c r="D58" s="662"/>
      <c r="E58" s="662"/>
      <c r="F58" s="662"/>
      <c r="G58" s="662"/>
      <c r="H58" s="662"/>
      <c r="I58" s="662"/>
      <c r="J58" s="662"/>
      <c r="K58" s="662"/>
      <c r="L58" s="662"/>
      <c r="M58" s="662"/>
      <c r="N58" s="662"/>
      <c r="O58" s="662"/>
      <c r="R58" s="623"/>
    </row>
    <row r="59" spans="2:18" ht="18.75" customHeight="1" x14ac:dyDescent="0.3">
      <c r="B59" s="630" t="s">
        <v>470</v>
      </c>
      <c r="C59" s="631"/>
      <c r="D59" s="631"/>
      <c r="E59" s="631"/>
      <c r="F59" s="631"/>
      <c r="G59" s="631"/>
      <c r="H59" s="513"/>
      <c r="I59" s="513"/>
      <c r="J59" s="513"/>
      <c r="K59" s="513"/>
      <c r="L59" s="513"/>
      <c r="M59" s="513"/>
      <c r="N59" s="513"/>
      <c r="O59" s="513"/>
      <c r="P59" s="513"/>
      <c r="Q59" s="514"/>
    </row>
    <row r="61" spans="2:18" ht="18.75" customHeight="1" x14ac:dyDescent="0.3">
      <c r="B61" s="632" t="s">
        <v>471</v>
      </c>
      <c r="C61" s="632" t="s">
        <v>472</v>
      </c>
      <c r="D61" s="1592" t="s">
        <v>473</v>
      </c>
      <c r="E61" s="1592"/>
      <c r="F61" s="632" t="s">
        <v>474</v>
      </c>
      <c r="G61" s="632" t="s">
        <v>475</v>
      </c>
      <c r="H61" s="632" t="s">
        <v>406</v>
      </c>
      <c r="I61" s="632" t="s">
        <v>428</v>
      </c>
      <c r="J61" s="1593" t="s">
        <v>476</v>
      </c>
      <c r="K61" s="1594"/>
      <c r="L61" s="1594"/>
      <c r="M61" s="1594"/>
      <c r="N61" s="1594"/>
      <c r="O61" s="1594"/>
      <c r="P61" s="1594"/>
      <c r="Q61" s="1595"/>
    </row>
    <row r="62" spans="2:18" ht="35.25" customHeight="1" x14ac:dyDescent="0.3">
      <c r="B62" s="535">
        <v>1</v>
      </c>
      <c r="C62" s="551" t="s">
        <v>722</v>
      </c>
      <c r="D62" s="1482" t="s">
        <v>723</v>
      </c>
      <c r="E62" s="1483"/>
      <c r="F62" s="552" t="str">
        <f>H67</f>
        <v>4-feet Type A and C</v>
      </c>
      <c r="G62" s="552" t="s">
        <v>725</v>
      </c>
      <c r="H62" s="1006">
        <f>INDEX($B$95:$N$115,MATCH($F62,$C$95:$C$115,0),MATCH($G62,$B$95:$N$95,0))</f>
        <v>33.599999999999341</v>
      </c>
      <c r="I62" s="552" t="s">
        <v>726</v>
      </c>
      <c r="J62" s="1482" t="s">
        <v>1561</v>
      </c>
      <c r="K62" s="1484"/>
      <c r="L62" s="1484"/>
      <c r="M62" s="1484"/>
      <c r="N62" s="1484"/>
      <c r="O62" s="1484"/>
      <c r="P62" s="1484"/>
      <c r="Q62" s="1483"/>
      <c r="R62" s="488"/>
    </row>
    <row r="63" spans="2:18" ht="28.5" customHeight="1" x14ac:dyDescent="0.3">
      <c r="B63" s="535">
        <v>2</v>
      </c>
      <c r="C63" s="551" t="s">
        <v>728</v>
      </c>
      <c r="D63" s="1482" t="s">
        <v>729</v>
      </c>
      <c r="E63" s="1483"/>
      <c r="F63" s="552" t="str">
        <f>H67</f>
        <v>4-feet Type A and C</v>
      </c>
      <c r="G63" s="552" t="s">
        <v>1562</v>
      </c>
      <c r="H63" s="1006">
        <f>INDEX($B$95:$N$115,MATCH($F63,$C$95:$C$115,0),MATCH($G63,$B$95:$N$95,0))</f>
        <v>17.856650049850451</v>
      </c>
      <c r="I63" s="552" t="s">
        <v>726</v>
      </c>
      <c r="J63" s="1482" t="s">
        <v>1561</v>
      </c>
      <c r="K63" s="1484"/>
      <c r="L63" s="1484"/>
      <c r="M63" s="1484"/>
      <c r="N63" s="1484"/>
      <c r="O63" s="1484"/>
      <c r="P63" s="1484"/>
      <c r="Q63" s="1483"/>
      <c r="R63" s="488"/>
    </row>
    <row r="64" spans="2:18" ht="15" customHeight="1" x14ac:dyDescent="0.3">
      <c r="B64" s="533">
        <v>3</v>
      </c>
      <c r="C64" s="546" t="s">
        <v>698</v>
      </c>
      <c r="D64" s="1468" t="s">
        <v>732</v>
      </c>
      <c r="E64" s="1469"/>
      <c r="F64" s="1217" t="s">
        <v>789</v>
      </c>
      <c r="G64" s="1217" t="s">
        <v>733</v>
      </c>
      <c r="H64" s="974">
        <f>INDEX(BuildingType[],MATCH($C$28,BuildingType[Building],0),MATCH($G$64,BuildingType[#Headers],0))</f>
        <v>2857</v>
      </c>
      <c r="I64" s="1217" t="s">
        <v>532</v>
      </c>
      <c r="J64" s="1462" t="s">
        <v>734</v>
      </c>
      <c r="K64" s="1464"/>
      <c r="L64" s="1464"/>
      <c r="M64" s="1464"/>
      <c r="N64" s="1464"/>
      <c r="O64" s="1464"/>
      <c r="P64" s="1464"/>
      <c r="Q64" s="1463"/>
      <c r="R64" s="488"/>
    </row>
    <row r="65" spans="2:18" ht="15" customHeight="1" x14ac:dyDescent="0.3">
      <c r="B65" s="533">
        <v>6</v>
      </c>
      <c r="C65" s="549" t="s">
        <v>704</v>
      </c>
      <c r="D65" s="1468" t="s">
        <v>1563</v>
      </c>
      <c r="E65" s="1469"/>
      <c r="F65" s="1217" t="s">
        <v>789</v>
      </c>
      <c r="G65" s="1217" t="s">
        <v>1530</v>
      </c>
      <c r="H65" s="1001">
        <f>INDEX(BuildingType[],MATCH($C$28,BuildingType[Building],0),MATCH($G$65,BuildingType[#Headers],0))</f>
        <v>-1.5824999999999999E-3</v>
      </c>
      <c r="I65" s="1217" t="s">
        <v>1034</v>
      </c>
      <c r="J65" s="1462" t="s">
        <v>1531</v>
      </c>
      <c r="K65" s="1464"/>
      <c r="L65" s="1464"/>
      <c r="M65" s="1464"/>
      <c r="N65" s="1464"/>
      <c r="O65" s="1464"/>
      <c r="P65" s="1464"/>
      <c r="Q65" s="1463"/>
      <c r="R65" s="488"/>
    </row>
    <row r="66" spans="2:18" ht="15" customHeight="1" x14ac:dyDescent="0.3">
      <c r="B66" s="533">
        <v>7</v>
      </c>
      <c r="C66" s="546" t="s">
        <v>517</v>
      </c>
      <c r="D66" s="1468" t="s">
        <v>1564</v>
      </c>
      <c r="E66" s="1469"/>
      <c r="F66" s="1217"/>
      <c r="G66" s="1217"/>
      <c r="H66" s="609">
        <v>0.85</v>
      </c>
      <c r="I66" s="1217" t="s">
        <v>519</v>
      </c>
      <c r="J66" s="1468" t="s">
        <v>1029</v>
      </c>
      <c r="K66" s="1478"/>
      <c r="L66" s="1478"/>
      <c r="M66" s="1478"/>
      <c r="N66" s="1478"/>
      <c r="O66" s="1478"/>
      <c r="P66" s="1478"/>
      <c r="Q66" s="1469"/>
      <c r="R66" s="488"/>
    </row>
    <row r="67" spans="2:18" ht="30" customHeight="1" x14ac:dyDescent="0.3">
      <c r="B67" s="535">
        <v>8</v>
      </c>
      <c r="C67" s="551" t="s">
        <v>1194</v>
      </c>
      <c r="D67" s="1482" t="s">
        <v>1602</v>
      </c>
      <c r="E67" s="1483"/>
      <c r="F67" s="1007"/>
      <c r="G67" s="552"/>
      <c r="H67" s="552" t="s">
        <v>1613</v>
      </c>
      <c r="I67" s="552" t="s">
        <v>597</v>
      </c>
      <c r="J67" s="1659" t="s">
        <v>1197</v>
      </c>
      <c r="K67" s="1660"/>
      <c r="L67" s="1660"/>
      <c r="M67" s="1660"/>
      <c r="N67" s="1660"/>
      <c r="O67" s="1660"/>
      <c r="P67" s="1660"/>
      <c r="Q67" s="1661"/>
      <c r="R67" s="488"/>
    </row>
    <row r="68" spans="2:18" ht="29.25" customHeight="1" x14ac:dyDescent="0.3">
      <c r="B68" s="533">
        <v>4</v>
      </c>
      <c r="C68" s="546"/>
      <c r="D68" s="1539"/>
      <c r="E68" s="1539"/>
      <c r="F68" s="1217"/>
      <c r="G68" s="1217"/>
      <c r="H68" s="609"/>
      <c r="I68" s="1217"/>
      <c r="J68" s="1468"/>
      <c r="K68" s="1478"/>
      <c r="L68" s="1478"/>
      <c r="M68" s="1478"/>
      <c r="N68" s="1478"/>
      <c r="O68" s="1478"/>
      <c r="P68" s="1478"/>
      <c r="Q68" s="1469"/>
      <c r="R68" s="488"/>
    </row>
    <row r="69" spans="2:18" ht="13" x14ac:dyDescent="0.3">
      <c r="B69" s="533">
        <v>9</v>
      </c>
      <c r="C69" s="546"/>
      <c r="D69" s="1539"/>
      <c r="E69" s="1539"/>
      <c r="F69" s="1217"/>
      <c r="G69" s="1217"/>
      <c r="H69" s="1217"/>
      <c r="I69" s="1217"/>
      <c r="J69" s="1507"/>
      <c r="K69" s="1514"/>
      <c r="L69" s="1514"/>
      <c r="M69" s="1514"/>
      <c r="N69" s="1514"/>
      <c r="O69" s="1514"/>
      <c r="P69" s="1514"/>
      <c r="Q69" s="1515"/>
      <c r="R69" s="488"/>
    </row>
    <row r="70" spans="2:18" ht="13" x14ac:dyDescent="0.3">
      <c r="B70" s="533">
        <v>10</v>
      </c>
      <c r="C70" s="546"/>
      <c r="D70" s="1539"/>
      <c r="E70" s="1539"/>
      <c r="F70" s="1217"/>
      <c r="G70" s="1217"/>
      <c r="H70" s="571"/>
      <c r="I70" s="1217"/>
      <c r="J70" s="1507"/>
      <c r="K70" s="1514"/>
      <c r="L70" s="1514"/>
      <c r="M70" s="1514"/>
      <c r="N70" s="1514"/>
      <c r="O70" s="1514"/>
      <c r="P70" s="1514"/>
      <c r="Q70" s="1515"/>
      <c r="R70" s="488"/>
    </row>
    <row r="71" spans="2:18" s="634" customFormat="1" ht="13" x14ac:dyDescent="0.3">
      <c r="B71" s="638">
        <v>11</v>
      </c>
      <c r="C71" s="647"/>
      <c r="D71" s="1642"/>
      <c r="E71" s="1643"/>
      <c r="F71" s="673"/>
      <c r="G71" s="674"/>
      <c r="H71" s="673"/>
      <c r="I71" s="674"/>
      <c r="J71" s="1642"/>
      <c r="K71" s="1647"/>
      <c r="L71" s="1647"/>
      <c r="M71" s="1647"/>
      <c r="N71" s="1647"/>
      <c r="O71" s="1647"/>
      <c r="P71" s="1647"/>
      <c r="Q71" s="1643"/>
    </row>
    <row r="72" spans="2:18" s="634" customFormat="1" ht="13" x14ac:dyDescent="0.3">
      <c r="B72" s="638">
        <v>12</v>
      </c>
      <c r="C72" s="647"/>
      <c r="D72" s="1642"/>
      <c r="E72" s="1643"/>
      <c r="F72" s="673"/>
      <c r="G72" s="674"/>
      <c r="H72" s="675"/>
      <c r="I72" s="674"/>
      <c r="J72" s="1644"/>
      <c r="K72" s="1645"/>
      <c r="L72" s="1645"/>
      <c r="M72" s="1645"/>
      <c r="N72" s="1645"/>
      <c r="O72" s="1645"/>
      <c r="P72" s="1645"/>
      <c r="Q72" s="1646"/>
    </row>
    <row r="73" spans="2:18" s="634" customFormat="1" ht="13" x14ac:dyDescent="0.3">
      <c r="B73" s="638">
        <v>13</v>
      </c>
      <c r="C73" s="647"/>
      <c r="D73" s="1642"/>
      <c r="E73" s="1643"/>
      <c r="F73" s="673"/>
      <c r="G73" s="674"/>
      <c r="H73" s="673"/>
      <c r="I73" s="674"/>
      <c r="J73" s="1644"/>
      <c r="K73" s="1645"/>
      <c r="L73" s="1645"/>
      <c r="M73" s="1645"/>
      <c r="N73" s="1645"/>
      <c r="O73" s="1645"/>
      <c r="P73" s="1645"/>
      <c r="Q73" s="1646"/>
    </row>
    <row r="74" spans="2:18" s="623" customFormat="1" ht="13.15" customHeight="1" x14ac:dyDescent="0.3">
      <c r="B74" s="638">
        <v>14</v>
      </c>
      <c r="C74" s="647"/>
      <c r="D74" s="1642"/>
      <c r="E74" s="1643"/>
      <c r="F74" s="673"/>
      <c r="G74" s="674"/>
      <c r="H74" s="673"/>
      <c r="I74" s="674"/>
      <c r="J74" s="1644"/>
      <c r="K74" s="1645"/>
      <c r="L74" s="1645"/>
      <c r="M74" s="1645"/>
      <c r="N74" s="1645"/>
      <c r="O74" s="1645"/>
      <c r="P74" s="1645"/>
      <c r="Q74" s="1646"/>
    </row>
    <row r="75" spans="2:18" s="623" customFormat="1" ht="13" x14ac:dyDescent="0.3">
      <c r="B75" s="638">
        <v>15</v>
      </c>
      <c r="C75" s="647"/>
      <c r="D75" s="1642"/>
      <c r="E75" s="1643"/>
      <c r="F75" s="673"/>
      <c r="G75" s="674"/>
      <c r="H75" s="676"/>
      <c r="I75" s="674"/>
      <c r="J75" s="1644"/>
      <c r="K75" s="1645"/>
      <c r="L75" s="1645"/>
      <c r="M75" s="1645"/>
      <c r="N75" s="1645"/>
      <c r="O75" s="1645"/>
      <c r="P75" s="1645"/>
      <c r="Q75" s="1646"/>
    </row>
    <row r="76" spans="2:18" ht="18.75" customHeight="1" x14ac:dyDescent="0.3">
      <c r="B76" s="980"/>
      <c r="C76" s="618"/>
      <c r="D76" s="618"/>
      <c r="E76" s="618"/>
      <c r="F76" s="618"/>
      <c r="G76" s="618"/>
      <c r="H76" s="618"/>
      <c r="I76" s="618"/>
      <c r="J76" s="618"/>
      <c r="K76" s="618"/>
      <c r="L76" s="618"/>
      <c r="M76" s="618"/>
      <c r="N76" s="618"/>
      <c r="O76" s="618"/>
      <c r="P76" s="618"/>
      <c r="Q76" s="618"/>
      <c r="R76" s="488"/>
    </row>
    <row r="77" spans="2:18" ht="18.75" customHeight="1" x14ac:dyDescent="0.3">
      <c r="B77" s="511" t="s">
        <v>477</v>
      </c>
      <c r="C77" s="512"/>
      <c r="D77" s="512"/>
      <c r="E77" s="512"/>
      <c r="F77" s="512"/>
      <c r="G77" s="512"/>
      <c r="H77" s="513"/>
      <c r="I77" s="513"/>
      <c r="J77" s="513"/>
      <c r="K77" s="513"/>
      <c r="L77" s="513"/>
      <c r="M77" s="513"/>
      <c r="N77" s="513"/>
      <c r="O77" s="513"/>
      <c r="P77" s="513"/>
      <c r="Q77" s="514"/>
      <c r="R77" s="488"/>
    </row>
    <row r="78" spans="2:18" ht="18.75" customHeight="1" x14ac:dyDescent="0.3">
      <c r="R78" s="488"/>
    </row>
    <row r="79" spans="2:18" ht="18.75" customHeight="1" x14ac:dyDescent="0.3">
      <c r="B79" s="506" t="s">
        <v>478</v>
      </c>
      <c r="C79" s="506" t="s">
        <v>479</v>
      </c>
      <c r="D79" s="1187" t="s">
        <v>406</v>
      </c>
      <c r="E79" s="1181" t="s">
        <v>428</v>
      </c>
      <c r="F79" s="1413" t="s">
        <v>476</v>
      </c>
      <c r="G79" s="1414"/>
      <c r="H79" s="1414"/>
      <c r="I79" s="1414"/>
      <c r="J79" s="1414"/>
      <c r="K79" s="1414"/>
      <c r="L79" s="1414"/>
      <c r="M79" s="1414"/>
      <c r="N79" s="1414"/>
      <c r="O79" s="1414"/>
      <c r="P79" s="1414"/>
      <c r="Q79" s="1415"/>
      <c r="R79" s="488"/>
    </row>
    <row r="80" spans="2:18" ht="13" x14ac:dyDescent="0.3">
      <c r="B80" s="1240">
        <v>1</v>
      </c>
      <c r="C80" s="519" t="s">
        <v>480</v>
      </c>
      <c r="D80" s="520">
        <v>1000</v>
      </c>
      <c r="E80" s="1237" t="s">
        <v>481</v>
      </c>
      <c r="F80" s="1416" t="s">
        <v>482</v>
      </c>
      <c r="G80" s="1417"/>
      <c r="H80" s="1417"/>
      <c r="I80" s="1417"/>
      <c r="J80" s="1417"/>
      <c r="K80" s="1417"/>
      <c r="L80" s="1417"/>
      <c r="M80" s="1417"/>
      <c r="N80" s="1417"/>
      <c r="O80" s="1417"/>
      <c r="P80" s="1417"/>
      <c r="Q80" s="1418"/>
      <c r="R80" s="488"/>
    </row>
    <row r="81" spans="2:18" ht="13" x14ac:dyDescent="0.3">
      <c r="B81" s="533">
        <v>2</v>
      </c>
      <c r="C81" s="560" t="s">
        <v>483</v>
      </c>
      <c r="D81" s="562">
        <f>0.03412*0.10548</f>
        <v>3.5989775999999999E-3</v>
      </c>
      <c r="E81" s="1182" t="s">
        <v>484</v>
      </c>
      <c r="F81" s="1489" t="s">
        <v>485</v>
      </c>
      <c r="G81" s="1490"/>
      <c r="H81" s="1490"/>
      <c r="I81" s="1490"/>
      <c r="J81" s="1490"/>
      <c r="K81" s="1490"/>
      <c r="L81" s="1490"/>
      <c r="M81" s="1490"/>
      <c r="N81" s="1490"/>
      <c r="O81" s="1490"/>
      <c r="P81" s="1490"/>
      <c r="Q81" s="1491"/>
      <c r="R81" s="488"/>
    </row>
    <row r="82" spans="2:18" ht="13" x14ac:dyDescent="0.3">
      <c r="B82" s="533">
        <v>3</v>
      </c>
      <c r="C82" s="560" t="s">
        <v>486</v>
      </c>
      <c r="D82" s="562">
        <v>3.7854099999999999E-3</v>
      </c>
      <c r="E82" s="1182" t="s">
        <v>487</v>
      </c>
      <c r="F82" s="1489" t="s">
        <v>485</v>
      </c>
      <c r="G82" s="1490"/>
      <c r="H82" s="1490"/>
      <c r="I82" s="1490"/>
      <c r="J82" s="1490"/>
      <c r="K82" s="1490"/>
      <c r="L82" s="1490"/>
      <c r="M82" s="1490"/>
      <c r="N82" s="1490"/>
      <c r="O82" s="1490"/>
      <c r="P82" s="1490"/>
      <c r="Q82" s="1491"/>
      <c r="R82" s="488"/>
    </row>
    <row r="83" spans="2:18" ht="13" x14ac:dyDescent="0.3">
      <c r="B83" s="533">
        <v>4</v>
      </c>
      <c r="C83" s="560" t="s">
        <v>488</v>
      </c>
      <c r="D83" s="562">
        <v>0.1055</v>
      </c>
      <c r="E83" s="1182" t="s">
        <v>489</v>
      </c>
      <c r="F83" s="1489" t="s">
        <v>485</v>
      </c>
      <c r="G83" s="1490"/>
      <c r="H83" s="1490"/>
      <c r="I83" s="1490"/>
      <c r="J83" s="1490"/>
      <c r="K83" s="1490"/>
      <c r="L83" s="1490"/>
      <c r="M83" s="1490"/>
      <c r="N83" s="1490"/>
      <c r="O83" s="1490"/>
      <c r="P83" s="1490"/>
      <c r="Q83" s="1491"/>
      <c r="R83" s="488"/>
    </row>
    <row r="84" spans="2:18" ht="13" x14ac:dyDescent="0.3">
      <c r="B84" s="533">
        <v>5</v>
      </c>
      <c r="C84" s="560" t="s">
        <v>490</v>
      </c>
      <c r="D84" s="562">
        <v>1.0000000000000001E-5</v>
      </c>
      <c r="E84" s="1182" t="s">
        <v>491</v>
      </c>
      <c r="F84" s="1489" t="s">
        <v>485</v>
      </c>
      <c r="G84" s="1490"/>
      <c r="H84" s="1490"/>
      <c r="I84" s="1490"/>
      <c r="J84" s="1490"/>
      <c r="K84" s="1490"/>
      <c r="L84" s="1490"/>
      <c r="M84" s="1490"/>
      <c r="N84" s="1490"/>
      <c r="O84" s="1490"/>
      <c r="P84" s="1490"/>
      <c r="Q84" s="1491"/>
      <c r="R84" s="488"/>
    </row>
    <row r="85" spans="2:18" ht="13" x14ac:dyDescent="0.3">
      <c r="B85" s="533">
        <v>6</v>
      </c>
      <c r="C85" s="563"/>
      <c r="D85" s="564"/>
      <c r="E85" s="1182"/>
      <c r="F85" s="1489"/>
      <c r="G85" s="1490"/>
      <c r="H85" s="1490"/>
      <c r="I85" s="1490"/>
      <c r="J85" s="1490"/>
      <c r="K85" s="1490"/>
      <c r="L85" s="1490"/>
      <c r="M85" s="1490"/>
      <c r="N85" s="1490"/>
      <c r="O85" s="1490"/>
      <c r="P85" s="1490"/>
      <c r="Q85" s="1491"/>
      <c r="R85" s="488"/>
    </row>
    <row r="86" spans="2:18" ht="13" x14ac:dyDescent="0.3">
      <c r="B86" s="533">
        <v>7</v>
      </c>
      <c r="C86" s="563"/>
      <c r="D86" s="1233"/>
      <c r="E86" s="1182"/>
      <c r="F86" s="1489"/>
      <c r="G86" s="1490"/>
      <c r="H86" s="1490"/>
      <c r="I86" s="1490"/>
      <c r="J86" s="1490"/>
      <c r="K86" s="1490"/>
      <c r="L86" s="1490"/>
      <c r="M86" s="1490"/>
      <c r="N86" s="1490"/>
      <c r="O86" s="1490"/>
      <c r="P86" s="1490"/>
      <c r="Q86" s="1491"/>
      <c r="R86" s="488"/>
    </row>
    <row r="87" spans="2:18" ht="13" x14ac:dyDescent="0.3">
      <c r="B87" s="533">
        <v>8</v>
      </c>
      <c r="C87" s="563"/>
      <c r="D87" s="564"/>
      <c r="E87" s="1182"/>
      <c r="F87" s="1489"/>
      <c r="G87" s="1490"/>
      <c r="H87" s="1490"/>
      <c r="I87" s="1490"/>
      <c r="J87" s="1490"/>
      <c r="K87" s="1490"/>
      <c r="L87" s="1490"/>
      <c r="M87" s="1490"/>
      <c r="N87" s="1490"/>
      <c r="O87" s="1490"/>
      <c r="P87" s="1490"/>
      <c r="Q87" s="1491"/>
      <c r="R87" s="488"/>
    </row>
    <row r="88" spans="2:18" ht="13" x14ac:dyDescent="0.3">
      <c r="B88" s="533">
        <v>9</v>
      </c>
      <c r="C88" s="563"/>
      <c r="D88" s="1233"/>
      <c r="E88" s="1182"/>
      <c r="F88" s="1489"/>
      <c r="G88" s="1490"/>
      <c r="H88" s="1490"/>
      <c r="I88" s="1490"/>
      <c r="J88" s="1490"/>
      <c r="K88" s="1490"/>
      <c r="L88" s="1490"/>
      <c r="M88" s="1490"/>
      <c r="N88" s="1490"/>
      <c r="O88" s="1490"/>
      <c r="P88" s="1490"/>
      <c r="Q88" s="1491"/>
      <c r="R88" s="488"/>
    </row>
    <row r="89" spans="2:18" ht="13" x14ac:dyDescent="0.3">
      <c r="B89" s="533">
        <v>10</v>
      </c>
      <c r="C89" s="563"/>
      <c r="D89" s="564"/>
      <c r="E89" s="1182"/>
      <c r="F89" s="1489"/>
      <c r="G89" s="1490"/>
      <c r="H89" s="1490"/>
      <c r="I89" s="1490"/>
      <c r="J89" s="1490"/>
      <c r="K89" s="1490"/>
      <c r="L89" s="1490"/>
      <c r="M89" s="1490"/>
      <c r="N89" s="1490"/>
      <c r="O89" s="1490"/>
      <c r="P89" s="1490"/>
      <c r="Q89" s="1491"/>
      <c r="R89" s="488"/>
    </row>
    <row r="90" spans="2:18" ht="18.75" customHeight="1" x14ac:dyDescent="0.3">
      <c r="B90" s="980"/>
      <c r="C90" s="618"/>
      <c r="D90" s="618"/>
      <c r="E90" s="618"/>
      <c r="F90" s="618"/>
      <c r="G90" s="618"/>
      <c r="H90" s="618"/>
      <c r="I90" s="618"/>
      <c r="J90" s="618"/>
      <c r="K90" s="618"/>
      <c r="L90" s="618"/>
      <c r="M90" s="618"/>
      <c r="N90" s="618"/>
      <c r="O90" s="618"/>
      <c r="P90" s="618"/>
      <c r="Q90" s="618"/>
      <c r="R90" s="488"/>
    </row>
    <row r="91" spans="2:18" ht="18.75" customHeight="1" x14ac:dyDescent="0.3">
      <c r="B91" s="511" t="s">
        <v>492</v>
      </c>
      <c r="C91" s="512"/>
      <c r="D91" s="512"/>
      <c r="E91" s="512"/>
      <c r="F91" s="512"/>
      <c r="G91" s="512"/>
      <c r="H91" s="513"/>
      <c r="I91" s="513"/>
      <c r="J91" s="513"/>
      <c r="K91" s="513"/>
      <c r="L91" s="513"/>
      <c r="M91" s="513"/>
      <c r="N91" s="513"/>
      <c r="O91" s="513"/>
      <c r="P91" s="513"/>
      <c r="Q91" s="514"/>
      <c r="R91" s="488"/>
    </row>
    <row r="92" spans="2:18" ht="18.75" customHeight="1" x14ac:dyDescent="0.3">
      <c r="R92" s="488"/>
    </row>
    <row r="93" spans="2:18" ht="18.75" customHeight="1" x14ac:dyDescent="0.3">
      <c r="B93" s="523" t="s">
        <v>493</v>
      </c>
      <c r="E93" s="1402" t="s">
        <v>494</v>
      </c>
      <c r="F93" s="1403"/>
      <c r="G93" s="1403"/>
      <c r="H93" s="1403"/>
      <c r="I93" s="1403"/>
      <c r="J93" s="1403"/>
      <c r="K93" s="1403"/>
      <c r="L93" s="1403"/>
      <c r="M93" s="1403"/>
      <c r="N93" s="1403"/>
      <c r="O93" s="1404" t="s">
        <v>476</v>
      </c>
      <c r="P93" s="1405"/>
      <c r="Q93" s="1406"/>
      <c r="R93" s="488"/>
    </row>
    <row r="94" spans="2:18" ht="25.5" customHeight="1" x14ac:dyDescent="0.3">
      <c r="B94" s="1673" t="s">
        <v>1604</v>
      </c>
      <c r="C94" s="1674"/>
      <c r="D94" s="1675"/>
      <c r="E94" s="524" t="s">
        <v>495</v>
      </c>
      <c r="F94" s="524" t="s">
        <v>496</v>
      </c>
      <c r="G94" s="524" t="s">
        <v>497</v>
      </c>
      <c r="H94" s="524" t="s">
        <v>498</v>
      </c>
      <c r="I94" s="524" t="s">
        <v>499</v>
      </c>
      <c r="J94" s="524" t="s">
        <v>500</v>
      </c>
      <c r="K94" s="524" t="s">
        <v>501</v>
      </c>
      <c r="L94" s="524" t="s">
        <v>502</v>
      </c>
      <c r="M94" s="524" t="s">
        <v>503</v>
      </c>
      <c r="N94" s="1180" t="s">
        <v>504</v>
      </c>
      <c r="O94" s="1407"/>
      <c r="P94" s="1408"/>
      <c r="Q94" s="1409"/>
      <c r="R94" s="488"/>
    </row>
    <row r="95" spans="2:18" ht="46.5" customHeight="1" x14ac:dyDescent="0.3">
      <c r="B95" s="1034" t="s">
        <v>478</v>
      </c>
      <c r="C95" s="1949" t="s">
        <v>538</v>
      </c>
      <c r="D95" s="1950"/>
      <c r="E95" s="525" t="s">
        <v>725</v>
      </c>
      <c r="F95" s="525" t="s">
        <v>1562</v>
      </c>
      <c r="G95" s="525" t="s">
        <v>429</v>
      </c>
      <c r="H95" s="525" t="s">
        <v>432</v>
      </c>
      <c r="I95" s="525" t="s">
        <v>431</v>
      </c>
      <c r="J95" s="525" t="s">
        <v>1614</v>
      </c>
      <c r="K95" s="525"/>
      <c r="L95" s="525"/>
      <c r="M95" s="525"/>
      <c r="N95" s="1214"/>
      <c r="O95" s="1410"/>
      <c r="P95" s="1411"/>
      <c r="Q95" s="1412"/>
      <c r="R95" s="488"/>
    </row>
    <row r="96" spans="2:18" ht="13" x14ac:dyDescent="0.3">
      <c r="B96" s="1240">
        <v>1</v>
      </c>
      <c r="C96" s="515" t="s">
        <v>1615</v>
      </c>
      <c r="D96" s="600"/>
      <c r="E96" s="1190">
        <f>F119</f>
        <v>19.399999999999984</v>
      </c>
      <c r="F96" s="1190">
        <f>G119</f>
        <v>10.060750000000001</v>
      </c>
      <c r="G96" s="1190">
        <v>2.85</v>
      </c>
      <c r="H96" s="1190">
        <v>4.29</v>
      </c>
      <c r="I96" s="568">
        <f>E119</f>
        <v>20.709302325581394</v>
      </c>
      <c r="J96" s="568">
        <v>14</v>
      </c>
      <c r="K96" s="568"/>
      <c r="L96" s="568"/>
      <c r="M96" s="568"/>
      <c r="N96" s="568"/>
      <c r="O96" s="1432"/>
      <c r="P96" s="1433"/>
      <c r="Q96" s="1434"/>
      <c r="R96" s="488"/>
    </row>
    <row r="97" spans="2:18" ht="15" customHeight="1" x14ac:dyDescent="0.3">
      <c r="B97" s="533">
        <v>2</v>
      </c>
      <c r="C97" s="546" t="s">
        <v>1613</v>
      </c>
      <c r="D97" s="1184"/>
      <c r="E97" s="1190">
        <f>F121</f>
        <v>33.599999999999341</v>
      </c>
      <c r="F97" s="1190">
        <f>G121</f>
        <v>17.856650049850451</v>
      </c>
      <c r="G97" s="1190">
        <v>1.03</v>
      </c>
      <c r="H97" s="1190">
        <v>8.82</v>
      </c>
      <c r="I97" s="568">
        <f>E121</f>
        <v>16.52525691134414</v>
      </c>
      <c r="J97" s="568">
        <v>10</v>
      </c>
      <c r="K97" s="568"/>
      <c r="L97" s="568"/>
      <c r="M97" s="568"/>
      <c r="N97" s="568"/>
      <c r="O97" s="1495" t="s">
        <v>1616</v>
      </c>
      <c r="P97" s="1496"/>
      <c r="Q97" s="1497"/>
      <c r="R97" s="488"/>
    </row>
    <row r="98" spans="2:18" ht="13" x14ac:dyDescent="0.3">
      <c r="B98" s="533">
        <v>3</v>
      </c>
      <c r="C98" s="546" t="s">
        <v>1617</v>
      </c>
      <c r="D98" s="1184"/>
      <c r="E98" s="1190">
        <f>F120</f>
        <v>19.400000000000002</v>
      </c>
      <c r="F98" s="1190">
        <f>G120</f>
        <v>9.7624999999999975</v>
      </c>
      <c r="G98" s="1190">
        <v>2.85</v>
      </c>
      <c r="H98" s="1190">
        <v>4.29</v>
      </c>
      <c r="I98" s="568">
        <f>E120</f>
        <v>28.300833333333333</v>
      </c>
      <c r="J98" s="568">
        <v>14</v>
      </c>
      <c r="K98" s="568"/>
      <c r="L98" s="568"/>
      <c r="M98" s="568"/>
      <c r="N98" s="568"/>
      <c r="O98" s="1495"/>
      <c r="P98" s="1496"/>
      <c r="Q98" s="1497"/>
      <c r="R98" s="488"/>
    </row>
    <row r="99" spans="2:18" ht="13" x14ac:dyDescent="0.3">
      <c r="B99" s="533">
        <v>4</v>
      </c>
      <c r="C99" s="546" t="s">
        <v>1618</v>
      </c>
      <c r="D99" s="1184"/>
      <c r="E99" s="1190">
        <f>F122</f>
        <v>33.600000000000193</v>
      </c>
      <c r="F99" s="1190">
        <f>G122</f>
        <v>15.49917218543046</v>
      </c>
      <c r="G99" s="1190">
        <v>1.03</v>
      </c>
      <c r="H99" s="1190">
        <v>8.82</v>
      </c>
      <c r="I99" s="568">
        <f>E122</f>
        <v>30.572718446601939</v>
      </c>
      <c r="J99" s="568">
        <v>10</v>
      </c>
      <c r="K99" s="568"/>
      <c r="L99" s="568"/>
      <c r="M99" s="568"/>
      <c r="N99" s="568"/>
      <c r="O99" s="1495"/>
      <c r="P99" s="1496"/>
      <c r="Q99" s="1497"/>
      <c r="R99" s="488"/>
    </row>
    <row r="100" spans="2:18" ht="13" x14ac:dyDescent="0.3">
      <c r="B100" s="533">
        <v>5</v>
      </c>
      <c r="C100" s="546"/>
      <c r="D100" s="1184"/>
      <c r="E100" s="1190"/>
      <c r="F100" s="1190"/>
      <c r="G100" s="1190"/>
      <c r="H100" s="1190"/>
      <c r="I100" s="568"/>
      <c r="J100" s="568"/>
      <c r="K100" s="568"/>
      <c r="L100" s="568"/>
      <c r="M100" s="568"/>
      <c r="N100" s="568"/>
      <c r="O100" s="1495"/>
      <c r="P100" s="1496"/>
      <c r="Q100" s="1497"/>
      <c r="R100" s="488"/>
    </row>
    <row r="101" spans="2:18" ht="13" x14ac:dyDescent="0.3">
      <c r="B101" s="533">
        <v>6</v>
      </c>
      <c r="C101" s="546"/>
      <c r="D101" s="570"/>
      <c r="E101" s="1190"/>
      <c r="F101" s="622"/>
      <c r="G101" s="1190"/>
      <c r="H101" s="1190"/>
      <c r="I101" s="569"/>
      <c r="J101" s="569"/>
      <c r="K101" s="569"/>
      <c r="L101" s="569"/>
      <c r="M101" s="569"/>
      <c r="N101" s="569"/>
      <c r="O101" s="1492"/>
      <c r="P101" s="1493"/>
      <c r="Q101" s="1494"/>
      <c r="R101" s="488"/>
    </row>
    <row r="102" spans="2:18" ht="13" x14ac:dyDescent="0.3">
      <c r="B102" s="533">
        <v>7</v>
      </c>
      <c r="C102" s="546"/>
      <c r="D102" s="570"/>
      <c r="E102" s="1190"/>
      <c r="F102" s="569"/>
      <c r="G102" s="569"/>
      <c r="H102" s="1190"/>
      <c r="I102" s="569"/>
      <c r="J102" s="569"/>
      <c r="K102" s="569"/>
      <c r="L102" s="569"/>
      <c r="M102" s="569"/>
      <c r="N102" s="569"/>
      <c r="O102" s="1492"/>
      <c r="P102" s="1493"/>
      <c r="Q102" s="1494"/>
      <c r="R102" s="488"/>
    </row>
    <row r="103" spans="2:18" ht="13" x14ac:dyDescent="0.3">
      <c r="B103" s="533">
        <v>8</v>
      </c>
      <c r="C103" s="546"/>
      <c r="D103" s="570"/>
      <c r="E103" s="1190"/>
      <c r="F103" s="569"/>
      <c r="G103" s="569"/>
      <c r="H103" s="569"/>
      <c r="I103" s="569"/>
      <c r="J103" s="569"/>
      <c r="K103" s="569"/>
      <c r="L103" s="569"/>
      <c r="M103" s="569"/>
      <c r="N103" s="569"/>
      <c r="O103" s="1492"/>
      <c r="P103" s="1493"/>
      <c r="Q103" s="1494"/>
      <c r="R103" s="488"/>
    </row>
    <row r="104" spans="2:18" ht="13" x14ac:dyDescent="0.3">
      <c r="B104" s="533">
        <v>9</v>
      </c>
      <c r="C104" s="546"/>
      <c r="D104" s="570"/>
      <c r="E104" s="1190"/>
      <c r="F104" s="1217"/>
      <c r="G104" s="1217"/>
      <c r="H104" s="1217"/>
      <c r="I104" s="569"/>
      <c r="J104" s="569"/>
      <c r="K104" s="569"/>
      <c r="L104" s="569"/>
      <c r="M104" s="569"/>
      <c r="N104" s="569"/>
      <c r="O104" s="1492"/>
      <c r="P104" s="1493"/>
      <c r="Q104" s="1494"/>
      <c r="R104" s="488"/>
    </row>
    <row r="105" spans="2:18" ht="13" x14ac:dyDescent="0.3">
      <c r="B105" s="533">
        <v>10</v>
      </c>
      <c r="C105" s="546"/>
      <c r="D105" s="570"/>
      <c r="E105" s="1217"/>
      <c r="F105" s="1217"/>
      <c r="G105" s="1217"/>
      <c r="H105" s="1217"/>
      <c r="I105" s="569"/>
      <c r="J105" s="569"/>
      <c r="K105" s="569"/>
      <c r="L105" s="569"/>
      <c r="M105" s="569"/>
      <c r="N105" s="569"/>
      <c r="O105" s="1492"/>
      <c r="P105" s="1493"/>
      <c r="Q105" s="1494"/>
      <c r="R105" s="488"/>
    </row>
    <row r="106" spans="2:18" ht="13" x14ac:dyDescent="0.3">
      <c r="B106" s="533">
        <v>11</v>
      </c>
      <c r="C106" s="546"/>
      <c r="D106" s="570"/>
      <c r="E106" s="571"/>
      <c r="F106" s="1190"/>
      <c r="G106" s="571"/>
      <c r="H106" s="571"/>
      <c r="I106" s="569"/>
      <c r="J106" s="569"/>
      <c r="K106" s="569"/>
      <c r="L106" s="569"/>
      <c r="M106" s="569"/>
      <c r="N106" s="569"/>
      <c r="O106" s="1492"/>
      <c r="P106" s="1493"/>
      <c r="Q106" s="1494"/>
      <c r="R106" s="488"/>
    </row>
    <row r="107" spans="2:18" ht="13" x14ac:dyDescent="0.3">
      <c r="B107" s="533">
        <v>12</v>
      </c>
      <c r="C107" s="546"/>
      <c r="D107" s="570"/>
      <c r="E107" s="1217"/>
      <c r="F107" s="1190"/>
      <c r="G107" s="1217"/>
      <c r="H107" s="1217"/>
      <c r="I107" s="569"/>
      <c r="J107" s="569"/>
      <c r="K107" s="569"/>
      <c r="L107" s="569"/>
      <c r="M107" s="569"/>
      <c r="N107" s="569"/>
      <c r="O107" s="1492"/>
      <c r="P107" s="1493"/>
      <c r="Q107" s="1494"/>
      <c r="R107" s="488"/>
    </row>
    <row r="108" spans="2:18" ht="13" x14ac:dyDescent="0.3">
      <c r="B108" s="533">
        <v>13</v>
      </c>
      <c r="C108" s="546"/>
      <c r="D108" s="570"/>
      <c r="E108" s="1217"/>
      <c r="F108" s="1217"/>
      <c r="G108" s="1217"/>
      <c r="H108" s="1217"/>
      <c r="I108" s="569"/>
      <c r="J108" s="569"/>
      <c r="K108" s="569"/>
      <c r="L108" s="569"/>
      <c r="M108" s="569"/>
      <c r="N108" s="569"/>
      <c r="O108" s="1492"/>
      <c r="P108" s="1493"/>
      <c r="Q108" s="1494"/>
      <c r="R108" s="488"/>
    </row>
    <row r="109" spans="2:18" ht="13" x14ac:dyDescent="0.3">
      <c r="B109" s="533">
        <v>14</v>
      </c>
      <c r="C109" s="546"/>
      <c r="D109" s="570"/>
      <c r="E109" s="572"/>
      <c r="F109" s="572"/>
      <c r="G109" s="572"/>
      <c r="H109" s="572"/>
      <c r="I109" s="569"/>
      <c r="J109" s="569"/>
      <c r="K109" s="569"/>
      <c r="L109" s="569"/>
      <c r="M109" s="569"/>
      <c r="N109" s="569"/>
      <c r="O109" s="1492"/>
      <c r="P109" s="1493"/>
      <c r="Q109" s="1494"/>
      <c r="R109" s="488"/>
    </row>
    <row r="110" spans="2:18" ht="13" x14ac:dyDescent="0.3">
      <c r="B110" s="533">
        <v>15</v>
      </c>
      <c r="C110" s="546"/>
      <c r="D110" s="570"/>
      <c r="E110" s="572"/>
      <c r="F110" s="572"/>
      <c r="G110" s="572"/>
      <c r="H110" s="572"/>
      <c r="I110" s="569"/>
      <c r="J110" s="569"/>
      <c r="K110" s="569"/>
      <c r="L110" s="569"/>
      <c r="M110" s="569"/>
      <c r="N110" s="569"/>
      <c r="O110" s="1492"/>
      <c r="P110" s="1493"/>
      <c r="Q110" s="1494"/>
      <c r="R110" s="488"/>
    </row>
    <row r="111" spans="2:18" ht="13" x14ac:dyDescent="0.3">
      <c r="B111" s="533">
        <v>16</v>
      </c>
      <c r="C111" s="546"/>
      <c r="D111" s="570"/>
      <c r="E111" s="572"/>
      <c r="F111" s="572"/>
      <c r="G111" s="572"/>
      <c r="H111" s="572"/>
      <c r="I111" s="569"/>
      <c r="J111" s="569"/>
      <c r="K111" s="569"/>
      <c r="L111" s="569"/>
      <c r="M111" s="569"/>
      <c r="N111" s="569"/>
      <c r="O111" s="1492"/>
      <c r="P111" s="1493"/>
      <c r="Q111" s="1494"/>
      <c r="R111" s="488"/>
    </row>
    <row r="112" spans="2:18" ht="13" x14ac:dyDescent="0.3">
      <c r="B112" s="533">
        <v>17</v>
      </c>
      <c r="C112" s="546"/>
      <c r="D112" s="570"/>
      <c r="E112" s="572"/>
      <c r="F112" s="572"/>
      <c r="G112" s="572"/>
      <c r="H112" s="572"/>
      <c r="I112" s="569"/>
      <c r="J112" s="569"/>
      <c r="K112" s="569"/>
      <c r="L112" s="569"/>
      <c r="M112" s="569"/>
      <c r="N112" s="569"/>
      <c r="O112" s="1492"/>
      <c r="P112" s="1493"/>
      <c r="Q112" s="1494"/>
      <c r="R112" s="488"/>
    </row>
    <row r="113" spans="2:18" ht="13" x14ac:dyDescent="0.3">
      <c r="B113" s="533">
        <v>18</v>
      </c>
      <c r="C113" s="546"/>
      <c r="D113" s="570"/>
      <c r="E113" s="572"/>
      <c r="F113" s="572"/>
      <c r="G113" s="572"/>
      <c r="H113" s="572"/>
      <c r="I113" s="569"/>
      <c r="J113" s="569"/>
      <c r="K113" s="569"/>
      <c r="L113" s="569"/>
      <c r="M113" s="569"/>
      <c r="N113" s="569"/>
      <c r="O113" s="1492"/>
      <c r="P113" s="1493"/>
      <c r="Q113" s="1494"/>
      <c r="R113" s="488"/>
    </row>
    <row r="114" spans="2:18" ht="13" x14ac:dyDescent="0.3">
      <c r="B114" s="533">
        <v>19</v>
      </c>
      <c r="C114" s="546"/>
      <c r="D114" s="570"/>
      <c r="E114" s="572"/>
      <c r="F114" s="572"/>
      <c r="G114" s="572"/>
      <c r="H114" s="572"/>
      <c r="I114" s="569"/>
      <c r="J114" s="569"/>
      <c r="K114" s="569"/>
      <c r="L114" s="569"/>
      <c r="M114" s="569"/>
      <c r="N114" s="569"/>
      <c r="O114" s="1492"/>
      <c r="P114" s="1493"/>
      <c r="Q114" s="1494"/>
      <c r="R114" s="488"/>
    </row>
    <row r="115" spans="2:18" ht="13" x14ac:dyDescent="0.3">
      <c r="B115" s="533">
        <v>20</v>
      </c>
      <c r="C115" s="546"/>
      <c r="D115" s="570"/>
      <c r="E115" s="572"/>
      <c r="F115" s="572"/>
      <c r="G115" s="572"/>
      <c r="H115" s="572"/>
      <c r="I115" s="569"/>
      <c r="J115" s="569"/>
      <c r="K115" s="569"/>
      <c r="L115" s="569"/>
      <c r="M115" s="569"/>
      <c r="N115" s="569"/>
      <c r="O115" s="1492"/>
      <c r="P115" s="1493"/>
      <c r="Q115" s="1494"/>
      <c r="R115" s="488"/>
    </row>
    <row r="116" spans="2:18" ht="18.75" customHeight="1" x14ac:dyDescent="0.3">
      <c r="B116" s="980"/>
      <c r="C116" s="618"/>
      <c r="D116" s="618"/>
      <c r="E116" s="618"/>
      <c r="F116" s="618"/>
      <c r="G116" s="618"/>
      <c r="H116" s="618"/>
      <c r="I116" s="618"/>
      <c r="J116" s="618"/>
      <c r="K116" s="618"/>
      <c r="L116" s="618"/>
      <c r="M116" s="618"/>
      <c r="N116" s="618"/>
      <c r="O116" s="618"/>
      <c r="P116" s="618"/>
      <c r="Q116" s="618"/>
    </row>
    <row r="117" spans="2:18" ht="18.75" customHeight="1" x14ac:dyDescent="0.3">
      <c r="B117" s="980" t="s">
        <v>1543</v>
      </c>
    </row>
    <row r="118" spans="2:18" ht="45" customHeight="1" x14ac:dyDescent="0.3">
      <c r="B118" s="995" t="s">
        <v>1544</v>
      </c>
      <c r="C118" s="995" t="s">
        <v>1545</v>
      </c>
      <c r="D118" s="995" t="s">
        <v>1570</v>
      </c>
      <c r="E118" s="995" t="s">
        <v>1546</v>
      </c>
      <c r="F118" s="995" t="s">
        <v>1547</v>
      </c>
      <c r="G118" s="995" t="s">
        <v>1569</v>
      </c>
    </row>
    <row r="119" spans="2:18" ht="57" customHeight="1" x14ac:dyDescent="0.3">
      <c r="B119" s="996" t="s">
        <v>1619</v>
      </c>
      <c r="C119" s="997">
        <v>2592</v>
      </c>
      <c r="D119" s="1002">
        <v>40</v>
      </c>
      <c r="E119" s="997">
        <v>20.709302325581394</v>
      </c>
      <c r="F119" s="998">
        <v>19.399999999999984</v>
      </c>
      <c r="G119" s="998">
        <v>10.060750000000001</v>
      </c>
      <c r="R119" s="488"/>
    </row>
    <row r="120" spans="2:18" ht="18.75" customHeight="1" x14ac:dyDescent="0.3">
      <c r="B120" s="996" t="s">
        <v>1620</v>
      </c>
      <c r="C120" s="997">
        <v>114</v>
      </c>
      <c r="D120" s="1002">
        <v>12</v>
      </c>
      <c r="E120" s="997">
        <v>28.300833333333333</v>
      </c>
      <c r="F120" s="998">
        <v>19.400000000000002</v>
      </c>
      <c r="G120" s="998">
        <v>9.7624999999999975</v>
      </c>
      <c r="R120" s="488"/>
    </row>
    <row r="121" spans="2:18" ht="18.75" customHeight="1" x14ac:dyDescent="0.3">
      <c r="B121" s="996" t="s">
        <v>1621</v>
      </c>
      <c r="C121" s="997">
        <v>745803</v>
      </c>
      <c r="D121" s="1002">
        <v>1003</v>
      </c>
      <c r="E121" s="997">
        <v>16.52525691134414</v>
      </c>
      <c r="F121" s="998">
        <v>33.599999999999341</v>
      </c>
      <c r="G121" s="998">
        <v>17.856650049850451</v>
      </c>
      <c r="R121" s="488"/>
    </row>
    <row r="122" spans="2:18" ht="18.75" customHeight="1" x14ac:dyDescent="0.3">
      <c r="B122" s="996" t="s">
        <v>1622</v>
      </c>
      <c r="C122" s="997">
        <v>94429</v>
      </c>
      <c r="D122" s="1002">
        <v>302</v>
      </c>
      <c r="E122" s="997">
        <v>30.572718446601939</v>
      </c>
      <c r="F122" s="998">
        <v>33.600000000000193</v>
      </c>
      <c r="G122" s="998">
        <v>15.49917218543046</v>
      </c>
      <c r="R122" s="488"/>
    </row>
    <row r="123" spans="2:18" ht="18.75" customHeight="1" x14ac:dyDescent="0.3">
      <c r="B123" s="1008" t="s">
        <v>1587</v>
      </c>
      <c r="C123" s="1009">
        <v>842938</v>
      </c>
      <c r="D123" s="1010">
        <v>1357</v>
      </c>
      <c r="E123" s="1009">
        <v>19.824539631988713</v>
      </c>
      <c r="F123" s="1011">
        <v>33.047275300777642</v>
      </c>
      <c r="G123" s="1011">
        <v>17.03061901252763</v>
      </c>
      <c r="R123" s="488"/>
    </row>
    <row r="124" spans="2:18" ht="18.75" customHeight="1" x14ac:dyDescent="0.3">
      <c r="R124" s="488"/>
    </row>
    <row r="125" spans="2:18" ht="18.75" customHeight="1" x14ac:dyDescent="0.3">
      <c r="R125" s="488"/>
    </row>
    <row r="126" spans="2:18" ht="18.75" customHeight="1" x14ac:dyDescent="0.3">
      <c r="R126" s="488"/>
    </row>
    <row r="127" spans="2:18" ht="18.75" customHeight="1" x14ac:dyDescent="0.3">
      <c r="R127" s="488"/>
    </row>
    <row r="128" spans="2:18" ht="18.75" customHeight="1" x14ac:dyDescent="0.3">
      <c r="R128" s="488"/>
    </row>
    <row r="129" spans="18:18" ht="18.75" customHeight="1" x14ac:dyDescent="0.3">
      <c r="R129" s="488"/>
    </row>
    <row r="130" spans="18:18" ht="18.75" customHeight="1" x14ac:dyDescent="0.3">
      <c r="R130" s="488"/>
    </row>
    <row r="131" spans="18:18" ht="18.75" customHeight="1" x14ac:dyDescent="0.3">
      <c r="R131" s="488"/>
    </row>
    <row r="132" spans="18:18" ht="18.75" customHeight="1" x14ac:dyDescent="0.3">
      <c r="R132" s="488"/>
    </row>
    <row r="133" spans="18:18" ht="18.75" customHeight="1" x14ac:dyDescent="0.3">
      <c r="R133" s="488"/>
    </row>
    <row r="134" spans="18:18" ht="18.75" customHeight="1" x14ac:dyDescent="0.3">
      <c r="R134" s="488"/>
    </row>
    <row r="135" spans="18:18" ht="18.75" customHeight="1" x14ac:dyDescent="0.3">
      <c r="R135" s="488"/>
    </row>
    <row r="136" spans="18:18" ht="18.75" customHeight="1" x14ac:dyDescent="0.3">
      <c r="R136" s="488"/>
    </row>
    <row r="137" spans="18:18" ht="18.75" customHeight="1" x14ac:dyDescent="0.3">
      <c r="R137" s="488"/>
    </row>
    <row r="138" spans="18:18" ht="18.75" customHeight="1" x14ac:dyDescent="0.3">
      <c r="R138" s="488"/>
    </row>
    <row r="139" spans="18:18" ht="18.75" customHeight="1" x14ac:dyDescent="0.3">
      <c r="R139" s="488"/>
    </row>
    <row r="140" spans="18:18" ht="18.75" customHeight="1" x14ac:dyDescent="0.3">
      <c r="R140" s="488"/>
    </row>
    <row r="141" spans="18:18" ht="18.75" customHeight="1" x14ac:dyDescent="0.3">
      <c r="R141" s="488"/>
    </row>
    <row r="142" spans="18:18" ht="18.75" customHeight="1" x14ac:dyDescent="0.3">
      <c r="R142" s="488"/>
    </row>
    <row r="143" spans="18:18" ht="18.75" customHeight="1" x14ac:dyDescent="0.3">
      <c r="R143" s="488"/>
    </row>
    <row r="144" spans="18:18" ht="18.75" customHeight="1" x14ac:dyDescent="0.3">
      <c r="R144" s="488"/>
    </row>
    <row r="145" spans="18:18" ht="18.75" customHeight="1" x14ac:dyDescent="0.3">
      <c r="R145" s="488"/>
    </row>
    <row r="146" spans="18:18" ht="18.75" customHeight="1" x14ac:dyDescent="0.3">
      <c r="R146" s="488"/>
    </row>
    <row r="147" spans="18:18" ht="18.75" customHeight="1" x14ac:dyDescent="0.3">
      <c r="R147" s="488"/>
    </row>
    <row r="148" spans="18:18" ht="18.75" customHeight="1" x14ac:dyDescent="0.3">
      <c r="R148" s="488"/>
    </row>
    <row r="149" spans="18:18" ht="18.75" customHeight="1" x14ac:dyDescent="0.3">
      <c r="R149" s="488"/>
    </row>
    <row r="150" spans="18:18" ht="18.75" customHeight="1" x14ac:dyDescent="0.3">
      <c r="R150" s="488"/>
    </row>
    <row r="151" spans="18:18" ht="18.75" customHeight="1" x14ac:dyDescent="0.3">
      <c r="R151" s="488"/>
    </row>
    <row r="152" spans="18:18" ht="18.75" customHeight="1" x14ac:dyDescent="0.3">
      <c r="R152" s="488"/>
    </row>
    <row r="153" spans="18:18" ht="18.75" customHeight="1" x14ac:dyDescent="0.3">
      <c r="R153" s="488"/>
    </row>
    <row r="154" spans="18:18" ht="18.75" customHeight="1" x14ac:dyDescent="0.3">
      <c r="R154" s="488"/>
    </row>
    <row r="155" spans="18:18" ht="18.75" customHeight="1" x14ac:dyDescent="0.3">
      <c r="R155" s="488"/>
    </row>
    <row r="156" spans="18:18" ht="18.75" customHeight="1" x14ac:dyDescent="0.3">
      <c r="R156" s="488"/>
    </row>
    <row r="157" spans="18:18" ht="18.75" customHeight="1" x14ac:dyDescent="0.3">
      <c r="R157" s="488"/>
    </row>
    <row r="158" spans="18:18" ht="18.75" customHeight="1" x14ac:dyDescent="0.3">
      <c r="R158" s="488"/>
    </row>
    <row r="159" spans="18:18" ht="18.75" customHeight="1" x14ac:dyDescent="0.3">
      <c r="R159" s="488"/>
    </row>
    <row r="160" spans="18:18" ht="18.75" customHeight="1" x14ac:dyDescent="0.3">
      <c r="R160" s="488"/>
    </row>
    <row r="161" spans="18:18" ht="18.75" customHeight="1" x14ac:dyDescent="0.3">
      <c r="R161" s="488"/>
    </row>
  </sheetData>
  <sheetProtection algorithmName="SHA-512" hashValue="I9wmmYY3MoSPhUulVRPRLS1gbpRUSeaPmGd9FuS0k+fQLUm+3OXRbOgqgduiPpSoDfcp2O3wqg+RybZC016F3A==" saltValue="51v1KaV1YA2IBbGN8OcYkA==" spinCount="100000" sheet="1" objects="1" scenarios="1" selectLockedCells="1" selectUnlockedCells="1"/>
  <mergeCells count="119">
    <mergeCell ref="E33:Q33"/>
    <mergeCell ref="E34:Q34"/>
    <mergeCell ref="C22:Q22"/>
    <mergeCell ref="C23:Q23"/>
    <mergeCell ref="D25:Q25"/>
    <mergeCell ref="B20:Q20"/>
    <mergeCell ref="C21:Q21"/>
    <mergeCell ref="P47:Q47"/>
    <mergeCell ref="C48:M48"/>
    <mergeCell ref="P48:Q48"/>
    <mergeCell ref="D29:Q29"/>
    <mergeCell ref="D30:Q30"/>
    <mergeCell ref="C42:M42"/>
    <mergeCell ref="P42:Q42"/>
    <mergeCell ref="D26:Q26"/>
    <mergeCell ref="D27:Q27"/>
    <mergeCell ref="D28:Q28"/>
    <mergeCell ref="E32:Q32"/>
    <mergeCell ref="C49:M49"/>
    <mergeCell ref="P49:Q49"/>
    <mergeCell ref="C43:M43"/>
    <mergeCell ref="P43:Q43"/>
    <mergeCell ref="C44:M44"/>
    <mergeCell ref="P44:Q44"/>
    <mergeCell ref="C45:M45"/>
    <mergeCell ref="P45:Q45"/>
    <mergeCell ref="P54:Q54"/>
    <mergeCell ref="C55:M55"/>
    <mergeCell ref="P55:Q55"/>
    <mergeCell ref="C56:M56"/>
    <mergeCell ref="P56:Q56"/>
    <mergeCell ref="C50:M50"/>
    <mergeCell ref="P50:Q50"/>
    <mergeCell ref="C51:M51"/>
    <mergeCell ref="P51:Q51"/>
    <mergeCell ref="C53:M53"/>
    <mergeCell ref="P53:Q53"/>
    <mergeCell ref="J63:Q63"/>
    <mergeCell ref="D64:E64"/>
    <mergeCell ref="J64:Q64"/>
    <mergeCell ref="D68:E68"/>
    <mergeCell ref="J68:Q68"/>
    <mergeCell ref="C57:M57"/>
    <mergeCell ref="P57:Q57"/>
    <mergeCell ref="D61:E61"/>
    <mergeCell ref="J61:Q61"/>
    <mergeCell ref="D62:E62"/>
    <mergeCell ref="J62:Q62"/>
    <mergeCell ref="J67:Q67"/>
    <mergeCell ref="D69:E69"/>
    <mergeCell ref="J69:Q69"/>
    <mergeCell ref="D70:E70"/>
    <mergeCell ref="J70:Q70"/>
    <mergeCell ref="D65:E65"/>
    <mergeCell ref="J65:Q65"/>
    <mergeCell ref="D66:E66"/>
    <mergeCell ref="J66:Q66"/>
    <mergeCell ref="E93:N93"/>
    <mergeCell ref="O93:Q95"/>
    <mergeCell ref="F79:Q79"/>
    <mergeCell ref="F80:Q80"/>
    <mergeCell ref="F81:Q81"/>
    <mergeCell ref="F82:Q82"/>
    <mergeCell ref="F83:Q83"/>
    <mergeCell ref="F84:Q84"/>
    <mergeCell ref="F85:Q85"/>
    <mergeCell ref="F86:Q86"/>
    <mergeCell ref="F87:Q87"/>
    <mergeCell ref="F88:Q88"/>
    <mergeCell ref="F89:Q89"/>
    <mergeCell ref="J71:Q71"/>
    <mergeCell ref="D72:E72"/>
    <mergeCell ref="J72:Q72"/>
    <mergeCell ref="O100:Q100"/>
    <mergeCell ref="O101:Q101"/>
    <mergeCell ref="O102:Q102"/>
    <mergeCell ref="O103:Q103"/>
    <mergeCell ref="O104:Q104"/>
    <mergeCell ref="O105:Q105"/>
    <mergeCell ref="B94:D94"/>
    <mergeCell ref="C95:D95"/>
    <mergeCell ref="O96:Q96"/>
    <mergeCell ref="O97:Q97"/>
    <mergeCell ref="O98:Q98"/>
    <mergeCell ref="O99:Q99"/>
    <mergeCell ref="O112:Q112"/>
    <mergeCell ref="O113:Q113"/>
    <mergeCell ref="O114:Q114"/>
    <mergeCell ref="O115:Q115"/>
    <mergeCell ref="O106:Q106"/>
    <mergeCell ref="O107:Q107"/>
    <mergeCell ref="O108:Q108"/>
    <mergeCell ref="O109:Q109"/>
    <mergeCell ref="O110:Q110"/>
    <mergeCell ref="O111:Q111"/>
    <mergeCell ref="D73:E73"/>
    <mergeCell ref="J73:Q73"/>
    <mergeCell ref="D74:E74"/>
    <mergeCell ref="J74:Q74"/>
    <mergeCell ref="D75:E75"/>
    <mergeCell ref="J75:Q75"/>
    <mergeCell ref="C2:F2"/>
    <mergeCell ref="C3:F3"/>
    <mergeCell ref="C4:F4"/>
    <mergeCell ref="D7:F7"/>
    <mergeCell ref="D17:F17"/>
    <mergeCell ref="D18:F18"/>
    <mergeCell ref="D8:F16"/>
    <mergeCell ref="C5:F5"/>
    <mergeCell ref="D71:E71"/>
    <mergeCell ref="D67:E67"/>
    <mergeCell ref="D63:E63"/>
    <mergeCell ref="C54:M54"/>
    <mergeCell ref="C47:M47"/>
    <mergeCell ref="E35:Q35"/>
    <mergeCell ref="E36:Q36"/>
    <mergeCell ref="E37:Q37"/>
    <mergeCell ref="C41:M41"/>
    <mergeCell ref="P41:Q41"/>
  </mergeCells>
  <conditionalFormatting sqref="H70">
    <cfRule type="expression" dxfId="2483" priority="64">
      <formula>IF(OR(#REF!="L",#REF!="C"),TRUE,FALSE)</formula>
    </cfRule>
  </conditionalFormatting>
  <conditionalFormatting sqref="H68">
    <cfRule type="expression" dxfId="2482" priority="63">
      <formula>IF(OR(#REF!="L",#REF!="C"),TRUE,FALSE)</formula>
    </cfRule>
  </conditionalFormatting>
  <conditionalFormatting sqref="H66">
    <cfRule type="expression" dxfId="2481" priority="60">
      <formula>IF(OR(#REF!="L",#REF!="C"),TRUE,FALSE)</formula>
    </cfRule>
  </conditionalFormatting>
  <conditionalFormatting sqref="H69">
    <cfRule type="expression" dxfId="2480" priority="59">
      <formula>IF(OR(#REF!="L",#REF!="C"),TRUE,FALSE)</formula>
    </cfRule>
  </conditionalFormatting>
  <conditionalFormatting sqref="H62">
    <cfRule type="expression" dxfId="2479" priority="37">
      <formula>IF(OR(#REF!="L",#REF!="C"),TRUE,FALSE)</formula>
    </cfRule>
  </conditionalFormatting>
  <conditionalFormatting sqref="H64">
    <cfRule type="expression" dxfId="2478" priority="32">
      <formula>IF(OR(#REF!="L",#REF!="C"),TRUE,FALSE)</formula>
    </cfRule>
  </conditionalFormatting>
  <conditionalFormatting sqref="H63">
    <cfRule type="expression" dxfId="2477" priority="31">
      <formula>IF(OR(#REF!="L",#REF!="C"),TRUE,FALSE)</formula>
    </cfRule>
  </conditionalFormatting>
  <conditionalFormatting sqref="H71">
    <cfRule type="expression" dxfId="2476" priority="30">
      <formula>IF(OR(#REF!="L",#REF!="C"),TRUE,FALSE)</formula>
    </cfRule>
  </conditionalFormatting>
  <conditionalFormatting sqref="H72">
    <cfRule type="expression" dxfId="2475" priority="29">
      <formula>IF(OR(#REF!="L",#REF!="C"),TRUE,FALSE)</formula>
    </cfRule>
  </conditionalFormatting>
  <conditionalFormatting sqref="H73">
    <cfRule type="expression" dxfId="2474" priority="28">
      <formula>IF(OR(#REF!="L",#REF!="C"),TRUE,FALSE)</formula>
    </cfRule>
  </conditionalFormatting>
  <conditionalFormatting sqref="H74">
    <cfRule type="expression" dxfId="2473" priority="27">
      <formula>IF(OR(#REF!="L",#REF!="C"),TRUE,FALSE)</formula>
    </cfRule>
  </conditionalFormatting>
  <conditionalFormatting sqref="H75">
    <cfRule type="expression" dxfId="2472" priority="25">
      <formula>IF(OR(#REF!="L",#REF!="C"),TRUE,FALSE)</formula>
    </cfRule>
  </conditionalFormatting>
  <conditionalFormatting sqref="H65">
    <cfRule type="expression" dxfId="2471" priority="24">
      <formula>IF(OR(#REF!="L",#REF!="C"),TRUE,FALSE)</formula>
    </cfRule>
  </conditionalFormatting>
  <conditionalFormatting sqref="F108:F115 G101:G115 H103:H115">
    <cfRule type="expression" dxfId="2470" priority="23">
      <formula>IF(OR(#REF!="L",#REF!="C"),TRUE,FALSE)</formula>
    </cfRule>
  </conditionalFormatting>
  <conditionalFormatting sqref="E109:E115">
    <cfRule type="expression" dxfId="2469" priority="22">
      <formula>IF(OR(#REF!="L",#REF!="C"),TRUE,FALSE)</formula>
    </cfRule>
  </conditionalFormatting>
  <conditionalFormatting sqref="E106">
    <cfRule type="expression" dxfId="2468" priority="21">
      <formula>IF(OR(#REF!="L",#REF!="C"),TRUE,FALSE)</formula>
    </cfRule>
  </conditionalFormatting>
  <conditionalFormatting sqref="E107">
    <cfRule type="expression" dxfId="2467" priority="20">
      <formula>IF(OR(#REF!="L",#REF!="C"),TRUE,FALSE)</formula>
    </cfRule>
  </conditionalFormatting>
  <conditionalFormatting sqref="E108">
    <cfRule type="expression" dxfId="2466" priority="19">
      <formula>IF(OR(#REF!="L",#REF!="C"),TRUE,FALSE)</formula>
    </cfRule>
  </conditionalFormatting>
  <conditionalFormatting sqref="E105">
    <cfRule type="expression" dxfId="2465" priority="18">
      <formula>IF(OR(#REF!="L",#REF!="C"),TRUE,FALSE)</formula>
    </cfRule>
  </conditionalFormatting>
  <conditionalFormatting sqref="E94 G94 I94 K94 M94">
    <cfRule type="duplicateValues" dxfId="2464" priority="17"/>
  </conditionalFormatting>
  <conditionalFormatting sqref="M103:M115">
    <cfRule type="expression" dxfId="2463" priority="7">
      <formula>IF(OR(#REF!="L",#REF!="C"),TRUE,FALSE)</formula>
    </cfRule>
  </conditionalFormatting>
  <conditionalFormatting sqref="F101:F105">
    <cfRule type="expression" dxfId="2462" priority="16">
      <formula>IF(OR(#REF!="L",#REF!="C"),TRUE,FALSE)</formula>
    </cfRule>
  </conditionalFormatting>
  <conditionalFormatting sqref="I101:I102">
    <cfRule type="expression" dxfId="2461" priority="14">
      <formula>IF(OR(#REF!="L",#REF!="C"),TRUE,FALSE)</formula>
    </cfRule>
  </conditionalFormatting>
  <conditionalFormatting sqref="N101:N102">
    <cfRule type="expression" dxfId="2460" priority="4">
      <formula>IF(OR(#REF!="L",#REF!="C"),TRUE,FALSE)</formula>
    </cfRule>
  </conditionalFormatting>
  <conditionalFormatting sqref="I103:I115">
    <cfRule type="expression" dxfId="2459" priority="15">
      <formula>IF(OR(#REF!="L",#REF!="C"),TRUE,FALSE)</formula>
    </cfRule>
  </conditionalFormatting>
  <conditionalFormatting sqref="J101:J102">
    <cfRule type="expression" dxfId="2458" priority="12">
      <formula>IF(OR(#REF!="L",#REF!="C"),TRUE,FALSE)</formula>
    </cfRule>
  </conditionalFormatting>
  <conditionalFormatting sqref="J103:J115">
    <cfRule type="expression" dxfId="2457" priority="13">
      <formula>IF(OR(#REF!="L",#REF!="C"),TRUE,FALSE)</formula>
    </cfRule>
  </conditionalFormatting>
  <conditionalFormatting sqref="K101:K102">
    <cfRule type="expression" dxfId="2456" priority="10">
      <formula>IF(OR(#REF!="L",#REF!="C"),TRUE,FALSE)</formula>
    </cfRule>
  </conditionalFormatting>
  <conditionalFormatting sqref="K103:K115">
    <cfRule type="expression" dxfId="2455" priority="11">
      <formula>IF(OR(#REF!="L",#REF!="C"),TRUE,FALSE)</formula>
    </cfRule>
  </conditionalFormatting>
  <conditionalFormatting sqref="L101:L102">
    <cfRule type="expression" dxfId="2454" priority="8">
      <formula>IF(OR(#REF!="L",#REF!="C"),TRUE,FALSE)</formula>
    </cfRule>
  </conditionalFormatting>
  <conditionalFormatting sqref="L103:L115">
    <cfRule type="expression" dxfId="2453" priority="9">
      <formula>IF(OR(#REF!="L",#REF!="C"),TRUE,FALSE)</formula>
    </cfRule>
  </conditionalFormatting>
  <conditionalFormatting sqref="M101:M102">
    <cfRule type="expression" dxfId="2452" priority="6">
      <formula>IF(OR(#REF!="L",#REF!="C"),TRUE,FALSE)</formula>
    </cfRule>
  </conditionalFormatting>
  <conditionalFormatting sqref="N103:N115">
    <cfRule type="expression" dxfId="2451" priority="5">
      <formula>IF(OR(#REF!="L",#REF!="C"),TRUE,FALSE)</formula>
    </cfRule>
  </conditionalFormatting>
  <conditionalFormatting sqref="O103:O115">
    <cfRule type="expression" dxfId="2450" priority="3">
      <formula>IF(OR(#REF!="L",#REF!="C"),TRUE,FALSE)</formula>
    </cfRule>
  </conditionalFormatting>
  <conditionalFormatting sqref="O101:O102">
    <cfRule type="expression" dxfId="2449" priority="2">
      <formula>IF(OR(#REF!="L",#REF!="C"),TRUE,FALSE)</formula>
    </cfRule>
  </conditionalFormatting>
  <conditionalFormatting sqref="E95:N95">
    <cfRule type="duplicateValues" dxfId="2448" priority="1"/>
  </conditionalFormatting>
  <dataValidations count="9">
    <dataValidation type="list" allowBlank="1" showInputMessage="1" showErrorMessage="1" sqref="F68" xr:uid="{5F290057-719B-4264-8BFA-EF20423CC152}">
      <formula1>#REF!</formula1>
    </dataValidation>
    <dataValidation type="list" allowBlank="1" showInputMessage="1" showErrorMessage="1" sqref="C4" xr:uid="{F1704DD3-C2F6-4528-88F4-BCBE366A59F8}">
      <formula1>"COM,RES"</formula1>
    </dataValidation>
    <dataValidation type="list" allowBlank="1" showInputMessage="1" showErrorMessage="1" sqref="H67:H68 F62:F63" xr:uid="{5306281A-433E-4484-87E0-0F409F39C200}">
      <formula1>$C$96:$C$115</formula1>
    </dataValidation>
    <dataValidation type="list" allowBlank="1" showInputMessage="1" showErrorMessage="1" sqref="F71:F73" xr:uid="{7941E9B2-3277-4D1D-B676-A695C789B7F4}">
      <formula1>$C$101:$C$106</formula1>
    </dataValidation>
    <dataValidation type="list" allowBlank="1" showInputMessage="1" showErrorMessage="1" sqref="C9" xr:uid="{B61BE1DD-CDD6-497D-894A-FB23C0BC11CF}">
      <formula1>INDIRECT("MeasureTypeList[Index]")</formula1>
    </dataValidation>
    <dataValidation type="list" allowBlank="1" showInputMessage="1" showErrorMessage="1" sqref="C26" xr:uid="{347AADC6-092D-4E13-B08B-8530A4E62D5C}">
      <formula1>INDIRECT("RegionList[Index]")</formula1>
    </dataValidation>
    <dataValidation type="list" allowBlank="1" showInputMessage="1" showErrorMessage="1" sqref="C27" xr:uid="{D031740D-5CDE-44CB-AA2F-7D039FAE5747}">
      <formula1>INDIRECT("ReplacementTypeList[Index]")</formula1>
    </dataValidation>
    <dataValidation type="list" allowBlank="1" showInputMessage="1" showErrorMessage="1" sqref="C28" xr:uid="{20C56B75-4F32-41BC-9588-77B5382EF443}">
      <formula1>INDIRECT("BuildingType[Building]")</formula1>
    </dataValidation>
    <dataValidation type="list" allowBlank="1" showInputMessage="1" showErrorMessage="1" sqref="C29 C30" xr:uid="{31779AD2-D576-42FB-82BB-DC88DC5BB0BD}">
      <formula1>INDIRECT("FuelTypeList[Index]")</formula1>
    </dataValidation>
  </dataValidations>
  <hyperlinks>
    <hyperlink ref="F81" r:id="rId1" xr:uid="{0B4B30C9-3448-47AB-ADA9-1F86724ADBC3}"/>
    <hyperlink ref="F82" r:id="rId2" xr:uid="{86B3611F-25C3-4ADE-A5DD-E6414414442F}"/>
    <hyperlink ref="F84" r:id="rId3" xr:uid="{4964AF30-5DF7-4FFE-B15A-7150DD7B8D8F}"/>
    <hyperlink ref="F83" r:id="rId4" xr:uid="{3CF4E473-40A0-4F77-B315-D7F5932C7B2D}"/>
  </hyperlinks>
  <pageMargins left="0.7" right="0.7" top="0.75" bottom="0.75" header="0.3" footer="0.3"/>
  <pageSetup orientation="portrait" r:id="rId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22F8B-5C3E-4C08-9840-D74110DF0AA5}">
  <sheetPr codeName="Sheet401"/>
  <dimension ref="A2:R116"/>
  <sheetViews>
    <sheetView workbookViewId="0"/>
  </sheetViews>
  <sheetFormatPr defaultColWidth="9.08984375" defaultRowHeight="18.75" customHeight="1" x14ac:dyDescent="0.3"/>
  <cols>
    <col min="1" max="1" width="2.36328125" style="488" customWidth="1"/>
    <col min="2" max="2" width="44.36328125" style="488" bestFit="1" customWidth="1"/>
    <col min="3" max="3" width="21.08984375" style="488" customWidth="1"/>
    <col min="4" max="4" width="21.6328125" style="488" customWidth="1"/>
    <col min="5" max="5" width="14.36328125" style="488" customWidth="1"/>
    <col min="6" max="6" width="15.6328125" style="488" customWidth="1"/>
    <col min="7" max="7" width="19.6328125" style="488" customWidth="1"/>
    <col min="8" max="8" width="16"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C-L-008</v>
      </c>
      <c r="D3" s="1367"/>
      <c r="E3" s="1367"/>
      <c r="F3" s="1367"/>
    </row>
    <row r="4" spans="1:18" ht="18.75" customHeight="1" x14ac:dyDescent="0.3">
      <c r="B4" s="490" t="s">
        <v>11</v>
      </c>
      <c r="C4" s="1367" t="str" cm="1">
        <f t="array" ref="C4">_xlfn.SWITCH(LEFT(C8,1),"R","Residential","C","Commercial","ERROR")</f>
        <v>Commercial</v>
      </c>
      <c r="D4" s="1367"/>
      <c r="E4" s="1367"/>
      <c r="F4" s="1367"/>
    </row>
    <row r="5" spans="1:18" ht="44.25" customHeight="1" x14ac:dyDescent="0.3">
      <c r="B5" s="490" t="s">
        <v>408</v>
      </c>
      <c r="C5" s="1530" t="s">
        <v>269</v>
      </c>
      <c r="D5" s="1531"/>
      <c r="E5" s="1531"/>
      <c r="F5" s="1532"/>
      <c r="R5" s="488"/>
    </row>
    <row r="6" spans="1:18" ht="18.75" customHeight="1" x14ac:dyDescent="0.3">
      <c r="A6" s="573"/>
    </row>
    <row r="7" spans="1:18" ht="18.75" customHeight="1" x14ac:dyDescent="0.3">
      <c r="B7" s="1193" t="s">
        <v>507</v>
      </c>
      <c r="C7" s="493" t="s">
        <v>406</v>
      </c>
      <c r="D7" s="1366" t="s">
        <v>410</v>
      </c>
      <c r="E7" s="1366"/>
      <c r="F7" s="1366"/>
      <c r="R7" s="488"/>
    </row>
    <row r="8" spans="1:18" ht="18.75" customHeight="1" x14ac:dyDescent="0.3">
      <c r="B8" s="490" t="s">
        <v>411</v>
      </c>
      <c r="C8" s="1194" t="s">
        <v>117</v>
      </c>
      <c r="D8" s="1521" t="s">
        <v>1623</v>
      </c>
      <c r="E8" s="1522"/>
      <c r="F8" s="1523"/>
      <c r="R8" s="488"/>
    </row>
    <row r="9" spans="1:18" ht="42" customHeight="1" x14ac:dyDescent="0.3">
      <c r="B9" s="490" t="s">
        <v>49</v>
      </c>
      <c r="C9" s="1194" t="s">
        <v>1624</v>
      </c>
      <c r="D9" s="1524"/>
      <c r="E9" s="1525"/>
      <c r="F9" s="1526"/>
      <c r="R9" s="488"/>
    </row>
    <row r="10" spans="1:18" ht="18.75" customHeight="1" x14ac:dyDescent="0.3">
      <c r="B10" s="490" t="s">
        <v>412</v>
      </c>
      <c r="C10" s="1194"/>
      <c r="D10" s="1524"/>
      <c r="E10" s="1525"/>
      <c r="F10" s="1526"/>
      <c r="R10" s="488"/>
    </row>
    <row r="11" spans="1:18" ht="18.75" customHeight="1" x14ac:dyDescent="0.3">
      <c r="B11" s="490" t="s">
        <v>413</v>
      </c>
      <c r="C11" s="1194"/>
      <c r="D11" s="1524"/>
      <c r="E11" s="1525"/>
      <c r="F11" s="1526"/>
      <c r="R11" s="488"/>
    </row>
    <row r="12" spans="1:18" ht="18.75" customHeight="1" x14ac:dyDescent="0.3">
      <c r="B12" s="490" t="s">
        <v>414</v>
      </c>
      <c r="C12" s="602"/>
      <c r="D12" s="1524"/>
      <c r="E12" s="1525"/>
      <c r="F12" s="1526"/>
      <c r="R12" s="488"/>
    </row>
    <row r="13" spans="1:18" ht="18.75" customHeight="1" x14ac:dyDescent="0.3">
      <c r="B13" s="494" t="s">
        <v>415</v>
      </c>
      <c r="C13" s="495">
        <f>N43</f>
        <v>753.49783304106302</v>
      </c>
      <c r="D13" s="1524"/>
      <c r="E13" s="1525"/>
      <c r="F13" s="1526"/>
      <c r="R13" s="488"/>
    </row>
    <row r="14" spans="1:18" ht="18.75" customHeight="1" x14ac:dyDescent="0.3">
      <c r="B14" s="494" t="s">
        <v>416</v>
      </c>
      <c r="C14" s="495">
        <f>N42</f>
        <v>0</v>
      </c>
      <c r="D14" s="1524"/>
      <c r="E14" s="1525"/>
      <c r="F14" s="1526"/>
      <c r="R14" s="488"/>
    </row>
    <row r="15" spans="1:18" ht="18.75" customHeight="1" x14ac:dyDescent="0.3">
      <c r="B15" s="494" t="s">
        <v>417</v>
      </c>
      <c r="C15" s="495">
        <f>N44</f>
        <v>-1.1924103207874821</v>
      </c>
      <c r="D15" s="1524"/>
      <c r="E15" s="1525"/>
      <c r="F15" s="1526"/>
      <c r="R15" s="488"/>
    </row>
    <row r="16" spans="1:18" ht="18.75" customHeight="1" x14ac:dyDescent="0.3">
      <c r="B16" s="494" t="s">
        <v>418</v>
      </c>
      <c r="C16" s="496">
        <f>C37</f>
        <v>0</v>
      </c>
      <c r="D16" s="1527"/>
      <c r="E16" s="1528"/>
      <c r="F16" s="1529"/>
      <c r="R16" s="488"/>
    </row>
    <row r="17" spans="2:18" ht="18.75" customHeight="1" x14ac:dyDescent="0.3">
      <c r="B17" s="490" t="s">
        <v>48</v>
      </c>
      <c r="C17" s="1194" t="s">
        <v>717</v>
      </c>
      <c r="D17" s="1366" t="s">
        <v>419</v>
      </c>
      <c r="E17" s="1366"/>
      <c r="F17" s="1366"/>
      <c r="R17" s="488"/>
    </row>
    <row r="18" spans="2:18" ht="18.75" customHeight="1" x14ac:dyDescent="0.3">
      <c r="B18" s="490" t="s">
        <v>420</v>
      </c>
      <c r="C18" s="541">
        <v>15</v>
      </c>
      <c r="D18" s="1648" t="s">
        <v>1559</v>
      </c>
      <c r="E18" s="1648"/>
      <c r="F18" s="1648"/>
      <c r="R18" s="488"/>
    </row>
    <row r="19" spans="2:18" ht="18.75" customHeight="1" x14ac:dyDescent="0.3">
      <c r="B19" s="613"/>
      <c r="C19" s="614"/>
      <c r="F19" s="489"/>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18.75" customHeight="1" x14ac:dyDescent="0.3">
      <c r="B21" s="499" t="s">
        <v>422</v>
      </c>
      <c r="C21" s="1546" t="s">
        <v>270</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36" t="s">
        <v>271</v>
      </c>
      <c r="D22" s="1536"/>
      <c r="E22" s="1536"/>
      <c r="F22" s="1536"/>
      <c r="G22" s="1536"/>
      <c r="H22" s="1536"/>
      <c r="I22" s="1536"/>
      <c r="J22" s="1536"/>
      <c r="K22" s="1536"/>
      <c r="L22" s="1536"/>
      <c r="M22" s="1536"/>
      <c r="N22" s="1536"/>
      <c r="O22" s="1536"/>
      <c r="P22" s="1536"/>
      <c r="Q22" s="1536"/>
      <c r="R22" s="488"/>
    </row>
    <row r="23" spans="2:18" ht="80.25" customHeight="1"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475"/>
      <c r="F33" s="1476"/>
      <c r="G33" s="1476"/>
      <c r="H33" s="1476"/>
      <c r="I33" s="1476"/>
      <c r="J33" s="1476"/>
      <c r="K33" s="1476"/>
      <c r="L33" s="1476"/>
      <c r="M33" s="1476"/>
      <c r="N33" s="1476"/>
      <c r="O33" s="1476"/>
      <c r="P33" s="1476"/>
      <c r="Q33" s="1477"/>
      <c r="R33" s="488"/>
    </row>
    <row r="34" spans="2:18" ht="18.75" customHeight="1" x14ac:dyDescent="0.3">
      <c r="B34" s="494" t="s">
        <v>431</v>
      </c>
      <c r="C34" s="542"/>
      <c r="D34" s="586" t="s">
        <v>430</v>
      </c>
      <c r="E34" s="1954"/>
      <c r="F34" s="1955"/>
      <c r="G34" s="1955"/>
      <c r="H34" s="1955"/>
      <c r="I34" s="1955"/>
      <c r="J34" s="1955"/>
      <c r="K34" s="1955"/>
      <c r="L34" s="1955"/>
      <c r="M34" s="1955"/>
      <c r="N34" s="1955"/>
      <c r="O34" s="1955"/>
      <c r="P34" s="1955"/>
      <c r="Q34" s="1956"/>
    </row>
    <row r="35" spans="2:18" ht="18.75" customHeight="1" x14ac:dyDescent="0.3">
      <c r="B35" s="490" t="s">
        <v>432</v>
      </c>
      <c r="C35" s="542"/>
      <c r="D35" s="586" t="s">
        <v>430</v>
      </c>
      <c r="E35" s="1475"/>
      <c r="F35" s="1476"/>
      <c r="G35" s="1476"/>
      <c r="H35" s="1476"/>
      <c r="I35" s="1476"/>
      <c r="J35" s="1476"/>
      <c r="K35" s="1476"/>
      <c r="L35" s="1476"/>
      <c r="M35" s="1476"/>
      <c r="N35" s="1476"/>
      <c r="O35" s="1476"/>
      <c r="P35" s="1476"/>
      <c r="Q35" s="1477"/>
    </row>
    <row r="36" spans="2:18" ht="18.75" customHeight="1" x14ac:dyDescent="0.3">
      <c r="B36" s="494" t="s">
        <v>433</v>
      </c>
      <c r="C36" s="905">
        <f>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905">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753.49783304106302</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-1.1924103207874821</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1560</v>
      </c>
      <c r="D49" s="1505"/>
      <c r="E49" s="1505"/>
      <c r="F49" s="1505"/>
      <c r="G49" s="1505"/>
      <c r="H49" s="1505"/>
      <c r="I49" s="1505"/>
      <c r="J49" s="1505"/>
      <c r="K49" s="1505"/>
      <c r="L49" s="1505"/>
      <c r="M49" s="1506"/>
      <c r="N49" s="592">
        <f>(H62-H63)/1000*H64</f>
        <v>753.49783304106302</v>
      </c>
      <c r="O49" s="1243" t="s">
        <v>443</v>
      </c>
      <c r="P49" s="1511"/>
      <c r="Q49" s="1511"/>
      <c r="R49" s="488"/>
    </row>
    <row r="50" spans="2:18" ht="18.75" customHeight="1" x14ac:dyDescent="0.3">
      <c r="B50" s="582" t="s">
        <v>456</v>
      </c>
      <c r="C50" s="1504" t="s">
        <v>457</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1524</v>
      </c>
      <c r="D56" s="1505"/>
      <c r="E56" s="1505"/>
      <c r="F56" s="1505"/>
      <c r="G56" s="1505"/>
      <c r="H56" s="1505"/>
      <c r="I56" s="1505"/>
      <c r="J56" s="1505"/>
      <c r="K56" s="1505"/>
      <c r="L56" s="1505"/>
      <c r="M56" s="1506"/>
      <c r="N56" s="1000">
        <f>N49*H65</f>
        <v>-1.1924103207874821</v>
      </c>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506" t="s">
        <v>406</v>
      </c>
      <c r="I61" s="506" t="s">
        <v>428</v>
      </c>
      <c r="J61" s="1396" t="s">
        <v>476</v>
      </c>
      <c r="K61" s="1397"/>
      <c r="L61" s="1397"/>
      <c r="M61" s="1397"/>
      <c r="N61" s="1397"/>
      <c r="O61" s="1397"/>
      <c r="P61" s="1397"/>
      <c r="Q61" s="1398"/>
    </row>
    <row r="62" spans="2:18" ht="15" customHeight="1" x14ac:dyDescent="0.3">
      <c r="B62" s="535">
        <v>1</v>
      </c>
      <c r="C62" s="551" t="s">
        <v>722</v>
      </c>
      <c r="D62" s="1482" t="s">
        <v>723</v>
      </c>
      <c r="E62" s="1483"/>
      <c r="F62" s="552" t="s">
        <v>1625</v>
      </c>
      <c r="G62" s="552" t="s">
        <v>725</v>
      </c>
      <c r="H62" s="1006">
        <f>INDEX($B$96:$N$106,MATCH($F62,$C$96:$C$106,0),MATCH($G62,$B$96:$N$96,0))</f>
        <v>454.54545454545456</v>
      </c>
      <c r="I62" s="552" t="s">
        <v>726</v>
      </c>
      <c r="J62" s="1482" t="s">
        <v>1561</v>
      </c>
      <c r="K62" s="1484"/>
      <c r="L62" s="1484"/>
      <c r="M62" s="1484"/>
      <c r="N62" s="1484"/>
      <c r="O62" s="1484"/>
      <c r="P62" s="1484"/>
      <c r="Q62" s="1483"/>
      <c r="R62" s="488"/>
    </row>
    <row r="63" spans="2:18" ht="15" customHeight="1" x14ac:dyDescent="0.3">
      <c r="B63" s="535">
        <v>2</v>
      </c>
      <c r="C63" s="551" t="s">
        <v>728</v>
      </c>
      <c r="D63" s="1543" t="s">
        <v>729</v>
      </c>
      <c r="E63" s="1543"/>
      <c r="F63" s="552" t="s">
        <v>1625</v>
      </c>
      <c r="G63" s="552" t="s">
        <v>1562</v>
      </c>
      <c r="H63" s="1006">
        <f>INDEX($B$96:$N$106,MATCH($F63,$C$96:$C$106,0),MATCH($G63,$B$96:$N$96,0))</f>
        <v>190.80802610966074</v>
      </c>
      <c r="I63" s="552" t="s">
        <v>726</v>
      </c>
      <c r="J63" s="1482" t="s">
        <v>1561</v>
      </c>
      <c r="K63" s="1484"/>
      <c r="L63" s="1484"/>
      <c r="M63" s="1484"/>
      <c r="N63" s="1484"/>
      <c r="O63" s="1484"/>
      <c r="P63" s="1484"/>
      <c r="Q63" s="1483"/>
      <c r="R63" s="488"/>
    </row>
    <row r="64" spans="2:18" ht="21.75" customHeight="1" x14ac:dyDescent="0.3">
      <c r="B64" s="533">
        <v>3</v>
      </c>
      <c r="C64" s="546" t="s">
        <v>698</v>
      </c>
      <c r="D64" s="1539" t="s">
        <v>732</v>
      </c>
      <c r="E64" s="1539"/>
      <c r="F64" s="1217" t="s">
        <v>789</v>
      </c>
      <c r="G64" s="1217" t="s">
        <v>733</v>
      </c>
      <c r="H64" s="974">
        <f>INDEX(BuildingType[],MATCH($C$28,BuildingType[Building],0),MATCH($G$64,BuildingType[#Headers],0))</f>
        <v>2857</v>
      </c>
      <c r="I64" s="1217" t="s">
        <v>532</v>
      </c>
      <c r="J64" s="1462" t="s">
        <v>734</v>
      </c>
      <c r="K64" s="1464"/>
      <c r="L64" s="1464"/>
      <c r="M64" s="1464"/>
      <c r="N64" s="1464"/>
      <c r="O64" s="1464"/>
      <c r="P64" s="1464"/>
      <c r="Q64" s="1463"/>
      <c r="R64" s="488"/>
    </row>
    <row r="65" spans="2:18" ht="39" customHeight="1" x14ac:dyDescent="0.3">
      <c r="B65" s="533">
        <v>4</v>
      </c>
      <c r="C65" s="549" t="s">
        <v>704</v>
      </c>
      <c r="D65" s="1539" t="s">
        <v>1626</v>
      </c>
      <c r="E65" s="1539"/>
      <c r="F65" s="1217" t="s">
        <v>789</v>
      </c>
      <c r="G65" s="1217" t="s">
        <v>1530</v>
      </c>
      <c r="H65" s="1001">
        <f>INDEX(BuildingType[],MATCH($C$28,BuildingType[Building],0),MATCH($G$65,BuildingType[#Headers],0))</f>
        <v>-1.5824999999999999E-3</v>
      </c>
      <c r="I65" s="1217" t="s">
        <v>1034</v>
      </c>
      <c r="J65" s="1462" t="s">
        <v>1531</v>
      </c>
      <c r="K65" s="1464"/>
      <c r="L65" s="1464"/>
      <c r="M65" s="1464"/>
      <c r="N65" s="1464"/>
      <c r="O65" s="1464"/>
      <c r="P65" s="1464"/>
      <c r="Q65" s="1463"/>
      <c r="R65" s="488"/>
    </row>
    <row r="66" spans="2:18" ht="26.25" customHeight="1" x14ac:dyDescent="0.3">
      <c r="B66" s="533">
        <v>5</v>
      </c>
      <c r="C66" s="546" t="s">
        <v>517</v>
      </c>
      <c r="D66" s="1539" t="s">
        <v>1564</v>
      </c>
      <c r="E66" s="1539"/>
      <c r="F66" s="1217"/>
      <c r="G66" s="1217"/>
      <c r="H66" s="609">
        <v>0.85</v>
      </c>
      <c r="I66" s="1217" t="s">
        <v>519</v>
      </c>
      <c r="J66" s="1468" t="s">
        <v>1029</v>
      </c>
      <c r="K66" s="1478"/>
      <c r="L66" s="1478"/>
      <c r="M66" s="1478"/>
      <c r="N66" s="1478"/>
      <c r="O66" s="1478"/>
      <c r="P66" s="1478"/>
      <c r="Q66" s="1469"/>
      <c r="R66" s="488"/>
    </row>
    <row r="67" spans="2:18" ht="45" customHeight="1" x14ac:dyDescent="0.3">
      <c r="B67" s="535">
        <v>6</v>
      </c>
      <c r="C67" s="551" t="s">
        <v>1194</v>
      </c>
      <c r="D67" s="1543" t="s">
        <v>1565</v>
      </c>
      <c r="E67" s="1543"/>
      <c r="F67" s="1007"/>
      <c r="G67" s="552"/>
      <c r="H67" s="552" t="s">
        <v>1625</v>
      </c>
      <c r="I67" s="552" t="s">
        <v>597</v>
      </c>
      <c r="J67" s="1659" t="s">
        <v>1197</v>
      </c>
      <c r="K67" s="1660"/>
      <c r="L67" s="1660"/>
      <c r="M67" s="1660"/>
      <c r="N67" s="1660"/>
      <c r="O67" s="1660"/>
      <c r="P67" s="1660"/>
      <c r="Q67" s="1661"/>
      <c r="R67" s="488"/>
    </row>
    <row r="68" spans="2:18" ht="13" x14ac:dyDescent="0.3">
      <c r="B68" s="533">
        <v>7</v>
      </c>
      <c r="C68" s="546"/>
      <c r="D68" s="1539"/>
      <c r="E68" s="1539"/>
      <c r="F68" s="1217"/>
      <c r="G68" s="1217"/>
      <c r="H68" s="1217"/>
      <c r="I68" s="1217"/>
      <c r="J68" s="1507"/>
      <c r="K68" s="1514"/>
      <c r="L68" s="1514"/>
      <c r="M68" s="1514"/>
      <c r="N68" s="1514"/>
      <c r="O68" s="1514"/>
      <c r="P68" s="1514"/>
      <c r="Q68" s="1515"/>
      <c r="R68" s="488"/>
    </row>
    <row r="69" spans="2:18" ht="13" x14ac:dyDescent="0.3">
      <c r="B69" s="533">
        <v>8</v>
      </c>
      <c r="C69" s="546"/>
      <c r="D69" s="1539"/>
      <c r="E69" s="1539"/>
      <c r="F69" s="1217"/>
      <c r="G69" s="1217"/>
      <c r="H69" s="571"/>
      <c r="I69" s="1217"/>
      <c r="J69" s="1507"/>
      <c r="K69" s="1514"/>
      <c r="L69" s="1514"/>
      <c r="M69" s="1514"/>
      <c r="N69" s="1514"/>
      <c r="O69" s="1514"/>
      <c r="P69" s="1514"/>
      <c r="Q69" s="1515"/>
      <c r="R69" s="488"/>
    </row>
    <row r="70" spans="2:18" ht="15" customHeight="1" x14ac:dyDescent="0.3">
      <c r="B70" s="533">
        <v>9</v>
      </c>
      <c r="C70" s="546"/>
      <c r="D70" s="1539"/>
      <c r="E70" s="1539"/>
      <c r="F70" s="1217"/>
      <c r="G70" s="1217"/>
      <c r="H70" s="609"/>
      <c r="I70" s="1217"/>
      <c r="J70" s="1468"/>
      <c r="K70" s="1478"/>
      <c r="L70" s="1478"/>
      <c r="M70" s="1478"/>
      <c r="N70" s="1478"/>
      <c r="O70" s="1478"/>
      <c r="P70" s="1478"/>
      <c r="Q70" s="1469"/>
      <c r="R70" s="488"/>
    </row>
    <row r="71" spans="2:18" s="491" customFormat="1" ht="13" x14ac:dyDescent="0.3">
      <c r="B71" s="533">
        <v>10</v>
      </c>
      <c r="C71" s="555"/>
      <c r="D71" s="1437"/>
      <c r="E71" s="1438"/>
      <c r="F71" s="556"/>
      <c r="G71" s="557"/>
      <c r="H71" s="556"/>
      <c r="I71" s="557"/>
      <c r="J71" s="1437"/>
      <c r="K71" s="1448"/>
      <c r="L71" s="1448"/>
      <c r="M71" s="1448"/>
      <c r="N71" s="1448"/>
      <c r="O71" s="1448"/>
      <c r="P71" s="1448"/>
      <c r="Q71" s="1438"/>
    </row>
    <row r="72" spans="2:18" s="491" customFormat="1" ht="13" x14ac:dyDescent="0.3">
      <c r="B72" s="533">
        <v>11</v>
      </c>
      <c r="C72" s="555"/>
      <c r="D72" s="1437"/>
      <c r="E72" s="1438"/>
      <c r="F72" s="556"/>
      <c r="G72" s="557"/>
      <c r="H72" s="558"/>
      <c r="I72" s="557"/>
      <c r="J72" s="1472"/>
      <c r="K72" s="1473"/>
      <c r="L72" s="1473"/>
      <c r="M72" s="1473"/>
      <c r="N72" s="1473"/>
      <c r="O72" s="1473"/>
      <c r="P72" s="1473"/>
      <c r="Q72" s="1474"/>
    </row>
    <row r="73" spans="2:18" s="491" customFormat="1" ht="13" x14ac:dyDescent="0.3">
      <c r="B73" s="533">
        <v>12</v>
      </c>
      <c r="C73" s="555"/>
      <c r="D73" s="1437"/>
      <c r="E73" s="1438"/>
      <c r="F73" s="556"/>
      <c r="G73" s="557"/>
      <c r="H73" s="556"/>
      <c r="I73" s="557"/>
      <c r="J73" s="1472"/>
      <c r="K73" s="1473"/>
      <c r="L73" s="1473"/>
      <c r="M73" s="1473"/>
      <c r="N73" s="1473"/>
      <c r="O73" s="1473"/>
      <c r="P73" s="1473"/>
      <c r="Q73" s="1474"/>
    </row>
    <row r="74" spans="2:18" s="489" customFormat="1" ht="13.15" customHeight="1" x14ac:dyDescent="0.3">
      <c r="B74" s="533">
        <v>13</v>
      </c>
      <c r="C74" s="555"/>
      <c r="D74" s="1437"/>
      <c r="E74" s="1438"/>
      <c r="F74" s="556"/>
      <c r="G74" s="557"/>
      <c r="H74" s="556"/>
      <c r="I74" s="557"/>
      <c r="J74" s="1472"/>
      <c r="K74" s="1473"/>
      <c r="L74" s="1473"/>
      <c r="M74" s="1473"/>
      <c r="N74" s="1473"/>
      <c r="O74" s="1473"/>
      <c r="P74" s="1473"/>
      <c r="Q74" s="1474"/>
    </row>
    <row r="75" spans="2:18" s="489" customFormat="1" ht="13" x14ac:dyDescent="0.3">
      <c r="B75" s="533">
        <v>14</v>
      </c>
      <c r="C75" s="555"/>
      <c r="D75" s="1437"/>
      <c r="E75" s="1438"/>
      <c r="F75" s="556"/>
      <c r="G75" s="557"/>
      <c r="H75" s="559"/>
      <c r="I75" s="557"/>
      <c r="J75" s="1472"/>
      <c r="K75" s="1473"/>
      <c r="L75" s="1473"/>
      <c r="M75" s="1473"/>
      <c r="N75" s="1473"/>
      <c r="O75" s="1473"/>
      <c r="P75" s="1473"/>
      <c r="Q75" s="1474"/>
    </row>
    <row r="76" spans="2:18" ht="13" x14ac:dyDescent="0.3">
      <c r="B76" s="533">
        <v>15</v>
      </c>
      <c r="C76" s="546"/>
      <c r="D76" s="1539"/>
      <c r="E76" s="1539"/>
      <c r="F76" s="1217"/>
      <c r="G76" s="1217"/>
      <c r="H76" s="1217"/>
      <c r="I76" s="1217"/>
      <c r="J76" s="1507"/>
      <c r="K76" s="1514"/>
      <c r="L76" s="1514"/>
      <c r="M76" s="1514"/>
      <c r="N76" s="1514"/>
      <c r="O76" s="1514"/>
      <c r="P76" s="1514"/>
      <c r="Q76" s="1515"/>
      <c r="R76" s="488"/>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182"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182"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c r="R85" s="488"/>
    </row>
    <row r="86" spans="2:18" ht="13" x14ac:dyDescent="0.3">
      <c r="B86" s="533">
        <v>6</v>
      </c>
      <c r="C86" s="563"/>
      <c r="D86" s="564"/>
      <c r="E86" s="1182"/>
      <c r="F86" s="1489"/>
      <c r="G86" s="1490"/>
      <c r="H86" s="1490"/>
      <c r="I86" s="1490"/>
      <c r="J86" s="1490"/>
      <c r="K86" s="1490"/>
      <c r="L86" s="1490"/>
      <c r="M86" s="1490"/>
      <c r="N86" s="1490"/>
      <c r="O86" s="1490"/>
      <c r="P86" s="1490"/>
      <c r="Q86" s="1491"/>
      <c r="R86" s="488"/>
    </row>
    <row r="87" spans="2:18" ht="13" x14ac:dyDescent="0.3">
      <c r="B87" s="533">
        <v>7</v>
      </c>
      <c r="C87" s="563"/>
      <c r="D87" s="1233"/>
      <c r="E87" s="1182"/>
      <c r="F87" s="1489"/>
      <c r="G87" s="1490"/>
      <c r="H87" s="1490"/>
      <c r="I87" s="1490"/>
      <c r="J87" s="1490"/>
      <c r="K87" s="1490"/>
      <c r="L87" s="1490"/>
      <c r="M87" s="1490"/>
      <c r="N87" s="1490"/>
      <c r="O87" s="1490"/>
      <c r="P87" s="1490"/>
      <c r="Q87" s="1491"/>
      <c r="R87" s="488"/>
    </row>
    <row r="88" spans="2:18" ht="13" x14ac:dyDescent="0.3">
      <c r="B88" s="533">
        <v>8</v>
      </c>
      <c r="C88" s="563"/>
      <c r="D88" s="564"/>
      <c r="E88" s="1182"/>
      <c r="F88" s="1489"/>
      <c r="G88" s="1490"/>
      <c r="H88" s="1490"/>
      <c r="I88" s="1490"/>
      <c r="J88" s="1490"/>
      <c r="K88" s="1490"/>
      <c r="L88" s="1490"/>
      <c r="M88" s="1490"/>
      <c r="N88" s="1490"/>
      <c r="O88" s="1490"/>
      <c r="P88" s="1490"/>
      <c r="Q88" s="1491"/>
      <c r="R88" s="488"/>
    </row>
    <row r="89" spans="2:18" ht="13" x14ac:dyDescent="0.3">
      <c r="B89" s="533">
        <v>9</v>
      </c>
      <c r="C89" s="563"/>
      <c r="D89" s="1233"/>
      <c r="E89" s="1182"/>
      <c r="F89" s="1489"/>
      <c r="G89" s="1490"/>
      <c r="H89" s="1490"/>
      <c r="I89" s="1490"/>
      <c r="J89" s="1490"/>
      <c r="K89" s="1490"/>
      <c r="L89" s="1490"/>
      <c r="M89" s="1490"/>
      <c r="N89" s="1490"/>
      <c r="O89" s="1490"/>
      <c r="P89" s="1490"/>
      <c r="Q89" s="1491"/>
      <c r="R89" s="488"/>
    </row>
    <row r="90" spans="2:18" ht="13" x14ac:dyDescent="0.3">
      <c r="B90" s="533">
        <v>10</v>
      </c>
      <c r="C90" s="563"/>
      <c r="D90" s="564"/>
      <c r="E90" s="1182"/>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08"/>
      <c r="Q95" s="1409"/>
      <c r="R95" s="488"/>
    </row>
    <row r="96" spans="2:18" ht="25.5" customHeight="1" x14ac:dyDescent="0.3">
      <c r="B96" s="1188" t="s">
        <v>478</v>
      </c>
      <c r="C96" s="1402" t="s">
        <v>538</v>
      </c>
      <c r="D96" s="1431"/>
      <c r="E96" s="565" t="s">
        <v>725</v>
      </c>
      <c r="F96" s="565" t="s">
        <v>1562</v>
      </c>
      <c r="G96" s="565" t="s">
        <v>432</v>
      </c>
      <c r="H96" s="565" t="s">
        <v>431</v>
      </c>
      <c r="I96" s="565" t="s">
        <v>429</v>
      </c>
      <c r="J96" s="565"/>
      <c r="K96" s="565"/>
      <c r="L96" s="565"/>
      <c r="M96" s="565"/>
      <c r="N96" s="566"/>
      <c r="O96" s="1410"/>
      <c r="P96" s="1411"/>
      <c r="Q96" s="1412"/>
      <c r="R96" s="488"/>
    </row>
    <row r="97" spans="2:18" ht="26" x14ac:dyDescent="0.3">
      <c r="B97" s="533">
        <v>1</v>
      </c>
      <c r="C97" s="546" t="s">
        <v>1627</v>
      </c>
      <c r="D97" s="1184" t="s">
        <v>1628</v>
      </c>
      <c r="E97" s="1190">
        <v>113.63636363636364</v>
      </c>
      <c r="F97" s="1190">
        <f>G110</f>
        <v>36.051358974358976</v>
      </c>
      <c r="G97" s="1190">
        <v>60</v>
      </c>
      <c r="H97" s="1190">
        <f>E110</f>
        <v>190.42426923076923</v>
      </c>
      <c r="I97" s="568">
        <v>37.5</v>
      </c>
      <c r="J97" s="568"/>
      <c r="K97" s="568"/>
      <c r="L97" s="568"/>
      <c r="M97" s="568"/>
      <c r="N97" s="568"/>
      <c r="O97" s="1501" t="s">
        <v>1591</v>
      </c>
      <c r="P97" s="1502"/>
      <c r="Q97" s="1503"/>
      <c r="R97" s="488"/>
    </row>
    <row r="98" spans="2:18" ht="26" x14ac:dyDescent="0.3">
      <c r="B98" s="533">
        <v>2</v>
      </c>
      <c r="C98" s="546" t="s">
        <v>1629</v>
      </c>
      <c r="D98" s="1184" t="s">
        <v>1630</v>
      </c>
      <c r="E98" s="1190">
        <v>198.86363636363637</v>
      </c>
      <c r="F98" s="1190">
        <f>G111</f>
        <v>62.878033057851255</v>
      </c>
      <c r="G98" s="1190">
        <v>90</v>
      </c>
      <c r="H98" s="1190">
        <f>E111</f>
        <v>311.83662137404582</v>
      </c>
      <c r="I98" s="568">
        <v>37.5</v>
      </c>
      <c r="J98" s="568"/>
      <c r="K98" s="568"/>
      <c r="L98" s="568"/>
      <c r="M98" s="568"/>
      <c r="N98" s="568"/>
      <c r="O98" s="1501" t="s">
        <v>1591</v>
      </c>
      <c r="P98" s="1502"/>
      <c r="Q98" s="1503"/>
      <c r="R98" s="488"/>
    </row>
    <row r="99" spans="2:18" ht="26" x14ac:dyDescent="0.3">
      <c r="B99" s="533">
        <v>3</v>
      </c>
      <c r="C99" s="546" t="s">
        <v>1631</v>
      </c>
      <c r="D99" s="1184" t="s">
        <v>1632</v>
      </c>
      <c r="E99" s="1190">
        <v>284.09090909090907</v>
      </c>
      <c r="F99" s="1190">
        <f>G112</f>
        <v>102.68769230769227</v>
      </c>
      <c r="G99" s="1190">
        <v>120</v>
      </c>
      <c r="H99" s="1190">
        <f>E112</f>
        <v>457.30284552845518</v>
      </c>
      <c r="I99" s="568">
        <v>37.5</v>
      </c>
      <c r="J99" s="568"/>
      <c r="K99" s="568"/>
      <c r="L99" s="568"/>
      <c r="M99" s="568"/>
      <c r="N99" s="568"/>
      <c r="O99" s="1501" t="s">
        <v>1591</v>
      </c>
      <c r="P99" s="1502"/>
      <c r="Q99" s="1503"/>
      <c r="R99" s="488"/>
    </row>
    <row r="100" spans="2:18" ht="26" x14ac:dyDescent="0.3">
      <c r="B100" s="533">
        <v>4</v>
      </c>
      <c r="C100" s="546" t="s">
        <v>1625</v>
      </c>
      <c r="D100" s="1184" t="s">
        <v>1633</v>
      </c>
      <c r="E100" s="1190">
        <v>454.54545454545456</v>
      </c>
      <c r="F100" s="1190">
        <f>G113</f>
        <v>190.80802610966074</v>
      </c>
      <c r="G100" s="1190">
        <v>150</v>
      </c>
      <c r="H100" s="1190">
        <f>E113</f>
        <v>584.0938360864036</v>
      </c>
      <c r="I100" s="568">
        <v>37.5</v>
      </c>
      <c r="J100" s="568"/>
      <c r="K100" s="568"/>
      <c r="L100" s="568"/>
      <c r="M100" s="568"/>
      <c r="N100" s="568"/>
      <c r="O100" s="1501" t="s">
        <v>1591</v>
      </c>
      <c r="P100" s="1502"/>
      <c r="Q100" s="1503"/>
      <c r="R100" s="488"/>
    </row>
    <row r="101" spans="2:18" ht="13" x14ac:dyDescent="0.3">
      <c r="B101" s="533">
        <v>5</v>
      </c>
      <c r="C101" s="546"/>
      <c r="D101" s="1184"/>
      <c r="E101" s="1190"/>
      <c r="F101" s="1190"/>
      <c r="G101" s="1190"/>
      <c r="H101" s="1190"/>
      <c r="I101" s="568"/>
      <c r="J101" s="568"/>
      <c r="K101" s="568"/>
      <c r="L101" s="568"/>
      <c r="M101" s="568"/>
      <c r="N101" s="568"/>
      <c r="O101" s="1495"/>
      <c r="P101" s="1496"/>
      <c r="Q101" s="1497"/>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8.75" customHeight="1" x14ac:dyDescent="0.3">
      <c r="B107" s="980"/>
      <c r="C107" s="618"/>
      <c r="D107" s="618"/>
      <c r="E107" s="618"/>
      <c r="F107" s="618"/>
      <c r="G107" s="618"/>
      <c r="H107" s="618"/>
      <c r="I107" s="618"/>
      <c r="J107" s="618"/>
      <c r="K107" s="618"/>
      <c r="L107" s="618"/>
      <c r="M107" s="618"/>
      <c r="N107" s="618"/>
      <c r="O107" s="618"/>
      <c r="P107" s="618"/>
      <c r="Q107" s="618"/>
    </row>
    <row r="108" spans="2:18" ht="18.75" customHeight="1" x14ac:dyDescent="0.3">
      <c r="B108" s="980" t="s">
        <v>1543</v>
      </c>
      <c r="C108" s="618"/>
      <c r="D108" s="618"/>
      <c r="E108" s="618"/>
      <c r="F108" s="618"/>
      <c r="G108" s="618"/>
      <c r="H108" s="618"/>
      <c r="I108" s="618"/>
      <c r="J108" s="618"/>
      <c r="K108" s="618"/>
      <c r="L108" s="618"/>
      <c r="M108" s="618"/>
      <c r="N108" s="618"/>
      <c r="O108" s="618"/>
      <c r="P108" s="618"/>
      <c r="Q108" s="618"/>
    </row>
    <row r="109" spans="2:18" ht="50.25" customHeight="1" x14ac:dyDescent="0.3">
      <c r="B109" s="995" t="s">
        <v>1544</v>
      </c>
      <c r="C109" s="1014" t="s">
        <v>1545</v>
      </c>
      <c r="D109" s="1014" t="s">
        <v>1570</v>
      </c>
      <c r="E109" s="1014" t="s">
        <v>1546</v>
      </c>
      <c r="F109" s="1014" t="s">
        <v>1547</v>
      </c>
      <c r="G109" s="1014" t="s">
        <v>1569</v>
      </c>
      <c r="H109" s="618"/>
      <c r="I109" s="618"/>
      <c r="J109" s="618"/>
      <c r="K109" s="618"/>
      <c r="L109" s="618"/>
      <c r="M109" s="618"/>
      <c r="N109" s="618"/>
      <c r="O109" s="618"/>
      <c r="P109" s="618"/>
      <c r="Q109" s="618"/>
    </row>
    <row r="110" spans="2:18" ht="18.75" customHeight="1" x14ac:dyDescent="0.3">
      <c r="B110" s="1012" t="s">
        <v>1634</v>
      </c>
      <c r="C110" s="1015">
        <v>3490</v>
      </c>
      <c r="D110" s="1016">
        <v>117</v>
      </c>
      <c r="E110" s="1015">
        <v>190.42426923076923</v>
      </c>
      <c r="F110" s="1017">
        <v>113.60000000000024</v>
      </c>
      <c r="G110" s="1017">
        <v>36.051358974358976</v>
      </c>
      <c r="H110" s="618"/>
      <c r="I110" s="618"/>
      <c r="J110" s="618"/>
      <c r="K110" s="618"/>
      <c r="L110" s="618"/>
      <c r="M110" s="618"/>
      <c r="N110" s="618"/>
      <c r="O110" s="618"/>
      <c r="P110" s="618"/>
      <c r="Q110" s="618"/>
    </row>
    <row r="111" spans="2:18" ht="18.75" customHeight="1" x14ac:dyDescent="0.3">
      <c r="B111" s="1012" t="s">
        <v>1635</v>
      </c>
      <c r="C111" s="1015">
        <v>2525</v>
      </c>
      <c r="D111" s="1016">
        <v>121</v>
      </c>
      <c r="E111" s="1015">
        <v>311.83662137404582</v>
      </c>
      <c r="F111" s="1017">
        <v>198.90000000000038</v>
      </c>
      <c r="G111" s="1017">
        <v>62.878033057851255</v>
      </c>
      <c r="H111" s="618"/>
      <c r="I111" s="618"/>
      <c r="J111" s="618"/>
      <c r="K111" s="618"/>
      <c r="L111" s="618"/>
      <c r="M111" s="618"/>
      <c r="N111" s="618"/>
      <c r="O111" s="618"/>
      <c r="P111" s="618"/>
      <c r="Q111" s="618"/>
    </row>
    <row r="112" spans="2:18" ht="18.75" customHeight="1" x14ac:dyDescent="0.3">
      <c r="B112" s="1012" t="s">
        <v>1636</v>
      </c>
      <c r="C112" s="1015">
        <v>1558</v>
      </c>
      <c r="D112" s="1016">
        <v>117</v>
      </c>
      <c r="E112" s="1015">
        <v>457.30284552845518</v>
      </c>
      <c r="F112" s="1017">
        <v>284.0999999999994</v>
      </c>
      <c r="G112" s="1017">
        <v>102.68769230769227</v>
      </c>
      <c r="H112" s="618"/>
      <c r="I112" s="618"/>
      <c r="J112" s="618"/>
      <c r="K112" s="618"/>
      <c r="L112" s="618"/>
      <c r="M112" s="618"/>
      <c r="N112" s="618"/>
      <c r="O112" s="618"/>
      <c r="P112" s="618"/>
      <c r="Q112" s="618"/>
    </row>
    <row r="113" spans="2:17" ht="18.75" customHeight="1" x14ac:dyDescent="0.3">
      <c r="B113" s="1012" t="s">
        <v>1637</v>
      </c>
      <c r="C113" s="1015">
        <v>9458</v>
      </c>
      <c r="D113" s="1016">
        <v>766</v>
      </c>
      <c r="E113" s="1015">
        <v>584.0938360864036</v>
      </c>
      <c r="F113" s="1017">
        <v>454.5</v>
      </c>
      <c r="G113" s="1017">
        <v>190.80802610966074</v>
      </c>
      <c r="H113" s="618"/>
      <c r="I113" s="618"/>
      <c r="J113" s="618"/>
      <c r="K113" s="618"/>
      <c r="L113" s="618"/>
      <c r="M113" s="618"/>
      <c r="N113" s="618"/>
      <c r="O113" s="618"/>
      <c r="P113" s="618"/>
      <c r="Q113" s="618"/>
    </row>
    <row r="114" spans="2:17" ht="18.75" customHeight="1" x14ac:dyDescent="0.3">
      <c r="B114" s="980"/>
      <c r="C114" s="618"/>
      <c r="D114" s="618"/>
      <c r="E114" s="618"/>
      <c r="F114" s="618"/>
      <c r="G114" s="618"/>
      <c r="H114" s="618"/>
      <c r="I114" s="618"/>
      <c r="J114" s="618"/>
      <c r="K114" s="618"/>
      <c r="L114" s="618"/>
      <c r="M114" s="618"/>
      <c r="N114" s="618"/>
      <c r="O114" s="618"/>
      <c r="P114" s="618"/>
      <c r="Q114" s="618"/>
    </row>
    <row r="115" spans="2:17" ht="18.75" customHeight="1" x14ac:dyDescent="0.3">
      <c r="B115" s="980"/>
      <c r="C115" s="618"/>
      <c r="D115" s="618"/>
      <c r="E115" s="618"/>
      <c r="F115" s="618"/>
      <c r="G115" s="618"/>
      <c r="H115" s="618"/>
      <c r="I115" s="618"/>
      <c r="J115" s="618"/>
      <c r="K115" s="618"/>
      <c r="L115" s="618"/>
      <c r="M115" s="618"/>
      <c r="N115" s="618"/>
      <c r="O115" s="618"/>
      <c r="P115" s="618"/>
      <c r="Q115" s="618"/>
    </row>
    <row r="116" spans="2:17" ht="18.75" customHeight="1" x14ac:dyDescent="0.3">
      <c r="B116" s="980"/>
      <c r="C116" s="618"/>
      <c r="D116" s="618"/>
      <c r="E116" s="618"/>
      <c r="F116" s="618"/>
      <c r="G116" s="618"/>
      <c r="H116" s="618"/>
      <c r="I116" s="618"/>
      <c r="J116" s="618"/>
      <c r="K116" s="618"/>
      <c r="L116" s="618"/>
      <c r="M116" s="618"/>
      <c r="N116" s="618"/>
      <c r="O116" s="618"/>
      <c r="P116" s="618"/>
      <c r="Q116" s="618"/>
    </row>
  </sheetData>
  <sheetProtection algorithmName="SHA-512" hashValue="icj8AhAnaCjmO8uCylPgxPhnGPVqbBkYFp1wWmyIztQb08iOS/fd0WOYLXYYuNd9u8hHAyZDTYBzY62xU2wscQ==" saltValue="QhgkkyTFiQz1l6Y6f1aZkw==" spinCount="100000" sheet="1" objects="1" scenarios="1" selectLockedCells="1" selectUnlockedCells="1"/>
  <mergeCells count="111">
    <mergeCell ref="E94:N94"/>
    <mergeCell ref="O94:Q96"/>
    <mergeCell ref="F80:Q80"/>
    <mergeCell ref="F81:Q81"/>
    <mergeCell ref="F82:Q82"/>
    <mergeCell ref="F83:Q83"/>
    <mergeCell ref="F84:Q84"/>
    <mergeCell ref="F85:Q85"/>
    <mergeCell ref="F86:Q86"/>
    <mergeCell ref="F87:Q87"/>
    <mergeCell ref="F88:Q88"/>
    <mergeCell ref="F89:Q89"/>
    <mergeCell ref="F90:Q90"/>
    <mergeCell ref="O101:Q101"/>
    <mergeCell ref="O102:Q102"/>
    <mergeCell ref="O103:Q103"/>
    <mergeCell ref="O104:Q104"/>
    <mergeCell ref="O105:Q105"/>
    <mergeCell ref="O106:Q106"/>
    <mergeCell ref="B95:D95"/>
    <mergeCell ref="C96:D96"/>
    <mergeCell ref="O97:Q97"/>
    <mergeCell ref="O98:Q98"/>
    <mergeCell ref="O99:Q99"/>
    <mergeCell ref="O100:Q100"/>
    <mergeCell ref="D67:E67"/>
    <mergeCell ref="J67:Q67"/>
    <mergeCell ref="D68:E68"/>
    <mergeCell ref="J68:Q68"/>
    <mergeCell ref="D69:E69"/>
    <mergeCell ref="J69:Q69"/>
    <mergeCell ref="D70:E70"/>
    <mergeCell ref="J70:Q70"/>
    <mergeCell ref="D72:E72"/>
    <mergeCell ref="J72:Q72"/>
    <mergeCell ref="D73:E73"/>
    <mergeCell ref="J73:Q73"/>
    <mergeCell ref="D74:E74"/>
    <mergeCell ref="J74:Q74"/>
    <mergeCell ref="D75:E75"/>
    <mergeCell ref="J75:Q75"/>
    <mergeCell ref="D71:E71"/>
    <mergeCell ref="J71:Q71"/>
    <mergeCell ref="D76:E76"/>
    <mergeCell ref="J76:Q76"/>
    <mergeCell ref="J65:Q65"/>
    <mergeCell ref="D65:E65"/>
    <mergeCell ref="D66:E66"/>
    <mergeCell ref="J66:Q66"/>
    <mergeCell ref="C51:M51"/>
    <mergeCell ref="P51:Q51"/>
    <mergeCell ref="C53:M53"/>
    <mergeCell ref="P53:Q53"/>
    <mergeCell ref="D63:E63"/>
    <mergeCell ref="J63:Q63"/>
    <mergeCell ref="D64:E64"/>
    <mergeCell ref="J64:Q64"/>
    <mergeCell ref="C57:M57"/>
    <mergeCell ref="P57:Q57"/>
    <mergeCell ref="D61:E61"/>
    <mergeCell ref="J61:Q61"/>
    <mergeCell ref="D62:E62"/>
    <mergeCell ref="J62:Q62"/>
    <mergeCell ref="C54:M54"/>
    <mergeCell ref="P54:Q54"/>
    <mergeCell ref="C55:M55"/>
    <mergeCell ref="P55:Q55"/>
    <mergeCell ref="C56:M56"/>
    <mergeCell ref="P56:Q56"/>
    <mergeCell ref="D28:Q28"/>
    <mergeCell ref="E32:Q32"/>
    <mergeCell ref="E33:Q33"/>
    <mergeCell ref="E34:Q34"/>
    <mergeCell ref="C47:M47"/>
    <mergeCell ref="P47:Q47"/>
    <mergeCell ref="C48:M48"/>
    <mergeCell ref="P48:Q48"/>
    <mergeCell ref="C49:M49"/>
    <mergeCell ref="P49:Q49"/>
    <mergeCell ref="C43:M43"/>
    <mergeCell ref="P43:Q43"/>
    <mergeCell ref="C44:M44"/>
    <mergeCell ref="P44:Q44"/>
    <mergeCell ref="C45:M45"/>
    <mergeCell ref="P45:Q45"/>
    <mergeCell ref="C42:M42"/>
    <mergeCell ref="P42:Q42"/>
    <mergeCell ref="C50:M50"/>
    <mergeCell ref="P50:Q50"/>
    <mergeCell ref="D29:Q29"/>
    <mergeCell ref="D30:Q30"/>
    <mergeCell ref="C2:F2"/>
    <mergeCell ref="C3:F3"/>
    <mergeCell ref="C4:F4"/>
    <mergeCell ref="D7:F7"/>
    <mergeCell ref="D17:F17"/>
    <mergeCell ref="D18:F18"/>
    <mergeCell ref="D8:F16"/>
    <mergeCell ref="C5:F5"/>
    <mergeCell ref="B20:Q20"/>
    <mergeCell ref="C21:Q21"/>
    <mergeCell ref="C22:Q22"/>
    <mergeCell ref="C23:Q23"/>
    <mergeCell ref="D25:Q25"/>
    <mergeCell ref="E35:Q35"/>
    <mergeCell ref="E36:Q36"/>
    <mergeCell ref="E37:Q37"/>
    <mergeCell ref="C41:M41"/>
    <mergeCell ref="P41:Q41"/>
    <mergeCell ref="D26:Q26"/>
    <mergeCell ref="D27:Q27"/>
  </mergeCells>
  <conditionalFormatting sqref="H69:H70">
    <cfRule type="expression" dxfId="2447" priority="52">
      <formula>IF(OR(#REF!="L",#REF!="C"),TRUE,FALSE)</formula>
    </cfRule>
  </conditionalFormatting>
  <conditionalFormatting sqref="G102:G106 H104:H106">
    <cfRule type="expression" dxfId="2446" priority="44">
      <formula>IF(OR(#REF!="L",#REF!="C"),TRUE,FALSE)</formula>
    </cfRule>
  </conditionalFormatting>
  <conditionalFormatting sqref="E106">
    <cfRule type="expression" dxfId="2445" priority="39">
      <formula>IF(OR(#REF!="L",#REF!="C"),TRUE,FALSE)</formula>
    </cfRule>
  </conditionalFormatting>
  <conditionalFormatting sqref="H68">
    <cfRule type="expression" dxfId="2444" priority="45">
      <formula>IF(OR(#REF!="L",#REF!="C"),TRUE,FALSE)</formula>
    </cfRule>
  </conditionalFormatting>
  <conditionalFormatting sqref="E95 G95 I95 K95 M95">
    <cfRule type="duplicateValues" dxfId="2443" priority="38"/>
  </conditionalFormatting>
  <conditionalFormatting sqref="M104:M106">
    <cfRule type="expression" dxfId="2442" priority="28">
      <formula>IF(OR(#REF!="L",#REF!="C"),TRUE,FALSE)</formula>
    </cfRule>
  </conditionalFormatting>
  <conditionalFormatting sqref="F102:F106">
    <cfRule type="expression" dxfId="2441" priority="37">
      <formula>IF(OR(#REF!="L",#REF!="C"),TRUE,FALSE)</formula>
    </cfRule>
  </conditionalFormatting>
  <conditionalFormatting sqref="I102:I103">
    <cfRule type="expression" dxfId="2440" priority="35">
      <formula>IF(OR(#REF!="L",#REF!="C"),TRUE,FALSE)</formula>
    </cfRule>
  </conditionalFormatting>
  <conditionalFormatting sqref="N102:N103">
    <cfRule type="expression" dxfId="2439" priority="25">
      <formula>IF(OR(#REF!="L",#REF!="C"),TRUE,FALSE)</formula>
    </cfRule>
  </conditionalFormatting>
  <conditionalFormatting sqref="I104:I106">
    <cfRule type="expression" dxfId="2438" priority="36">
      <formula>IF(OR(#REF!="L",#REF!="C"),TRUE,FALSE)</formula>
    </cfRule>
  </conditionalFormatting>
  <conditionalFormatting sqref="J102:J103">
    <cfRule type="expression" dxfId="2437" priority="33">
      <formula>IF(OR(#REF!="L",#REF!="C"),TRUE,FALSE)</formula>
    </cfRule>
  </conditionalFormatting>
  <conditionalFormatting sqref="J104:J106">
    <cfRule type="expression" dxfId="2436" priority="34">
      <formula>IF(OR(#REF!="L",#REF!="C"),TRUE,FALSE)</formula>
    </cfRule>
  </conditionalFormatting>
  <conditionalFormatting sqref="K102:K103">
    <cfRule type="expression" dxfId="2435" priority="31">
      <formula>IF(OR(#REF!="L",#REF!="C"),TRUE,FALSE)</formula>
    </cfRule>
  </conditionalFormatting>
  <conditionalFormatting sqref="K104:K106">
    <cfRule type="expression" dxfId="2434" priority="32">
      <formula>IF(OR(#REF!="L",#REF!="C"),TRUE,FALSE)</formula>
    </cfRule>
  </conditionalFormatting>
  <conditionalFormatting sqref="L102:L103">
    <cfRule type="expression" dxfId="2433" priority="29">
      <formula>IF(OR(#REF!="L",#REF!="C"),TRUE,FALSE)</formula>
    </cfRule>
  </conditionalFormatting>
  <conditionalFormatting sqref="L104:L106">
    <cfRule type="expression" dxfId="2432" priority="30">
      <formula>IF(OR(#REF!="L",#REF!="C"),TRUE,FALSE)</formula>
    </cfRule>
  </conditionalFormatting>
  <conditionalFormatting sqref="M102:M103">
    <cfRule type="expression" dxfId="2431" priority="27">
      <formula>IF(OR(#REF!="L",#REF!="C"),TRUE,FALSE)</formula>
    </cfRule>
  </conditionalFormatting>
  <conditionalFormatting sqref="N104:N106">
    <cfRule type="expression" dxfId="2430" priority="26">
      <formula>IF(OR(#REF!="L",#REF!="C"),TRUE,FALSE)</formula>
    </cfRule>
  </conditionalFormatting>
  <conditionalFormatting sqref="O102:O103">
    <cfRule type="expression" dxfId="2429" priority="21">
      <formula>IF(OR(#REF!="L",#REF!="C"),TRUE,FALSE)</formula>
    </cfRule>
  </conditionalFormatting>
  <conditionalFormatting sqref="O104:O106">
    <cfRule type="expression" dxfId="2428" priority="22">
      <formula>IF(OR(#REF!="L",#REF!="C"),TRUE,FALSE)</formula>
    </cfRule>
  </conditionalFormatting>
  <conditionalFormatting sqref="J96:N96">
    <cfRule type="duplicateValues" dxfId="2427" priority="20"/>
  </conditionalFormatting>
  <conditionalFormatting sqref="E96:F96">
    <cfRule type="duplicateValues" dxfId="2426" priority="19"/>
  </conditionalFormatting>
  <conditionalFormatting sqref="G96:H96">
    <cfRule type="duplicateValues" dxfId="2425" priority="18"/>
  </conditionalFormatting>
  <conditionalFormatting sqref="I96">
    <cfRule type="duplicateValues" dxfId="2424" priority="17"/>
  </conditionalFormatting>
  <conditionalFormatting sqref="H70">
    <cfRule type="expression" dxfId="2423" priority="16">
      <formula>IF(OR(#REF!="L",#REF!="C"),TRUE,FALSE)</formula>
    </cfRule>
  </conditionalFormatting>
  <conditionalFormatting sqref="H66">
    <cfRule type="expression" dxfId="2422" priority="13">
      <formula>IF(OR(#REF!="L",#REF!="C"),TRUE,FALSE)</formula>
    </cfRule>
  </conditionalFormatting>
  <conditionalFormatting sqref="H62">
    <cfRule type="expression" dxfId="2421" priority="12">
      <formula>IF(OR(#REF!="L",#REF!="C"),TRUE,FALSE)</formula>
    </cfRule>
  </conditionalFormatting>
  <conditionalFormatting sqref="H64">
    <cfRule type="expression" dxfId="2420" priority="11">
      <formula>IF(OR(#REF!="L",#REF!="C"),TRUE,FALSE)</formula>
    </cfRule>
  </conditionalFormatting>
  <conditionalFormatting sqref="H63">
    <cfRule type="expression" dxfId="2419" priority="10">
      <formula>IF(OR(#REF!="L",#REF!="C"),TRUE,FALSE)</formula>
    </cfRule>
  </conditionalFormatting>
  <conditionalFormatting sqref="H71">
    <cfRule type="expression" dxfId="2418" priority="9">
      <formula>IF(OR(#REF!="L",#REF!="C"),TRUE,FALSE)</formula>
    </cfRule>
  </conditionalFormatting>
  <conditionalFormatting sqref="H72">
    <cfRule type="expression" dxfId="2417" priority="8">
      <formula>IF(OR(#REF!="L",#REF!="C"),TRUE,FALSE)</formula>
    </cfRule>
  </conditionalFormatting>
  <conditionalFormatting sqref="H73">
    <cfRule type="expression" dxfId="2416" priority="7">
      <formula>IF(OR(#REF!="L",#REF!="C"),TRUE,FALSE)</formula>
    </cfRule>
  </conditionalFormatting>
  <conditionalFormatting sqref="H74">
    <cfRule type="expression" dxfId="2415" priority="6">
      <formula>IF(OR(#REF!="L",#REF!="C"),TRUE,FALSE)</formula>
    </cfRule>
  </conditionalFormatting>
  <conditionalFormatting sqref="H75">
    <cfRule type="expression" dxfId="2414" priority="4">
      <formula>IF(OR(#REF!="L",#REF!="C"),TRUE,FALSE)</formula>
    </cfRule>
  </conditionalFormatting>
  <conditionalFormatting sqref="H65">
    <cfRule type="expression" dxfId="2413" priority="2">
      <formula>IF(OR(#REF!="L",#REF!="C"),TRUE,FALSE)</formula>
    </cfRule>
  </conditionalFormatting>
  <conditionalFormatting sqref="H76">
    <cfRule type="expression" dxfId="2412" priority="1">
      <formula>IF(OR(#REF!="L",#REF!="C"),TRUE,FALSE)</formula>
    </cfRule>
  </conditionalFormatting>
  <dataValidations count="9">
    <dataValidation type="list" allowBlank="1" showInputMessage="1" showErrorMessage="1" sqref="F70" xr:uid="{EB543698-B934-410D-9BAC-9502ACEE7FEC}">
      <formula1>#REF!</formula1>
    </dataValidation>
    <dataValidation type="list" allowBlank="1" showInputMessage="1" showErrorMessage="1" sqref="C4" xr:uid="{A9ADAB5E-9F62-4A1E-9AD9-20E6BD2ED739}">
      <formula1>"COM,RES"</formula1>
    </dataValidation>
    <dataValidation type="list" allowBlank="1" showInputMessage="1" showErrorMessage="1" sqref="H67 F62:F63" xr:uid="{54DDC8EC-F26D-4E5B-A64E-D1ACEC96B963}">
      <formula1>$C$97:$C$106</formula1>
    </dataValidation>
    <dataValidation type="list" allowBlank="1" showInputMessage="1" showErrorMessage="1" sqref="F71:F73" xr:uid="{0B6CE742-C28C-4A64-91E7-0BE08218E039}">
      <formula1>$C$102:$C$106</formula1>
    </dataValidation>
    <dataValidation type="list" allowBlank="1" showInputMessage="1" showErrorMessage="1" sqref="C9" xr:uid="{A3CD4052-8AED-44E9-9FC4-E6BD1CC5199D}">
      <formula1>INDIRECT("MeasureTypeList[Index]")</formula1>
    </dataValidation>
    <dataValidation type="list" allowBlank="1" showInputMessage="1" showErrorMessage="1" sqref="C26" xr:uid="{A6C3852C-A8E7-4B74-9F81-6F90895788B3}">
      <formula1>INDIRECT("RegionList[Index]")</formula1>
    </dataValidation>
    <dataValidation type="list" allowBlank="1" showInputMessage="1" showErrorMessage="1" sqref="C27" xr:uid="{9204E0CE-4B74-4D95-B2B2-863CF55002D3}">
      <formula1>INDIRECT("ReplacementTypeList[Index]")</formula1>
    </dataValidation>
    <dataValidation type="list" allowBlank="1" showInputMessage="1" showErrorMessage="1" sqref="C28" xr:uid="{9FBEBD78-89E4-42D5-970E-8E3CF0C54707}">
      <formula1>INDIRECT("BuildingType[Building]")</formula1>
    </dataValidation>
    <dataValidation type="list" allowBlank="1" showInputMessage="1" showErrorMessage="1" sqref="C29 C30" xr:uid="{31193A16-3AC1-406C-8161-CA1DDAAAA9E8}">
      <formula1>INDIRECT("FuelTypeList[Index]")</formula1>
    </dataValidation>
  </dataValidations>
  <hyperlinks>
    <hyperlink ref="F82" r:id="rId1" xr:uid="{81CC7BCA-40D4-49E2-8BB7-76B374F43C6B}"/>
    <hyperlink ref="F83" r:id="rId2" xr:uid="{875D5432-B712-4171-8993-D7001BF8032C}"/>
    <hyperlink ref="F85" r:id="rId3" xr:uid="{74CA5DEB-F427-4942-AD9E-17B498B62B7B}"/>
    <hyperlink ref="F84" r:id="rId4" xr:uid="{BB950284-FCC0-4FD4-A6F0-E86CBD1879B2}"/>
  </hyperlinks>
  <pageMargins left="0.7" right="0.7" top="0.75" bottom="0.75" header="0.3" footer="0.3"/>
  <pageSetup orientation="portrait" r:id="rId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921F6-A5A7-4542-AED8-A0ED2D2E5801}">
  <sheetPr codeName="Sheet385"/>
  <dimension ref="A2:R116"/>
  <sheetViews>
    <sheetView workbookViewId="0">
      <selection activeCell="D19" sqref="D19"/>
    </sheetView>
  </sheetViews>
  <sheetFormatPr defaultColWidth="9.08984375" defaultRowHeight="18.75" customHeight="1" x14ac:dyDescent="0.3"/>
  <cols>
    <col min="1" max="1" width="2.36328125" style="488" customWidth="1"/>
    <col min="2" max="2" width="44.36328125" style="488" bestFit="1" customWidth="1"/>
    <col min="3" max="3" width="21.08984375" style="488" customWidth="1"/>
    <col min="4" max="4" width="21.6328125" style="488" customWidth="1"/>
    <col min="5" max="5" width="14.36328125" style="488" customWidth="1"/>
    <col min="6" max="6" width="15.6328125" style="488" customWidth="1"/>
    <col min="7" max="7" width="19.6328125" style="488" customWidth="1"/>
    <col min="8" max="8" width="16"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C-L-009</v>
      </c>
      <c r="D3" s="1367"/>
      <c r="E3" s="1367"/>
      <c r="F3" s="1367"/>
    </row>
    <row r="4" spans="1:18" ht="18.75" customHeight="1" x14ac:dyDescent="0.3">
      <c r="B4" s="490" t="s">
        <v>11</v>
      </c>
      <c r="C4" s="1367" t="str" cm="1">
        <f t="array" ref="C4">_xlfn.SWITCH(LEFT(C8,1),"R","Residential","C","Commercial","ERROR")</f>
        <v>Commercial</v>
      </c>
      <c r="D4" s="1367"/>
      <c r="E4" s="1367"/>
      <c r="F4" s="1367"/>
    </row>
    <row r="5" spans="1:18" ht="44.25" customHeight="1" x14ac:dyDescent="0.3">
      <c r="B5" s="490" t="s">
        <v>408</v>
      </c>
      <c r="C5" s="1530" t="s">
        <v>272</v>
      </c>
      <c r="D5" s="1531"/>
      <c r="E5" s="1531"/>
      <c r="F5" s="1532"/>
      <c r="R5" s="488"/>
    </row>
    <row r="6" spans="1:18" ht="18.75" customHeight="1" x14ac:dyDescent="0.3">
      <c r="A6" s="573"/>
    </row>
    <row r="7" spans="1:18" ht="18.75" customHeight="1" x14ac:dyDescent="0.3">
      <c r="B7" s="1193" t="s">
        <v>507</v>
      </c>
      <c r="C7" s="493" t="s">
        <v>406</v>
      </c>
      <c r="D7" s="1366" t="s">
        <v>410</v>
      </c>
      <c r="E7" s="1366"/>
      <c r="F7" s="1366"/>
      <c r="R7" s="488"/>
    </row>
    <row r="8" spans="1:18" ht="18.75" customHeight="1" x14ac:dyDescent="0.3">
      <c r="B8" s="490" t="s">
        <v>411</v>
      </c>
      <c r="C8" s="1194" t="s">
        <v>118</v>
      </c>
      <c r="D8" s="1521"/>
      <c r="E8" s="1522"/>
      <c r="F8" s="1523"/>
      <c r="R8" s="488"/>
    </row>
    <row r="9" spans="1:18" ht="18.75" customHeight="1" x14ac:dyDescent="0.3">
      <c r="B9" s="490" t="s">
        <v>49</v>
      </c>
      <c r="C9" s="1194" t="s">
        <v>1638</v>
      </c>
      <c r="D9" s="1524"/>
      <c r="E9" s="1525"/>
      <c r="F9" s="1526"/>
      <c r="R9" s="488"/>
    </row>
    <row r="10" spans="1:18" ht="18.75" customHeight="1" x14ac:dyDescent="0.3">
      <c r="B10" s="490" t="s">
        <v>412</v>
      </c>
      <c r="C10" s="1194"/>
      <c r="D10" s="1524"/>
      <c r="E10" s="1525"/>
      <c r="F10" s="1526"/>
      <c r="R10" s="488"/>
    </row>
    <row r="11" spans="1:18" ht="18.75" customHeight="1" x14ac:dyDescent="0.3">
      <c r="B11" s="490" t="s">
        <v>413</v>
      </c>
      <c r="C11" s="1194"/>
      <c r="D11" s="1524"/>
      <c r="E11" s="1525"/>
      <c r="F11" s="1526"/>
      <c r="R11" s="488"/>
    </row>
    <row r="12" spans="1:18" ht="18.75" customHeight="1" x14ac:dyDescent="0.3">
      <c r="B12" s="490" t="s">
        <v>414</v>
      </c>
      <c r="C12" s="602"/>
      <c r="D12" s="1524"/>
      <c r="E12" s="1525"/>
      <c r="F12" s="1526"/>
      <c r="R12" s="488"/>
    </row>
    <row r="13" spans="1:18" ht="18.75" customHeight="1" x14ac:dyDescent="0.3">
      <c r="B13" s="494" t="s">
        <v>415</v>
      </c>
      <c r="C13" s="495">
        <f>N43</f>
        <v>174.44339999999997</v>
      </c>
      <c r="D13" s="1524"/>
      <c r="E13" s="1525"/>
      <c r="F13" s="1526"/>
      <c r="R13" s="488"/>
    </row>
    <row r="14" spans="1:18" ht="18.75" customHeight="1" x14ac:dyDescent="0.3">
      <c r="B14" s="494" t="s">
        <v>416</v>
      </c>
      <c r="C14" s="495">
        <f>N42</f>
        <v>0</v>
      </c>
      <c r="D14" s="1524"/>
      <c r="E14" s="1525"/>
      <c r="F14" s="1526"/>
      <c r="R14" s="488"/>
    </row>
    <row r="15" spans="1:18" ht="18.75" customHeight="1" x14ac:dyDescent="0.3">
      <c r="B15" s="494" t="s">
        <v>417</v>
      </c>
      <c r="C15" s="495">
        <f>N44</f>
        <v>-0.27605668049999993</v>
      </c>
      <c r="D15" s="1524"/>
      <c r="E15" s="1525"/>
      <c r="F15" s="1526"/>
      <c r="R15" s="488"/>
    </row>
    <row r="16" spans="1:18" ht="18.75" customHeight="1" x14ac:dyDescent="0.3">
      <c r="B16" s="494" t="s">
        <v>418</v>
      </c>
      <c r="C16" s="496">
        <f>C37</f>
        <v>0</v>
      </c>
      <c r="D16" s="1527"/>
      <c r="E16" s="1528"/>
      <c r="F16" s="1529"/>
      <c r="R16" s="488"/>
    </row>
    <row r="17" spans="2:18" ht="18.75" customHeight="1" x14ac:dyDescent="0.3">
      <c r="B17" s="490" t="s">
        <v>48</v>
      </c>
      <c r="C17" s="1194" t="s">
        <v>1639</v>
      </c>
      <c r="D17" s="1366" t="s">
        <v>419</v>
      </c>
      <c r="E17" s="1366"/>
      <c r="F17" s="1366"/>
      <c r="R17" s="488"/>
    </row>
    <row r="18" spans="2:18" ht="18.75" customHeight="1" x14ac:dyDescent="0.3">
      <c r="B18" s="490" t="s">
        <v>420</v>
      </c>
      <c r="C18" s="541">
        <v>15</v>
      </c>
      <c r="D18" s="1648" t="s">
        <v>2861</v>
      </c>
      <c r="E18" s="1648"/>
      <c r="F18" s="1648"/>
      <c r="R18" s="488"/>
    </row>
    <row r="19" spans="2:18" ht="18.75" customHeight="1" x14ac:dyDescent="0.3">
      <c r="B19" s="613"/>
      <c r="C19" s="614"/>
      <c r="F19" s="489"/>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18.75" customHeight="1" x14ac:dyDescent="0.3">
      <c r="B21" s="499" t="s">
        <v>422</v>
      </c>
      <c r="C21" s="1546" t="s">
        <v>273</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36" t="s">
        <v>274</v>
      </c>
      <c r="D22" s="1536"/>
      <c r="E22" s="1536"/>
      <c r="F22" s="1536"/>
      <c r="G22" s="1536"/>
      <c r="H22" s="1536"/>
      <c r="I22" s="1536"/>
      <c r="J22" s="1536"/>
      <c r="K22" s="1536"/>
      <c r="L22" s="1536"/>
      <c r="M22" s="1536"/>
      <c r="N22" s="1536"/>
      <c r="O22" s="1536"/>
      <c r="P22" s="1536"/>
      <c r="Q22" s="1536"/>
      <c r="R22" s="488"/>
    </row>
    <row r="23" spans="2:18" ht="20.25" customHeight="1"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512"/>
      <c r="F33" s="1512"/>
      <c r="G33" s="1512"/>
      <c r="H33" s="1512"/>
      <c r="I33" s="1512"/>
      <c r="J33" s="1512"/>
      <c r="K33" s="1512"/>
      <c r="L33" s="1512"/>
      <c r="M33" s="1512"/>
      <c r="N33" s="1512"/>
      <c r="O33" s="1512"/>
      <c r="P33" s="1512"/>
      <c r="Q33" s="1512"/>
      <c r="R33" s="488"/>
    </row>
    <row r="34" spans="2:18" ht="18.75" customHeight="1" x14ac:dyDescent="0.3">
      <c r="B34" s="494" t="s">
        <v>431</v>
      </c>
      <c r="C34" s="542"/>
      <c r="D34" s="586" t="s">
        <v>430</v>
      </c>
      <c r="E34" s="1475"/>
      <c r="F34" s="1476"/>
      <c r="G34" s="1476"/>
      <c r="H34" s="1476"/>
      <c r="I34" s="1476"/>
      <c r="J34" s="1476"/>
      <c r="K34" s="1476"/>
      <c r="L34" s="1476"/>
      <c r="M34" s="1476"/>
      <c r="N34" s="1476"/>
      <c r="O34" s="1476"/>
      <c r="P34" s="1476"/>
      <c r="Q34" s="1477"/>
    </row>
    <row r="35" spans="2:18" ht="18.75" customHeight="1" x14ac:dyDescent="0.3">
      <c r="B35" s="490" t="s">
        <v>432</v>
      </c>
      <c r="C35" s="542"/>
      <c r="D35" s="586" t="s">
        <v>430</v>
      </c>
      <c r="E35" s="1475"/>
      <c r="F35" s="1476"/>
      <c r="G35" s="1476"/>
      <c r="H35" s="1476"/>
      <c r="I35" s="1476"/>
      <c r="J35" s="1476"/>
      <c r="K35" s="1476"/>
      <c r="L35" s="1476"/>
      <c r="M35" s="1476"/>
      <c r="N35" s="1476"/>
      <c r="O35" s="1476"/>
      <c r="P35" s="1476"/>
      <c r="Q35" s="1477"/>
    </row>
    <row r="36" spans="2:18" ht="18.75" customHeight="1" x14ac:dyDescent="0.3">
      <c r="B36" s="494" t="s">
        <v>433</v>
      </c>
      <c r="C36" s="905">
        <f>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905">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174.44339999999997</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-0.27605668049999993</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1560</v>
      </c>
      <c r="D49" s="1505"/>
      <c r="E49" s="1505"/>
      <c r="F49" s="1505"/>
      <c r="G49" s="1505"/>
      <c r="H49" s="1505"/>
      <c r="I49" s="1505"/>
      <c r="J49" s="1505"/>
      <c r="K49" s="1505"/>
      <c r="L49" s="1505"/>
      <c r="M49" s="1506"/>
      <c r="N49" s="592">
        <f>(H62-H63)/1000*H64</f>
        <v>174.44339999999997</v>
      </c>
      <c r="O49" s="1243" t="s">
        <v>443</v>
      </c>
      <c r="P49" s="1511"/>
      <c r="Q49" s="1511"/>
      <c r="R49" s="488"/>
    </row>
    <row r="50" spans="2:18" ht="18.75" customHeight="1" x14ac:dyDescent="0.3">
      <c r="B50" s="582" t="s">
        <v>456</v>
      </c>
      <c r="C50" s="1504" t="s">
        <v>457</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1524</v>
      </c>
      <c r="D56" s="1505"/>
      <c r="E56" s="1505"/>
      <c r="F56" s="1505"/>
      <c r="G56" s="1505"/>
      <c r="H56" s="1505"/>
      <c r="I56" s="1505"/>
      <c r="J56" s="1505"/>
      <c r="K56" s="1505"/>
      <c r="L56" s="1505"/>
      <c r="M56" s="1506"/>
      <c r="N56" s="1000">
        <f>N49*H65</f>
        <v>-0.27605668049999993</v>
      </c>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506" t="s">
        <v>406</v>
      </c>
      <c r="I61" s="506" t="s">
        <v>428</v>
      </c>
      <c r="J61" s="1396" t="s">
        <v>476</v>
      </c>
      <c r="K61" s="1397"/>
      <c r="L61" s="1397"/>
      <c r="M61" s="1397"/>
      <c r="N61" s="1397"/>
      <c r="O61" s="1397"/>
      <c r="P61" s="1397"/>
      <c r="Q61" s="1398"/>
    </row>
    <row r="62" spans="2:18" ht="15" customHeight="1" x14ac:dyDescent="0.3">
      <c r="B62" s="535">
        <v>1</v>
      </c>
      <c r="C62" s="551" t="s">
        <v>722</v>
      </c>
      <c r="D62" s="1543" t="s">
        <v>723</v>
      </c>
      <c r="E62" s="1543"/>
      <c r="F62" s="552"/>
      <c r="G62" s="552"/>
      <c r="H62" s="1035">
        <v>23</v>
      </c>
      <c r="I62" s="552" t="s">
        <v>726</v>
      </c>
      <c r="J62" s="1482" t="s">
        <v>1561</v>
      </c>
      <c r="K62" s="1484"/>
      <c r="L62" s="1484"/>
      <c r="M62" s="1484"/>
      <c r="N62" s="1484"/>
      <c r="O62" s="1484"/>
      <c r="P62" s="1484"/>
      <c r="Q62" s="1483"/>
      <c r="R62" s="488"/>
    </row>
    <row r="63" spans="2:18" ht="15" customHeight="1" x14ac:dyDescent="0.3">
      <c r="B63" s="535">
        <v>2</v>
      </c>
      <c r="C63" s="551" t="s">
        <v>728</v>
      </c>
      <c r="D63" s="1543" t="s">
        <v>729</v>
      </c>
      <c r="E63" s="1543"/>
      <c r="F63" s="552"/>
      <c r="G63" s="552"/>
      <c r="H63" s="1035">
        <v>3.1</v>
      </c>
      <c r="I63" s="552" t="s">
        <v>726</v>
      </c>
      <c r="J63" s="1482" t="s">
        <v>1561</v>
      </c>
      <c r="K63" s="1484"/>
      <c r="L63" s="1484"/>
      <c r="M63" s="1484"/>
      <c r="N63" s="1484"/>
      <c r="O63" s="1484"/>
      <c r="P63" s="1484"/>
      <c r="Q63" s="1483"/>
      <c r="R63" s="488"/>
    </row>
    <row r="64" spans="2:18" ht="15" customHeight="1" x14ac:dyDescent="0.3">
      <c r="B64" s="533">
        <v>3</v>
      </c>
      <c r="C64" s="546" t="s">
        <v>698</v>
      </c>
      <c r="D64" s="1539" t="s">
        <v>732</v>
      </c>
      <c r="E64" s="1539"/>
      <c r="F64" s="1217" t="s">
        <v>789</v>
      </c>
      <c r="G64" s="1217" t="s">
        <v>733</v>
      </c>
      <c r="H64" s="974">
        <v>8766</v>
      </c>
      <c r="I64" s="1217" t="s">
        <v>532</v>
      </c>
      <c r="J64" s="1462" t="s">
        <v>734</v>
      </c>
      <c r="K64" s="1464"/>
      <c r="L64" s="1464"/>
      <c r="M64" s="1464"/>
      <c r="N64" s="1464"/>
      <c r="O64" s="1464"/>
      <c r="P64" s="1464"/>
      <c r="Q64" s="1463"/>
      <c r="R64" s="488"/>
    </row>
    <row r="65" spans="2:18" ht="30" customHeight="1" x14ac:dyDescent="0.3">
      <c r="B65" s="533">
        <v>4</v>
      </c>
      <c r="C65" s="549" t="s">
        <v>704</v>
      </c>
      <c r="D65" s="1539" t="s">
        <v>1626</v>
      </c>
      <c r="E65" s="1539"/>
      <c r="F65" s="1217" t="s">
        <v>789</v>
      </c>
      <c r="G65" s="1217" t="s">
        <v>1530</v>
      </c>
      <c r="H65" s="1001">
        <f>INDEX(BuildingType[],MATCH($C$28,BuildingType[Building],0),MATCH($G$65,BuildingType[#Headers],0))</f>
        <v>-1.5824999999999999E-3</v>
      </c>
      <c r="I65" s="1217" t="s">
        <v>1034</v>
      </c>
      <c r="J65" s="1462" t="s">
        <v>1531</v>
      </c>
      <c r="K65" s="1464"/>
      <c r="L65" s="1464"/>
      <c r="M65" s="1464"/>
      <c r="N65" s="1464"/>
      <c r="O65" s="1464"/>
      <c r="P65" s="1464"/>
      <c r="Q65" s="1463"/>
      <c r="R65" s="488"/>
    </row>
    <row r="66" spans="2:18" ht="15" customHeight="1" x14ac:dyDescent="0.3">
      <c r="B66" s="533">
        <v>5</v>
      </c>
      <c r="C66" s="546" t="s">
        <v>517</v>
      </c>
      <c r="D66" s="1539" t="s">
        <v>1564</v>
      </c>
      <c r="E66" s="1539"/>
      <c r="F66" s="1217"/>
      <c r="G66" s="1217"/>
      <c r="H66" s="609">
        <v>0.85</v>
      </c>
      <c r="I66" s="1217" t="s">
        <v>519</v>
      </c>
      <c r="J66" s="1468" t="s">
        <v>1029</v>
      </c>
      <c r="K66" s="1478"/>
      <c r="L66" s="1478"/>
      <c r="M66" s="1478"/>
      <c r="N66" s="1478"/>
      <c r="O66" s="1478"/>
      <c r="P66" s="1478"/>
      <c r="Q66" s="1469"/>
      <c r="R66" s="488"/>
    </row>
    <row r="67" spans="2:18" ht="13" x14ac:dyDescent="0.3">
      <c r="B67" s="533">
        <v>6</v>
      </c>
      <c r="C67" s="546"/>
      <c r="D67" s="1539"/>
      <c r="E67" s="1539"/>
      <c r="F67" s="1217"/>
      <c r="G67" s="1217"/>
      <c r="H67" s="1217"/>
      <c r="I67" s="1217"/>
      <c r="J67" s="1507"/>
      <c r="K67" s="1514"/>
      <c r="L67" s="1514"/>
      <c r="M67" s="1514"/>
      <c r="N67" s="1514"/>
      <c r="O67" s="1514"/>
      <c r="P67" s="1514"/>
      <c r="Q67" s="1515"/>
      <c r="R67" s="488"/>
    </row>
    <row r="68" spans="2:18" ht="13" x14ac:dyDescent="0.3">
      <c r="B68" s="533">
        <v>7</v>
      </c>
      <c r="C68" s="546"/>
      <c r="D68" s="1539"/>
      <c r="E68" s="1539"/>
      <c r="F68" s="1217"/>
      <c r="G68" s="1217"/>
      <c r="H68" s="609"/>
      <c r="I68" s="1217"/>
      <c r="J68" s="1507"/>
      <c r="K68" s="1514"/>
      <c r="L68" s="1514"/>
      <c r="M68" s="1514"/>
      <c r="N68" s="1514"/>
      <c r="O68" s="1514"/>
      <c r="P68" s="1514"/>
      <c r="Q68" s="1515"/>
      <c r="R68" s="488"/>
    </row>
    <row r="69" spans="2:18" ht="13" x14ac:dyDescent="0.3">
      <c r="B69" s="533">
        <v>8</v>
      </c>
      <c r="C69" s="546"/>
      <c r="D69" s="1539"/>
      <c r="E69" s="1539"/>
      <c r="F69" s="1217"/>
      <c r="G69" s="1217"/>
      <c r="H69" s="1217"/>
      <c r="I69" s="1217"/>
      <c r="J69" s="1507"/>
      <c r="K69" s="1514"/>
      <c r="L69" s="1514"/>
      <c r="M69" s="1514"/>
      <c r="N69" s="1514"/>
      <c r="O69" s="1514"/>
      <c r="P69" s="1514"/>
      <c r="Q69" s="1515"/>
      <c r="R69" s="488"/>
    </row>
    <row r="70" spans="2:18" ht="13" x14ac:dyDescent="0.3">
      <c r="B70" s="533">
        <v>9</v>
      </c>
      <c r="C70" s="546"/>
      <c r="D70" s="1539"/>
      <c r="E70" s="1539"/>
      <c r="F70" s="1217"/>
      <c r="G70" s="1217"/>
      <c r="H70" s="571"/>
      <c r="I70" s="1217"/>
      <c r="J70" s="1507"/>
      <c r="K70" s="1514"/>
      <c r="L70" s="1514"/>
      <c r="M70" s="1514"/>
      <c r="N70" s="1514"/>
      <c r="O70" s="1514"/>
      <c r="P70" s="1514"/>
      <c r="Q70" s="1515"/>
      <c r="R70" s="488"/>
    </row>
    <row r="71" spans="2:18" s="491" customFormat="1" ht="13" x14ac:dyDescent="0.3">
      <c r="B71" s="533">
        <v>10</v>
      </c>
      <c r="C71" s="555"/>
      <c r="D71" s="1437"/>
      <c r="E71" s="1438"/>
      <c r="F71" s="556"/>
      <c r="G71" s="557"/>
      <c r="H71" s="556"/>
      <c r="I71" s="557"/>
      <c r="J71" s="1437"/>
      <c r="K71" s="1448"/>
      <c r="L71" s="1448"/>
      <c r="M71" s="1448"/>
      <c r="N71" s="1448"/>
      <c r="O71" s="1448"/>
      <c r="P71" s="1448"/>
      <c r="Q71" s="1438"/>
    </row>
    <row r="72" spans="2:18" s="491" customFormat="1" ht="13" x14ac:dyDescent="0.3">
      <c r="B72" s="533">
        <v>11</v>
      </c>
      <c r="C72" s="555"/>
      <c r="D72" s="1437"/>
      <c r="E72" s="1438"/>
      <c r="F72" s="556"/>
      <c r="G72" s="557"/>
      <c r="H72" s="558"/>
      <c r="I72" s="557"/>
      <c r="J72" s="1472"/>
      <c r="K72" s="1473"/>
      <c r="L72" s="1473"/>
      <c r="M72" s="1473"/>
      <c r="N72" s="1473"/>
      <c r="O72" s="1473"/>
      <c r="P72" s="1473"/>
      <c r="Q72" s="1474"/>
    </row>
    <row r="73" spans="2:18" s="491" customFormat="1" ht="13" x14ac:dyDescent="0.3">
      <c r="B73" s="533">
        <v>12</v>
      </c>
      <c r="C73" s="555"/>
      <c r="D73" s="1437"/>
      <c r="E73" s="1438"/>
      <c r="F73" s="556"/>
      <c r="G73" s="557"/>
      <c r="H73" s="558"/>
      <c r="I73" s="557"/>
      <c r="J73" s="1472"/>
      <c r="K73" s="1473"/>
      <c r="L73" s="1473"/>
      <c r="M73" s="1473"/>
      <c r="N73" s="1473"/>
      <c r="O73" s="1473"/>
      <c r="P73" s="1473"/>
      <c r="Q73" s="1474"/>
    </row>
    <row r="74" spans="2:18" s="491" customFormat="1" ht="13" x14ac:dyDescent="0.3">
      <c r="B74" s="533">
        <v>13</v>
      </c>
      <c r="C74" s="555"/>
      <c r="D74" s="1437"/>
      <c r="E74" s="1438"/>
      <c r="F74" s="556"/>
      <c r="G74" s="557"/>
      <c r="H74" s="556"/>
      <c r="I74" s="557"/>
      <c r="J74" s="1472"/>
      <c r="K74" s="1473"/>
      <c r="L74" s="1473"/>
      <c r="M74" s="1473"/>
      <c r="N74" s="1473"/>
      <c r="O74" s="1473"/>
      <c r="P74" s="1473"/>
      <c r="Q74" s="1474"/>
    </row>
    <row r="75" spans="2:18" s="489" customFormat="1" ht="13.15" customHeight="1" x14ac:dyDescent="0.3">
      <c r="B75" s="533">
        <v>14</v>
      </c>
      <c r="C75" s="555"/>
      <c r="D75" s="1437"/>
      <c r="E75" s="1438"/>
      <c r="F75" s="556"/>
      <c r="G75" s="557"/>
      <c r="H75" s="556"/>
      <c r="I75" s="557"/>
      <c r="J75" s="1472"/>
      <c r="K75" s="1473"/>
      <c r="L75" s="1473"/>
      <c r="M75" s="1473"/>
      <c r="N75" s="1473"/>
      <c r="O75" s="1473"/>
      <c r="P75" s="1473"/>
      <c r="Q75" s="1474"/>
    </row>
    <row r="76" spans="2:18" s="489" customFormat="1" ht="13" x14ac:dyDescent="0.3">
      <c r="B76" s="533">
        <v>15</v>
      </c>
      <c r="C76" s="555"/>
      <c r="D76" s="1437"/>
      <c r="E76" s="1438"/>
      <c r="F76" s="556"/>
      <c r="G76" s="557"/>
      <c r="H76" s="559"/>
      <c r="I76" s="557"/>
      <c r="J76" s="1472"/>
      <c r="K76" s="1473"/>
      <c r="L76" s="1473"/>
      <c r="M76" s="1473"/>
      <c r="N76" s="1473"/>
      <c r="O76" s="1473"/>
      <c r="P76" s="1473"/>
      <c r="Q76" s="1474"/>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182"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182"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c r="R85" s="488"/>
    </row>
    <row r="86" spans="2:18" ht="13" x14ac:dyDescent="0.3">
      <c r="B86" s="533">
        <v>6</v>
      </c>
      <c r="C86" s="563"/>
      <c r="D86" s="564"/>
      <c r="E86" s="1182"/>
      <c r="F86" s="1489"/>
      <c r="G86" s="1490"/>
      <c r="H86" s="1490"/>
      <c r="I86" s="1490"/>
      <c r="J86" s="1490"/>
      <c r="K86" s="1490"/>
      <c r="L86" s="1490"/>
      <c r="M86" s="1490"/>
      <c r="N86" s="1490"/>
      <c r="O86" s="1490"/>
      <c r="P86" s="1490"/>
      <c r="Q86" s="1491"/>
      <c r="R86" s="488"/>
    </row>
    <row r="87" spans="2:18" ht="13" x14ac:dyDescent="0.3">
      <c r="B87" s="533">
        <v>7</v>
      </c>
      <c r="C87" s="563"/>
      <c r="D87" s="1233"/>
      <c r="E87" s="1182"/>
      <c r="F87" s="1489"/>
      <c r="G87" s="1490"/>
      <c r="H87" s="1490"/>
      <c r="I87" s="1490"/>
      <c r="J87" s="1490"/>
      <c r="K87" s="1490"/>
      <c r="L87" s="1490"/>
      <c r="M87" s="1490"/>
      <c r="N87" s="1490"/>
      <c r="O87" s="1490"/>
      <c r="P87" s="1490"/>
      <c r="Q87" s="1491"/>
      <c r="R87" s="488"/>
    </row>
    <row r="88" spans="2:18" ht="13" x14ac:dyDescent="0.3">
      <c r="B88" s="533">
        <v>8</v>
      </c>
      <c r="C88" s="563"/>
      <c r="D88" s="564"/>
      <c r="E88" s="1182"/>
      <c r="F88" s="1489"/>
      <c r="G88" s="1490"/>
      <c r="H88" s="1490"/>
      <c r="I88" s="1490"/>
      <c r="J88" s="1490"/>
      <c r="K88" s="1490"/>
      <c r="L88" s="1490"/>
      <c r="M88" s="1490"/>
      <c r="N88" s="1490"/>
      <c r="O88" s="1490"/>
      <c r="P88" s="1490"/>
      <c r="Q88" s="1491"/>
      <c r="R88" s="488"/>
    </row>
    <row r="89" spans="2:18" ht="13" x14ac:dyDescent="0.3">
      <c r="B89" s="533">
        <v>9</v>
      </c>
      <c r="C89" s="563"/>
      <c r="D89" s="1233"/>
      <c r="E89" s="1182"/>
      <c r="F89" s="1489"/>
      <c r="G89" s="1490"/>
      <c r="H89" s="1490"/>
      <c r="I89" s="1490"/>
      <c r="J89" s="1490"/>
      <c r="K89" s="1490"/>
      <c r="L89" s="1490"/>
      <c r="M89" s="1490"/>
      <c r="N89" s="1490"/>
      <c r="O89" s="1490"/>
      <c r="P89" s="1490"/>
      <c r="Q89" s="1491"/>
      <c r="R89" s="488"/>
    </row>
    <row r="90" spans="2:18" ht="13" x14ac:dyDescent="0.3">
      <c r="B90" s="533">
        <v>10</v>
      </c>
      <c r="C90" s="563"/>
      <c r="D90" s="564"/>
      <c r="E90" s="1182"/>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08"/>
      <c r="Q95" s="1409"/>
      <c r="R95" s="488"/>
    </row>
    <row r="96" spans="2:18" ht="25.5" customHeight="1" x14ac:dyDescent="0.3">
      <c r="B96" s="1188" t="s">
        <v>478</v>
      </c>
      <c r="C96" s="1402" t="s">
        <v>538</v>
      </c>
      <c r="D96" s="1431"/>
      <c r="E96" s="565"/>
      <c r="F96" s="565"/>
      <c r="G96" s="565"/>
      <c r="H96" s="565"/>
      <c r="I96" s="565"/>
      <c r="J96" s="565"/>
      <c r="K96" s="565"/>
      <c r="L96" s="565"/>
      <c r="M96" s="565"/>
      <c r="N96" s="566"/>
      <c r="O96" s="1410"/>
      <c r="P96" s="1411"/>
      <c r="Q96" s="1412"/>
      <c r="R96" s="488"/>
    </row>
    <row r="97" spans="2:18" ht="13" x14ac:dyDescent="0.3">
      <c r="B97" s="533">
        <v>1</v>
      </c>
      <c r="C97" s="546"/>
      <c r="D97" s="1184"/>
      <c r="E97" s="1190"/>
      <c r="F97" s="1190"/>
      <c r="G97" s="1190"/>
      <c r="H97" s="1190"/>
      <c r="I97" s="568"/>
      <c r="J97" s="568"/>
      <c r="K97" s="568"/>
      <c r="L97" s="568"/>
      <c r="M97" s="568"/>
      <c r="N97" s="568"/>
      <c r="O97" s="1501"/>
      <c r="P97" s="1502"/>
      <c r="Q97" s="1503"/>
      <c r="R97" s="488"/>
    </row>
    <row r="98" spans="2:18" ht="13" x14ac:dyDescent="0.3">
      <c r="B98" s="533">
        <v>2</v>
      </c>
      <c r="C98" s="546"/>
      <c r="D98" s="1184"/>
      <c r="E98" s="1190"/>
      <c r="F98" s="1190"/>
      <c r="G98" s="1190"/>
      <c r="H98" s="1190"/>
      <c r="I98" s="568"/>
      <c r="J98" s="568"/>
      <c r="K98" s="568"/>
      <c r="L98" s="568"/>
      <c r="M98" s="568"/>
      <c r="N98" s="568"/>
      <c r="O98" s="1495"/>
      <c r="P98" s="1496"/>
      <c r="Q98" s="1497"/>
      <c r="R98" s="488"/>
    </row>
    <row r="99" spans="2:18" ht="13" x14ac:dyDescent="0.3">
      <c r="B99" s="533">
        <v>3</v>
      </c>
      <c r="C99" s="546"/>
      <c r="D99" s="1184"/>
      <c r="E99" s="1190"/>
      <c r="F99" s="1190"/>
      <c r="G99" s="1190"/>
      <c r="H99" s="1190"/>
      <c r="I99" s="568"/>
      <c r="J99" s="568"/>
      <c r="K99" s="568"/>
      <c r="L99" s="568"/>
      <c r="M99" s="568"/>
      <c r="N99" s="568"/>
      <c r="O99" s="1495"/>
      <c r="P99" s="1496"/>
      <c r="Q99" s="1497"/>
      <c r="R99" s="488"/>
    </row>
    <row r="100" spans="2:18" ht="13" x14ac:dyDescent="0.3">
      <c r="B100" s="533">
        <v>4</v>
      </c>
      <c r="C100" s="546"/>
      <c r="D100" s="1184"/>
      <c r="E100" s="1190"/>
      <c r="F100" s="1190"/>
      <c r="G100" s="1190"/>
      <c r="H100" s="1190"/>
      <c r="I100" s="568"/>
      <c r="J100" s="568"/>
      <c r="K100" s="568"/>
      <c r="L100" s="568"/>
      <c r="M100" s="568"/>
      <c r="N100" s="568"/>
      <c r="O100" s="1495"/>
      <c r="P100" s="1496"/>
      <c r="Q100" s="1497"/>
      <c r="R100" s="488"/>
    </row>
    <row r="101" spans="2:18" ht="13" x14ac:dyDescent="0.3">
      <c r="B101" s="533">
        <v>5</v>
      </c>
      <c r="C101" s="546"/>
      <c r="D101" s="1184"/>
      <c r="E101" s="1190"/>
      <c r="F101" s="1190"/>
      <c r="G101" s="1190"/>
      <c r="H101" s="1190"/>
      <c r="I101" s="568"/>
      <c r="J101" s="568"/>
      <c r="K101" s="568"/>
      <c r="L101" s="568"/>
      <c r="M101" s="568"/>
      <c r="N101" s="568"/>
      <c r="O101" s="1495"/>
      <c r="P101" s="1496"/>
      <c r="Q101" s="1497"/>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8.75" customHeight="1" x14ac:dyDescent="0.3">
      <c r="B107" s="980"/>
      <c r="C107" s="618"/>
      <c r="D107" s="618"/>
      <c r="E107" s="618"/>
      <c r="F107" s="618"/>
      <c r="G107" s="618"/>
      <c r="H107" s="618"/>
      <c r="I107" s="618"/>
      <c r="J107" s="618"/>
      <c r="K107" s="618"/>
      <c r="L107" s="618"/>
      <c r="M107" s="618"/>
      <c r="N107" s="618"/>
      <c r="O107" s="618"/>
      <c r="P107" s="618"/>
      <c r="Q107" s="618"/>
    </row>
    <row r="108" spans="2:18" ht="18.75" customHeight="1" x14ac:dyDescent="0.3">
      <c r="B108" s="980"/>
      <c r="C108" s="618"/>
      <c r="D108" s="618"/>
      <c r="E108" s="618"/>
      <c r="F108" s="618"/>
      <c r="G108" s="618"/>
      <c r="H108" s="618"/>
      <c r="I108" s="618"/>
      <c r="J108" s="618"/>
      <c r="K108" s="618"/>
      <c r="L108" s="618"/>
      <c r="M108" s="618"/>
      <c r="N108" s="618"/>
      <c r="O108" s="618"/>
      <c r="P108" s="618"/>
      <c r="Q108" s="618"/>
    </row>
    <row r="109" spans="2:18" ht="18.75" customHeight="1" x14ac:dyDescent="0.3">
      <c r="B109" s="980"/>
      <c r="C109" s="618"/>
      <c r="D109" s="618"/>
      <c r="E109" s="618"/>
      <c r="F109" s="618"/>
      <c r="G109" s="618"/>
      <c r="H109" s="618"/>
      <c r="I109" s="618"/>
      <c r="J109" s="618"/>
      <c r="K109" s="618"/>
      <c r="L109" s="618"/>
      <c r="M109" s="618"/>
      <c r="N109" s="618"/>
      <c r="O109" s="618"/>
      <c r="P109" s="618"/>
      <c r="Q109" s="618"/>
    </row>
    <row r="110" spans="2:18" ht="18.75" customHeight="1" x14ac:dyDescent="0.3">
      <c r="B110" s="980"/>
      <c r="C110" s="618"/>
      <c r="D110" s="618"/>
      <c r="E110" s="618"/>
      <c r="F110" s="618"/>
      <c r="G110" s="618"/>
      <c r="H110" s="618"/>
      <c r="I110" s="618"/>
      <c r="J110" s="618"/>
      <c r="K110" s="618"/>
      <c r="L110" s="618"/>
      <c r="M110" s="618"/>
      <c r="N110" s="618"/>
      <c r="O110" s="618"/>
      <c r="P110" s="618"/>
      <c r="Q110" s="618"/>
    </row>
    <row r="111" spans="2:18" ht="18.75" customHeight="1" x14ac:dyDescent="0.3">
      <c r="B111" s="980"/>
      <c r="C111" s="618"/>
      <c r="D111" s="618"/>
      <c r="E111" s="618"/>
      <c r="F111" s="618"/>
      <c r="G111" s="618"/>
      <c r="H111" s="618"/>
      <c r="I111" s="618"/>
      <c r="J111" s="618"/>
      <c r="K111" s="618"/>
      <c r="L111" s="618"/>
      <c r="M111" s="618"/>
      <c r="N111" s="618"/>
      <c r="O111" s="618"/>
      <c r="P111" s="618"/>
      <c r="Q111" s="618"/>
    </row>
    <row r="112" spans="2:18" ht="18.75" customHeight="1" x14ac:dyDescent="0.3">
      <c r="B112" s="980"/>
      <c r="C112" s="618"/>
      <c r="D112" s="618"/>
      <c r="E112" s="618"/>
      <c r="F112" s="618"/>
      <c r="G112" s="618"/>
      <c r="H112" s="618"/>
      <c r="I112" s="618"/>
      <c r="J112" s="618"/>
      <c r="K112" s="618"/>
      <c r="L112" s="618"/>
      <c r="M112" s="618"/>
      <c r="N112" s="618"/>
      <c r="O112" s="618"/>
      <c r="P112" s="618"/>
      <c r="Q112" s="618"/>
    </row>
    <row r="113" spans="2:17" ht="18.75" customHeight="1" x14ac:dyDescent="0.3">
      <c r="B113" s="980"/>
      <c r="C113" s="618"/>
      <c r="D113" s="618"/>
      <c r="E113" s="618"/>
      <c r="F113" s="618"/>
      <c r="G113" s="618"/>
      <c r="H113" s="618"/>
      <c r="I113" s="618"/>
      <c r="J113" s="618"/>
      <c r="K113" s="618"/>
      <c r="L113" s="618"/>
      <c r="M113" s="618"/>
      <c r="N113" s="618"/>
      <c r="O113" s="618"/>
      <c r="P113" s="618"/>
      <c r="Q113" s="618"/>
    </row>
    <row r="114" spans="2:17" ht="18.75" customHeight="1" x14ac:dyDescent="0.3">
      <c r="B114" s="980"/>
      <c r="C114" s="618"/>
      <c r="D114" s="618"/>
      <c r="E114" s="618"/>
      <c r="F114" s="618"/>
      <c r="G114" s="618"/>
      <c r="H114" s="618"/>
      <c r="I114" s="618"/>
      <c r="J114" s="618"/>
      <c r="K114" s="618"/>
      <c r="L114" s="618"/>
      <c r="M114" s="618"/>
      <c r="N114" s="618"/>
      <c r="O114" s="618"/>
      <c r="P114" s="618"/>
      <c r="Q114" s="618"/>
    </row>
    <row r="115" spans="2:17" ht="18.75" customHeight="1" x14ac:dyDescent="0.3">
      <c r="B115" s="980"/>
      <c r="C115" s="618"/>
      <c r="D115" s="618"/>
      <c r="E115" s="618"/>
      <c r="F115" s="618"/>
      <c r="G115" s="618"/>
      <c r="H115" s="618"/>
      <c r="I115" s="618"/>
      <c r="J115" s="618"/>
      <c r="K115" s="618"/>
      <c r="L115" s="618"/>
      <c r="M115" s="618"/>
      <c r="N115" s="618"/>
      <c r="O115" s="618"/>
      <c r="P115" s="618"/>
      <c r="Q115" s="618"/>
    </row>
    <row r="116" spans="2:17" ht="18.75" customHeight="1" x14ac:dyDescent="0.3">
      <c r="B116" s="980"/>
      <c r="C116" s="618"/>
      <c r="D116" s="618"/>
      <c r="E116" s="618"/>
      <c r="F116" s="618"/>
      <c r="G116" s="618"/>
      <c r="H116" s="618"/>
      <c r="I116" s="618"/>
      <c r="J116" s="618"/>
      <c r="K116" s="618"/>
      <c r="L116" s="618"/>
      <c r="M116" s="618"/>
      <c r="N116" s="618"/>
      <c r="O116" s="618"/>
      <c r="P116" s="618"/>
      <c r="Q116" s="618"/>
    </row>
  </sheetData>
  <sheetProtection algorithmName="SHA-512" hashValue="dUt8Bb4OlyYEjJTyunPxEjqV2CLi07807UsIC5PpDHMZMPqmZn0+mDGQiRGe0stAKQSd8/HPNSwLdB4MJKLGnA==" saltValue="TJVMvDsvb/0fw3m9diY6QA==" spinCount="100000" sheet="1" objects="1" scenarios="1" selectLockedCells="1" selectUnlockedCells="1"/>
  <mergeCells count="111">
    <mergeCell ref="E33:Q33"/>
    <mergeCell ref="E34:Q34"/>
    <mergeCell ref="C22:Q22"/>
    <mergeCell ref="C23:Q23"/>
    <mergeCell ref="D25:Q25"/>
    <mergeCell ref="B20:Q20"/>
    <mergeCell ref="C21:Q21"/>
    <mergeCell ref="P47:Q47"/>
    <mergeCell ref="C48:M48"/>
    <mergeCell ref="P48:Q48"/>
    <mergeCell ref="D29:Q29"/>
    <mergeCell ref="D30:Q30"/>
    <mergeCell ref="C41:M41"/>
    <mergeCell ref="P41:Q41"/>
    <mergeCell ref="C42:M42"/>
    <mergeCell ref="P42:Q42"/>
    <mergeCell ref="D26:Q26"/>
    <mergeCell ref="D27:Q27"/>
    <mergeCell ref="D28:Q28"/>
    <mergeCell ref="E32:Q32"/>
    <mergeCell ref="C49:M49"/>
    <mergeCell ref="P49:Q49"/>
    <mergeCell ref="C43:M43"/>
    <mergeCell ref="P43:Q43"/>
    <mergeCell ref="C44:M44"/>
    <mergeCell ref="P44:Q44"/>
    <mergeCell ref="C45:M45"/>
    <mergeCell ref="P45:Q45"/>
    <mergeCell ref="P54:Q54"/>
    <mergeCell ref="C55:M55"/>
    <mergeCell ref="P55:Q55"/>
    <mergeCell ref="C56:M56"/>
    <mergeCell ref="P56:Q56"/>
    <mergeCell ref="C50:M50"/>
    <mergeCell ref="P50:Q50"/>
    <mergeCell ref="C51:M51"/>
    <mergeCell ref="P51:Q51"/>
    <mergeCell ref="C53:M53"/>
    <mergeCell ref="P53:Q53"/>
    <mergeCell ref="J63:Q63"/>
    <mergeCell ref="D64:E64"/>
    <mergeCell ref="J64:Q64"/>
    <mergeCell ref="D68:E68"/>
    <mergeCell ref="C57:M57"/>
    <mergeCell ref="P57:Q57"/>
    <mergeCell ref="D61:E61"/>
    <mergeCell ref="J61:Q61"/>
    <mergeCell ref="D62:E62"/>
    <mergeCell ref="J62:Q62"/>
    <mergeCell ref="J68:Q68"/>
    <mergeCell ref="J67:Q67"/>
    <mergeCell ref="D69:E69"/>
    <mergeCell ref="J69:Q69"/>
    <mergeCell ref="D70:E70"/>
    <mergeCell ref="J70:Q70"/>
    <mergeCell ref="D65:E65"/>
    <mergeCell ref="J65:Q65"/>
    <mergeCell ref="D66:E66"/>
    <mergeCell ref="J66:Q66"/>
    <mergeCell ref="E94:N94"/>
    <mergeCell ref="O94:Q96"/>
    <mergeCell ref="F80:Q80"/>
    <mergeCell ref="F81:Q81"/>
    <mergeCell ref="F82:Q82"/>
    <mergeCell ref="F83:Q83"/>
    <mergeCell ref="F84:Q84"/>
    <mergeCell ref="F85:Q85"/>
    <mergeCell ref="F86:Q86"/>
    <mergeCell ref="F87:Q87"/>
    <mergeCell ref="F88:Q88"/>
    <mergeCell ref="F89:Q89"/>
    <mergeCell ref="F90:Q90"/>
    <mergeCell ref="J71:Q71"/>
    <mergeCell ref="D73:E73"/>
    <mergeCell ref="J73:Q73"/>
    <mergeCell ref="O101:Q101"/>
    <mergeCell ref="O102:Q102"/>
    <mergeCell ref="O103:Q103"/>
    <mergeCell ref="O104:Q104"/>
    <mergeCell ref="O105:Q105"/>
    <mergeCell ref="O106:Q106"/>
    <mergeCell ref="B95:D95"/>
    <mergeCell ref="C96:D96"/>
    <mergeCell ref="O97:Q97"/>
    <mergeCell ref="O98:Q98"/>
    <mergeCell ref="O99:Q99"/>
    <mergeCell ref="O100:Q100"/>
    <mergeCell ref="D74:E74"/>
    <mergeCell ref="J74:Q74"/>
    <mergeCell ref="D75:E75"/>
    <mergeCell ref="J75:Q75"/>
    <mergeCell ref="D76:E76"/>
    <mergeCell ref="J76:Q76"/>
    <mergeCell ref="D72:E72"/>
    <mergeCell ref="J72:Q72"/>
    <mergeCell ref="C2:F2"/>
    <mergeCell ref="C3:F3"/>
    <mergeCell ref="C4:F4"/>
    <mergeCell ref="D7:F7"/>
    <mergeCell ref="D17:F17"/>
    <mergeCell ref="D18:F18"/>
    <mergeCell ref="D8:F16"/>
    <mergeCell ref="C5:F5"/>
    <mergeCell ref="D71:E71"/>
    <mergeCell ref="D67:E67"/>
    <mergeCell ref="D63:E63"/>
    <mergeCell ref="C54:M54"/>
    <mergeCell ref="C47:M47"/>
    <mergeCell ref="E35:Q35"/>
    <mergeCell ref="E36:Q36"/>
    <mergeCell ref="E37:Q37"/>
  </mergeCells>
  <conditionalFormatting sqref="H70">
    <cfRule type="expression" dxfId="2411" priority="43">
      <formula>IF(OR(#REF!="L",#REF!="C"),TRUE,FALSE)</formula>
    </cfRule>
  </conditionalFormatting>
  <conditionalFormatting sqref="H68">
    <cfRule type="expression" dxfId="2410" priority="41">
      <formula>IF(OR(#REF!="L",#REF!="C"),TRUE,FALSE)</formula>
    </cfRule>
  </conditionalFormatting>
  <conditionalFormatting sqref="H66">
    <cfRule type="expression" dxfId="2409" priority="38">
      <formula>IF(OR(#REF!="L",#REF!="C"),TRUE,FALSE)</formula>
    </cfRule>
  </conditionalFormatting>
  <conditionalFormatting sqref="H67:H68">
    <cfRule type="expression" dxfId="2408" priority="37">
      <formula>IF(OR(#REF!="L",#REF!="C"),TRUE,FALSE)</formula>
    </cfRule>
  </conditionalFormatting>
  <conditionalFormatting sqref="H69">
    <cfRule type="expression" dxfId="2407" priority="36">
      <formula>IF(OR(#REF!="L",#REF!="C"),TRUE,FALSE)</formula>
    </cfRule>
  </conditionalFormatting>
  <conditionalFormatting sqref="G102:G106 H104:H106">
    <cfRule type="expression" dxfId="2406" priority="35">
      <formula>IF(OR(#REF!="L",#REF!="C"),TRUE,FALSE)</formula>
    </cfRule>
  </conditionalFormatting>
  <conditionalFormatting sqref="E106">
    <cfRule type="expression" dxfId="2405" priority="30">
      <formula>IF(OR(#REF!="L",#REF!="C"),TRUE,FALSE)</formula>
    </cfRule>
  </conditionalFormatting>
  <conditionalFormatting sqref="E95 G95 I95 K95 M95">
    <cfRule type="duplicateValues" dxfId="2404" priority="29"/>
  </conditionalFormatting>
  <conditionalFormatting sqref="M104:M106">
    <cfRule type="expression" dxfId="2403" priority="19">
      <formula>IF(OR(#REF!="L",#REF!="C"),TRUE,FALSE)</formula>
    </cfRule>
  </conditionalFormatting>
  <conditionalFormatting sqref="F102:F106">
    <cfRule type="expression" dxfId="2402" priority="28">
      <formula>IF(OR(#REF!="L",#REF!="C"),TRUE,FALSE)</formula>
    </cfRule>
  </conditionalFormatting>
  <conditionalFormatting sqref="I102:I103">
    <cfRule type="expression" dxfId="2401" priority="26">
      <formula>IF(OR(#REF!="L",#REF!="C"),TRUE,FALSE)</formula>
    </cfRule>
  </conditionalFormatting>
  <conditionalFormatting sqref="N102:N103">
    <cfRule type="expression" dxfId="2400" priority="16">
      <formula>IF(OR(#REF!="L",#REF!="C"),TRUE,FALSE)</formula>
    </cfRule>
  </conditionalFormatting>
  <conditionalFormatting sqref="I104:I106">
    <cfRule type="expression" dxfId="2399" priority="27">
      <formula>IF(OR(#REF!="L",#REF!="C"),TRUE,FALSE)</formula>
    </cfRule>
  </conditionalFormatting>
  <conditionalFormatting sqref="J102:J103">
    <cfRule type="expression" dxfId="2398" priority="24">
      <formula>IF(OR(#REF!="L",#REF!="C"),TRUE,FALSE)</formula>
    </cfRule>
  </conditionalFormatting>
  <conditionalFormatting sqref="J104:J106">
    <cfRule type="expression" dxfId="2397" priority="25">
      <formula>IF(OR(#REF!="L",#REF!="C"),TRUE,FALSE)</formula>
    </cfRule>
  </conditionalFormatting>
  <conditionalFormatting sqref="K102:K103">
    <cfRule type="expression" dxfId="2396" priority="22">
      <formula>IF(OR(#REF!="L",#REF!="C"),TRUE,FALSE)</formula>
    </cfRule>
  </conditionalFormatting>
  <conditionalFormatting sqref="K104:K106">
    <cfRule type="expression" dxfId="2395" priority="23">
      <formula>IF(OR(#REF!="L",#REF!="C"),TRUE,FALSE)</formula>
    </cfRule>
  </conditionalFormatting>
  <conditionalFormatting sqref="L102:L103">
    <cfRule type="expression" dxfId="2394" priority="20">
      <formula>IF(OR(#REF!="L",#REF!="C"),TRUE,FALSE)</formula>
    </cfRule>
  </conditionalFormatting>
  <conditionalFormatting sqref="L104:L106">
    <cfRule type="expression" dxfId="2393" priority="21">
      <formula>IF(OR(#REF!="L",#REF!="C"),TRUE,FALSE)</formula>
    </cfRule>
  </conditionalFormatting>
  <conditionalFormatting sqref="M102:M103">
    <cfRule type="expression" dxfId="2392" priority="18">
      <formula>IF(OR(#REF!="L",#REF!="C"),TRUE,FALSE)</formula>
    </cfRule>
  </conditionalFormatting>
  <conditionalFormatting sqref="N104:N106">
    <cfRule type="expression" dxfId="2391" priority="17">
      <formula>IF(OR(#REF!="L",#REF!="C"),TRUE,FALSE)</formula>
    </cfRule>
  </conditionalFormatting>
  <conditionalFormatting sqref="H63">
    <cfRule type="expression" dxfId="2390" priority="15">
      <formula>IF(OR(#REF!="L",#REF!="C"),TRUE,FALSE)</formula>
    </cfRule>
  </conditionalFormatting>
  <conditionalFormatting sqref="H62">
    <cfRule type="expression" dxfId="2389" priority="14">
      <formula>IF(OR(#REF!="L",#REF!="C"),TRUE,FALSE)</formula>
    </cfRule>
  </conditionalFormatting>
  <conditionalFormatting sqref="O102:O103">
    <cfRule type="expression" dxfId="2388" priority="12">
      <formula>IF(OR(#REF!="L",#REF!="C"),TRUE,FALSE)</formula>
    </cfRule>
  </conditionalFormatting>
  <conditionalFormatting sqref="O104:O106">
    <cfRule type="expression" dxfId="2387" priority="13">
      <formula>IF(OR(#REF!="L",#REF!="C"),TRUE,FALSE)</formula>
    </cfRule>
  </conditionalFormatting>
  <conditionalFormatting sqref="E96:N96">
    <cfRule type="duplicateValues" dxfId="2386" priority="11"/>
  </conditionalFormatting>
  <conditionalFormatting sqref="H64">
    <cfRule type="expression" dxfId="2385" priority="10">
      <formula>IF(OR(#REF!="L",#REF!="C"),TRUE,FALSE)</formula>
    </cfRule>
  </conditionalFormatting>
  <conditionalFormatting sqref="H71">
    <cfRule type="expression" dxfId="2384" priority="9">
      <formula>IF(OR(#REF!="L",#REF!="C"),TRUE,FALSE)</formula>
    </cfRule>
  </conditionalFormatting>
  <conditionalFormatting sqref="H73">
    <cfRule type="expression" dxfId="2383" priority="8">
      <formula>IF(OR(#REF!="L",#REF!="C"),TRUE,FALSE)</formula>
    </cfRule>
  </conditionalFormatting>
  <conditionalFormatting sqref="H74">
    <cfRule type="expression" dxfId="2382" priority="7">
      <formula>IF(OR(#REF!="L",#REF!="C"),TRUE,FALSE)</formula>
    </cfRule>
  </conditionalFormatting>
  <conditionalFormatting sqref="H75">
    <cfRule type="expression" dxfId="2381" priority="6">
      <formula>IF(OR(#REF!="L",#REF!="C"),TRUE,FALSE)</formula>
    </cfRule>
  </conditionalFormatting>
  <conditionalFormatting sqref="H76">
    <cfRule type="expression" dxfId="2380" priority="4">
      <formula>IF(OR(#REF!="L",#REF!="C"),TRUE,FALSE)</formula>
    </cfRule>
  </conditionalFormatting>
  <conditionalFormatting sqref="H65">
    <cfRule type="expression" dxfId="2379" priority="2">
      <formula>IF(OR(#REF!="L",#REF!="C"),TRUE,FALSE)</formula>
    </cfRule>
  </conditionalFormatting>
  <conditionalFormatting sqref="H72">
    <cfRule type="expression" dxfId="2378" priority="1">
      <formula>IF(OR(#REF!="L",#REF!="C"),TRUE,FALSE)</formula>
    </cfRule>
  </conditionalFormatting>
  <dataValidations count="8">
    <dataValidation type="list" allowBlank="1" showInputMessage="1" showErrorMessage="1" sqref="F62:F63 F68" xr:uid="{44B7FCDB-7FA4-46AA-A558-B955DD13E67F}">
      <formula1>#REF!</formula1>
    </dataValidation>
    <dataValidation type="list" allowBlank="1" showInputMessage="1" showErrorMessage="1" sqref="C4" xr:uid="{89FB085E-F995-4E53-A6A0-FEE96E7EE1E0}">
      <formula1>"COM,RES"</formula1>
    </dataValidation>
    <dataValidation type="list" allowBlank="1" showInputMessage="1" showErrorMessage="1" sqref="F71:F74" xr:uid="{84F04608-4629-4082-A5AA-C68C83EE7192}">
      <formula1>$C$102:$C$106</formula1>
    </dataValidation>
    <dataValidation type="list" allowBlank="1" showInputMessage="1" showErrorMessage="1" sqref="C9" xr:uid="{48F48EA1-90C4-43D8-93E2-03C787A5CB63}">
      <formula1>INDIRECT("MeasureTypeList[Index]")</formula1>
    </dataValidation>
    <dataValidation type="list" allowBlank="1" showInputMessage="1" showErrorMessage="1" sqref="C26" xr:uid="{9502F1E1-CC76-40FC-8404-95510A7AF667}">
      <formula1>INDIRECT("RegionList[Index]")</formula1>
    </dataValidation>
    <dataValidation type="list" allowBlank="1" showInputMessage="1" showErrorMessage="1" sqref="C27" xr:uid="{E84D42F5-E533-41AD-8C8E-AAE892580D92}">
      <formula1>INDIRECT("ReplacementTypeList[Index]")</formula1>
    </dataValidation>
    <dataValidation type="list" allowBlank="1" showInputMessage="1" showErrorMessage="1" sqref="C28" xr:uid="{A4620D16-916E-4708-A0B0-7A4046D559D2}">
      <formula1>INDIRECT("BuildingType[Building]")</formula1>
    </dataValidation>
    <dataValidation type="list" allowBlank="1" showInputMessage="1" showErrorMessage="1" sqref="C29 C30" xr:uid="{340D2A06-0641-463C-8FA3-49670724396F}">
      <formula1>INDIRECT("FuelTypeList[Index]")</formula1>
    </dataValidation>
  </dataValidations>
  <hyperlinks>
    <hyperlink ref="F82" r:id="rId1" xr:uid="{C8D3FEDE-F891-422C-B19E-2A955E27D5A4}"/>
    <hyperlink ref="F83" r:id="rId2" xr:uid="{B38C1AB6-A9D1-4A54-9201-79DE519700D0}"/>
    <hyperlink ref="F85" r:id="rId3" xr:uid="{72D0E07C-E39B-4D72-8AF7-68F7DDBB7580}"/>
    <hyperlink ref="F84" r:id="rId4" xr:uid="{93F36ACA-DC39-4899-B569-B1B6549DD09A}"/>
  </hyperlinks>
  <pageMargins left="0.7" right="0.7" top="0.75" bottom="0.75" header="0.3" footer="0.3"/>
  <pageSetup orientation="portrait" r:id="rId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8BFB6-7EFA-45CF-9692-44F4FA9B337A}">
  <sheetPr codeName="Sheet22"/>
  <dimension ref="A2:R116"/>
  <sheetViews>
    <sheetView topLeftCell="A31" workbookViewId="0">
      <selection activeCell="C23" sqref="C23:Q23"/>
    </sheetView>
  </sheetViews>
  <sheetFormatPr defaultColWidth="9.08984375" defaultRowHeight="18.75" customHeight="1" x14ac:dyDescent="0.3"/>
  <cols>
    <col min="1" max="1" width="2.36328125" style="488" customWidth="1"/>
    <col min="2" max="2" width="44.36328125" style="488" bestFit="1" customWidth="1"/>
    <col min="3" max="3" width="19.81640625" style="488" customWidth="1"/>
    <col min="4" max="4" width="21.6328125" style="488" customWidth="1"/>
    <col min="5" max="5" width="15" style="488" customWidth="1"/>
    <col min="6" max="6" width="15.6328125" style="488" customWidth="1"/>
    <col min="7" max="7" width="19.6328125" style="488" customWidth="1"/>
    <col min="8" max="8" width="16"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C-R-001</v>
      </c>
      <c r="D3" s="1367"/>
      <c r="E3" s="1367"/>
      <c r="F3" s="1367"/>
    </row>
    <row r="4" spans="1:18" ht="18.75" customHeight="1" x14ac:dyDescent="0.3">
      <c r="B4" s="490" t="s">
        <v>11</v>
      </c>
      <c r="C4" s="1367" t="str" cm="1">
        <f t="array" ref="C4">_xlfn.SWITCH(LEFT(C8,1),"R","Residential","C","Commercial","ERROR")</f>
        <v>Commercial</v>
      </c>
      <c r="D4" s="1367"/>
      <c r="E4" s="1367"/>
      <c r="F4" s="1367"/>
    </row>
    <row r="5" spans="1:18" ht="19.5" customHeight="1" x14ac:dyDescent="0.3">
      <c r="B5" s="490" t="s">
        <v>408</v>
      </c>
      <c r="C5" s="1530" t="s">
        <v>275</v>
      </c>
      <c r="D5" s="1531"/>
      <c r="E5" s="1531"/>
      <c r="F5" s="1532"/>
      <c r="R5" s="488"/>
    </row>
    <row r="6" spans="1:18" ht="18.75" customHeight="1" x14ac:dyDescent="0.3">
      <c r="A6" s="573"/>
    </row>
    <row r="7" spans="1:18" ht="18.75" customHeight="1" x14ac:dyDescent="0.3">
      <c r="B7" s="1193" t="s">
        <v>409</v>
      </c>
      <c r="C7" s="1192" t="s">
        <v>406</v>
      </c>
      <c r="D7" s="1363" t="s">
        <v>410</v>
      </c>
      <c r="E7" s="1363"/>
      <c r="F7" s="1363"/>
      <c r="R7" s="488"/>
    </row>
    <row r="8" spans="1:18" ht="18.75" customHeight="1" x14ac:dyDescent="0.3">
      <c r="B8" s="490" t="s">
        <v>411</v>
      </c>
      <c r="C8" s="1218" t="s">
        <v>119</v>
      </c>
      <c r="D8" s="1957"/>
      <c r="E8" s="1957"/>
      <c r="F8" s="1957"/>
      <c r="R8" s="488"/>
    </row>
    <row r="9" spans="1:18" ht="18.75" customHeight="1" x14ac:dyDescent="0.3">
      <c r="B9" s="490" t="s">
        <v>49</v>
      </c>
      <c r="C9" s="1218" t="s">
        <v>1640</v>
      </c>
      <c r="D9" s="1957"/>
      <c r="E9" s="1957"/>
      <c r="F9" s="1957"/>
      <c r="R9" s="488"/>
    </row>
    <row r="10" spans="1:18" ht="18.75" customHeight="1" x14ac:dyDescent="0.3">
      <c r="B10" s="490" t="s">
        <v>412</v>
      </c>
      <c r="C10" s="1218"/>
      <c r="D10" s="1957"/>
      <c r="E10" s="1957"/>
      <c r="F10" s="1957"/>
      <c r="R10" s="488"/>
    </row>
    <row r="11" spans="1:18" ht="18.75" customHeight="1" x14ac:dyDescent="0.3">
      <c r="B11" s="490" t="s">
        <v>413</v>
      </c>
      <c r="C11" s="1218"/>
      <c r="D11" s="1957"/>
      <c r="E11" s="1957"/>
      <c r="F11" s="1957"/>
      <c r="R11" s="488"/>
    </row>
    <row r="12" spans="1:18" ht="18.75" customHeight="1" x14ac:dyDescent="0.3">
      <c r="B12" s="490" t="s">
        <v>414</v>
      </c>
      <c r="C12" s="665"/>
      <c r="D12" s="1957"/>
      <c r="E12" s="1957"/>
      <c r="F12" s="1957"/>
      <c r="R12" s="488"/>
    </row>
    <row r="13" spans="1:18" ht="18.75" customHeight="1" x14ac:dyDescent="0.3">
      <c r="B13" s="494" t="s">
        <v>415</v>
      </c>
      <c r="C13" s="658">
        <f>N43</f>
        <v>2307</v>
      </c>
      <c r="D13" s="1957"/>
      <c r="E13" s="1957"/>
      <c r="F13" s="1957"/>
      <c r="R13" s="488"/>
    </row>
    <row r="14" spans="1:18" ht="18.75" customHeight="1" x14ac:dyDescent="0.3">
      <c r="B14" s="494" t="s">
        <v>416</v>
      </c>
      <c r="C14" s="658">
        <f>N42</f>
        <v>0</v>
      </c>
      <c r="D14" s="1957"/>
      <c r="E14" s="1957"/>
      <c r="F14" s="1957"/>
      <c r="R14" s="488"/>
    </row>
    <row r="15" spans="1:18" ht="18.75" customHeight="1" x14ac:dyDescent="0.3">
      <c r="B15" s="494" t="s">
        <v>417</v>
      </c>
      <c r="C15" s="658">
        <f>N44</f>
        <v>0</v>
      </c>
      <c r="D15" s="1957"/>
      <c r="E15" s="1957"/>
      <c r="F15" s="1957"/>
      <c r="R15" s="488"/>
    </row>
    <row r="16" spans="1:18" ht="18.75" customHeight="1" x14ac:dyDescent="0.3">
      <c r="B16" s="494" t="s">
        <v>418</v>
      </c>
      <c r="C16" s="659">
        <f>C37</f>
        <v>0</v>
      </c>
      <c r="D16" s="1957"/>
      <c r="E16" s="1957"/>
      <c r="F16" s="1957"/>
      <c r="R16" s="488"/>
    </row>
    <row r="17" spans="2:18" ht="18.75" customHeight="1" x14ac:dyDescent="0.3">
      <c r="B17" s="490" t="s">
        <v>48</v>
      </c>
      <c r="C17" s="1218" t="s">
        <v>1641</v>
      </c>
      <c r="D17" s="1363" t="s">
        <v>419</v>
      </c>
      <c r="E17" s="1363"/>
      <c r="F17" s="1363"/>
      <c r="R17" s="488"/>
    </row>
    <row r="18" spans="2:18" ht="44.25" customHeight="1" x14ac:dyDescent="0.3">
      <c r="B18" s="490" t="s">
        <v>420</v>
      </c>
      <c r="C18" s="666">
        <v>8</v>
      </c>
      <c r="D18" s="1513" t="s">
        <v>1642</v>
      </c>
      <c r="E18" s="1513"/>
      <c r="F18" s="1513"/>
      <c r="R18" s="488"/>
    </row>
    <row r="19" spans="2:18" ht="18.75" customHeight="1" x14ac:dyDescent="0.3">
      <c r="B19" s="613"/>
      <c r="C19" s="614"/>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30" customHeight="1" x14ac:dyDescent="0.3">
      <c r="B21" s="499" t="s">
        <v>422</v>
      </c>
      <c r="C21" s="1536" t="s">
        <v>276</v>
      </c>
      <c r="D21" s="1536"/>
      <c r="E21" s="1536"/>
      <c r="F21" s="1536"/>
      <c r="G21" s="1536"/>
      <c r="H21" s="1536"/>
      <c r="I21" s="1536"/>
      <c r="J21" s="1536"/>
      <c r="K21" s="1536"/>
      <c r="L21" s="1536"/>
      <c r="M21" s="1536"/>
      <c r="N21" s="1536"/>
      <c r="O21" s="1536"/>
      <c r="P21" s="1536"/>
      <c r="Q21" s="1536"/>
      <c r="R21" s="488"/>
    </row>
    <row r="22" spans="2:18" ht="18.75" customHeight="1" x14ac:dyDescent="0.3">
      <c r="B22" s="500" t="s">
        <v>423</v>
      </c>
      <c r="C22" s="1536" t="s">
        <v>277</v>
      </c>
      <c r="D22" s="1536"/>
      <c r="E22" s="1536"/>
      <c r="F22" s="1536"/>
      <c r="G22" s="1536"/>
      <c r="H22" s="1536"/>
      <c r="I22" s="1536"/>
      <c r="J22" s="1536"/>
      <c r="K22" s="1536"/>
      <c r="L22" s="1536"/>
      <c r="M22" s="1536"/>
      <c r="N22" s="1536"/>
      <c r="O22" s="1536"/>
      <c r="P22" s="1536"/>
      <c r="Q22" s="1536"/>
      <c r="R22" s="488"/>
    </row>
    <row r="23" spans="2:18" ht="18.75" customHeight="1"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512"/>
      <c r="F33" s="1512"/>
      <c r="G33" s="1512"/>
      <c r="H33" s="1512"/>
      <c r="I33" s="1512"/>
      <c r="J33" s="1512"/>
      <c r="K33" s="1512"/>
      <c r="L33" s="1512"/>
      <c r="M33" s="1512"/>
      <c r="N33" s="1512"/>
      <c r="O33" s="1512"/>
      <c r="P33" s="1512"/>
      <c r="Q33" s="1512"/>
      <c r="R33" s="488"/>
    </row>
    <row r="34" spans="2:18" ht="18.75" customHeight="1" x14ac:dyDescent="0.3">
      <c r="B34" s="494" t="s">
        <v>431</v>
      </c>
      <c r="C34" s="542"/>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504">
        <f>SUM(C33:C34)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504">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2307</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2"/>
      <c r="O48" s="1243" t="s">
        <v>440</v>
      </c>
      <c r="P48" s="1511"/>
      <c r="Q48" s="1511"/>
      <c r="R48" s="488"/>
    </row>
    <row r="49" spans="2:18" ht="18.75" customHeight="1" x14ac:dyDescent="0.3">
      <c r="B49" s="582" t="s">
        <v>454</v>
      </c>
      <c r="C49" s="1504" t="s">
        <v>1643</v>
      </c>
      <c r="D49" s="1505"/>
      <c r="E49" s="1505"/>
      <c r="F49" s="1505"/>
      <c r="G49" s="1505"/>
      <c r="H49" s="1505"/>
      <c r="I49" s="1505"/>
      <c r="J49" s="1505"/>
      <c r="K49" s="1505"/>
      <c r="L49" s="1505"/>
      <c r="M49" s="1506"/>
      <c r="N49" s="592">
        <f>H62</f>
        <v>2307</v>
      </c>
      <c r="O49" s="1243" t="s">
        <v>443</v>
      </c>
      <c r="P49" s="1511"/>
      <c r="Q49" s="1511"/>
      <c r="R49" s="488"/>
    </row>
    <row r="50" spans="2:18" ht="18.75" customHeight="1" x14ac:dyDescent="0.3">
      <c r="B50" s="582" t="s">
        <v>456</v>
      </c>
      <c r="C50" s="1504" t="s">
        <v>457</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92"/>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2"/>
      <c r="O55" s="509" t="s">
        <v>443</v>
      </c>
      <c r="P55" s="1447"/>
      <c r="Q55" s="1447"/>
    </row>
    <row r="56" spans="2:18" s="491" customFormat="1" ht="18.75" customHeight="1" x14ac:dyDescent="0.3">
      <c r="B56" s="531" t="s">
        <v>466</v>
      </c>
      <c r="C56" s="1504" t="s">
        <v>467</v>
      </c>
      <c r="D56" s="1505"/>
      <c r="E56" s="1505"/>
      <c r="F56" s="1505"/>
      <c r="G56" s="1505"/>
      <c r="H56" s="1505"/>
      <c r="I56" s="1505"/>
      <c r="J56" s="1505"/>
      <c r="K56" s="1505"/>
      <c r="L56" s="1505"/>
      <c r="M56" s="1506"/>
      <c r="N56" s="592"/>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2"/>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1188" t="s">
        <v>406</v>
      </c>
      <c r="I61" s="1188" t="s">
        <v>428</v>
      </c>
      <c r="J61" s="1396" t="s">
        <v>476</v>
      </c>
      <c r="K61" s="1397"/>
      <c r="L61" s="1397"/>
      <c r="M61" s="1397"/>
      <c r="N61" s="1397"/>
      <c r="O61" s="1397"/>
      <c r="P61" s="1397"/>
      <c r="Q61" s="1398"/>
    </row>
    <row r="62" spans="2:18" ht="85.5" customHeight="1" x14ac:dyDescent="0.3">
      <c r="B62" s="535">
        <v>1</v>
      </c>
      <c r="C62" s="551" t="s">
        <v>1644</v>
      </c>
      <c r="D62" s="1543" t="s">
        <v>1645</v>
      </c>
      <c r="E62" s="1543"/>
      <c r="F62" s="552"/>
      <c r="G62" s="552"/>
      <c r="H62" s="1037">
        <v>2307</v>
      </c>
      <c r="I62" s="552" t="s">
        <v>443</v>
      </c>
      <c r="J62" s="1482" t="s">
        <v>1646</v>
      </c>
      <c r="K62" s="1484"/>
      <c r="L62" s="1484"/>
      <c r="M62" s="1484"/>
      <c r="N62" s="1484"/>
      <c r="O62" s="1484"/>
      <c r="P62" s="1484"/>
      <c r="Q62" s="1483"/>
      <c r="R62" s="488"/>
    </row>
    <row r="63" spans="2:18" ht="13" x14ac:dyDescent="0.3">
      <c r="B63" s="533">
        <v>2</v>
      </c>
      <c r="C63" s="546"/>
      <c r="D63" s="1539"/>
      <c r="E63" s="1539"/>
      <c r="F63" s="1217"/>
      <c r="G63" s="1217"/>
      <c r="H63" s="645"/>
      <c r="I63" s="1217"/>
      <c r="J63" s="1468"/>
      <c r="K63" s="1478"/>
      <c r="L63" s="1478"/>
      <c r="M63" s="1478"/>
      <c r="N63" s="1478"/>
      <c r="O63" s="1478"/>
      <c r="P63" s="1478"/>
      <c r="Q63" s="1469"/>
      <c r="R63" s="488"/>
    </row>
    <row r="64" spans="2:18" ht="13" x14ac:dyDescent="0.3">
      <c r="B64" s="533">
        <v>3</v>
      </c>
      <c r="C64" s="546"/>
      <c r="D64" s="1539"/>
      <c r="E64" s="1539"/>
      <c r="F64" s="1217"/>
      <c r="G64" s="1217"/>
      <c r="H64" s="569"/>
      <c r="I64" s="1217"/>
      <c r="J64" s="1468"/>
      <c r="K64" s="1478"/>
      <c r="L64" s="1478"/>
      <c r="M64" s="1478"/>
      <c r="N64" s="1478"/>
      <c r="O64" s="1478"/>
      <c r="P64" s="1478"/>
      <c r="Q64" s="1469"/>
      <c r="R64" s="488"/>
    </row>
    <row r="65" spans="2:18" ht="13" x14ac:dyDescent="0.3">
      <c r="B65" s="533">
        <v>4</v>
      </c>
      <c r="C65" s="546"/>
      <c r="D65" s="1539"/>
      <c r="E65" s="1539"/>
      <c r="F65" s="1217"/>
      <c r="G65" s="1217"/>
      <c r="H65" s="609"/>
      <c r="I65" s="1217"/>
      <c r="J65" s="1468"/>
      <c r="K65" s="1478"/>
      <c r="L65" s="1478"/>
      <c r="M65" s="1478"/>
      <c r="N65" s="1478"/>
      <c r="O65" s="1478"/>
      <c r="P65" s="1478"/>
      <c r="Q65" s="1469"/>
      <c r="R65" s="488"/>
    </row>
    <row r="66" spans="2:18" ht="13" x14ac:dyDescent="0.3">
      <c r="B66" s="533">
        <v>5</v>
      </c>
      <c r="C66" s="546"/>
      <c r="D66" s="1539"/>
      <c r="E66" s="1539"/>
      <c r="F66" s="1217"/>
      <c r="G66" s="1217"/>
      <c r="H66" s="609"/>
      <c r="I66" s="1217"/>
      <c r="J66" s="1468"/>
      <c r="K66" s="1478"/>
      <c r="L66" s="1478"/>
      <c r="M66" s="1478"/>
      <c r="N66" s="1478"/>
      <c r="O66" s="1478"/>
      <c r="P66" s="1478"/>
      <c r="Q66" s="1469"/>
      <c r="R66" s="488"/>
    </row>
    <row r="67" spans="2:18" ht="13" x14ac:dyDescent="0.3">
      <c r="B67" s="533">
        <v>6</v>
      </c>
      <c r="C67" s="546"/>
      <c r="D67" s="1539"/>
      <c r="E67" s="1539"/>
      <c r="F67" s="1217"/>
      <c r="G67" s="1217"/>
      <c r="H67" s="765"/>
      <c r="I67" s="1217"/>
      <c r="J67" s="1507"/>
      <c r="K67" s="1514"/>
      <c r="L67" s="1514"/>
      <c r="M67" s="1514"/>
      <c r="N67" s="1514"/>
      <c r="O67" s="1514"/>
      <c r="P67" s="1514"/>
      <c r="Q67" s="1515"/>
      <c r="R67" s="488"/>
    </row>
    <row r="68" spans="2:18" ht="13" x14ac:dyDescent="0.3">
      <c r="B68" s="533">
        <v>7</v>
      </c>
      <c r="C68" s="546"/>
      <c r="D68" s="1539"/>
      <c r="E68" s="1539"/>
      <c r="F68" s="1217"/>
      <c r="G68" s="1217"/>
      <c r="H68" s="609"/>
      <c r="I68" s="1217"/>
      <c r="J68" s="1507"/>
      <c r="K68" s="1514"/>
      <c r="L68" s="1514"/>
      <c r="M68" s="1514"/>
      <c r="N68" s="1514"/>
      <c r="O68" s="1514"/>
      <c r="P68" s="1514"/>
      <c r="Q68" s="1515"/>
      <c r="R68" s="488"/>
    </row>
    <row r="69" spans="2:18" ht="13" x14ac:dyDescent="0.3">
      <c r="B69" s="533">
        <v>8</v>
      </c>
      <c r="C69" s="546"/>
      <c r="D69" s="1539"/>
      <c r="E69" s="1539"/>
      <c r="F69" s="1217"/>
      <c r="G69" s="1217"/>
      <c r="H69" s="1217"/>
      <c r="I69" s="1217"/>
      <c r="J69" s="1507"/>
      <c r="K69" s="1514"/>
      <c r="L69" s="1514"/>
      <c r="M69" s="1514"/>
      <c r="N69" s="1514"/>
      <c r="O69" s="1514"/>
      <c r="P69" s="1514"/>
      <c r="Q69" s="1515"/>
      <c r="R69" s="488"/>
    </row>
    <row r="70" spans="2:18" ht="13" x14ac:dyDescent="0.3">
      <c r="B70" s="533">
        <v>9</v>
      </c>
      <c r="C70" s="546"/>
      <c r="D70" s="1539"/>
      <c r="E70" s="1539"/>
      <c r="F70" s="1217"/>
      <c r="G70" s="1217"/>
      <c r="H70" s="1217"/>
      <c r="I70" s="1217"/>
      <c r="J70" s="1507"/>
      <c r="K70" s="1514"/>
      <c r="L70" s="1514"/>
      <c r="M70" s="1514"/>
      <c r="N70" s="1514"/>
      <c r="O70" s="1514"/>
      <c r="P70" s="1514"/>
      <c r="Q70" s="1515"/>
      <c r="R70" s="488"/>
    </row>
    <row r="71" spans="2:18" ht="13" x14ac:dyDescent="0.3">
      <c r="B71" s="533">
        <v>10</v>
      </c>
      <c r="C71" s="546"/>
      <c r="D71" s="1539"/>
      <c r="E71" s="1539"/>
      <c r="F71" s="1217"/>
      <c r="G71" s="1217"/>
      <c r="H71" s="571"/>
      <c r="I71" s="1217"/>
      <c r="J71" s="1507"/>
      <c r="K71" s="1514"/>
      <c r="L71" s="1514"/>
      <c r="M71" s="1514"/>
      <c r="N71" s="1514"/>
      <c r="O71" s="1514"/>
      <c r="P71" s="1514"/>
      <c r="Q71" s="1515"/>
      <c r="R71" s="488"/>
    </row>
    <row r="72" spans="2:18" s="491" customFormat="1" ht="13" x14ac:dyDescent="0.3">
      <c r="B72" s="536">
        <v>11</v>
      </c>
      <c r="C72" s="555"/>
      <c r="D72" s="1437"/>
      <c r="E72" s="1438"/>
      <c r="F72" s="556"/>
      <c r="G72" s="557"/>
      <c r="H72" s="556"/>
      <c r="I72" s="557"/>
      <c r="J72" s="1437"/>
      <c r="K72" s="1448"/>
      <c r="L72" s="1448"/>
      <c r="M72" s="1448"/>
      <c r="N72" s="1448"/>
      <c r="O72" s="1448"/>
      <c r="P72" s="1448"/>
      <c r="Q72" s="1438"/>
    </row>
    <row r="73" spans="2:18" s="491" customFormat="1" ht="13" x14ac:dyDescent="0.3">
      <c r="B73" s="536">
        <v>12</v>
      </c>
      <c r="C73" s="555"/>
      <c r="D73" s="1437"/>
      <c r="E73" s="1438"/>
      <c r="F73" s="556"/>
      <c r="G73" s="557"/>
      <c r="H73" s="558"/>
      <c r="I73" s="557"/>
      <c r="J73" s="1472"/>
      <c r="K73" s="1473"/>
      <c r="L73" s="1473"/>
      <c r="M73" s="1473"/>
      <c r="N73" s="1473"/>
      <c r="O73" s="1473"/>
      <c r="P73" s="1473"/>
      <c r="Q73" s="1474"/>
    </row>
    <row r="74" spans="2:18" s="491" customFormat="1" ht="13" x14ac:dyDescent="0.3">
      <c r="B74" s="536">
        <v>13</v>
      </c>
      <c r="C74" s="555"/>
      <c r="D74" s="1437"/>
      <c r="E74" s="1438"/>
      <c r="F74" s="556"/>
      <c r="G74" s="557"/>
      <c r="H74" s="556"/>
      <c r="I74" s="557"/>
      <c r="J74" s="1472"/>
      <c r="K74" s="1473"/>
      <c r="L74" s="1473"/>
      <c r="M74" s="1473"/>
      <c r="N74" s="1473"/>
      <c r="O74" s="1473"/>
      <c r="P74" s="1473"/>
      <c r="Q74" s="1474"/>
    </row>
    <row r="75" spans="2:18" s="489" customFormat="1" ht="13.15" customHeight="1" x14ac:dyDescent="0.3">
      <c r="B75" s="536">
        <v>14</v>
      </c>
      <c r="C75" s="555"/>
      <c r="D75" s="1437"/>
      <c r="E75" s="1438"/>
      <c r="F75" s="556"/>
      <c r="G75" s="557"/>
      <c r="H75" s="556"/>
      <c r="I75" s="557"/>
      <c r="J75" s="1472"/>
      <c r="K75" s="1473"/>
      <c r="L75" s="1473"/>
      <c r="M75" s="1473"/>
      <c r="N75" s="1473"/>
      <c r="O75" s="1473"/>
      <c r="P75" s="1473"/>
      <c r="Q75" s="1474"/>
    </row>
    <row r="76" spans="2:18" s="489" customFormat="1" ht="13" x14ac:dyDescent="0.3">
      <c r="B76" s="536">
        <v>15</v>
      </c>
      <c r="C76" s="555"/>
      <c r="D76" s="1437"/>
      <c r="E76" s="1438"/>
      <c r="F76" s="556"/>
      <c r="G76" s="557"/>
      <c r="H76" s="559"/>
      <c r="I76" s="557"/>
      <c r="J76" s="1472"/>
      <c r="K76" s="1473"/>
      <c r="L76" s="1473"/>
      <c r="M76" s="1473"/>
      <c r="N76" s="1473"/>
      <c r="O76" s="1473"/>
      <c r="P76" s="1473"/>
      <c r="Q76" s="1474"/>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182"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182"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c r="R85" s="488"/>
    </row>
    <row r="86" spans="2:18" ht="13" x14ac:dyDescent="0.3">
      <c r="B86" s="533">
        <v>6</v>
      </c>
      <c r="C86" s="563"/>
      <c r="D86" s="564"/>
      <c r="E86" s="1182"/>
      <c r="F86" s="1489"/>
      <c r="G86" s="1490"/>
      <c r="H86" s="1490"/>
      <c r="I86" s="1490"/>
      <c r="J86" s="1490"/>
      <c r="K86" s="1490"/>
      <c r="L86" s="1490"/>
      <c r="M86" s="1490"/>
      <c r="N86" s="1490"/>
      <c r="O86" s="1490"/>
      <c r="P86" s="1490"/>
      <c r="Q86" s="1491"/>
      <c r="R86" s="488"/>
    </row>
    <row r="87" spans="2:18" ht="13" x14ac:dyDescent="0.3">
      <c r="B87" s="533">
        <v>7</v>
      </c>
      <c r="C87" s="563"/>
      <c r="D87" s="1233"/>
      <c r="E87" s="1182"/>
      <c r="F87" s="1489"/>
      <c r="G87" s="1490"/>
      <c r="H87" s="1490"/>
      <c r="I87" s="1490"/>
      <c r="J87" s="1490"/>
      <c r="K87" s="1490"/>
      <c r="L87" s="1490"/>
      <c r="M87" s="1490"/>
      <c r="N87" s="1490"/>
      <c r="O87" s="1490"/>
      <c r="P87" s="1490"/>
      <c r="Q87" s="1491"/>
      <c r="R87" s="488"/>
    </row>
    <row r="88" spans="2:18" ht="13" x14ac:dyDescent="0.3">
      <c r="B88" s="533">
        <v>8</v>
      </c>
      <c r="C88" s="563"/>
      <c r="D88" s="564"/>
      <c r="E88" s="1182"/>
      <c r="F88" s="1489"/>
      <c r="G88" s="1490"/>
      <c r="H88" s="1490"/>
      <c r="I88" s="1490"/>
      <c r="J88" s="1490"/>
      <c r="K88" s="1490"/>
      <c r="L88" s="1490"/>
      <c r="M88" s="1490"/>
      <c r="N88" s="1490"/>
      <c r="O88" s="1490"/>
      <c r="P88" s="1490"/>
      <c r="Q88" s="1491"/>
      <c r="R88" s="488"/>
    </row>
    <row r="89" spans="2:18" ht="13" x14ac:dyDescent="0.3">
      <c r="B89" s="533">
        <v>9</v>
      </c>
      <c r="C89" s="563"/>
      <c r="D89" s="1233"/>
      <c r="E89" s="1182"/>
      <c r="F89" s="1489"/>
      <c r="G89" s="1490"/>
      <c r="H89" s="1490"/>
      <c r="I89" s="1490"/>
      <c r="J89" s="1490"/>
      <c r="K89" s="1490"/>
      <c r="L89" s="1490"/>
      <c r="M89" s="1490"/>
      <c r="N89" s="1490"/>
      <c r="O89" s="1490"/>
      <c r="P89" s="1490"/>
      <c r="Q89" s="1491"/>
      <c r="R89" s="488"/>
    </row>
    <row r="90" spans="2:18" ht="13" x14ac:dyDescent="0.3">
      <c r="B90" s="533">
        <v>10</v>
      </c>
      <c r="C90" s="563"/>
      <c r="D90" s="564"/>
      <c r="E90" s="1182"/>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08"/>
      <c r="Q95" s="1409"/>
      <c r="R95" s="488"/>
    </row>
    <row r="96" spans="2:18" ht="25.5" customHeight="1" x14ac:dyDescent="0.3">
      <c r="B96" s="1188" t="s">
        <v>478</v>
      </c>
      <c r="C96" s="1402" t="s">
        <v>505</v>
      </c>
      <c r="D96" s="1431"/>
      <c r="E96" s="565"/>
      <c r="F96" s="565"/>
      <c r="G96" s="565"/>
      <c r="H96" s="565"/>
      <c r="I96" s="565"/>
      <c r="J96" s="565"/>
      <c r="K96" s="565"/>
      <c r="L96" s="565"/>
      <c r="M96" s="565"/>
      <c r="N96" s="566"/>
      <c r="O96" s="1410"/>
      <c r="P96" s="1411"/>
      <c r="Q96" s="1412"/>
      <c r="R96" s="488"/>
    </row>
    <row r="97" spans="2:18" ht="13" x14ac:dyDescent="0.3">
      <c r="B97" s="533">
        <v>1</v>
      </c>
      <c r="C97" s="546"/>
      <c r="D97" s="1184"/>
      <c r="E97" s="1038"/>
      <c r="F97" s="1190"/>
      <c r="G97" s="1190"/>
      <c r="H97" s="1190"/>
      <c r="I97" s="568"/>
      <c r="J97" s="568"/>
      <c r="K97" s="568"/>
      <c r="L97" s="568"/>
      <c r="M97" s="568"/>
      <c r="N97" s="568"/>
      <c r="O97" s="1501"/>
      <c r="P97" s="1502"/>
      <c r="Q97" s="1503"/>
      <c r="R97" s="488"/>
    </row>
    <row r="98" spans="2:18" ht="13" x14ac:dyDescent="0.3">
      <c r="B98" s="533">
        <v>2</v>
      </c>
      <c r="C98" s="546"/>
      <c r="D98" s="1184"/>
      <c r="E98" s="1038"/>
      <c r="F98" s="1190"/>
      <c r="G98" s="1190"/>
      <c r="H98" s="1190"/>
      <c r="I98" s="568"/>
      <c r="J98" s="568"/>
      <c r="K98" s="568"/>
      <c r="L98" s="568"/>
      <c r="M98" s="568"/>
      <c r="N98" s="568"/>
      <c r="O98" s="1501"/>
      <c r="P98" s="1502"/>
      <c r="Q98" s="1503"/>
      <c r="R98" s="488"/>
    </row>
    <row r="99" spans="2:18" ht="13" x14ac:dyDescent="0.3">
      <c r="B99" s="533">
        <v>3</v>
      </c>
      <c r="C99" s="546"/>
      <c r="D99" s="1184"/>
      <c r="E99" s="1190"/>
      <c r="F99" s="1190"/>
      <c r="G99" s="1190"/>
      <c r="H99" s="1190"/>
      <c r="I99" s="568"/>
      <c r="J99" s="568"/>
      <c r="K99" s="568"/>
      <c r="L99" s="568"/>
      <c r="M99" s="568"/>
      <c r="N99" s="568"/>
      <c r="O99" s="1495"/>
      <c r="P99" s="1496"/>
      <c r="Q99" s="1497"/>
      <c r="R99" s="488"/>
    </row>
    <row r="100" spans="2:18" ht="13" x14ac:dyDescent="0.3">
      <c r="B100" s="533">
        <v>4</v>
      </c>
      <c r="C100" s="546"/>
      <c r="D100" s="1184"/>
      <c r="E100" s="1190"/>
      <c r="F100" s="1190"/>
      <c r="G100" s="1190"/>
      <c r="H100" s="1190"/>
      <c r="I100" s="568"/>
      <c r="J100" s="568"/>
      <c r="K100" s="568"/>
      <c r="L100" s="568"/>
      <c r="M100" s="568"/>
      <c r="N100" s="568"/>
      <c r="O100" s="1495"/>
      <c r="P100" s="1496"/>
      <c r="Q100" s="1497"/>
      <c r="R100" s="488"/>
    </row>
    <row r="101" spans="2:18" ht="13" x14ac:dyDescent="0.3">
      <c r="B101" s="533">
        <v>5</v>
      </c>
      <c r="C101" s="546"/>
      <c r="D101" s="1184"/>
      <c r="E101" s="1190"/>
      <c r="F101" s="1190"/>
      <c r="G101" s="1190"/>
      <c r="H101" s="1190"/>
      <c r="I101" s="568"/>
      <c r="J101" s="568"/>
      <c r="K101" s="568"/>
      <c r="L101" s="568"/>
      <c r="M101" s="568"/>
      <c r="N101" s="568"/>
      <c r="O101" s="1495"/>
      <c r="P101" s="1496"/>
      <c r="Q101" s="1497"/>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sheetData>
  <sheetProtection algorithmName="SHA-512" hashValue="zpxkCV2rzLCSyEDD2GK8+VWteLGIB5yp97ERpku6hu4WXiaclJeEssIt9DeR4y2XeXPsooJiYuPE3q5XtCz50g==" saltValue="f2jB2uGtycC/FRhySxgg0A==" spinCount="100000" sheet="1" objects="1" scenarios="1" selectLockedCells="1" selectUnlockedCells="1"/>
  <mergeCells count="121">
    <mergeCell ref="C2:F2"/>
    <mergeCell ref="C3:F3"/>
    <mergeCell ref="C4:F4"/>
    <mergeCell ref="C5:F5"/>
    <mergeCell ref="D7:F7"/>
    <mergeCell ref="D8:F16"/>
    <mergeCell ref="D25:Q25"/>
    <mergeCell ref="D26:Q26"/>
    <mergeCell ref="D27:Q27"/>
    <mergeCell ref="D28:Q28"/>
    <mergeCell ref="D29:Q29"/>
    <mergeCell ref="D30:Q30"/>
    <mergeCell ref="D17:F17"/>
    <mergeCell ref="D18:F18"/>
    <mergeCell ref="B20:Q20"/>
    <mergeCell ref="C21:Q21"/>
    <mergeCell ref="C22:Q22"/>
    <mergeCell ref="C23:Q23"/>
    <mergeCell ref="C41:M41"/>
    <mergeCell ref="P41:Q41"/>
    <mergeCell ref="C42:M42"/>
    <mergeCell ref="P42:Q42"/>
    <mergeCell ref="C43:M43"/>
    <mergeCell ref="P43:Q43"/>
    <mergeCell ref="E32:Q32"/>
    <mergeCell ref="E33:Q33"/>
    <mergeCell ref="E34:Q34"/>
    <mergeCell ref="E35:Q35"/>
    <mergeCell ref="E36:Q36"/>
    <mergeCell ref="E37:Q37"/>
    <mergeCell ref="C48:M48"/>
    <mergeCell ref="P48:Q48"/>
    <mergeCell ref="C49:M49"/>
    <mergeCell ref="P49:Q49"/>
    <mergeCell ref="C50:M50"/>
    <mergeCell ref="P50:Q50"/>
    <mergeCell ref="C44:M44"/>
    <mergeCell ref="P44:Q44"/>
    <mergeCell ref="C45:M45"/>
    <mergeCell ref="P45:Q45"/>
    <mergeCell ref="C47:M47"/>
    <mergeCell ref="P47:Q47"/>
    <mergeCell ref="C55:M55"/>
    <mergeCell ref="P55:Q55"/>
    <mergeCell ref="C56:M56"/>
    <mergeCell ref="P56:Q56"/>
    <mergeCell ref="C57:M57"/>
    <mergeCell ref="P57:Q57"/>
    <mergeCell ref="C51:M51"/>
    <mergeCell ref="P51:Q51"/>
    <mergeCell ref="C53:M53"/>
    <mergeCell ref="P53:Q53"/>
    <mergeCell ref="C54:M54"/>
    <mergeCell ref="P54:Q54"/>
    <mergeCell ref="D64:E64"/>
    <mergeCell ref="J64:Q64"/>
    <mergeCell ref="D65:E65"/>
    <mergeCell ref="J65:Q65"/>
    <mergeCell ref="D66:E66"/>
    <mergeCell ref="J66:Q66"/>
    <mergeCell ref="D61:E61"/>
    <mergeCell ref="J61:Q61"/>
    <mergeCell ref="D63:E63"/>
    <mergeCell ref="J63:Q63"/>
    <mergeCell ref="D62:E62"/>
    <mergeCell ref="J62:Q62"/>
    <mergeCell ref="D70:E70"/>
    <mergeCell ref="J70:Q70"/>
    <mergeCell ref="D71:E71"/>
    <mergeCell ref="J71:Q71"/>
    <mergeCell ref="D72:E72"/>
    <mergeCell ref="J72:Q72"/>
    <mergeCell ref="D67:E67"/>
    <mergeCell ref="J67:Q67"/>
    <mergeCell ref="D68:E68"/>
    <mergeCell ref="J68:Q68"/>
    <mergeCell ref="D69:E69"/>
    <mergeCell ref="J69:Q69"/>
    <mergeCell ref="D76:E76"/>
    <mergeCell ref="J76:Q76"/>
    <mergeCell ref="F80:Q80"/>
    <mergeCell ref="F81:Q81"/>
    <mergeCell ref="F82:Q82"/>
    <mergeCell ref="F83:Q83"/>
    <mergeCell ref="D73:E73"/>
    <mergeCell ref="J73:Q73"/>
    <mergeCell ref="D74:E74"/>
    <mergeCell ref="J74:Q74"/>
    <mergeCell ref="D75:E75"/>
    <mergeCell ref="J75:Q75"/>
    <mergeCell ref="B95:D95"/>
    <mergeCell ref="C96:D96"/>
    <mergeCell ref="O97:Q97"/>
    <mergeCell ref="F84:Q84"/>
    <mergeCell ref="F85:Q85"/>
    <mergeCell ref="F86:Q86"/>
    <mergeCell ref="F87:Q87"/>
    <mergeCell ref="F88:Q88"/>
    <mergeCell ref="F89:Q89"/>
    <mergeCell ref="O98:Q98"/>
    <mergeCell ref="O99:Q99"/>
    <mergeCell ref="O100:Q100"/>
    <mergeCell ref="O101:Q101"/>
    <mergeCell ref="O102:Q102"/>
    <mergeCell ref="O103:Q103"/>
    <mergeCell ref="F90:Q90"/>
    <mergeCell ref="E94:N94"/>
    <mergeCell ref="O94:Q96"/>
    <mergeCell ref="O116:Q116"/>
    <mergeCell ref="O110:Q110"/>
    <mergeCell ref="O111:Q111"/>
    <mergeCell ref="O112:Q112"/>
    <mergeCell ref="O113:Q113"/>
    <mergeCell ref="O114:Q114"/>
    <mergeCell ref="O115:Q115"/>
    <mergeCell ref="O104:Q104"/>
    <mergeCell ref="O105:Q105"/>
    <mergeCell ref="O106:Q106"/>
    <mergeCell ref="O107:Q107"/>
    <mergeCell ref="O108:Q108"/>
    <mergeCell ref="O109:Q109"/>
  </mergeCells>
  <conditionalFormatting sqref="H71">
    <cfRule type="expression" dxfId="2377" priority="38">
      <formula>IF(OR(#REF!="L",#REF!="C"),TRUE,FALSE)</formula>
    </cfRule>
  </conditionalFormatting>
  <conditionalFormatting sqref="H65">
    <cfRule type="expression" dxfId="2376" priority="36">
      <formula>IF(OR(#REF!="L",#REF!="C"),TRUE,FALSE)</formula>
    </cfRule>
  </conditionalFormatting>
  <conditionalFormatting sqref="H64">
    <cfRule type="expression" dxfId="2375" priority="37">
      <formula>IF(OR(#REF!="L",#REF!="C"),TRUE,FALSE)</formula>
    </cfRule>
  </conditionalFormatting>
  <conditionalFormatting sqref="H66">
    <cfRule type="expression" dxfId="2374" priority="35">
      <formula>IF(OR(#REF!="L",#REF!="C"),TRUE,FALSE)</formula>
    </cfRule>
  </conditionalFormatting>
  <conditionalFormatting sqref="H67">
    <cfRule type="expression" dxfId="2373" priority="34">
      <formula>IF(OR(#REF!="L",#REF!="C"),TRUE,FALSE)</formula>
    </cfRule>
  </conditionalFormatting>
  <conditionalFormatting sqref="H68">
    <cfRule type="expression" dxfId="2372" priority="33">
      <formula>IF(OR(#REF!="L",#REF!="C"),TRUE,FALSE)</formula>
    </cfRule>
  </conditionalFormatting>
  <conditionalFormatting sqref="H69">
    <cfRule type="expression" dxfId="2371" priority="32">
      <formula>IF(OR(#REF!="L",#REF!="C"),TRUE,FALSE)</formula>
    </cfRule>
  </conditionalFormatting>
  <conditionalFormatting sqref="H70">
    <cfRule type="expression" dxfId="2370" priority="31">
      <formula>IF(OR(#REF!="L",#REF!="C"),TRUE,FALSE)</formula>
    </cfRule>
  </conditionalFormatting>
  <conditionalFormatting sqref="F109:F116 G102:G116 H104:H116">
    <cfRule type="expression" dxfId="2369" priority="30">
      <formula>IF(OR(#REF!="L",#REF!="C"),TRUE,FALSE)</formula>
    </cfRule>
  </conditionalFormatting>
  <conditionalFormatting sqref="E110:E116">
    <cfRule type="expression" dxfId="2368" priority="29">
      <formula>IF(OR(#REF!="L",#REF!="C"),TRUE,FALSE)</formula>
    </cfRule>
  </conditionalFormatting>
  <conditionalFormatting sqref="E107">
    <cfRule type="expression" dxfId="2367" priority="28">
      <formula>IF(OR(#REF!="L",#REF!="C"),TRUE,FALSE)</formula>
    </cfRule>
  </conditionalFormatting>
  <conditionalFormatting sqref="E108">
    <cfRule type="expression" dxfId="2366" priority="27">
      <formula>IF(OR(#REF!="L",#REF!="C"),TRUE,FALSE)</formula>
    </cfRule>
  </conditionalFormatting>
  <conditionalFormatting sqref="E109">
    <cfRule type="expression" dxfId="2365" priority="26">
      <formula>IF(OR(#REF!="L",#REF!="C"),TRUE,FALSE)</formula>
    </cfRule>
  </conditionalFormatting>
  <conditionalFormatting sqref="E106">
    <cfRule type="expression" dxfId="2364" priority="25">
      <formula>IF(OR(#REF!="L",#REF!="C"),TRUE,FALSE)</formula>
    </cfRule>
  </conditionalFormatting>
  <conditionalFormatting sqref="E95 G95 I95 K95 M95">
    <cfRule type="duplicateValues" dxfId="2363" priority="24"/>
  </conditionalFormatting>
  <conditionalFormatting sqref="M104:M116">
    <cfRule type="expression" dxfId="2362" priority="14">
      <formula>IF(OR(#REF!="L",#REF!="C"),TRUE,FALSE)</formula>
    </cfRule>
  </conditionalFormatting>
  <conditionalFormatting sqref="F102:F106">
    <cfRule type="expression" dxfId="2361" priority="23">
      <formula>IF(OR(#REF!="L",#REF!="C"),TRUE,FALSE)</formula>
    </cfRule>
  </conditionalFormatting>
  <conditionalFormatting sqref="I102:I103">
    <cfRule type="expression" dxfId="2360" priority="21">
      <formula>IF(OR(#REF!="L",#REF!="C"),TRUE,FALSE)</formula>
    </cfRule>
  </conditionalFormatting>
  <conditionalFormatting sqref="N102:N103">
    <cfRule type="expression" dxfId="2359" priority="11">
      <formula>IF(OR(#REF!="L",#REF!="C"),TRUE,FALSE)</formula>
    </cfRule>
  </conditionalFormatting>
  <conditionalFormatting sqref="I104:I116">
    <cfRule type="expression" dxfId="2358" priority="22">
      <formula>IF(OR(#REF!="L",#REF!="C"),TRUE,FALSE)</formula>
    </cfRule>
  </conditionalFormatting>
  <conditionalFormatting sqref="J102:J103">
    <cfRule type="expression" dxfId="2357" priority="19">
      <formula>IF(OR(#REF!="L",#REF!="C"),TRUE,FALSE)</formula>
    </cfRule>
  </conditionalFormatting>
  <conditionalFormatting sqref="J104:J116">
    <cfRule type="expression" dxfId="2356" priority="20">
      <formula>IF(OR(#REF!="L",#REF!="C"),TRUE,FALSE)</formula>
    </cfRule>
  </conditionalFormatting>
  <conditionalFormatting sqref="K102:K103">
    <cfRule type="expression" dxfId="2355" priority="17">
      <formula>IF(OR(#REF!="L",#REF!="C"),TRUE,FALSE)</formula>
    </cfRule>
  </conditionalFormatting>
  <conditionalFormatting sqref="K104:K116">
    <cfRule type="expression" dxfId="2354" priority="18">
      <formula>IF(OR(#REF!="L",#REF!="C"),TRUE,FALSE)</formula>
    </cfRule>
  </conditionalFormatting>
  <conditionalFormatting sqref="L102:L103">
    <cfRule type="expression" dxfId="2353" priority="15">
      <formula>IF(OR(#REF!="L",#REF!="C"),TRUE,FALSE)</formula>
    </cfRule>
  </conditionalFormatting>
  <conditionalFormatting sqref="L104:L116">
    <cfRule type="expression" dxfId="2352" priority="16">
      <formula>IF(OR(#REF!="L",#REF!="C"),TRUE,FALSE)</formula>
    </cfRule>
  </conditionalFormatting>
  <conditionalFormatting sqref="M102:M103">
    <cfRule type="expression" dxfId="2351" priority="13">
      <formula>IF(OR(#REF!="L",#REF!="C"),TRUE,FALSE)</formula>
    </cfRule>
  </conditionalFormatting>
  <conditionalFormatting sqref="N104:N116">
    <cfRule type="expression" dxfId="2350" priority="12">
      <formula>IF(OR(#REF!="L",#REF!="C"),TRUE,FALSE)</formula>
    </cfRule>
  </conditionalFormatting>
  <conditionalFormatting sqref="H62">
    <cfRule type="expression" dxfId="2349" priority="10">
      <formula>IF(OR(#REF!="L",#REF!="C"),TRUE,FALSE)</formula>
    </cfRule>
  </conditionalFormatting>
  <conditionalFormatting sqref="O102:O103">
    <cfRule type="expression" dxfId="2348" priority="8">
      <formula>IF(OR(#REF!="L",#REF!="C"),TRUE,FALSE)</formula>
    </cfRule>
  </conditionalFormatting>
  <conditionalFormatting sqref="O104:O116">
    <cfRule type="expression" dxfId="2347" priority="9">
      <formula>IF(OR(#REF!="L",#REF!="C"),TRUE,FALSE)</formula>
    </cfRule>
  </conditionalFormatting>
  <conditionalFormatting sqref="E96:N96">
    <cfRule type="duplicateValues" dxfId="2346" priority="7"/>
  </conditionalFormatting>
  <conditionalFormatting sqref="H63">
    <cfRule type="expression" dxfId="2345" priority="6">
      <formula>IF(OR(#REF!="L",#REF!="C"),TRUE,FALSE)</formula>
    </cfRule>
  </conditionalFormatting>
  <conditionalFormatting sqref="H72">
    <cfRule type="expression" dxfId="2344" priority="5">
      <formula>IF(OR(#REF!="L",#REF!="C"),TRUE,FALSE)</formula>
    </cfRule>
  </conditionalFormatting>
  <conditionalFormatting sqref="H73">
    <cfRule type="expression" dxfId="2343" priority="4">
      <formula>IF(OR(#REF!="L",#REF!="C"),TRUE,FALSE)</formula>
    </cfRule>
  </conditionalFormatting>
  <conditionalFormatting sqref="H74">
    <cfRule type="expression" dxfId="2342" priority="3">
      <formula>IF(OR(#REF!="L",#REF!="C"),TRUE,FALSE)</formula>
    </cfRule>
  </conditionalFormatting>
  <conditionalFormatting sqref="H75">
    <cfRule type="expression" dxfId="2341" priority="2">
      <formula>IF(OR(#REF!="L",#REF!="C"),TRUE,FALSE)</formula>
    </cfRule>
  </conditionalFormatting>
  <conditionalFormatting sqref="H76">
    <cfRule type="expression" dxfId="2340" priority="1">
      <formula>IF(OR(#REF!="L",#REF!="C"),TRUE,FALSE)</formula>
    </cfRule>
  </conditionalFormatting>
  <dataValidations count="7">
    <dataValidation type="list" allowBlank="1" showInputMessage="1" showErrorMessage="1" sqref="H63" xr:uid="{CC0C9507-BC0B-4E54-A24E-C128FA95A096}">
      <formula1>$C$97:$C$116</formula1>
    </dataValidation>
    <dataValidation type="list" allowBlank="1" showInputMessage="1" showErrorMessage="1" sqref="C4" xr:uid="{1C19912B-0F15-4560-BC4F-16A043749F54}">
      <formula1>"COM,RES"</formula1>
    </dataValidation>
    <dataValidation type="list" allowBlank="1" showInputMessage="1" showErrorMessage="1" sqref="C9" xr:uid="{D99D65AB-3365-44F6-B81D-5BF2C54B8CA3}">
      <formula1>INDIRECT("MeasureTypeList[Index]")</formula1>
    </dataValidation>
    <dataValidation type="list" allowBlank="1" showInputMessage="1" showErrorMessage="1" sqref="C26" xr:uid="{3817C966-55CF-479A-8D46-3DB391B9527A}">
      <formula1>INDIRECT("RegionList[Index]")</formula1>
    </dataValidation>
    <dataValidation type="list" allowBlank="1" showInputMessage="1" showErrorMessage="1" sqref="C27" xr:uid="{E7275E30-199C-47D9-A7B3-98E14FC439E2}">
      <formula1>INDIRECT("ReplacementTypeList[Index]")</formula1>
    </dataValidation>
    <dataValidation type="list" allowBlank="1" showInputMessage="1" showErrorMessage="1" sqref="C28" xr:uid="{7D74EFC7-1B21-4197-88F7-62A051BC647F}">
      <formula1>INDIRECT("BuildingType[Building]")</formula1>
    </dataValidation>
    <dataValidation type="list" allowBlank="1" showInputMessage="1" showErrorMessage="1" sqref="C29 C30" xr:uid="{D5389A2B-F289-4EAC-BEA4-5C7ADF439FF5}">
      <formula1>INDIRECT("FuelTypeList[Index]")</formula1>
    </dataValidation>
  </dataValidations>
  <hyperlinks>
    <hyperlink ref="F83" r:id="rId1" xr:uid="{9F43485A-577D-4260-ADF1-BA9CEDF20EFC}"/>
    <hyperlink ref="F85" r:id="rId2" xr:uid="{21BCEB1B-8C7C-4F20-9ED0-96AD23BF9264}"/>
    <hyperlink ref="F84" r:id="rId3" xr:uid="{478C691E-834C-41E1-9235-27E8CEA233C3}"/>
    <hyperlink ref="F82" r:id="rId4" xr:uid="{EEB43B94-195B-45B3-9AF3-BC98E2D29124}"/>
  </hyperlinks>
  <pageMargins left="0.7" right="0.7" top="0.75" bottom="0.75" header="0.3" footer="0.3"/>
  <pageSetup orientation="portrait" r:id="rId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3AEE8-89F9-4CE6-8732-7E21DF30E3B3}">
  <sheetPr codeName="Sheet45"/>
  <dimension ref="A2:R140"/>
  <sheetViews>
    <sheetView topLeftCell="A49" workbookViewId="0">
      <selection activeCell="B39" sqref="B39"/>
    </sheetView>
  </sheetViews>
  <sheetFormatPr defaultColWidth="9.08984375" defaultRowHeight="18.75" customHeight="1" x14ac:dyDescent="0.3"/>
  <cols>
    <col min="1" max="1" width="2.36328125" style="488" customWidth="1"/>
    <col min="2" max="2" width="44.36328125" style="488" bestFit="1" customWidth="1"/>
    <col min="3" max="3" width="22.81640625" style="488" customWidth="1"/>
    <col min="4" max="4" width="21.6328125" style="488" customWidth="1"/>
    <col min="5" max="5" width="15" style="488" customWidth="1"/>
    <col min="6" max="6" width="15.6328125" style="488" customWidth="1"/>
    <col min="7" max="7" width="19.6328125" style="488" customWidth="1"/>
    <col min="8" max="9" width="16"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C-R-002</v>
      </c>
      <c r="D3" s="1367"/>
      <c r="E3" s="1367"/>
      <c r="F3" s="1367"/>
    </row>
    <row r="4" spans="1:18" ht="18.75" customHeight="1" x14ac:dyDescent="0.3">
      <c r="B4" s="490" t="s">
        <v>11</v>
      </c>
      <c r="C4" s="1367" t="str" cm="1">
        <f t="array" ref="C4">_xlfn.SWITCH(LEFT(C8,1),"R","Residential","C","Commercial","ERROR")</f>
        <v>Commercial</v>
      </c>
      <c r="D4" s="1367"/>
      <c r="E4" s="1367"/>
      <c r="F4" s="1367"/>
    </row>
    <row r="5" spans="1:18" ht="19.5" customHeight="1" x14ac:dyDescent="0.3">
      <c r="B5" s="490" t="s">
        <v>408</v>
      </c>
      <c r="C5" s="1530" t="s">
        <v>278</v>
      </c>
      <c r="D5" s="1531"/>
      <c r="E5" s="1531"/>
      <c r="F5" s="1532"/>
      <c r="R5" s="488"/>
    </row>
    <row r="6" spans="1:18" ht="18.75" customHeight="1" x14ac:dyDescent="0.3">
      <c r="A6" s="573"/>
    </row>
    <row r="7" spans="1:18" ht="18.75" customHeight="1" x14ac:dyDescent="0.3">
      <c r="B7" s="1193" t="s">
        <v>409</v>
      </c>
      <c r="C7" s="1192" t="s">
        <v>406</v>
      </c>
      <c r="D7" s="1363" t="s">
        <v>410</v>
      </c>
      <c r="E7" s="1363"/>
      <c r="F7" s="1363"/>
      <c r="R7" s="488"/>
    </row>
    <row r="8" spans="1:18" ht="18.75" customHeight="1" x14ac:dyDescent="0.3">
      <c r="B8" s="490" t="s">
        <v>411</v>
      </c>
      <c r="C8" s="1218" t="s">
        <v>122</v>
      </c>
      <c r="D8" s="1957"/>
      <c r="E8" s="1957"/>
      <c r="F8" s="1957"/>
      <c r="R8" s="488"/>
    </row>
    <row r="9" spans="1:18" ht="18.75" customHeight="1" x14ac:dyDescent="0.3">
      <c r="B9" s="490" t="s">
        <v>49</v>
      </c>
      <c r="C9" s="1218" t="s">
        <v>1640</v>
      </c>
      <c r="D9" s="1957"/>
      <c r="E9" s="1957"/>
      <c r="F9" s="1957"/>
      <c r="R9" s="488"/>
    </row>
    <row r="10" spans="1:18" ht="18.75" customHeight="1" x14ac:dyDescent="0.3">
      <c r="B10" s="490" t="s">
        <v>412</v>
      </c>
      <c r="C10" s="1218"/>
      <c r="D10" s="1957"/>
      <c r="E10" s="1957"/>
      <c r="F10" s="1957"/>
      <c r="R10" s="488"/>
    </row>
    <row r="11" spans="1:18" ht="18.75" customHeight="1" x14ac:dyDescent="0.3">
      <c r="B11" s="490" t="s">
        <v>413</v>
      </c>
      <c r="C11" s="1218"/>
      <c r="D11" s="1957"/>
      <c r="E11" s="1957"/>
      <c r="F11" s="1957"/>
      <c r="R11" s="488"/>
    </row>
    <row r="12" spans="1:18" ht="18.75" customHeight="1" x14ac:dyDescent="0.3">
      <c r="B12" s="490" t="s">
        <v>414</v>
      </c>
      <c r="C12" s="665"/>
      <c r="D12" s="1957"/>
      <c r="E12" s="1957"/>
      <c r="F12" s="1957"/>
      <c r="R12" s="488"/>
    </row>
    <row r="13" spans="1:18" ht="18.75" customHeight="1" x14ac:dyDescent="0.3">
      <c r="B13" s="494" t="s">
        <v>415</v>
      </c>
      <c r="C13" s="658">
        <f>N43</f>
        <v>53.666666666666664</v>
      </c>
      <c r="D13" s="1957"/>
      <c r="E13" s="1957"/>
      <c r="F13" s="1957"/>
      <c r="R13" s="488"/>
    </row>
    <row r="14" spans="1:18" ht="18.75" customHeight="1" x14ac:dyDescent="0.3">
      <c r="B14" s="494" t="s">
        <v>416</v>
      </c>
      <c r="C14" s="658">
        <f>N42</f>
        <v>0</v>
      </c>
      <c r="D14" s="1957"/>
      <c r="E14" s="1957"/>
      <c r="F14" s="1957"/>
      <c r="R14" s="488"/>
    </row>
    <row r="15" spans="1:18" ht="18.75" customHeight="1" x14ac:dyDescent="0.3">
      <c r="B15" s="494" t="s">
        <v>417</v>
      </c>
      <c r="C15" s="658">
        <f>N44</f>
        <v>0</v>
      </c>
      <c r="D15" s="1957"/>
      <c r="E15" s="1957"/>
      <c r="F15" s="1957"/>
      <c r="R15" s="488"/>
    </row>
    <row r="16" spans="1:18" ht="18.75" customHeight="1" x14ac:dyDescent="0.3">
      <c r="B16" s="494" t="s">
        <v>418</v>
      </c>
      <c r="C16" s="659">
        <f>C37</f>
        <v>0</v>
      </c>
      <c r="D16" s="1957"/>
      <c r="E16" s="1957"/>
      <c r="F16" s="1957"/>
      <c r="R16" s="488"/>
    </row>
    <row r="17" spans="2:18" ht="18.75" customHeight="1" x14ac:dyDescent="0.3">
      <c r="B17" s="490" t="s">
        <v>48</v>
      </c>
      <c r="C17" s="1218" t="s">
        <v>1647</v>
      </c>
      <c r="D17" s="1363" t="s">
        <v>419</v>
      </c>
      <c r="E17" s="1363"/>
      <c r="F17" s="1363"/>
      <c r="R17" s="488"/>
    </row>
    <row r="18" spans="2:18" ht="36.75" customHeight="1" x14ac:dyDescent="0.3">
      <c r="B18" s="490" t="s">
        <v>420</v>
      </c>
      <c r="C18" s="666">
        <v>4</v>
      </c>
      <c r="D18" s="1513" t="s">
        <v>1648</v>
      </c>
      <c r="E18" s="1513"/>
      <c r="F18" s="1513"/>
      <c r="R18" s="488"/>
    </row>
    <row r="19" spans="2:18" ht="18.75" customHeight="1" x14ac:dyDescent="0.3">
      <c r="B19" s="613"/>
      <c r="C19" s="614"/>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18.75" customHeight="1" x14ac:dyDescent="0.3">
      <c r="B21" s="499" t="s">
        <v>422</v>
      </c>
      <c r="C21" s="1536" t="s">
        <v>279</v>
      </c>
      <c r="D21" s="1536"/>
      <c r="E21" s="1536"/>
      <c r="F21" s="1536"/>
      <c r="G21" s="1536"/>
      <c r="H21" s="1536"/>
      <c r="I21" s="1536"/>
      <c r="J21" s="1536"/>
      <c r="K21" s="1536"/>
      <c r="L21" s="1536"/>
      <c r="M21" s="1536"/>
      <c r="N21" s="1536"/>
      <c r="O21" s="1536"/>
      <c r="P21" s="1536"/>
      <c r="Q21" s="1536"/>
      <c r="R21" s="488"/>
    </row>
    <row r="22" spans="2:18" ht="18.75" customHeight="1" x14ac:dyDescent="0.3">
      <c r="B22" s="500" t="s">
        <v>423</v>
      </c>
      <c r="C22" s="1536" t="s">
        <v>280</v>
      </c>
      <c r="D22" s="1536"/>
      <c r="E22" s="1536"/>
      <c r="F22" s="1536"/>
      <c r="G22" s="1536"/>
      <c r="H22" s="1536"/>
      <c r="I22" s="1536"/>
      <c r="J22" s="1536"/>
      <c r="K22" s="1536"/>
      <c r="L22" s="1536"/>
      <c r="M22" s="1536"/>
      <c r="N22" s="1536"/>
      <c r="O22" s="1536"/>
      <c r="P22" s="1536"/>
      <c r="Q22" s="1536"/>
      <c r="R22" s="488"/>
    </row>
    <row r="23" spans="2:18" ht="18.75" customHeight="1"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512"/>
      <c r="F33" s="1512"/>
      <c r="G33" s="1512"/>
      <c r="H33" s="1512"/>
      <c r="I33" s="1512"/>
      <c r="J33" s="1512"/>
      <c r="K33" s="1512"/>
      <c r="L33" s="1512"/>
      <c r="M33" s="1512"/>
      <c r="N33" s="1512"/>
      <c r="O33" s="1512"/>
      <c r="P33" s="1512"/>
      <c r="Q33" s="1512"/>
      <c r="R33" s="488"/>
    </row>
    <row r="34" spans="2:18" ht="18.75" customHeight="1" x14ac:dyDescent="0.3">
      <c r="B34" s="494" t="s">
        <v>431</v>
      </c>
      <c r="C34" s="542"/>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504">
        <f>SUM(C33:C34)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504">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53.666666666666664</v>
      </c>
      <c r="O43" s="1243" t="s">
        <v>443</v>
      </c>
      <c r="P43" s="1511" t="s">
        <v>1649</v>
      </c>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1650</v>
      </c>
      <c r="D49" s="1505"/>
      <c r="E49" s="1505"/>
      <c r="F49" s="1505"/>
      <c r="G49" s="1505"/>
      <c r="H49" s="1505"/>
      <c r="I49" s="1505"/>
      <c r="J49" s="1505"/>
      <c r="K49" s="1505"/>
      <c r="L49" s="1505"/>
      <c r="M49" s="1506"/>
      <c r="N49" s="592">
        <f>H64*H65</f>
        <v>53.666666666666664</v>
      </c>
      <c r="O49" s="1243" t="s">
        <v>443</v>
      </c>
      <c r="P49" s="1511"/>
      <c r="Q49" s="1511"/>
      <c r="R49" s="488"/>
    </row>
    <row r="50" spans="2:18" ht="18.75" customHeight="1" x14ac:dyDescent="0.3">
      <c r="B50" s="582" t="s">
        <v>456</v>
      </c>
      <c r="C50" s="1504" t="s">
        <v>457</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467</v>
      </c>
      <c r="D56" s="1505"/>
      <c r="E56" s="1505"/>
      <c r="F56" s="1505"/>
      <c r="G56" s="1505"/>
      <c r="H56" s="1505"/>
      <c r="I56" s="1505"/>
      <c r="J56" s="1505"/>
      <c r="K56" s="1505"/>
      <c r="L56" s="1505"/>
      <c r="M56" s="1506"/>
      <c r="N56" s="594"/>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1188" t="s">
        <v>406</v>
      </c>
      <c r="I61" s="1188" t="s">
        <v>428</v>
      </c>
      <c r="J61" s="1396" t="s">
        <v>476</v>
      </c>
      <c r="K61" s="1397"/>
      <c r="L61" s="1397"/>
      <c r="M61" s="1397"/>
      <c r="N61" s="1397"/>
      <c r="O61" s="1397"/>
      <c r="P61" s="1397"/>
      <c r="Q61" s="1398"/>
    </row>
    <row r="62" spans="2:18" ht="70.150000000000006" customHeight="1" x14ac:dyDescent="0.3">
      <c r="B62" s="533">
        <v>1</v>
      </c>
      <c r="C62" s="546" t="s">
        <v>1651</v>
      </c>
      <c r="D62" s="1539" t="s">
        <v>1652</v>
      </c>
      <c r="E62" s="1539"/>
      <c r="F62" s="1217"/>
      <c r="G62" s="1217"/>
      <c r="H62" s="609" t="s">
        <v>1653</v>
      </c>
      <c r="I62" s="1217" t="s">
        <v>597</v>
      </c>
      <c r="J62" s="1468" t="s">
        <v>1648</v>
      </c>
      <c r="K62" s="1478"/>
      <c r="L62" s="1478"/>
      <c r="M62" s="1478"/>
      <c r="N62" s="1478"/>
      <c r="O62" s="1478"/>
      <c r="P62" s="1478"/>
      <c r="Q62" s="1469"/>
      <c r="R62" s="488"/>
    </row>
    <row r="63" spans="2:18" ht="13" x14ac:dyDescent="0.3">
      <c r="B63" s="535">
        <v>2</v>
      </c>
      <c r="C63" s="551" t="s">
        <v>1654</v>
      </c>
      <c r="D63" s="1543" t="s">
        <v>1655</v>
      </c>
      <c r="E63" s="1543"/>
      <c r="F63" s="552"/>
      <c r="G63" s="552"/>
      <c r="H63" s="1037">
        <v>1</v>
      </c>
      <c r="I63" s="552" t="s">
        <v>909</v>
      </c>
      <c r="J63" s="1482" t="s">
        <v>1656</v>
      </c>
      <c r="K63" s="1484"/>
      <c r="L63" s="1484"/>
      <c r="M63" s="1484"/>
      <c r="N63" s="1484"/>
      <c r="O63" s="1484"/>
      <c r="P63" s="1484"/>
      <c r="Q63" s="1483"/>
      <c r="R63" s="488"/>
    </row>
    <row r="64" spans="2:18" ht="13" x14ac:dyDescent="0.3">
      <c r="B64" s="533">
        <v>3</v>
      </c>
      <c r="C64" s="546" t="s">
        <v>1657</v>
      </c>
      <c r="D64" s="1539" t="s">
        <v>1658</v>
      </c>
      <c r="E64" s="1539"/>
      <c r="F64" s="609" t="str">
        <f>H62</f>
        <v>Prexisting curtain</v>
      </c>
      <c r="G64" s="1217" t="s">
        <v>1659</v>
      </c>
      <c r="H64" s="645" cm="1">
        <f t="array" ref="H64">_xlfn.IFS($F$64=$D$97,INDEX($C$96:$N$116,MATCH($C$28,$C$96:$C$116,0),MATCH($G$64,$C$96:$N$96,)),$F$64=$D$121,INDEX($C$120:$N$140,MATCH($C$28,$C$120:$C$140,0),MATCH($G$64,$C$120:$N$120,0)))</f>
        <v>53.666666666666664</v>
      </c>
      <c r="I64" s="1217" t="s">
        <v>1660</v>
      </c>
      <c r="J64" s="1468" t="s">
        <v>1648</v>
      </c>
      <c r="K64" s="1478"/>
      <c r="L64" s="1478"/>
      <c r="M64" s="1478"/>
      <c r="N64" s="1478"/>
      <c r="O64" s="1478"/>
      <c r="P64" s="1478"/>
      <c r="Q64" s="1469"/>
      <c r="R64" s="488"/>
    </row>
    <row r="65" spans="2:18" ht="30" customHeight="1" x14ac:dyDescent="0.3">
      <c r="B65" s="533">
        <v>4</v>
      </c>
      <c r="C65" s="546" t="s">
        <v>1661</v>
      </c>
      <c r="D65" s="1539" t="s">
        <v>1662</v>
      </c>
      <c r="E65" s="1539"/>
      <c r="F65" s="609" t="str">
        <f>H62</f>
        <v>Prexisting curtain</v>
      </c>
      <c r="G65" s="1217" t="str">
        <f>C65</f>
        <v>DoorwayArea</v>
      </c>
      <c r="H65" s="645">
        <f>_xlfn.IFS($H$63&lt;&gt;"",$H$63,$H$63="",_xlfn.IFS($F$65=$D$97,INDEX($C$96:$N$116,MATCH($F$65,$C$96:$C$116,0),MATCH($G$65,$C$96:$N$96,0)),$F$65=$D$121,INDEX($C$120:$N$140,MATCH($C$28,$C$120:$C$140,0),MATCH($G$65,$C$120:$N$120,0))))</f>
        <v>1</v>
      </c>
      <c r="I65" s="1217" t="s">
        <v>909</v>
      </c>
      <c r="J65" s="1468" t="s">
        <v>1663</v>
      </c>
      <c r="K65" s="1478"/>
      <c r="L65" s="1478"/>
      <c r="M65" s="1478"/>
      <c r="N65" s="1478"/>
      <c r="O65" s="1478"/>
      <c r="P65" s="1478"/>
      <c r="Q65" s="1469"/>
      <c r="R65" s="488"/>
    </row>
    <row r="66" spans="2:18" ht="13" x14ac:dyDescent="0.3">
      <c r="B66" s="533">
        <v>5</v>
      </c>
      <c r="C66" s="546"/>
      <c r="D66" s="1539"/>
      <c r="E66" s="1539"/>
      <c r="F66" s="1217"/>
      <c r="G66" s="1217"/>
      <c r="H66" s="609"/>
      <c r="I66" s="1217"/>
      <c r="J66" s="1468"/>
      <c r="K66" s="1478"/>
      <c r="L66" s="1478"/>
      <c r="M66" s="1478"/>
      <c r="N66" s="1478"/>
      <c r="O66" s="1478"/>
      <c r="P66" s="1478"/>
      <c r="Q66" s="1469"/>
      <c r="R66" s="488"/>
    </row>
    <row r="67" spans="2:18" ht="13" x14ac:dyDescent="0.3">
      <c r="B67" s="533">
        <v>6</v>
      </c>
      <c r="C67" s="546"/>
      <c r="D67" s="1539"/>
      <c r="E67" s="1539"/>
      <c r="F67" s="1217"/>
      <c r="G67" s="1217"/>
      <c r="H67" s="765"/>
      <c r="I67" s="1217"/>
      <c r="J67" s="1507"/>
      <c r="K67" s="1514"/>
      <c r="L67" s="1514"/>
      <c r="M67" s="1514"/>
      <c r="N67" s="1514"/>
      <c r="O67" s="1514"/>
      <c r="P67" s="1514"/>
      <c r="Q67" s="1515"/>
      <c r="R67" s="488"/>
    </row>
    <row r="68" spans="2:18" ht="13" x14ac:dyDescent="0.3">
      <c r="B68" s="533">
        <v>7</v>
      </c>
      <c r="C68" s="546"/>
      <c r="D68" s="1539"/>
      <c r="E68" s="1539"/>
      <c r="F68" s="1217"/>
      <c r="G68" s="1217"/>
      <c r="H68" s="609"/>
      <c r="I68" s="1217"/>
      <c r="J68" s="1507"/>
      <c r="K68" s="1514"/>
      <c r="L68" s="1514"/>
      <c r="M68" s="1514"/>
      <c r="N68" s="1514"/>
      <c r="O68" s="1514"/>
      <c r="P68" s="1514"/>
      <c r="Q68" s="1515"/>
      <c r="R68" s="488"/>
    </row>
    <row r="69" spans="2:18" ht="13" x14ac:dyDescent="0.3">
      <c r="B69" s="533">
        <v>8</v>
      </c>
      <c r="C69" s="546"/>
      <c r="D69" s="1539"/>
      <c r="E69" s="1539"/>
      <c r="F69" s="1217"/>
      <c r="G69" s="1217"/>
      <c r="H69" s="1217"/>
      <c r="I69" s="1217"/>
      <c r="J69" s="1507"/>
      <c r="K69" s="1514"/>
      <c r="L69" s="1514"/>
      <c r="M69" s="1514"/>
      <c r="N69" s="1514"/>
      <c r="O69" s="1514"/>
      <c r="P69" s="1514"/>
      <c r="Q69" s="1515"/>
      <c r="R69" s="488"/>
    </row>
    <row r="70" spans="2:18" ht="13" x14ac:dyDescent="0.3">
      <c r="B70" s="533">
        <v>9</v>
      </c>
      <c r="C70" s="546"/>
      <c r="D70" s="1539"/>
      <c r="E70" s="1539"/>
      <c r="F70" s="1217"/>
      <c r="G70" s="1217"/>
      <c r="H70" s="1217"/>
      <c r="I70" s="1217"/>
      <c r="J70" s="1507"/>
      <c r="K70" s="1514"/>
      <c r="L70" s="1514"/>
      <c r="M70" s="1514"/>
      <c r="N70" s="1514"/>
      <c r="O70" s="1514"/>
      <c r="P70" s="1514"/>
      <c r="Q70" s="1515"/>
      <c r="R70" s="488"/>
    </row>
    <row r="71" spans="2:18" ht="13" x14ac:dyDescent="0.3">
      <c r="B71" s="533">
        <v>10</v>
      </c>
      <c r="C71" s="546"/>
      <c r="D71" s="1539"/>
      <c r="E71" s="1539"/>
      <c r="F71" s="1217"/>
      <c r="G71" s="1217"/>
      <c r="H71" s="571"/>
      <c r="I71" s="1217"/>
      <c r="J71" s="1507"/>
      <c r="K71" s="1514"/>
      <c r="L71" s="1514"/>
      <c r="M71" s="1514"/>
      <c r="N71" s="1514"/>
      <c r="O71" s="1514"/>
      <c r="P71" s="1514"/>
      <c r="Q71" s="1515"/>
      <c r="R71" s="488"/>
    </row>
    <row r="72" spans="2:18" ht="13" x14ac:dyDescent="0.3">
      <c r="B72" s="533">
        <v>11</v>
      </c>
      <c r="C72" s="546"/>
      <c r="D72" s="1539"/>
      <c r="E72" s="1539"/>
      <c r="F72" s="1217"/>
      <c r="G72" s="1217"/>
      <c r="H72" s="571"/>
      <c r="I72" s="1217"/>
      <c r="J72" s="1507"/>
      <c r="K72" s="1514"/>
      <c r="L72" s="1514"/>
      <c r="M72" s="1514"/>
      <c r="N72" s="1514"/>
      <c r="O72" s="1514"/>
      <c r="P72" s="1514"/>
      <c r="Q72" s="1515"/>
      <c r="R72" s="488"/>
    </row>
    <row r="73" spans="2:18" ht="13" x14ac:dyDescent="0.3">
      <c r="B73" s="533">
        <v>12</v>
      </c>
      <c r="C73" s="546"/>
      <c r="D73" s="1539"/>
      <c r="E73" s="1539"/>
      <c r="F73" s="1217"/>
      <c r="G73" s="1217"/>
      <c r="H73" s="571"/>
      <c r="I73" s="1217"/>
      <c r="J73" s="1507"/>
      <c r="K73" s="1514"/>
      <c r="L73" s="1514"/>
      <c r="M73" s="1514"/>
      <c r="N73" s="1514"/>
      <c r="O73" s="1514"/>
      <c r="P73" s="1514"/>
      <c r="Q73" s="1515"/>
      <c r="R73" s="488"/>
    </row>
    <row r="74" spans="2:18" ht="13" x14ac:dyDescent="0.3">
      <c r="B74" s="533">
        <v>13</v>
      </c>
      <c r="C74" s="546"/>
      <c r="D74" s="1539"/>
      <c r="E74" s="1539"/>
      <c r="F74" s="1217"/>
      <c r="G74" s="1217"/>
      <c r="H74" s="571"/>
      <c r="I74" s="1217"/>
      <c r="J74" s="1507"/>
      <c r="K74" s="1514"/>
      <c r="L74" s="1514"/>
      <c r="M74" s="1514"/>
      <c r="N74" s="1514"/>
      <c r="O74" s="1514"/>
      <c r="P74" s="1514"/>
      <c r="Q74" s="1515"/>
      <c r="R74" s="488"/>
    </row>
    <row r="75" spans="2:18" ht="13" x14ac:dyDescent="0.3">
      <c r="B75" s="533">
        <v>14</v>
      </c>
      <c r="C75" s="546"/>
      <c r="D75" s="1539"/>
      <c r="E75" s="1539"/>
      <c r="F75" s="1217"/>
      <c r="G75" s="1217"/>
      <c r="H75" s="571"/>
      <c r="I75" s="1217"/>
      <c r="J75" s="1507"/>
      <c r="K75" s="1514"/>
      <c r="L75" s="1514"/>
      <c r="M75" s="1514"/>
      <c r="N75" s="1514"/>
      <c r="O75" s="1514"/>
      <c r="P75" s="1514"/>
      <c r="Q75" s="1515"/>
      <c r="R75" s="488"/>
    </row>
    <row r="76" spans="2:18" ht="13" x14ac:dyDescent="0.3">
      <c r="B76" s="533">
        <v>15</v>
      </c>
      <c r="C76" s="546"/>
      <c r="D76" s="1539"/>
      <c r="E76" s="1539"/>
      <c r="F76" s="1217"/>
      <c r="G76" s="1217"/>
      <c r="H76" s="571"/>
      <c r="I76" s="1217"/>
      <c r="J76" s="1507"/>
      <c r="K76" s="1514"/>
      <c r="L76" s="1514"/>
      <c r="M76" s="1514"/>
      <c r="N76" s="1514"/>
      <c r="O76" s="1514"/>
      <c r="P76" s="1514"/>
      <c r="Q76" s="1515"/>
      <c r="R76" s="488"/>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182"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182"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c r="R85" s="488"/>
    </row>
    <row r="86" spans="2:18" ht="13" x14ac:dyDescent="0.3">
      <c r="B86" s="533">
        <v>6</v>
      </c>
      <c r="C86" s="563"/>
      <c r="D86" s="564"/>
      <c r="E86" s="1182"/>
      <c r="F86" s="1489"/>
      <c r="G86" s="1490"/>
      <c r="H86" s="1490"/>
      <c r="I86" s="1490"/>
      <c r="J86" s="1490"/>
      <c r="K86" s="1490"/>
      <c r="L86" s="1490"/>
      <c r="M86" s="1490"/>
      <c r="N86" s="1490"/>
      <c r="O86" s="1490"/>
      <c r="P86" s="1490"/>
      <c r="Q86" s="1491"/>
      <c r="R86" s="488"/>
    </row>
    <row r="87" spans="2:18" ht="13" x14ac:dyDescent="0.3">
      <c r="B87" s="533">
        <v>7</v>
      </c>
      <c r="C87" s="563"/>
      <c r="D87" s="1233"/>
      <c r="E87" s="1182"/>
      <c r="F87" s="1489"/>
      <c r="G87" s="1490"/>
      <c r="H87" s="1490"/>
      <c r="I87" s="1490"/>
      <c r="J87" s="1490"/>
      <c r="K87" s="1490"/>
      <c r="L87" s="1490"/>
      <c r="M87" s="1490"/>
      <c r="N87" s="1490"/>
      <c r="O87" s="1490"/>
      <c r="P87" s="1490"/>
      <c r="Q87" s="1491"/>
      <c r="R87" s="488"/>
    </row>
    <row r="88" spans="2:18" ht="13" x14ac:dyDescent="0.3">
      <c r="B88" s="533">
        <v>8</v>
      </c>
      <c r="C88" s="563"/>
      <c r="D88" s="564"/>
      <c r="E88" s="1182"/>
      <c r="F88" s="1489"/>
      <c r="G88" s="1490"/>
      <c r="H88" s="1490"/>
      <c r="I88" s="1490"/>
      <c r="J88" s="1490"/>
      <c r="K88" s="1490"/>
      <c r="L88" s="1490"/>
      <c r="M88" s="1490"/>
      <c r="N88" s="1490"/>
      <c r="O88" s="1490"/>
      <c r="P88" s="1490"/>
      <c r="Q88" s="1491"/>
      <c r="R88" s="488"/>
    </row>
    <row r="89" spans="2:18" ht="13" x14ac:dyDescent="0.3">
      <c r="B89" s="533">
        <v>9</v>
      </c>
      <c r="C89" s="563"/>
      <c r="D89" s="1233"/>
      <c r="E89" s="1182"/>
      <c r="F89" s="1489"/>
      <c r="G89" s="1490"/>
      <c r="H89" s="1490"/>
      <c r="I89" s="1490"/>
      <c r="J89" s="1490"/>
      <c r="K89" s="1490"/>
      <c r="L89" s="1490"/>
      <c r="M89" s="1490"/>
      <c r="N89" s="1490"/>
      <c r="O89" s="1490"/>
      <c r="P89" s="1490"/>
      <c r="Q89" s="1491"/>
      <c r="R89" s="488"/>
    </row>
    <row r="90" spans="2:18" ht="13" x14ac:dyDescent="0.3">
      <c r="B90" s="533">
        <v>10</v>
      </c>
      <c r="C90" s="563"/>
      <c r="D90" s="564"/>
      <c r="E90" s="1182"/>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37.5" customHeight="1" x14ac:dyDescent="0.3">
      <c r="B95" s="1498" t="s">
        <v>1664</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08"/>
      <c r="Q95" s="1409"/>
      <c r="R95" s="488"/>
    </row>
    <row r="96" spans="2:18" ht="25.5" customHeight="1" x14ac:dyDescent="0.3">
      <c r="B96" s="1188" t="s">
        <v>478</v>
      </c>
      <c r="C96" s="1402" t="s">
        <v>505</v>
      </c>
      <c r="D96" s="1431"/>
      <c r="E96" s="565" t="s">
        <v>1659</v>
      </c>
      <c r="F96" s="565" t="s">
        <v>1661</v>
      </c>
      <c r="G96" s="565"/>
      <c r="H96" s="565"/>
      <c r="I96" s="565"/>
      <c r="J96" s="565"/>
      <c r="K96" s="565"/>
      <c r="L96" s="565"/>
      <c r="M96" s="565"/>
      <c r="N96" s="566"/>
      <c r="O96" s="1410"/>
      <c r="P96" s="1411"/>
      <c r="Q96" s="1412"/>
      <c r="R96" s="488"/>
    </row>
    <row r="97" spans="2:18" ht="13" x14ac:dyDescent="0.3">
      <c r="B97" s="533">
        <v>1</v>
      </c>
      <c r="C97" s="1184" t="s">
        <v>1372</v>
      </c>
      <c r="D97" s="570" t="s">
        <v>1653</v>
      </c>
      <c r="E97" s="567">
        <v>119</v>
      </c>
      <c r="F97" s="567">
        <v>35</v>
      </c>
      <c r="G97" s="567"/>
      <c r="H97" s="1190"/>
      <c r="I97" s="568"/>
      <c r="J97" s="568"/>
      <c r="K97" s="568"/>
      <c r="L97" s="568"/>
      <c r="M97" s="568"/>
      <c r="N97" s="568"/>
      <c r="O97" s="1495" t="s">
        <v>1649</v>
      </c>
      <c r="P97" s="1496"/>
      <c r="Q97" s="1497"/>
      <c r="R97" s="488"/>
    </row>
    <row r="98" spans="2:18" ht="13" x14ac:dyDescent="0.3">
      <c r="B98" s="533">
        <v>2</v>
      </c>
      <c r="C98" s="570" t="s">
        <v>1665</v>
      </c>
      <c r="D98" s="570" t="s">
        <v>1653</v>
      </c>
      <c r="E98" s="567">
        <v>8</v>
      </c>
      <c r="F98" s="567">
        <v>21</v>
      </c>
      <c r="G98" s="567"/>
      <c r="H98" s="1190"/>
      <c r="I98" s="568"/>
      <c r="J98" s="568"/>
      <c r="K98" s="568"/>
      <c r="L98" s="568"/>
      <c r="M98" s="568"/>
      <c r="N98" s="568"/>
      <c r="O98" s="1495" t="s">
        <v>1649</v>
      </c>
      <c r="P98" s="1496"/>
      <c r="Q98" s="1497"/>
      <c r="R98" s="488"/>
    </row>
    <row r="99" spans="2:18" ht="13" x14ac:dyDescent="0.3">
      <c r="B99" s="533">
        <v>3</v>
      </c>
      <c r="C99" s="570" t="s">
        <v>1666</v>
      </c>
      <c r="D99" s="570" t="s">
        <v>1653</v>
      </c>
      <c r="E99" s="567">
        <v>34</v>
      </c>
      <c r="F99" s="567">
        <v>21</v>
      </c>
      <c r="G99" s="567"/>
      <c r="H99" s="1190"/>
      <c r="I99" s="568"/>
      <c r="J99" s="568"/>
      <c r="K99" s="568"/>
      <c r="L99" s="568"/>
      <c r="M99" s="568"/>
      <c r="N99" s="568"/>
      <c r="O99" s="1495" t="s">
        <v>1649</v>
      </c>
      <c r="P99" s="1496"/>
      <c r="Q99" s="1497"/>
      <c r="R99" s="488"/>
    </row>
    <row r="100" spans="2:18" ht="13" x14ac:dyDescent="0.3">
      <c r="B100" s="533">
        <v>4</v>
      </c>
      <c r="C100" s="570" t="s">
        <v>32</v>
      </c>
      <c r="D100" s="570" t="s">
        <v>1653</v>
      </c>
      <c r="E100" s="567">
        <f>AVERAGE(E97:E99)</f>
        <v>53.666666666666664</v>
      </c>
      <c r="F100" s="567">
        <f>AVERAGE(F97:F99)</f>
        <v>25.666666666666668</v>
      </c>
      <c r="G100" s="567"/>
      <c r="H100" s="1190"/>
      <c r="I100" s="569"/>
      <c r="J100" s="569"/>
      <c r="K100" s="569"/>
      <c r="L100" s="569"/>
      <c r="M100" s="569"/>
      <c r="N100" s="569"/>
      <c r="O100" s="1492"/>
      <c r="P100" s="1493"/>
      <c r="Q100" s="1494"/>
      <c r="R100" s="488"/>
    </row>
    <row r="101" spans="2:18" ht="13" x14ac:dyDescent="0.3">
      <c r="B101" s="533">
        <v>5</v>
      </c>
      <c r="C101" s="546"/>
      <c r="D101" s="1184"/>
      <c r="E101" s="567"/>
      <c r="F101" s="567"/>
      <c r="G101" s="567"/>
      <c r="H101" s="1190"/>
      <c r="I101" s="568"/>
      <c r="J101" s="568"/>
      <c r="K101" s="568"/>
      <c r="L101" s="568"/>
      <c r="M101" s="568"/>
      <c r="N101" s="568"/>
      <c r="O101" s="1501"/>
      <c r="P101" s="1502"/>
      <c r="Q101" s="1503"/>
      <c r="R101" s="488"/>
    </row>
    <row r="102" spans="2:18" ht="13" x14ac:dyDescent="0.3">
      <c r="B102" s="533">
        <v>6</v>
      </c>
      <c r="C102" s="546"/>
      <c r="D102" s="570"/>
      <c r="E102" s="567"/>
      <c r="F102" s="567"/>
      <c r="G102" s="567"/>
      <c r="H102" s="1190"/>
      <c r="I102" s="568"/>
      <c r="J102" s="568"/>
      <c r="K102" s="568"/>
      <c r="L102" s="568"/>
      <c r="M102" s="568"/>
      <c r="N102" s="568"/>
      <c r="O102" s="1495"/>
      <c r="P102" s="1496"/>
      <c r="Q102" s="1497"/>
      <c r="R102" s="488"/>
    </row>
    <row r="103" spans="2:18" ht="13" x14ac:dyDescent="0.3">
      <c r="B103" s="533">
        <v>7</v>
      </c>
      <c r="C103" s="546"/>
      <c r="D103" s="570"/>
      <c r="E103" s="567"/>
      <c r="F103" s="567"/>
      <c r="G103" s="567"/>
      <c r="H103" s="1190"/>
      <c r="I103" s="569"/>
      <c r="J103" s="569"/>
      <c r="K103" s="569"/>
      <c r="L103" s="569"/>
      <c r="M103" s="569"/>
      <c r="N103" s="569"/>
      <c r="O103" s="1492"/>
      <c r="P103" s="1493"/>
      <c r="Q103" s="1494"/>
      <c r="R103" s="488"/>
    </row>
    <row r="104" spans="2:18" ht="13" x14ac:dyDescent="0.3">
      <c r="B104" s="533">
        <v>8</v>
      </c>
      <c r="C104" s="546"/>
      <c r="D104" s="570"/>
      <c r="E104" s="567"/>
      <c r="F104" s="567"/>
      <c r="G104" s="567"/>
      <c r="H104" s="569"/>
      <c r="I104" s="569"/>
      <c r="J104" s="569"/>
      <c r="K104" s="569"/>
      <c r="L104" s="569"/>
      <c r="M104" s="569"/>
      <c r="N104" s="569"/>
      <c r="O104" s="1492"/>
      <c r="P104" s="1493"/>
      <c r="Q104" s="1494"/>
      <c r="R104" s="488"/>
    </row>
    <row r="105" spans="2:18" ht="13" x14ac:dyDescent="0.3">
      <c r="B105" s="533">
        <v>9</v>
      </c>
      <c r="C105" s="546"/>
      <c r="D105" s="570"/>
      <c r="E105" s="567"/>
      <c r="F105" s="567"/>
      <c r="G105" s="567"/>
      <c r="H105" s="1217"/>
      <c r="I105" s="569"/>
      <c r="J105" s="569"/>
      <c r="K105" s="569"/>
      <c r="L105" s="569"/>
      <c r="M105" s="569"/>
      <c r="N105" s="569"/>
      <c r="O105" s="1492"/>
      <c r="P105" s="1493"/>
      <c r="Q105" s="1494"/>
      <c r="R105" s="488"/>
    </row>
    <row r="106" spans="2:18" ht="13" x14ac:dyDescent="0.3">
      <c r="B106" s="533">
        <v>10</v>
      </c>
      <c r="C106" s="546"/>
      <c r="D106" s="570"/>
      <c r="E106" s="567"/>
      <c r="F106" s="567"/>
      <c r="G106" s="567"/>
      <c r="H106" s="1217"/>
      <c r="I106" s="569"/>
      <c r="J106" s="569"/>
      <c r="K106" s="569"/>
      <c r="L106" s="569"/>
      <c r="M106" s="569"/>
      <c r="N106" s="569"/>
      <c r="O106" s="1492"/>
      <c r="P106" s="1493"/>
      <c r="Q106" s="1494"/>
      <c r="R106" s="488"/>
    </row>
    <row r="107" spans="2:18" ht="13" x14ac:dyDescent="0.3">
      <c r="B107" s="533">
        <v>11</v>
      </c>
      <c r="C107" s="546"/>
      <c r="D107" s="570"/>
      <c r="E107" s="567"/>
      <c r="F107" s="567"/>
      <c r="G107" s="567"/>
      <c r="H107" s="571"/>
      <c r="I107" s="569"/>
      <c r="J107" s="569"/>
      <c r="K107" s="569"/>
      <c r="L107" s="569"/>
      <c r="M107" s="569"/>
      <c r="N107" s="569"/>
      <c r="O107" s="1492"/>
      <c r="P107" s="1493"/>
      <c r="Q107" s="1494"/>
      <c r="R107" s="488"/>
    </row>
    <row r="108" spans="2:18" ht="13" x14ac:dyDescent="0.3">
      <c r="B108" s="533">
        <v>12</v>
      </c>
      <c r="C108" s="546"/>
      <c r="D108" s="570"/>
      <c r="E108" s="567"/>
      <c r="F108" s="567"/>
      <c r="G108" s="567"/>
      <c r="H108" s="1217"/>
      <c r="I108" s="569"/>
      <c r="J108" s="569"/>
      <c r="K108" s="569"/>
      <c r="L108" s="569"/>
      <c r="M108" s="569"/>
      <c r="N108" s="569"/>
      <c r="O108" s="1492"/>
      <c r="P108" s="1493"/>
      <c r="Q108" s="1494"/>
      <c r="R108" s="488"/>
    </row>
    <row r="109" spans="2:18" ht="13" x14ac:dyDescent="0.3">
      <c r="B109" s="533">
        <v>13</v>
      </c>
      <c r="C109" s="546"/>
      <c r="D109" s="570"/>
      <c r="E109" s="567"/>
      <c r="F109" s="567"/>
      <c r="G109" s="567"/>
      <c r="H109" s="1217"/>
      <c r="I109" s="569"/>
      <c r="J109" s="569"/>
      <c r="K109" s="569"/>
      <c r="L109" s="569"/>
      <c r="M109" s="569"/>
      <c r="N109" s="569"/>
      <c r="O109" s="1492"/>
      <c r="P109" s="1493"/>
      <c r="Q109" s="1494"/>
      <c r="R109" s="488"/>
    </row>
    <row r="110" spans="2:18" ht="13" x14ac:dyDescent="0.3">
      <c r="B110" s="533">
        <v>14</v>
      </c>
      <c r="C110" s="546"/>
      <c r="D110" s="570"/>
      <c r="E110" s="567"/>
      <c r="F110" s="567"/>
      <c r="G110" s="567"/>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row r="117" spans="2:18" ht="18.75" customHeight="1" x14ac:dyDescent="0.3">
      <c r="R117" s="488"/>
    </row>
    <row r="118" spans="2:18" ht="18.75" customHeight="1" x14ac:dyDescent="0.3">
      <c r="B118" s="702" t="s">
        <v>493</v>
      </c>
      <c r="E118" s="1662" t="s">
        <v>494</v>
      </c>
      <c r="F118" s="1663"/>
      <c r="G118" s="1663"/>
      <c r="H118" s="1663"/>
      <c r="I118" s="1663"/>
      <c r="J118" s="1663"/>
      <c r="K118" s="1663"/>
      <c r="L118" s="1663"/>
      <c r="M118" s="1663"/>
      <c r="N118" s="1663"/>
      <c r="O118" s="1664" t="s">
        <v>476</v>
      </c>
      <c r="P118" s="1665"/>
      <c r="Q118" s="1666"/>
      <c r="R118" s="488"/>
    </row>
    <row r="119" spans="2:18" ht="37.5" customHeight="1" x14ac:dyDescent="0.3">
      <c r="B119" s="1673" t="s">
        <v>1667</v>
      </c>
      <c r="C119" s="1674"/>
      <c r="D119" s="1675"/>
      <c r="E119" s="703" t="s">
        <v>495</v>
      </c>
      <c r="F119" s="703" t="s">
        <v>496</v>
      </c>
      <c r="G119" s="703" t="s">
        <v>497</v>
      </c>
      <c r="H119" s="703" t="s">
        <v>498</v>
      </c>
      <c r="I119" s="703" t="s">
        <v>499</v>
      </c>
      <c r="J119" s="703" t="s">
        <v>500</v>
      </c>
      <c r="K119" s="703" t="s">
        <v>501</v>
      </c>
      <c r="L119" s="703" t="s">
        <v>502</v>
      </c>
      <c r="M119" s="703" t="s">
        <v>503</v>
      </c>
      <c r="N119" s="1213" t="s">
        <v>504</v>
      </c>
      <c r="O119" s="1667"/>
      <c r="P119" s="1702"/>
      <c r="Q119" s="1669"/>
      <c r="R119" s="488"/>
    </row>
    <row r="120" spans="2:18" ht="25.5" customHeight="1" x14ac:dyDescent="0.3">
      <c r="B120" s="704" t="s">
        <v>478</v>
      </c>
      <c r="C120" s="1662" t="s">
        <v>505</v>
      </c>
      <c r="D120" s="1676"/>
      <c r="E120" s="525" t="s">
        <v>1659</v>
      </c>
      <c r="F120" s="525" t="s">
        <v>1661</v>
      </c>
      <c r="G120" s="525"/>
      <c r="H120" s="525"/>
      <c r="I120" s="525"/>
      <c r="J120" s="525"/>
      <c r="K120" s="525"/>
      <c r="L120" s="525"/>
      <c r="M120" s="525"/>
      <c r="N120" s="1214"/>
      <c r="O120" s="1670"/>
      <c r="P120" s="1671"/>
      <c r="Q120" s="1672"/>
      <c r="R120" s="488"/>
    </row>
    <row r="121" spans="2:18" ht="13" x14ac:dyDescent="0.3">
      <c r="B121" s="1240">
        <v>1</v>
      </c>
      <c r="C121" s="600" t="s">
        <v>1372</v>
      </c>
      <c r="D121" s="1189" t="s">
        <v>1668</v>
      </c>
      <c r="E121" s="526">
        <v>349</v>
      </c>
      <c r="F121" s="526">
        <v>35</v>
      </c>
      <c r="G121" s="526"/>
      <c r="H121" s="1239"/>
      <c r="I121" s="527"/>
      <c r="J121" s="527"/>
      <c r="K121" s="527"/>
      <c r="L121" s="527"/>
      <c r="M121" s="527"/>
      <c r="N121" s="527"/>
      <c r="O121" s="1422" t="s">
        <v>1649</v>
      </c>
      <c r="P121" s="1423"/>
      <c r="Q121" s="1424"/>
      <c r="R121" s="488"/>
    </row>
    <row r="122" spans="2:18" ht="13" x14ac:dyDescent="0.3">
      <c r="B122" s="1240">
        <v>2</v>
      </c>
      <c r="C122" s="1189" t="s">
        <v>1665</v>
      </c>
      <c r="D122" s="1189" t="s">
        <v>1668</v>
      </c>
      <c r="E122" s="526">
        <v>27</v>
      </c>
      <c r="F122" s="526">
        <v>21</v>
      </c>
      <c r="G122" s="526"/>
      <c r="H122" s="1239"/>
      <c r="I122" s="527"/>
      <c r="J122" s="527"/>
      <c r="K122" s="527"/>
      <c r="L122" s="527"/>
      <c r="M122" s="527"/>
      <c r="N122" s="527"/>
      <c r="O122" s="1422" t="s">
        <v>1649</v>
      </c>
      <c r="P122" s="1423"/>
      <c r="Q122" s="1424"/>
      <c r="R122" s="488"/>
    </row>
    <row r="123" spans="2:18" ht="13" x14ac:dyDescent="0.3">
      <c r="B123" s="1240">
        <v>3</v>
      </c>
      <c r="C123" s="1189" t="s">
        <v>1666</v>
      </c>
      <c r="D123" s="1189" t="s">
        <v>1668</v>
      </c>
      <c r="E123" s="526">
        <v>119</v>
      </c>
      <c r="F123" s="526">
        <v>21</v>
      </c>
      <c r="G123" s="526"/>
      <c r="H123" s="1239"/>
      <c r="I123" s="528"/>
      <c r="J123" s="528"/>
      <c r="K123" s="528"/>
      <c r="L123" s="528"/>
      <c r="M123" s="528"/>
      <c r="N123" s="528"/>
      <c r="O123" s="1422" t="s">
        <v>1649</v>
      </c>
      <c r="P123" s="1423"/>
      <c r="Q123" s="1424"/>
      <c r="R123" s="488"/>
    </row>
    <row r="124" spans="2:18" ht="13" x14ac:dyDescent="0.3">
      <c r="B124" s="1240">
        <v>4</v>
      </c>
      <c r="C124" s="1189" t="s">
        <v>32</v>
      </c>
      <c r="D124" s="1189" t="s">
        <v>1668</v>
      </c>
      <c r="E124" s="526">
        <f>AVERAGE(E121:E123)</f>
        <v>165</v>
      </c>
      <c r="F124" s="526">
        <f>AVERAGE(F121:F123)</f>
        <v>25.666666666666668</v>
      </c>
      <c r="G124" s="526"/>
      <c r="H124" s="1239"/>
      <c r="I124" s="527"/>
      <c r="J124" s="527"/>
      <c r="K124" s="527"/>
      <c r="L124" s="527"/>
      <c r="M124" s="527"/>
      <c r="N124" s="527"/>
      <c r="O124" s="1422"/>
      <c r="P124" s="1423"/>
      <c r="Q124" s="1424"/>
      <c r="R124" s="488"/>
    </row>
    <row r="125" spans="2:18" ht="13" x14ac:dyDescent="0.3">
      <c r="B125" s="1240">
        <v>5</v>
      </c>
      <c r="C125" s="515"/>
      <c r="D125" s="1189"/>
      <c r="E125" s="526"/>
      <c r="F125" s="526"/>
      <c r="G125" s="526"/>
      <c r="H125" s="1239"/>
      <c r="I125" s="527"/>
      <c r="J125" s="527"/>
      <c r="K125" s="527"/>
      <c r="L125" s="527"/>
      <c r="M125" s="527"/>
      <c r="N125" s="527"/>
      <c r="O125" s="1422"/>
      <c r="P125" s="1423"/>
      <c r="Q125" s="1424"/>
      <c r="R125" s="488"/>
    </row>
    <row r="126" spans="2:18" ht="13" x14ac:dyDescent="0.3">
      <c r="B126" s="1240">
        <v>6</v>
      </c>
      <c r="C126" s="515"/>
      <c r="D126" s="1189"/>
      <c r="E126" s="526"/>
      <c r="F126" s="526"/>
      <c r="G126" s="526"/>
      <c r="H126" s="1239"/>
      <c r="I126" s="528"/>
      <c r="J126" s="528"/>
      <c r="K126" s="528"/>
      <c r="L126" s="528"/>
      <c r="M126" s="528"/>
      <c r="N126" s="528"/>
      <c r="O126" s="1425"/>
      <c r="P126" s="1426"/>
      <c r="Q126" s="1427"/>
      <c r="R126" s="488"/>
    </row>
    <row r="127" spans="2:18" ht="13" x14ac:dyDescent="0.3">
      <c r="B127" s="1240">
        <v>7</v>
      </c>
      <c r="C127" s="515"/>
      <c r="D127" s="1189"/>
      <c r="E127" s="526"/>
      <c r="F127" s="526"/>
      <c r="G127" s="526"/>
      <c r="H127" s="1239"/>
      <c r="I127" s="528"/>
      <c r="J127" s="528"/>
      <c r="K127" s="528"/>
      <c r="L127" s="528"/>
      <c r="M127" s="528"/>
      <c r="N127" s="528"/>
      <c r="O127" s="1425"/>
      <c r="P127" s="1426"/>
      <c r="Q127" s="1427"/>
      <c r="R127" s="488"/>
    </row>
    <row r="128" spans="2:18" ht="13" x14ac:dyDescent="0.3">
      <c r="B128" s="1240">
        <v>8</v>
      </c>
      <c r="C128" s="515"/>
      <c r="D128" s="1189"/>
      <c r="E128" s="526"/>
      <c r="F128" s="526"/>
      <c r="G128" s="526"/>
      <c r="H128" s="528"/>
      <c r="I128" s="528"/>
      <c r="J128" s="528"/>
      <c r="K128" s="528"/>
      <c r="L128" s="528"/>
      <c r="M128" s="528"/>
      <c r="N128" s="528"/>
      <c r="O128" s="1425"/>
      <c r="P128" s="1426"/>
      <c r="Q128" s="1427"/>
      <c r="R128" s="488"/>
    </row>
    <row r="129" spans="2:18" ht="13" x14ac:dyDescent="0.3">
      <c r="B129" s="1240">
        <v>9</v>
      </c>
      <c r="C129" s="515"/>
      <c r="D129" s="1189"/>
      <c r="E129" s="526"/>
      <c r="F129" s="526"/>
      <c r="G129" s="526"/>
      <c r="H129" s="1240"/>
      <c r="I129" s="528"/>
      <c r="J129" s="528"/>
      <c r="K129" s="528"/>
      <c r="L129" s="528"/>
      <c r="M129" s="528"/>
      <c r="N129" s="528"/>
      <c r="O129" s="1425"/>
      <c r="P129" s="1426"/>
      <c r="Q129" s="1427"/>
      <c r="R129" s="488"/>
    </row>
    <row r="130" spans="2:18" ht="13" x14ac:dyDescent="0.3">
      <c r="B130" s="1240">
        <v>10</v>
      </c>
      <c r="C130" s="515"/>
      <c r="D130" s="1189"/>
      <c r="E130" s="526"/>
      <c r="F130" s="526"/>
      <c r="G130" s="526"/>
      <c r="H130" s="1240"/>
      <c r="I130" s="528"/>
      <c r="J130" s="528"/>
      <c r="K130" s="528"/>
      <c r="L130" s="528"/>
      <c r="M130" s="528"/>
      <c r="N130" s="528"/>
      <c r="O130" s="1425"/>
      <c r="P130" s="1426"/>
      <c r="Q130" s="1427"/>
      <c r="R130" s="488"/>
    </row>
    <row r="131" spans="2:18" ht="13" x14ac:dyDescent="0.3">
      <c r="B131" s="1240">
        <v>11</v>
      </c>
      <c r="C131" s="515"/>
      <c r="D131" s="1189"/>
      <c r="E131" s="526"/>
      <c r="F131" s="526"/>
      <c r="G131" s="526"/>
      <c r="H131" s="529"/>
      <c r="I131" s="528"/>
      <c r="J131" s="528"/>
      <c r="K131" s="528"/>
      <c r="L131" s="528"/>
      <c r="M131" s="528"/>
      <c r="N131" s="528"/>
      <c r="O131" s="1425"/>
      <c r="P131" s="1426"/>
      <c r="Q131" s="1427"/>
      <c r="R131" s="488"/>
    </row>
    <row r="132" spans="2:18" ht="13" x14ac:dyDescent="0.3">
      <c r="B132" s="1240">
        <v>12</v>
      </c>
      <c r="C132" s="515"/>
      <c r="D132" s="1189"/>
      <c r="E132" s="526"/>
      <c r="F132" s="526"/>
      <c r="G132" s="526"/>
      <c r="H132" s="1240"/>
      <c r="I132" s="528"/>
      <c r="J132" s="528"/>
      <c r="K132" s="528"/>
      <c r="L132" s="528"/>
      <c r="M132" s="528"/>
      <c r="N132" s="528"/>
      <c r="O132" s="1425"/>
      <c r="P132" s="1426"/>
      <c r="Q132" s="1427"/>
      <c r="R132" s="488"/>
    </row>
    <row r="133" spans="2:18" ht="13" x14ac:dyDescent="0.3">
      <c r="B133" s="1240">
        <v>13</v>
      </c>
      <c r="C133" s="515"/>
      <c r="D133" s="1189"/>
      <c r="E133" s="526"/>
      <c r="F133" s="526"/>
      <c r="G133" s="526"/>
      <c r="H133" s="1240"/>
      <c r="I133" s="528"/>
      <c r="J133" s="528"/>
      <c r="K133" s="528"/>
      <c r="L133" s="528"/>
      <c r="M133" s="528"/>
      <c r="N133" s="528"/>
      <c r="O133" s="1425"/>
      <c r="P133" s="1426"/>
      <c r="Q133" s="1427"/>
      <c r="R133" s="488"/>
    </row>
    <row r="134" spans="2:18" ht="13" x14ac:dyDescent="0.3">
      <c r="B134" s="1240">
        <v>14</v>
      </c>
      <c r="C134" s="515"/>
      <c r="D134" s="1189"/>
      <c r="E134" s="526"/>
      <c r="F134" s="526"/>
      <c r="G134" s="526"/>
      <c r="H134" s="530"/>
      <c r="I134" s="528"/>
      <c r="J134" s="528"/>
      <c r="K134" s="528"/>
      <c r="L134" s="528"/>
      <c r="M134" s="528"/>
      <c r="N134" s="528"/>
      <c r="O134" s="1425"/>
      <c r="P134" s="1426"/>
      <c r="Q134" s="1427"/>
      <c r="R134" s="488"/>
    </row>
    <row r="135" spans="2:18" ht="13" x14ac:dyDescent="0.3">
      <c r="B135" s="1240">
        <v>15</v>
      </c>
      <c r="C135" s="515"/>
      <c r="D135" s="1189"/>
      <c r="E135" s="530"/>
      <c r="F135" s="530"/>
      <c r="G135" s="530"/>
      <c r="H135" s="530"/>
      <c r="I135" s="528"/>
      <c r="J135" s="528"/>
      <c r="K135" s="528"/>
      <c r="L135" s="528"/>
      <c r="M135" s="528"/>
      <c r="N135" s="528"/>
      <c r="O135" s="1425"/>
      <c r="P135" s="1426"/>
      <c r="Q135" s="1427"/>
      <c r="R135" s="488"/>
    </row>
    <row r="136" spans="2:18" ht="13" x14ac:dyDescent="0.3">
      <c r="B136" s="1240">
        <v>16</v>
      </c>
      <c r="C136" s="515"/>
      <c r="D136" s="1189"/>
      <c r="E136" s="530"/>
      <c r="F136" s="530"/>
      <c r="G136" s="530"/>
      <c r="H136" s="530"/>
      <c r="I136" s="528"/>
      <c r="J136" s="528"/>
      <c r="K136" s="528"/>
      <c r="L136" s="528"/>
      <c r="M136" s="528"/>
      <c r="N136" s="528"/>
      <c r="O136" s="1425"/>
      <c r="P136" s="1426"/>
      <c r="Q136" s="1427"/>
      <c r="R136" s="488"/>
    </row>
    <row r="137" spans="2:18" ht="13" x14ac:dyDescent="0.3">
      <c r="B137" s="1240">
        <v>17</v>
      </c>
      <c r="C137" s="515"/>
      <c r="D137" s="1189"/>
      <c r="E137" s="530"/>
      <c r="F137" s="530"/>
      <c r="G137" s="530"/>
      <c r="H137" s="530"/>
      <c r="I137" s="528"/>
      <c r="J137" s="528"/>
      <c r="K137" s="528"/>
      <c r="L137" s="528"/>
      <c r="M137" s="528"/>
      <c r="N137" s="528"/>
      <c r="O137" s="1425"/>
      <c r="P137" s="1426"/>
      <c r="Q137" s="1427"/>
      <c r="R137" s="488"/>
    </row>
    <row r="138" spans="2:18" ht="13" x14ac:dyDescent="0.3">
      <c r="B138" s="1240">
        <v>18</v>
      </c>
      <c r="C138" s="515"/>
      <c r="D138" s="1189"/>
      <c r="E138" s="530"/>
      <c r="F138" s="530"/>
      <c r="G138" s="530"/>
      <c r="H138" s="530"/>
      <c r="I138" s="528"/>
      <c r="J138" s="528"/>
      <c r="K138" s="528"/>
      <c r="L138" s="528"/>
      <c r="M138" s="528"/>
      <c r="N138" s="528"/>
      <c r="O138" s="1425"/>
      <c r="P138" s="1426"/>
      <c r="Q138" s="1427"/>
      <c r="R138" s="488"/>
    </row>
    <row r="139" spans="2:18" ht="13" x14ac:dyDescent="0.3">
      <c r="B139" s="1240">
        <v>19</v>
      </c>
      <c r="C139" s="515"/>
      <c r="D139" s="1189"/>
      <c r="E139" s="530"/>
      <c r="F139" s="530"/>
      <c r="G139" s="530"/>
      <c r="H139" s="530"/>
      <c r="I139" s="528"/>
      <c r="J139" s="528"/>
      <c r="K139" s="528"/>
      <c r="L139" s="528"/>
      <c r="M139" s="528"/>
      <c r="N139" s="528"/>
      <c r="O139" s="1425"/>
      <c r="P139" s="1426"/>
      <c r="Q139" s="1427"/>
      <c r="R139" s="488"/>
    </row>
    <row r="140" spans="2:18" ht="13" x14ac:dyDescent="0.3">
      <c r="B140" s="1240">
        <v>20</v>
      </c>
      <c r="C140" s="515"/>
      <c r="D140" s="1189"/>
      <c r="E140" s="530"/>
      <c r="F140" s="530"/>
      <c r="G140" s="530"/>
      <c r="H140" s="530"/>
      <c r="I140" s="528"/>
      <c r="J140" s="528"/>
      <c r="K140" s="528"/>
      <c r="L140" s="528"/>
      <c r="M140" s="528"/>
      <c r="N140" s="528"/>
      <c r="O140" s="1425"/>
      <c r="P140" s="1426"/>
      <c r="Q140" s="1427"/>
      <c r="R140" s="488"/>
    </row>
  </sheetData>
  <sheetProtection algorithmName="SHA-512" hashValue="y19ExoEcI6i5y/XRDj7OrMPBpQLjCNUB1ou0veeOi5reJ0ln+UxuANG3wwCz3nqb40bRjtBOPeHFC/SEpgryew==" saltValue="n8R7WazEGWB0ROnBCKTAQw==" spinCount="100000" sheet="1" objects="1" scenarios="1" selectLockedCells="1" selectUnlockedCells="1"/>
  <mergeCells count="145">
    <mergeCell ref="D17:F17"/>
    <mergeCell ref="D18:F18"/>
    <mergeCell ref="B20:Q20"/>
    <mergeCell ref="C21:Q21"/>
    <mergeCell ref="C22:Q22"/>
    <mergeCell ref="C23:Q23"/>
    <mergeCell ref="C2:F2"/>
    <mergeCell ref="C3:F3"/>
    <mergeCell ref="C4:F4"/>
    <mergeCell ref="C5:F5"/>
    <mergeCell ref="D7:F7"/>
    <mergeCell ref="D8:F16"/>
    <mergeCell ref="E32:Q32"/>
    <mergeCell ref="E33:Q33"/>
    <mergeCell ref="E34:Q34"/>
    <mergeCell ref="E35:Q35"/>
    <mergeCell ref="E36:Q36"/>
    <mergeCell ref="E37:Q37"/>
    <mergeCell ref="D25:Q25"/>
    <mergeCell ref="D26:Q26"/>
    <mergeCell ref="D27:Q27"/>
    <mergeCell ref="D28:Q28"/>
    <mergeCell ref="D29:Q29"/>
    <mergeCell ref="D30:Q30"/>
    <mergeCell ref="C44:M44"/>
    <mergeCell ref="P44:Q44"/>
    <mergeCell ref="C45:M45"/>
    <mergeCell ref="P45:Q45"/>
    <mergeCell ref="C47:M47"/>
    <mergeCell ref="P47:Q47"/>
    <mergeCell ref="C41:M41"/>
    <mergeCell ref="P41:Q41"/>
    <mergeCell ref="C42:M42"/>
    <mergeCell ref="P42:Q42"/>
    <mergeCell ref="C43:M43"/>
    <mergeCell ref="P43:Q43"/>
    <mergeCell ref="C51:M51"/>
    <mergeCell ref="P51:Q51"/>
    <mergeCell ref="C53:M53"/>
    <mergeCell ref="P53:Q53"/>
    <mergeCell ref="C54:M54"/>
    <mergeCell ref="P54:Q54"/>
    <mergeCell ref="C48:M48"/>
    <mergeCell ref="P48:Q48"/>
    <mergeCell ref="C49:M49"/>
    <mergeCell ref="P49:Q49"/>
    <mergeCell ref="C50:M50"/>
    <mergeCell ref="P50:Q50"/>
    <mergeCell ref="D61:E61"/>
    <mergeCell ref="J61:Q61"/>
    <mergeCell ref="D62:E62"/>
    <mergeCell ref="J62:Q62"/>
    <mergeCell ref="D63:E63"/>
    <mergeCell ref="J63:Q63"/>
    <mergeCell ref="C55:M55"/>
    <mergeCell ref="P55:Q55"/>
    <mergeCell ref="C56:M56"/>
    <mergeCell ref="P56:Q56"/>
    <mergeCell ref="C57:M57"/>
    <mergeCell ref="P57:Q57"/>
    <mergeCell ref="D67:E67"/>
    <mergeCell ref="J67:Q67"/>
    <mergeCell ref="D68:E68"/>
    <mergeCell ref="J68:Q68"/>
    <mergeCell ref="D69:E69"/>
    <mergeCell ref="J69:Q69"/>
    <mergeCell ref="D64:E64"/>
    <mergeCell ref="J64:Q64"/>
    <mergeCell ref="D65:E65"/>
    <mergeCell ref="J65:Q65"/>
    <mergeCell ref="D66:E66"/>
    <mergeCell ref="J66:Q66"/>
    <mergeCell ref="D73:E73"/>
    <mergeCell ref="J73:Q73"/>
    <mergeCell ref="D74:E74"/>
    <mergeCell ref="J74:Q74"/>
    <mergeCell ref="D75:E75"/>
    <mergeCell ref="J75:Q75"/>
    <mergeCell ref="D70:E70"/>
    <mergeCell ref="J70:Q70"/>
    <mergeCell ref="D71:E71"/>
    <mergeCell ref="J71:Q71"/>
    <mergeCell ref="D72:E72"/>
    <mergeCell ref="J72:Q72"/>
    <mergeCell ref="D76:E76"/>
    <mergeCell ref="J76:Q76"/>
    <mergeCell ref="F86:Q86"/>
    <mergeCell ref="F87:Q87"/>
    <mergeCell ref="F88:Q88"/>
    <mergeCell ref="F89:Q89"/>
    <mergeCell ref="F90:Q90"/>
    <mergeCell ref="E94:N94"/>
    <mergeCell ref="O94:Q96"/>
    <mergeCell ref="F80:Q80"/>
    <mergeCell ref="F81:Q81"/>
    <mergeCell ref="F82:Q82"/>
    <mergeCell ref="F83:Q83"/>
    <mergeCell ref="F84:Q84"/>
    <mergeCell ref="F85:Q85"/>
    <mergeCell ref="O99:Q99"/>
    <mergeCell ref="O100:Q100"/>
    <mergeCell ref="O103:Q103"/>
    <mergeCell ref="O104:Q104"/>
    <mergeCell ref="O105:Q105"/>
    <mergeCell ref="O106:Q106"/>
    <mergeCell ref="B95:D95"/>
    <mergeCell ref="C96:D96"/>
    <mergeCell ref="O97:Q97"/>
    <mergeCell ref="O101:Q101"/>
    <mergeCell ref="O98:Q98"/>
    <mergeCell ref="O102:Q102"/>
    <mergeCell ref="O113:Q113"/>
    <mergeCell ref="O114:Q114"/>
    <mergeCell ref="O115:Q115"/>
    <mergeCell ref="O116:Q116"/>
    <mergeCell ref="O107:Q107"/>
    <mergeCell ref="O108:Q108"/>
    <mergeCell ref="O109:Q109"/>
    <mergeCell ref="O110:Q110"/>
    <mergeCell ref="O111:Q111"/>
    <mergeCell ref="O112:Q112"/>
    <mergeCell ref="E118:N118"/>
    <mergeCell ref="O118:Q120"/>
    <mergeCell ref="B119:D119"/>
    <mergeCell ref="C120:D120"/>
    <mergeCell ref="O121:Q121"/>
    <mergeCell ref="O122:Q122"/>
    <mergeCell ref="O123:Q123"/>
    <mergeCell ref="O124:Q124"/>
    <mergeCell ref="O125:Q125"/>
    <mergeCell ref="O135:Q135"/>
    <mergeCell ref="O136:Q136"/>
    <mergeCell ref="O137:Q137"/>
    <mergeCell ref="O138:Q138"/>
    <mergeCell ref="O139:Q139"/>
    <mergeCell ref="O140:Q140"/>
    <mergeCell ref="O126:Q126"/>
    <mergeCell ref="O127:Q127"/>
    <mergeCell ref="O128:Q128"/>
    <mergeCell ref="O129:Q129"/>
    <mergeCell ref="O130:Q130"/>
    <mergeCell ref="O131:Q131"/>
    <mergeCell ref="O132:Q132"/>
    <mergeCell ref="O133:Q133"/>
    <mergeCell ref="O134:Q134"/>
  </mergeCells>
  <conditionalFormatting sqref="G103:G116 H71:H76 E97:E98 E101:E102">
    <cfRule type="expression" dxfId="2339" priority="135">
      <formula>IF(OR(#REF!="L",#REF!="C"),TRUE,FALSE)</formula>
    </cfRule>
  </conditionalFormatting>
  <conditionalFormatting sqref="H62">
    <cfRule type="expression" dxfId="2338" priority="134">
      <formula>IF(OR(#REF!="L",#REF!="C"),TRUE,FALSE)</formula>
    </cfRule>
  </conditionalFormatting>
  <conditionalFormatting sqref="H67">
    <cfRule type="expression" dxfId="2337" priority="132">
      <formula>IF(OR(#REF!="L",#REF!="C"),TRUE,FALSE)</formula>
    </cfRule>
  </conditionalFormatting>
  <conditionalFormatting sqref="H66">
    <cfRule type="expression" dxfId="2336" priority="133">
      <formula>IF(OR(#REF!="L",#REF!="C"),TRUE,FALSE)</formula>
    </cfRule>
  </conditionalFormatting>
  <conditionalFormatting sqref="H68">
    <cfRule type="expression" dxfId="2335" priority="131">
      <formula>IF(OR(#REF!="L",#REF!="C"),TRUE,FALSE)</formula>
    </cfRule>
  </conditionalFormatting>
  <conditionalFormatting sqref="H69">
    <cfRule type="expression" dxfId="2334" priority="130">
      <formula>IF(OR(#REF!="L",#REF!="C"),TRUE,FALSE)</formula>
    </cfRule>
  </conditionalFormatting>
  <conditionalFormatting sqref="H70">
    <cfRule type="expression" dxfId="2333" priority="129">
      <formula>IF(OR(#REF!="L",#REF!="C"),TRUE,FALSE)</formula>
    </cfRule>
  </conditionalFormatting>
  <conditionalFormatting sqref="H104:H116 F108:F116">
    <cfRule type="expression" dxfId="2332" priority="128">
      <formula>IF(OR(#REF!="L",#REF!="C"),TRUE,FALSE)</formula>
    </cfRule>
  </conditionalFormatting>
  <conditionalFormatting sqref="E103:E116">
    <cfRule type="expression" dxfId="2331" priority="127">
      <formula>IF(OR(#REF!="L",#REF!="C"),TRUE,FALSE)</formula>
    </cfRule>
  </conditionalFormatting>
  <conditionalFormatting sqref="E107">
    <cfRule type="expression" dxfId="2330" priority="126">
      <formula>IF(OR(#REF!="L",#REF!="C"),TRUE,FALSE)</formula>
    </cfRule>
  </conditionalFormatting>
  <conditionalFormatting sqref="E108">
    <cfRule type="expression" dxfId="2329" priority="125">
      <formula>IF(OR(#REF!="L",#REF!="C"),TRUE,FALSE)</formula>
    </cfRule>
  </conditionalFormatting>
  <conditionalFormatting sqref="E109">
    <cfRule type="expression" dxfId="2328" priority="124">
      <formula>IF(OR(#REF!="L",#REF!="C"),TRUE,FALSE)</formula>
    </cfRule>
  </conditionalFormatting>
  <conditionalFormatting sqref="E106">
    <cfRule type="expression" dxfId="2327" priority="123">
      <formula>IF(OR(#REF!="L",#REF!="C"),TRUE,FALSE)</formula>
    </cfRule>
  </conditionalFormatting>
  <conditionalFormatting sqref="E95 G95 I95 K95 M95">
    <cfRule type="duplicateValues" dxfId="2326" priority="122"/>
  </conditionalFormatting>
  <conditionalFormatting sqref="I100:L103 N100:O103 M100:M116 F98 F102">
    <cfRule type="expression" dxfId="2325" priority="112">
      <formula>IF(OR(#REF!="L",#REF!="C"),TRUE,FALSE)</formula>
    </cfRule>
  </conditionalFormatting>
  <conditionalFormatting sqref="F103:F106">
    <cfRule type="expression" dxfId="2324" priority="121">
      <formula>IF(OR(#REF!="L",#REF!="C"),TRUE,FALSE)</formula>
    </cfRule>
  </conditionalFormatting>
  <conditionalFormatting sqref="I104:I116">
    <cfRule type="expression" dxfId="2323" priority="120">
      <formula>IF(OR(#REF!="L",#REF!="C"),TRUE,FALSE)</formula>
    </cfRule>
  </conditionalFormatting>
  <conditionalFormatting sqref="J104:J116">
    <cfRule type="expression" dxfId="2322" priority="118">
      <formula>IF(OR(#REF!="L",#REF!="C"),TRUE,FALSE)</formula>
    </cfRule>
  </conditionalFormatting>
  <conditionalFormatting sqref="K104:K116">
    <cfRule type="expression" dxfId="2321" priority="116">
      <formula>IF(OR(#REF!="L",#REF!="C"),TRUE,FALSE)</formula>
    </cfRule>
  </conditionalFormatting>
  <conditionalFormatting sqref="L104:L116">
    <cfRule type="expression" dxfId="2320" priority="114">
      <formula>IF(OR(#REF!="L",#REF!="C"),TRUE,FALSE)</formula>
    </cfRule>
  </conditionalFormatting>
  <conditionalFormatting sqref="N104:N116">
    <cfRule type="expression" dxfId="2319" priority="110">
      <formula>IF(OR(#REF!="L",#REF!="C"),TRUE,FALSE)</formula>
    </cfRule>
  </conditionalFormatting>
  <conditionalFormatting sqref="H63">
    <cfRule type="expression" dxfId="2318" priority="108">
      <formula>IF(OR(#REF!="L",#REF!="C"),TRUE,FALSE)</formula>
    </cfRule>
  </conditionalFormatting>
  <conditionalFormatting sqref="O104:O116">
    <cfRule type="expression" dxfId="2317" priority="107">
      <formula>IF(OR(#REF!="L",#REF!="C"),TRUE,FALSE)</formula>
    </cfRule>
  </conditionalFormatting>
  <conditionalFormatting sqref="E96:N96">
    <cfRule type="duplicateValues" dxfId="2316" priority="105"/>
  </conditionalFormatting>
  <conditionalFormatting sqref="E98:F98 E102:F102">
    <cfRule type="expression" dxfId="2315" priority="104">
      <formula>IF(OR(#REF!="L",#REF!="C"),TRUE,FALSE)</formula>
    </cfRule>
  </conditionalFormatting>
  <conditionalFormatting sqref="E106">
    <cfRule type="expression" dxfId="2314" priority="99">
      <formula>IF(OR(#REF!="L",#REF!="C"),TRUE,FALSE)</formula>
    </cfRule>
  </conditionalFormatting>
  <conditionalFormatting sqref="E107">
    <cfRule type="expression" dxfId="2313" priority="98">
      <formula>IF(OR(#REF!="L",#REF!="C"),TRUE,FALSE)</formula>
    </cfRule>
  </conditionalFormatting>
  <conditionalFormatting sqref="E108">
    <cfRule type="expression" dxfId="2312" priority="97">
      <formula>IF(OR(#REF!="L",#REF!="C"),TRUE,FALSE)</formula>
    </cfRule>
  </conditionalFormatting>
  <conditionalFormatting sqref="E105">
    <cfRule type="expression" dxfId="2311" priority="96">
      <formula>IF(OR(#REF!="L",#REF!="C"),TRUE,FALSE)</formula>
    </cfRule>
  </conditionalFormatting>
  <conditionalFormatting sqref="F103:F110">
    <cfRule type="expression" dxfId="2310" priority="95">
      <formula>IF(OR(#REF!="L",#REF!="C"),TRUE,FALSE)</formula>
    </cfRule>
  </conditionalFormatting>
  <conditionalFormatting sqref="E108:E110">
    <cfRule type="expression" dxfId="2309" priority="94">
      <formula>IF(OR(#REF!="L",#REF!="C"),TRUE,FALSE)</formula>
    </cfRule>
  </conditionalFormatting>
  <conditionalFormatting sqref="E103:E106">
    <cfRule type="expression" dxfId="2308" priority="93">
      <formula>IF(OR(#REF!="L",#REF!="C"),TRUE,FALSE)</formula>
    </cfRule>
  </conditionalFormatting>
  <conditionalFormatting sqref="C63:C64">
    <cfRule type="duplicateValues" dxfId="2307" priority="136"/>
  </conditionalFormatting>
  <conditionalFormatting sqref="E96:F96">
    <cfRule type="duplicateValues" dxfId="2306" priority="92"/>
  </conditionalFormatting>
  <conditionalFormatting sqref="H65">
    <cfRule type="expression" dxfId="2305" priority="90">
      <formula>IF(OR(#REF!="L",#REF!="C"),TRUE,FALSE)</formula>
    </cfRule>
  </conditionalFormatting>
  <conditionalFormatting sqref="C65">
    <cfRule type="duplicateValues" dxfId="2304" priority="91"/>
  </conditionalFormatting>
  <conditionalFormatting sqref="H64">
    <cfRule type="expression" dxfId="2303" priority="89">
      <formula>IF(OR(#REF!="L",#REF!="C"),TRUE,FALSE)</formula>
    </cfRule>
  </conditionalFormatting>
  <conditionalFormatting sqref="E132">
    <cfRule type="expression" dxfId="2302" priority="71">
      <formula>IF(OR(#REF!="L",#REF!="C"),TRUE,FALSE)</formula>
    </cfRule>
  </conditionalFormatting>
  <conditionalFormatting sqref="E99:E100">
    <cfRule type="expression" dxfId="2301" priority="82">
      <formula>IF(OR(#REF!="L",#REF!="C"),TRUE,FALSE)</formula>
    </cfRule>
  </conditionalFormatting>
  <conditionalFormatting sqref="E99">
    <cfRule type="expression" dxfId="2300" priority="81">
      <formula>IF(OR(#REF!="L",#REF!="C"),TRUE,FALSE)</formula>
    </cfRule>
  </conditionalFormatting>
  <conditionalFormatting sqref="E100">
    <cfRule type="expression" dxfId="2299" priority="80">
      <formula>IF(OR(#REF!="L",#REF!="C"),TRUE,FALSE)</formula>
    </cfRule>
  </conditionalFormatting>
  <conditionalFormatting sqref="E99">
    <cfRule type="expression" dxfId="2298" priority="79">
      <formula>IF(OR(#REF!="L",#REF!="C"),TRUE,FALSE)</formula>
    </cfRule>
  </conditionalFormatting>
  <conditionalFormatting sqref="E100">
    <cfRule type="expression" dxfId="2297" priority="78">
      <formula>IF(OR(#REF!="L",#REF!="C"),TRUE,FALSE)</formula>
    </cfRule>
  </conditionalFormatting>
  <conditionalFormatting sqref="F99">
    <cfRule type="expression" dxfId="2296" priority="77">
      <formula>IF(OR(#REF!="L",#REF!="C"),TRUE,FALSE)</formula>
    </cfRule>
  </conditionalFormatting>
  <conditionalFormatting sqref="E100">
    <cfRule type="expression" dxfId="2295" priority="76">
      <formula>IF(OR(#REF!="L",#REF!="C"),TRUE,FALSE)</formula>
    </cfRule>
  </conditionalFormatting>
  <conditionalFormatting sqref="G127:G140">
    <cfRule type="expression" dxfId="2294" priority="75">
      <formula>IF(OR(#REF!="L",#REF!="C"),TRUE,FALSE)</formula>
    </cfRule>
  </conditionalFormatting>
  <conditionalFormatting sqref="H128:H140 F132:F140">
    <cfRule type="expression" dxfId="2293" priority="74">
      <formula>IF(OR(#REF!="L",#REF!="C"),TRUE,FALSE)</formula>
    </cfRule>
  </conditionalFormatting>
  <conditionalFormatting sqref="E127:E140">
    <cfRule type="expression" dxfId="2292" priority="73">
      <formula>IF(OR(#REF!="L",#REF!="C"),TRUE,FALSE)</formula>
    </cfRule>
  </conditionalFormatting>
  <conditionalFormatting sqref="E131">
    <cfRule type="expression" dxfId="2291" priority="72">
      <formula>IF(OR(#REF!="L",#REF!="C"),TRUE,FALSE)</formula>
    </cfRule>
  </conditionalFormatting>
  <conditionalFormatting sqref="E133">
    <cfRule type="expression" dxfId="2290" priority="70">
      <formula>IF(OR(#REF!="L",#REF!="C"),TRUE,FALSE)</formula>
    </cfRule>
  </conditionalFormatting>
  <conditionalFormatting sqref="E130">
    <cfRule type="expression" dxfId="2289" priority="69">
      <formula>IF(OR(#REF!="L",#REF!="C"),TRUE,FALSE)</formula>
    </cfRule>
  </conditionalFormatting>
  <conditionalFormatting sqref="E119 G119 I119 K119 M119">
    <cfRule type="duplicateValues" dxfId="2288" priority="68"/>
  </conditionalFormatting>
  <conditionalFormatting sqref="M128:M140">
    <cfRule type="expression" dxfId="2287" priority="58">
      <formula>IF(OR(#REF!="L",#REF!="C"),TRUE,FALSE)</formula>
    </cfRule>
  </conditionalFormatting>
  <conditionalFormatting sqref="F127:F130">
    <cfRule type="expression" dxfId="2286" priority="67">
      <formula>IF(OR(#REF!="L",#REF!="C"),TRUE,FALSE)</formula>
    </cfRule>
  </conditionalFormatting>
  <conditionalFormatting sqref="I126:I127">
    <cfRule type="expression" dxfId="2285" priority="65">
      <formula>IF(OR(#REF!="L",#REF!="C"),TRUE,FALSE)</formula>
    </cfRule>
  </conditionalFormatting>
  <conditionalFormatting sqref="N126:N127">
    <cfRule type="expression" dxfId="2284" priority="55">
      <formula>IF(OR(#REF!="L",#REF!="C"),TRUE,FALSE)</formula>
    </cfRule>
  </conditionalFormatting>
  <conditionalFormatting sqref="I128:I140">
    <cfRule type="expression" dxfId="2283" priority="66">
      <formula>IF(OR(#REF!="L",#REF!="C"),TRUE,FALSE)</formula>
    </cfRule>
  </conditionalFormatting>
  <conditionalFormatting sqref="J126:J127">
    <cfRule type="expression" dxfId="2282" priority="63">
      <formula>IF(OR(#REF!="L",#REF!="C"),TRUE,FALSE)</formula>
    </cfRule>
  </conditionalFormatting>
  <conditionalFormatting sqref="J128:J140">
    <cfRule type="expression" dxfId="2281" priority="64">
      <formula>IF(OR(#REF!="L",#REF!="C"),TRUE,FALSE)</formula>
    </cfRule>
  </conditionalFormatting>
  <conditionalFormatting sqref="K126:K127">
    <cfRule type="expression" dxfId="2280" priority="61">
      <formula>IF(OR(#REF!="L",#REF!="C"),TRUE,FALSE)</formula>
    </cfRule>
  </conditionalFormatting>
  <conditionalFormatting sqref="K128:K140">
    <cfRule type="expression" dxfId="2279" priority="62">
      <formula>IF(OR(#REF!="L",#REF!="C"),TRUE,FALSE)</formula>
    </cfRule>
  </conditionalFormatting>
  <conditionalFormatting sqref="L126:L127">
    <cfRule type="expression" dxfId="2278" priority="59">
      <formula>IF(OR(#REF!="L",#REF!="C"),TRUE,FALSE)</formula>
    </cfRule>
  </conditionalFormatting>
  <conditionalFormatting sqref="L128:L140">
    <cfRule type="expression" dxfId="2277" priority="60">
      <formula>IF(OR(#REF!="L",#REF!="C"),TRUE,FALSE)</formula>
    </cfRule>
  </conditionalFormatting>
  <conditionalFormatting sqref="M126:M127">
    <cfRule type="expression" dxfId="2276" priority="57">
      <formula>IF(OR(#REF!="L",#REF!="C"),TRUE,FALSE)</formula>
    </cfRule>
  </conditionalFormatting>
  <conditionalFormatting sqref="N128:N140">
    <cfRule type="expression" dxfId="2275" priority="56">
      <formula>IF(OR(#REF!="L",#REF!="C"),TRUE,FALSE)</formula>
    </cfRule>
  </conditionalFormatting>
  <conditionalFormatting sqref="O126:O127">
    <cfRule type="expression" dxfId="2274" priority="53">
      <formula>IF(OR(#REF!="L",#REF!="C"),TRUE,FALSE)</formula>
    </cfRule>
  </conditionalFormatting>
  <conditionalFormatting sqref="O128:O140">
    <cfRule type="expression" dxfId="2273" priority="54">
      <formula>IF(OR(#REF!="L",#REF!="C"),TRUE,FALSE)</formula>
    </cfRule>
  </conditionalFormatting>
  <conditionalFormatting sqref="E120:N120">
    <cfRule type="duplicateValues" dxfId="2272" priority="52"/>
  </conditionalFormatting>
  <conditionalFormatting sqref="E130">
    <cfRule type="expression" dxfId="2271" priority="51">
      <formula>IF(OR(#REF!="L",#REF!="C"),TRUE,FALSE)</formula>
    </cfRule>
  </conditionalFormatting>
  <conditionalFormatting sqref="E131">
    <cfRule type="expression" dxfId="2270" priority="50">
      <formula>IF(OR(#REF!="L",#REF!="C"),TRUE,FALSE)</formula>
    </cfRule>
  </conditionalFormatting>
  <conditionalFormatting sqref="E132">
    <cfRule type="expression" dxfId="2269" priority="49">
      <formula>IF(OR(#REF!="L",#REF!="C"),TRUE,FALSE)</formula>
    </cfRule>
  </conditionalFormatting>
  <conditionalFormatting sqref="E129">
    <cfRule type="expression" dxfId="2268" priority="48">
      <formula>IF(OR(#REF!="L",#REF!="C"),TRUE,FALSE)</formula>
    </cfRule>
  </conditionalFormatting>
  <conditionalFormatting sqref="F127:F134">
    <cfRule type="expression" dxfId="2267" priority="47">
      <formula>IF(OR(#REF!="L",#REF!="C"),TRUE,FALSE)</formula>
    </cfRule>
  </conditionalFormatting>
  <conditionalFormatting sqref="E132:E134">
    <cfRule type="expression" dxfId="2266" priority="46">
      <formula>IF(OR(#REF!="L",#REF!="C"),TRUE,FALSE)</formula>
    </cfRule>
  </conditionalFormatting>
  <conditionalFormatting sqref="E127:E130">
    <cfRule type="expression" dxfId="2265" priority="45">
      <formula>IF(OR(#REF!="L",#REF!="C"),TRUE,FALSE)</formula>
    </cfRule>
  </conditionalFormatting>
  <conditionalFormatting sqref="E120:F120">
    <cfRule type="duplicateValues" dxfId="2264" priority="44"/>
  </conditionalFormatting>
  <conditionalFormatting sqref="F125:F126">
    <cfRule type="expression" dxfId="2263" priority="32">
      <formula>IF(OR(#REF!="L",#REF!="C"),TRUE,FALSE)</formula>
    </cfRule>
  </conditionalFormatting>
  <conditionalFormatting sqref="E126">
    <cfRule type="expression" dxfId="2262" priority="31">
      <formula>IF(OR(#REF!="L",#REF!="C"),TRUE,FALSE)</formula>
    </cfRule>
  </conditionalFormatting>
  <conditionalFormatting sqref="F126">
    <cfRule type="expression" dxfId="2261" priority="38">
      <formula>IF(OR(#REF!="L",#REF!="C"),TRUE,FALSE)</formula>
    </cfRule>
  </conditionalFormatting>
  <conditionalFormatting sqref="E125:E126">
    <cfRule type="expression" dxfId="2260" priority="37">
      <formula>IF(OR(#REF!="L",#REF!="C"),TRUE,FALSE)</formula>
    </cfRule>
  </conditionalFormatting>
  <conditionalFormatting sqref="E125">
    <cfRule type="expression" dxfId="2259" priority="36">
      <formula>IF(OR(#REF!="L",#REF!="C"),TRUE,FALSE)</formula>
    </cfRule>
  </conditionalFormatting>
  <conditionalFormatting sqref="E126">
    <cfRule type="expression" dxfId="2258" priority="35">
      <formula>IF(OR(#REF!="L",#REF!="C"),TRUE,FALSE)</formula>
    </cfRule>
  </conditionalFormatting>
  <conditionalFormatting sqref="E125">
    <cfRule type="expression" dxfId="2257" priority="34">
      <formula>IF(OR(#REF!="L",#REF!="C"),TRUE,FALSE)</formula>
    </cfRule>
  </conditionalFormatting>
  <conditionalFormatting sqref="E126">
    <cfRule type="expression" dxfId="2256" priority="33">
      <formula>IF(OR(#REF!="L",#REF!="C"),TRUE,FALSE)</formula>
    </cfRule>
  </conditionalFormatting>
  <conditionalFormatting sqref="E121">
    <cfRule type="expression" dxfId="2255" priority="30">
      <formula>IF(OR(#REF!="L",#REF!="C"),TRUE,FALSE)</formula>
    </cfRule>
  </conditionalFormatting>
  <conditionalFormatting sqref="E122">
    <cfRule type="expression" dxfId="2254" priority="29">
      <formula>IF(OR(#REF!="L",#REF!="C"),TRUE,FALSE)</formula>
    </cfRule>
  </conditionalFormatting>
  <conditionalFormatting sqref="F122">
    <cfRule type="expression" dxfId="2253" priority="28">
      <formula>IF(OR(#REF!="L",#REF!="C"),TRUE,FALSE)</formula>
    </cfRule>
  </conditionalFormatting>
  <conditionalFormatting sqref="F122">
    <cfRule type="expression" dxfId="2252" priority="27">
      <formula>IF(OR(#REF!="L",#REF!="C"),TRUE,FALSE)</formula>
    </cfRule>
  </conditionalFormatting>
  <conditionalFormatting sqref="E122">
    <cfRule type="expression" dxfId="2251" priority="26">
      <formula>IF(OR(#REF!="L",#REF!="C"),TRUE,FALSE)</formula>
    </cfRule>
  </conditionalFormatting>
  <conditionalFormatting sqref="I123">
    <cfRule type="expression" dxfId="2250" priority="25">
      <formula>IF(OR(#REF!="L",#REF!="C"),TRUE,FALSE)</formula>
    </cfRule>
  </conditionalFormatting>
  <conditionalFormatting sqref="N123">
    <cfRule type="expression" dxfId="2249" priority="20">
      <formula>IF(OR(#REF!="L",#REF!="C"),TRUE,FALSE)</formula>
    </cfRule>
  </conditionalFormatting>
  <conditionalFormatting sqref="J123">
    <cfRule type="expression" dxfId="2248" priority="24">
      <formula>IF(OR(#REF!="L",#REF!="C"),TRUE,FALSE)</formula>
    </cfRule>
  </conditionalFormatting>
  <conditionalFormatting sqref="K123">
    <cfRule type="expression" dxfId="2247" priority="23">
      <formula>IF(OR(#REF!="L",#REF!="C"),TRUE,FALSE)</formula>
    </cfRule>
  </conditionalFormatting>
  <conditionalFormatting sqref="L123">
    <cfRule type="expression" dxfId="2246" priority="22">
      <formula>IF(OR(#REF!="L",#REF!="C"),TRUE,FALSE)</formula>
    </cfRule>
  </conditionalFormatting>
  <conditionalFormatting sqref="M123">
    <cfRule type="expression" dxfId="2245" priority="21">
      <formula>IF(OR(#REF!="L",#REF!="C"),TRUE,FALSE)</formula>
    </cfRule>
  </conditionalFormatting>
  <conditionalFormatting sqref="F123">
    <cfRule type="expression" dxfId="2244" priority="18">
      <formula>IF(OR(#REF!="L",#REF!="C"),TRUE,FALSE)</formula>
    </cfRule>
  </conditionalFormatting>
  <conditionalFormatting sqref="E123">
    <cfRule type="expression" dxfId="2243" priority="17">
      <formula>IF(OR(#REF!="L",#REF!="C"),TRUE,FALSE)</formula>
    </cfRule>
  </conditionalFormatting>
  <conditionalFormatting sqref="E123">
    <cfRule type="expression" dxfId="2242" priority="16">
      <formula>IF(OR(#REF!="L",#REF!="C"),TRUE,FALSE)</formula>
    </cfRule>
  </conditionalFormatting>
  <conditionalFormatting sqref="E123">
    <cfRule type="expression" dxfId="2241" priority="15">
      <formula>IF(OR(#REF!="L",#REF!="C"),TRUE,FALSE)</formula>
    </cfRule>
  </conditionalFormatting>
  <conditionalFormatting sqref="F123">
    <cfRule type="expression" dxfId="2240" priority="14">
      <formula>IF(OR(#REF!="L",#REF!="C"),TRUE,FALSE)</formula>
    </cfRule>
  </conditionalFormatting>
  <conditionalFormatting sqref="E123">
    <cfRule type="expression" dxfId="2239" priority="13">
      <formula>IF(OR(#REF!="L",#REF!="C"),TRUE,FALSE)</formula>
    </cfRule>
  </conditionalFormatting>
  <conditionalFormatting sqref="F100">
    <cfRule type="expression" dxfId="2238" priority="12">
      <formula>IF(OR(#REF!="L",#REF!="C"),TRUE,FALSE)</formula>
    </cfRule>
  </conditionalFormatting>
  <conditionalFormatting sqref="F100">
    <cfRule type="expression" dxfId="2237" priority="11">
      <formula>IF(OR(#REF!="L",#REF!="C"),TRUE,FALSE)</formula>
    </cfRule>
  </conditionalFormatting>
  <conditionalFormatting sqref="F100">
    <cfRule type="expression" dxfId="2236" priority="10">
      <formula>IF(OR(#REF!="L",#REF!="C"),TRUE,FALSE)</formula>
    </cfRule>
  </conditionalFormatting>
  <conditionalFormatting sqref="F100">
    <cfRule type="expression" dxfId="2235" priority="9">
      <formula>IF(OR(#REF!="L",#REF!="C"),TRUE,FALSE)</formula>
    </cfRule>
  </conditionalFormatting>
  <conditionalFormatting sqref="E124">
    <cfRule type="expression" dxfId="2234" priority="8">
      <formula>IF(OR(#REF!="L",#REF!="C"),TRUE,FALSE)</formula>
    </cfRule>
  </conditionalFormatting>
  <conditionalFormatting sqref="E124">
    <cfRule type="expression" dxfId="2233" priority="7">
      <formula>IF(OR(#REF!="L",#REF!="C"),TRUE,FALSE)</formula>
    </cfRule>
  </conditionalFormatting>
  <conditionalFormatting sqref="E124">
    <cfRule type="expression" dxfId="2232" priority="6">
      <formula>IF(OR(#REF!="L",#REF!="C"),TRUE,FALSE)</formula>
    </cfRule>
  </conditionalFormatting>
  <conditionalFormatting sqref="E124">
    <cfRule type="expression" dxfId="2231" priority="5">
      <formula>IF(OR(#REF!="L",#REF!="C"),TRUE,FALSE)</formula>
    </cfRule>
  </conditionalFormatting>
  <conditionalFormatting sqref="F124">
    <cfRule type="expression" dxfId="2230" priority="4">
      <formula>IF(OR(#REF!="L",#REF!="C"),TRUE,FALSE)</formula>
    </cfRule>
  </conditionalFormatting>
  <conditionalFormatting sqref="F124">
    <cfRule type="expression" dxfId="2229" priority="3">
      <formula>IF(OR(#REF!="L",#REF!="C"),TRUE,FALSE)</formula>
    </cfRule>
  </conditionalFormatting>
  <conditionalFormatting sqref="F124">
    <cfRule type="expression" dxfId="2228" priority="2">
      <formula>IF(OR(#REF!="L",#REF!="C"),TRUE,FALSE)</formula>
    </cfRule>
  </conditionalFormatting>
  <conditionalFormatting sqref="F124">
    <cfRule type="expression" dxfId="2227" priority="1">
      <formula>IF(OR(#REF!="L",#REF!="C"),TRUE,FALSE)</formula>
    </cfRule>
  </conditionalFormatting>
  <dataValidations count="6">
    <dataValidation type="list" allowBlank="1" showInputMessage="1" showErrorMessage="1" sqref="C4" xr:uid="{51AAEBA1-A90A-49E6-B667-EB53535C9303}">
      <formula1>"COM,RES"</formula1>
    </dataValidation>
    <dataValidation type="list" allowBlank="1" showInputMessage="1" showErrorMessage="1" sqref="C9" xr:uid="{6A53C0A9-8203-48E2-BD3E-F58DD9643940}">
      <formula1>INDIRECT("MeasureTypeList[Index]")</formula1>
    </dataValidation>
    <dataValidation type="list" allowBlank="1" showInputMessage="1" showErrorMessage="1" sqref="C26" xr:uid="{5B7AB7F6-F60E-44A2-AB02-5595798E297C}">
      <formula1>INDIRECT("RegionList[Index]")</formula1>
    </dataValidation>
    <dataValidation type="list" allowBlank="1" showInputMessage="1" showErrorMessage="1" sqref="C27" xr:uid="{8653C269-C28F-4EA5-A59D-D9FB95568647}">
      <formula1>INDIRECT("ReplacementTypeList[Index]")</formula1>
    </dataValidation>
    <dataValidation type="list" allowBlank="1" showInputMessage="1" showErrorMessage="1" sqref="C28" xr:uid="{E79C3268-A880-460B-A92B-C1FE43BC0163}">
      <formula1>INDIRECT("BuildingType[Building]")</formula1>
    </dataValidation>
    <dataValidation type="list" allowBlank="1" showInputMessage="1" showErrorMessage="1" sqref="C29 C30" xr:uid="{DFA969D0-723E-40A8-A33B-8E79E54E32B9}">
      <formula1>INDIRECT("FuelTypeList[Index]")</formula1>
    </dataValidation>
  </dataValidations>
  <hyperlinks>
    <hyperlink ref="F83" r:id="rId1" xr:uid="{AA777262-1038-4F72-9AF4-E7F4797E35ED}"/>
    <hyperlink ref="F85" r:id="rId2" xr:uid="{3D159FA4-76A6-441C-AB1D-0AFA00C0F50C}"/>
    <hyperlink ref="F84" r:id="rId3" xr:uid="{97E03545-630A-42E2-B309-43CCE281FC3C}"/>
    <hyperlink ref="F82" r:id="rId4" xr:uid="{4C536C1D-C10B-41BC-95F2-B31364222D90}"/>
  </hyperlinks>
  <pageMargins left="0.7" right="0.7" top="0.75" bottom="0.75" header="0.3" footer="0.3"/>
  <pageSetup orientation="portrait" r:id="rId5"/>
  <extLst>
    <ext xmlns:x14="http://schemas.microsoft.com/office/spreadsheetml/2009/9/main" uri="{CCE6A557-97BC-4b89-ADB6-D9C93CAAB3DF}">
      <x14:dataValidations xmlns:xm="http://schemas.microsoft.com/office/excel/2006/main" count="1">
        <x14:dataValidation type="list" allowBlank="1" showInputMessage="1" showErrorMessage="1" xr:uid="{DC49E45E-A7AC-4737-BB55-4ED5F3BB1E16}">
          <x14:formula1>
            <xm:f>Validation!$B$114:$B$115</xm:f>
          </x14:formula1>
          <xm:sqref>H62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CC53B-F3BD-482C-9DB9-FD5042F13EA3}">
  <sheetPr codeName="Sheet271">
    <tabColor theme="1"/>
  </sheetPr>
  <dimension ref="A2:R116"/>
  <sheetViews>
    <sheetView zoomScale="70" zoomScaleNormal="70" workbookViewId="0">
      <selection activeCell="E36" sqref="E36:Q36"/>
    </sheetView>
  </sheetViews>
  <sheetFormatPr defaultColWidth="9.08984375" defaultRowHeight="18.75" customHeight="1" x14ac:dyDescent="0.3"/>
  <cols>
    <col min="1" max="1" width="2.36328125" style="488" customWidth="1"/>
    <col min="2" max="2" width="44.36328125" style="488" bestFit="1" customWidth="1"/>
    <col min="3" max="3" width="19.81640625" style="488" customWidth="1"/>
    <col min="4" max="4" width="21.6328125" style="488" customWidth="1"/>
    <col min="5" max="5" width="15" style="488" customWidth="1"/>
    <col min="6" max="6" width="15.6328125" style="488" customWidth="1"/>
    <col min="7" max="7" width="19.6328125" style="488" customWidth="1"/>
    <col min="8" max="8" width="16"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278" t="s">
        <v>405</v>
      </c>
      <c r="C2" s="1366" t="s">
        <v>406</v>
      </c>
      <c r="D2" s="1366"/>
      <c r="E2" s="1366"/>
      <c r="F2" s="1366"/>
    </row>
    <row r="3" spans="1:18" ht="18.75" customHeight="1" x14ac:dyDescent="0.3">
      <c r="B3" s="490" t="s">
        <v>407</v>
      </c>
      <c r="C3" s="1367">
        <f>IF(ISBLANK(C8)+ISBLANK(C10),C8,C8&amp;"_"&amp;C10)</f>
        <v>0</v>
      </c>
      <c r="D3" s="1367"/>
      <c r="E3" s="1367"/>
      <c r="F3" s="1367"/>
    </row>
    <row r="4" spans="1:18" ht="18.75" customHeight="1" x14ac:dyDescent="0.3">
      <c r="B4" s="490" t="s">
        <v>11</v>
      </c>
      <c r="C4" s="1367" t="str" cm="1">
        <f t="array" ref="C4">_xlfn.SWITCH(LEFT(C8,1),"R","Residential","C","Commercial","ERROR")</f>
        <v>ERROR</v>
      </c>
      <c r="D4" s="1367"/>
      <c r="E4" s="1367"/>
      <c r="F4" s="1367"/>
    </row>
    <row r="5" spans="1:18" ht="19.5" customHeight="1" x14ac:dyDescent="0.3">
      <c r="B5" s="490" t="s">
        <v>408</v>
      </c>
      <c r="C5" s="1370"/>
      <c r="D5" s="1371"/>
      <c r="E5" s="1371"/>
      <c r="F5" s="1372"/>
      <c r="R5" s="488"/>
    </row>
    <row r="6" spans="1:18" ht="18.75" customHeight="1" x14ac:dyDescent="0.3">
      <c r="A6" s="573"/>
    </row>
    <row r="7" spans="1:18" ht="18.75" customHeight="1" x14ac:dyDescent="0.3">
      <c r="B7" s="1278" t="s">
        <v>409</v>
      </c>
      <c r="C7" s="1277" t="s">
        <v>406</v>
      </c>
      <c r="D7" s="1363" t="s">
        <v>410</v>
      </c>
      <c r="E7" s="1363"/>
      <c r="F7" s="1363"/>
      <c r="R7" s="488"/>
    </row>
    <row r="8" spans="1:18" ht="18.75" customHeight="1" x14ac:dyDescent="0.3">
      <c r="B8" s="490" t="s">
        <v>411</v>
      </c>
      <c r="C8" s="1289"/>
      <c r="D8" s="1365"/>
      <c r="E8" s="1365"/>
      <c r="F8" s="1365"/>
      <c r="R8" s="488"/>
    </row>
    <row r="9" spans="1:18" ht="18.75" customHeight="1" x14ac:dyDescent="0.3">
      <c r="B9" s="490" t="s">
        <v>49</v>
      </c>
      <c r="C9" s="1289"/>
      <c r="D9" s="1365"/>
      <c r="E9" s="1365"/>
      <c r="F9" s="1365"/>
      <c r="R9" s="488"/>
    </row>
    <row r="10" spans="1:18" ht="18.75" customHeight="1" x14ac:dyDescent="0.3">
      <c r="B10" s="490" t="s">
        <v>412</v>
      </c>
      <c r="C10" s="1289"/>
      <c r="D10" s="1365"/>
      <c r="E10" s="1365"/>
      <c r="F10" s="1365"/>
      <c r="R10" s="488"/>
    </row>
    <row r="11" spans="1:18" ht="18.75" customHeight="1" x14ac:dyDescent="0.3">
      <c r="B11" s="490" t="s">
        <v>413</v>
      </c>
      <c r="C11" s="1289"/>
      <c r="D11" s="1365"/>
      <c r="E11" s="1365"/>
      <c r="F11" s="1365"/>
      <c r="R11" s="488"/>
    </row>
    <row r="12" spans="1:18" ht="18.75" customHeight="1" x14ac:dyDescent="0.3">
      <c r="B12" s="490" t="s">
        <v>414</v>
      </c>
      <c r="C12" s="1290"/>
      <c r="D12" s="1365"/>
      <c r="E12" s="1365"/>
      <c r="F12" s="1365"/>
      <c r="R12" s="488"/>
    </row>
    <row r="13" spans="1:18" ht="18.75" customHeight="1" x14ac:dyDescent="0.3">
      <c r="B13" s="494" t="s">
        <v>415</v>
      </c>
      <c r="C13" s="658">
        <f>N43</f>
        <v>0</v>
      </c>
      <c r="D13" s="1365"/>
      <c r="E13" s="1365"/>
      <c r="F13" s="1365"/>
      <c r="R13" s="488"/>
    </row>
    <row r="14" spans="1:18" ht="18.75" customHeight="1" x14ac:dyDescent="0.3">
      <c r="B14" s="494" t="s">
        <v>416</v>
      </c>
      <c r="C14" s="658">
        <f>N42</f>
        <v>0</v>
      </c>
      <c r="D14" s="1365"/>
      <c r="E14" s="1365"/>
      <c r="F14" s="1365"/>
      <c r="R14" s="488"/>
    </row>
    <row r="15" spans="1:18" ht="18.75" customHeight="1" x14ac:dyDescent="0.3">
      <c r="B15" s="494" t="s">
        <v>417</v>
      </c>
      <c r="C15" s="658">
        <f>N44</f>
        <v>0</v>
      </c>
      <c r="D15" s="1365"/>
      <c r="E15" s="1365"/>
      <c r="F15" s="1365"/>
      <c r="R15" s="488"/>
    </row>
    <row r="16" spans="1:18" ht="18.75" customHeight="1" x14ac:dyDescent="0.3">
      <c r="B16" s="494" t="s">
        <v>418</v>
      </c>
      <c r="C16" s="659">
        <f>C37</f>
        <v>0</v>
      </c>
      <c r="D16" s="1365"/>
      <c r="E16" s="1365"/>
      <c r="F16" s="1365"/>
      <c r="R16" s="488"/>
    </row>
    <row r="17" spans="2:18" ht="18.75" customHeight="1" x14ac:dyDescent="0.3">
      <c r="B17" s="490" t="s">
        <v>48</v>
      </c>
      <c r="C17" s="1289"/>
      <c r="D17" s="1363" t="s">
        <v>419</v>
      </c>
      <c r="E17" s="1363"/>
      <c r="F17" s="1363"/>
      <c r="R17" s="488"/>
    </row>
    <row r="18" spans="2:18" ht="18.75" customHeight="1" x14ac:dyDescent="0.3">
      <c r="B18" s="490" t="s">
        <v>420</v>
      </c>
      <c r="C18" s="1291"/>
      <c r="D18" s="1364"/>
      <c r="E18" s="1364"/>
      <c r="F18" s="1364"/>
      <c r="R18" s="488"/>
    </row>
    <row r="19" spans="2:18" ht="18.75" customHeight="1" x14ac:dyDescent="0.3">
      <c r="B19" s="613"/>
      <c r="C19" s="614"/>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18.75" customHeight="1" x14ac:dyDescent="0.3">
      <c r="B21" s="499" t="s">
        <v>422</v>
      </c>
      <c r="C21" s="1369"/>
      <c r="D21" s="1369"/>
      <c r="E21" s="1369"/>
      <c r="F21" s="1369"/>
      <c r="G21" s="1369"/>
      <c r="H21" s="1369"/>
      <c r="I21" s="1369"/>
      <c r="J21" s="1369"/>
      <c r="K21" s="1369"/>
      <c r="L21" s="1369"/>
      <c r="M21" s="1369"/>
      <c r="N21" s="1369"/>
      <c r="O21" s="1369"/>
      <c r="P21" s="1369"/>
      <c r="Q21" s="1369"/>
      <c r="R21" s="488"/>
    </row>
    <row r="22" spans="2:18" ht="18.75" customHeight="1" x14ac:dyDescent="0.3">
      <c r="B22" s="500" t="s">
        <v>423</v>
      </c>
      <c r="C22" s="1373"/>
      <c r="D22" s="1373"/>
      <c r="E22" s="1373"/>
      <c r="F22" s="1373"/>
      <c r="G22" s="1373"/>
      <c r="H22" s="1373"/>
      <c r="I22" s="1373"/>
      <c r="J22" s="1373"/>
      <c r="K22" s="1373"/>
      <c r="L22" s="1373"/>
      <c r="M22" s="1373"/>
      <c r="N22" s="1373"/>
      <c r="O22" s="1373"/>
      <c r="P22" s="1373"/>
      <c r="Q22" s="1373"/>
      <c r="R22" s="488"/>
    </row>
    <row r="23" spans="2:18" ht="18.75" customHeight="1" x14ac:dyDescent="0.3">
      <c r="B23" s="500" t="s">
        <v>424</v>
      </c>
      <c r="C23" s="1373"/>
      <c r="D23" s="1373"/>
      <c r="E23" s="1373"/>
      <c r="F23" s="1373"/>
      <c r="G23" s="1373"/>
      <c r="H23" s="1373"/>
      <c r="I23" s="1373"/>
      <c r="J23" s="1373"/>
      <c r="K23" s="1373"/>
      <c r="L23" s="1373"/>
      <c r="M23" s="1373"/>
      <c r="N23" s="1373"/>
      <c r="O23" s="1373"/>
      <c r="P23" s="1373"/>
      <c r="Q23" s="1373"/>
      <c r="R23" s="488"/>
    </row>
    <row r="25" spans="2:18" ht="18.75" customHeight="1" x14ac:dyDescent="0.3">
      <c r="B25" s="1278"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Default.BuildingType.R</f>
        <v>Home - detached</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278" t="s">
        <v>427</v>
      </c>
      <c r="C32" s="1277"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1292"/>
      <c r="D33" s="586" t="s">
        <v>430</v>
      </c>
      <c r="E33" s="1374"/>
      <c r="F33" s="1374"/>
      <c r="G33" s="1374"/>
      <c r="H33" s="1374"/>
      <c r="I33" s="1374"/>
      <c r="J33" s="1374"/>
      <c r="K33" s="1374"/>
      <c r="L33" s="1374"/>
      <c r="M33" s="1374"/>
      <c r="N33" s="1374"/>
      <c r="O33" s="1374"/>
      <c r="P33" s="1374"/>
      <c r="Q33" s="1374"/>
      <c r="R33" s="488"/>
    </row>
    <row r="34" spans="2:18" ht="18.75" customHeight="1" x14ac:dyDescent="0.3">
      <c r="B34" s="494" t="s">
        <v>431</v>
      </c>
      <c r="C34" s="1292"/>
      <c r="D34" s="586" t="s">
        <v>430</v>
      </c>
      <c r="E34" s="1375"/>
      <c r="F34" s="1375"/>
      <c r="G34" s="1375"/>
      <c r="H34" s="1375"/>
      <c r="I34" s="1375"/>
      <c r="J34" s="1375"/>
      <c r="K34" s="1375"/>
      <c r="L34" s="1375"/>
      <c r="M34" s="1375"/>
      <c r="N34" s="1375"/>
      <c r="O34" s="1375"/>
      <c r="P34" s="1375"/>
      <c r="Q34" s="1375"/>
    </row>
    <row r="35" spans="2:18" ht="18.75" customHeight="1" x14ac:dyDescent="0.3">
      <c r="B35" s="490" t="s">
        <v>432</v>
      </c>
      <c r="C35" s="1292"/>
      <c r="D35" s="586" t="s">
        <v>430</v>
      </c>
      <c r="E35" s="1374"/>
      <c r="F35" s="1374"/>
      <c r="G35" s="1374"/>
      <c r="H35" s="1374"/>
      <c r="I35" s="1374"/>
      <c r="J35" s="1374"/>
      <c r="K35" s="1374"/>
      <c r="L35" s="1374"/>
      <c r="M35" s="1374"/>
      <c r="N35" s="1374"/>
      <c r="O35" s="1374"/>
      <c r="P35" s="1374"/>
      <c r="Q35" s="1374"/>
    </row>
    <row r="36" spans="2:18" ht="18.75" customHeight="1" x14ac:dyDescent="0.3">
      <c r="B36" s="494" t="s">
        <v>433</v>
      </c>
      <c r="C36" s="905">
        <f>C34+C33</f>
        <v>0</v>
      </c>
      <c r="D36" s="586" t="s">
        <v>430</v>
      </c>
      <c r="E36" s="1375"/>
      <c r="F36" s="1375"/>
      <c r="G36" s="1375"/>
      <c r="H36" s="1375"/>
      <c r="I36" s="1375"/>
      <c r="J36" s="1375"/>
      <c r="K36" s="1375"/>
      <c r="L36" s="1375"/>
      <c r="M36" s="1375"/>
      <c r="N36" s="1375"/>
      <c r="O36" s="1375"/>
      <c r="P36" s="1375"/>
      <c r="Q36" s="1375"/>
    </row>
    <row r="37" spans="2:18" ht="18.75" customHeight="1" x14ac:dyDescent="0.3">
      <c r="B37" s="494" t="s">
        <v>434</v>
      </c>
      <c r="C37" s="905">
        <f>IF(C27="RET",C33+(C34-C35),C34-C35)</f>
        <v>0</v>
      </c>
      <c r="D37" s="586" t="s">
        <v>430</v>
      </c>
      <c r="E37" s="1375"/>
      <c r="F37" s="1375"/>
      <c r="G37" s="1375"/>
      <c r="H37" s="1375"/>
      <c r="I37" s="1375"/>
      <c r="J37" s="1375"/>
      <c r="K37" s="1375"/>
      <c r="L37" s="1375"/>
      <c r="M37" s="1375"/>
      <c r="N37" s="1375"/>
      <c r="O37" s="1375"/>
      <c r="P37" s="1375"/>
      <c r="Q37" s="1375"/>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280" t="s">
        <v>406</v>
      </c>
      <c r="O41" s="1280"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86" t="s">
        <v>440</v>
      </c>
      <c r="P42" s="1383"/>
      <c r="Q42" s="1383"/>
      <c r="R42" s="488"/>
    </row>
    <row r="43" spans="2:18" ht="18.75" customHeight="1" x14ac:dyDescent="0.3">
      <c r="B43" s="582" t="s">
        <v>441</v>
      </c>
      <c r="C43" s="1380" t="s">
        <v>442</v>
      </c>
      <c r="D43" s="1381"/>
      <c r="E43" s="1381"/>
      <c r="F43" s="1381"/>
      <c r="G43" s="1381"/>
      <c r="H43" s="1381"/>
      <c r="I43" s="1381"/>
      <c r="J43" s="1381"/>
      <c r="K43" s="1381"/>
      <c r="L43" s="1381"/>
      <c r="M43" s="1382"/>
      <c r="N43" s="585">
        <f>N49+N55</f>
        <v>0</v>
      </c>
      <c r="O43" s="1286" t="s">
        <v>443</v>
      </c>
      <c r="P43" s="1383"/>
      <c r="Q43" s="1383"/>
      <c r="R43" s="488"/>
    </row>
    <row r="44" spans="2:18" ht="18.75" customHeight="1" x14ac:dyDescent="0.3">
      <c r="B44" s="582" t="s">
        <v>444</v>
      </c>
      <c r="C44" s="1380" t="s">
        <v>445</v>
      </c>
      <c r="D44" s="1381"/>
      <c r="E44" s="1381"/>
      <c r="F44" s="1381"/>
      <c r="G44" s="1381"/>
      <c r="H44" s="1381"/>
      <c r="I44" s="1381"/>
      <c r="J44" s="1381"/>
      <c r="K44" s="1381"/>
      <c r="L44" s="1381"/>
      <c r="M44" s="1382"/>
      <c r="N44" s="584">
        <f>N50+N56</f>
        <v>0</v>
      </c>
      <c r="O44" s="1286" t="s">
        <v>446</v>
      </c>
      <c r="P44" s="1383"/>
      <c r="Q44" s="1383"/>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86" t="s">
        <v>449</v>
      </c>
      <c r="P45" s="1383"/>
      <c r="Q45" s="1383"/>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280" t="s">
        <v>406</v>
      </c>
      <c r="O47" s="1280" t="s">
        <v>428</v>
      </c>
      <c r="P47" s="1379" t="s">
        <v>419</v>
      </c>
      <c r="Q47" s="1379"/>
      <c r="R47" s="488"/>
    </row>
    <row r="48" spans="2:18" ht="18.75" customHeight="1" x14ac:dyDescent="0.3">
      <c r="B48" s="582" t="s">
        <v>452</v>
      </c>
      <c r="C48" s="1380" t="s">
        <v>453</v>
      </c>
      <c r="D48" s="1381"/>
      <c r="E48" s="1381"/>
      <c r="F48" s="1381"/>
      <c r="G48" s="1381"/>
      <c r="H48" s="1381"/>
      <c r="I48" s="1381"/>
      <c r="J48" s="1381"/>
      <c r="K48" s="1381"/>
      <c r="L48" s="1381"/>
      <c r="M48" s="1382"/>
      <c r="N48" s="1143"/>
      <c r="O48" s="1286" t="s">
        <v>440</v>
      </c>
      <c r="P48" s="1383"/>
      <c r="Q48" s="1383"/>
      <c r="R48" s="488"/>
    </row>
    <row r="49" spans="2:18" ht="18.75" customHeight="1" x14ac:dyDescent="0.3">
      <c r="B49" s="582" t="s">
        <v>454</v>
      </c>
      <c r="C49" s="1380" t="s">
        <v>455</v>
      </c>
      <c r="D49" s="1381"/>
      <c r="E49" s="1381"/>
      <c r="F49" s="1381"/>
      <c r="G49" s="1381"/>
      <c r="H49" s="1381"/>
      <c r="I49" s="1381"/>
      <c r="J49" s="1381"/>
      <c r="K49" s="1381"/>
      <c r="L49" s="1381"/>
      <c r="M49" s="1382"/>
      <c r="N49" s="1144"/>
      <c r="O49" s="1286" t="s">
        <v>443</v>
      </c>
      <c r="P49" s="1383"/>
      <c r="Q49" s="1383"/>
      <c r="R49" s="488"/>
    </row>
    <row r="50" spans="2:18" ht="18.75" customHeight="1" x14ac:dyDescent="0.3">
      <c r="B50" s="582" t="s">
        <v>456</v>
      </c>
      <c r="C50" s="1380" t="s">
        <v>457</v>
      </c>
      <c r="D50" s="1381"/>
      <c r="E50" s="1381"/>
      <c r="F50" s="1381"/>
      <c r="G50" s="1381"/>
      <c r="H50" s="1381"/>
      <c r="I50" s="1381"/>
      <c r="J50" s="1381"/>
      <c r="K50" s="1381"/>
      <c r="L50" s="1381"/>
      <c r="M50" s="1382"/>
      <c r="N50" s="1144"/>
      <c r="O50" s="1286" t="s">
        <v>446</v>
      </c>
      <c r="P50" s="1383"/>
      <c r="Q50" s="1383"/>
      <c r="R50" s="488"/>
    </row>
    <row r="51" spans="2:18" ht="18.75" customHeight="1" x14ac:dyDescent="0.3">
      <c r="B51" s="582" t="s">
        <v>458</v>
      </c>
      <c r="C51" s="1380" t="s">
        <v>459</v>
      </c>
      <c r="D51" s="1381"/>
      <c r="E51" s="1381"/>
      <c r="F51" s="1381"/>
      <c r="G51" s="1381"/>
      <c r="H51" s="1381"/>
      <c r="I51" s="1381"/>
      <c r="J51" s="1381"/>
      <c r="K51" s="1381"/>
      <c r="L51" s="1381"/>
      <c r="M51" s="1382"/>
      <c r="N51" s="1144"/>
      <c r="O51" s="1286" t="s">
        <v>449</v>
      </c>
      <c r="P51" s="1383"/>
      <c r="Q51" s="1383"/>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280" t="s">
        <v>406</v>
      </c>
      <c r="O53" s="1280" t="s">
        <v>428</v>
      </c>
      <c r="P53" s="1379" t="s">
        <v>419</v>
      </c>
      <c r="Q53" s="1379"/>
    </row>
    <row r="54" spans="2:18" s="491" customFormat="1" ht="18.75" customHeight="1" x14ac:dyDescent="0.3">
      <c r="B54" s="531" t="s">
        <v>462</v>
      </c>
      <c r="C54" s="1387" t="s">
        <v>463</v>
      </c>
      <c r="D54" s="1388"/>
      <c r="E54" s="1388"/>
      <c r="F54" s="1388"/>
      <c r="G54" s="1388"/>
      <c r="H54" s="1388"/>
      <c r="I54" s="1388"/>
      <c r="J54" s="1388"/>
      <c r="K54" s="1388"/>
      <c r="L54" s="1388"/>
      <c r="M54" s="1389"/>
      <c r="N54" s="1293"/>
      <c r="O54" s="509" t="s">
        <v>440</v>
      </c>
      <c r="P54" s="1390"/>
      <c r="Q54" s="1390"/>
    </row>
    <row r="55" spans="2:18" s="491" customFormat="1" ht="18.75" customHeight="1" x14ac:dyDescent="0.3">
      <c r="B55" s="531" t="s">
        <v>464</v>
      </c>
      <c r="C55" s="1387" t="s">
        <v>465</v>
      </c>
      <c r="D55" s="1388"/>
      <c r="E55" s="1388"/>
      <c r="F55" s="1388"/>
      <c r="G55" s="1388"/>
      <c r="H55" s="1388"/>
      <c r="I55" s="1388"/>
      <c r="J55" s="1388"/>
      <c r="K55" s="1388"/>
      <c r="L55" s="1388"/>
      <c r="M55" s="1389"/>
      <c r="N55" s="1294"/>
      <c r="O55" s="509" t="s">
        <v>443</v>
      </c>
      <c r="P55" s="1390"/>
      <c r="Q55" s="1390"/>
    </row>
    <row r="56" spans="2:18" s="491" customFormat="1" ht="18.75" customHeight="1" x14ac:dyDescent="0.3">
      <c r="B56" s="531" t="s">
        <v>466</v>
      </c>
      <c r="C56" s="1380" t="s">
        <v>467</v>
      </c>
      <c r="D56" s="1381"/>
      <c r="E56" s="1381"/>
      <c r="F56" s="1381"/>
      <c r="G56" s="1381"/>
      <c r="H56" s="1381"/>
      <c r="I56" s="1381"/>
      <c r="J56" s="1381"/>
      <c r="K56" s="1381"/>
      <c r="L56" s="1381"/>
      <c r="M56" s="1382"/>
      <c r="N56" s="1147"/>
      <c r="O56" s="509" t="s">
        <v>446</v>
      </c>
      <c r="P56" s="1390"/>
      <c r="Q56" s="1390"/>
    </row>
    <row r="57" spans="2:18" s="491" customFormat="1" ht="18.75" customHeight="1" x14ac:dyDescent="0.3">
      <c r="B57" s="531" t="s">
        <v>468</v>
      </c>
      <c r="C57" s="1387" t="s">
        <v>469</v>
      </c>
      <c r="D57" s="1388"/>
      <c r="E57" s="1388"/>
      <c r="F57" s="1388"/>
      <c r="G57" s="1388"/>
      <c r="H57" s="1388"/>
      <c r="I57" s="1388"/>
      <c r="J57" s="1388"/>
      <c r="K57" s="1388"/>
      <c r="L57" s="1388"/>
      <c r="M57" s="1389"/>
      <c r="N57" s="1295"/>
      <c r="O57" s="509" t="s">
        <v>449</v>
      </c>
      <c r="P57" s="1390"/>
      <c r="Q57" s="1390"/>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1280" t="s">
        <v>406</v>
      </c>
      <c r="I61" s="1280" t="s">
        <v>428</v>
      </c>
      <c r="J61" s="1396" t="s">
        <v>476</v>
      </c>
      <c r="K61" s="1397"/>
      <c r="L61" s="1397"/>
      <c r="M61" s="1397"/>
      <c r="N61" s="1397"/>
      <c r="O61" s="1397"/>
      <c r="P61" s="1397"/>
      <c r="Q61" s="1398"/>
    </row>
    <row r="62" spans="2:18" ht="13" x14ac:dyDescent="0.3">
      <c r="B62" s="533">
        <v>1</v>
      </c>
      <c r="C62" s="515"/>
      <c r="D62" s="1391"/>
      <c r="E62" s="1391"/>
      <c r="F62" s="1288"/>
      <c r="G62" s="1288"/>
      <c r="H62" s="633"/>
      <c r="I62" s="1288"/>
      <c r="J62" s="1392"/>
      <c r="K62" s="1393"/>
      <c r="L62" s="1393"/>
      <c r="M62" s="1393"/>
      <c r="N62" s="1393"/>
      <c r="O62" s="1393"/>
      <c r="P62" s="1393"/>
      <c r="Q62" s="1394"/>
      <c r="R62" s="488"/>
    </row>
    <row r="63" spans="2:18" ht="13" x14ac:dyDescent="0.3">
      <c r="B63" s="533">
        <v>2</v>
      </c>
      <c r="C63" s="515"/>
      <c r="D63" s="1391"/>
      <c r="E63" s="1391"/>
      <c r="F63" s="1288"/>
      <c r="G63" s="1288"/>
      <c r="H63" s="633"/>
      <c r="I63" s="1288"/>
      <c r="J63" s="1392"/>
      <c r="K63" s="1393"/>
      <c r="L63" s="1393"/>
      <c r="M63" s="1393"/>
      <c r="N63" s="1393"/>
      <c r="O63" s="1393"/>
      <c r="P63" s="1393"/>
      <c r="Q63" s="1394"/>
      <c r="R63" s="488"/>
    </row>
    <row r="64" spans="2:18" ht="13" x14ac:dyDescent="0.3">
      <c r="B64" s="533">
        <v>3</v>
      </c>
      <c r="C64" s="515"/>
      <c r="D64" s="1391"/>
      <c r="E64" s="1391"/>
      <c r="F64" s="1288"/>
      <c r="G64" s="1288"/>
      <c r="H64" s="528"/>
      <c r="I64" s="1288"/>
      <c r="J64" s="1392"/>
      <c r="K64" s="1393"/>
      <c r="L64" s="1393"/>
      <c r="M64" s="1393"/>
      <c r="N64" s="1393"/>
      <c r="O64" s="1393"/>
      <c r="P64" s="1393"/>
      <c r="Q64" s="1394"/>
      <c r="R64" s="488"/>
    </row>
    <row r="65" spans="2:18" ht="13" x14ac:dyDescent="0.3">
      <c r="B65" s="533">
        <v>4</v>
      </c>
      <c r="C65" s="515"/>
      <c r="D65" s="1391"/>
      <c r="E65" s="1391"/>
      <c r="F65" s="1288"/>
      <c r="G65" s="1288"/>
      <c r="H65" s="1296"/>
      <c r="I65" s="1288"/>
      <c r="J65" s="1392"/>
      <c r="K65" s="1393"/>
      <c r="L65" s="1393"/>
      <c r="M65" s="1393"/>
      <c r="N65" s="1393"/>
      <c r="O65" s="1393"/>
      <c r="P65" s="1393"/>
      <c r="Q65" s="1394"/>
      <c r="R65" s="488"/>
    </row>
    <row r="66" spans="2:18" ht="13" x14ac:dyDescent="0.3">
      <c r="B66" s="533">
        <v>5</v>
      </c>
      <c r="C66" s="515"/>
      <c r="D66" s="1391"/>
      <c r="E66" s="1391"/>
      <c r="F66" s="1288"/>
      <c r="G66" s="1288"/>
      <c r="H66" s="1296"/>
      <c r="I66" s="1288"/>
      <c r="J66" s="1392"/>
      <c r="K66" s="1393"/>
      <c r="L66" s="1393"/>
      <c r="M66" s="1393"/>
      <c r="N66" s="1393"/>
      <c r="O66" s="1393"/>
      <c r="P66" s="1393"/>
      <c r="Q66" s="1394"/>
      <c r="R66" s="488"/>
    </row>
    <row r="67" spans="2:18" ht="13" x14ac:dyDescent="0.3">
      <c r="B67" s="533">
        <v>6</v>
      </c>
      <c r="C67" s="515"/>
      <c r="D67" s="1391"/>
      <c r="E67" s="1391"/>
      <c r="F67" s="1288"/>
      <c r="G67" s="1288"/>
      <c r="H67" s="1297"/>
      <c r="I67" s="1288"/>
      <c r="J67" s="1399"/>
      <c r="K67" s="1400"/>
      <c r="L67" s="1400"/>
      <c r="M67" s="1400"/>
      <c r="N67" s="1400"/>
      <c r="O67" s="1400"/>
      <c r="P67" s="1400"/>
      <c r="Q67" s="1401"/>
      <c r="R67" s="488"/>
    </row>
    <row r="68" spans="2:18" ht="13" x14ac:dyDescent="0.3">
      <c r="B68" s="533">
        <v>7</v>
      </c>
      <c r="C68" s="515"/>
      <c r="D68" s="1391"/>
      <c r="E68" s="1391"/>
      <c r="F68" s="1288"/>
      <c r="G68" s="1288"/>
      <c r="H68" s="1296"/>
      <c r="I68" s="1288"/>
      <c r="J68" s="1399"/>
      <c r="K68" s="1400"/>
      <c r="L68" s="1400"/>
      <c r="M68" s="1400"/>
      <c r="N68" s="1400"/>
      <c r="O68" s="1400"/>
      <c r="P68" s="1400"/>
      <c r="Q68" s="1401"/>
      <c r="R68" s="488"/>
    </row>
    <row r="69" spans="2:18" ht="13" x14ac:dyDescent="0.3">
      <c r="B69" s="533">
        <v>8</v>
      </c>
      <c r="C69" s="515"/>
      <c r="D69" s="1391"/>
      <c r="E69" s="1391"/>
      <c r="F69" s="1288"/>
      <c r="G69" s="1288"/>
      <c r="H69" s="1288"/>
      <c r="I69" s="1288"/>
      <c r="J69" s="1399"/>
      <c r="K69" s="1400"/>
      <c r="L69" s="1400"/>
      <c r="M69" s="1400"/>
      <c r="N69" s="1400"/>
      <c r="O69" s="1400"/>
      <c r="P69" s="1400"/>
      <c r="Q69" s="1401"/>
      <c r="R69" s="488"/>
    </row>
    <row r="70" spans="2:18" ht="13" x14ac:dyDescent="0.3">
      <c r="B70" s="533">
        <v>9</v>
      </c>
      <c r="C70" s="515"/>
      <c r="D70" s="1391"/>
      <c r="E70" s="1391"/>
      <c r="F70" s="1288"/>
      <c r="G70" s="1288"/>
      <c r="H70" s="1288"/>
      <c r="I70" s="1288"/>
      <c r="J70" s="1399"/>
      <c r="K70" s="1400"/>
      <c r="L70" s="1400"/>
      <c r="M70" s="1400"/>
      <c r="N70" s="1400"/>
      <c r="O70" s="1400"/>
      <c r="P70" s="1400"/>
      <c r="Q70" s="1401"/>
      <c r="R70" s="488"/>
    </row>
    <row r="71" spans="2:18" ht="13" x14ac:dyDescent="0.3">
      <c r="B71" s="533">
        <v>10</v>
      </c>
      <c r="C71" s="515"/>
      <c r="D71" s="1391"/>
      <c r="E71" s="1391"/>
      <c r="F71" s="1288"/>
      <c r="G71" s="1288"/>
      <c r="H71" s="529"/>
      <c r="I71" s="1288"/>
      <c r="J71" s="1399"/>
      <c r="K71" s="1400"/>
      <c r="L71" s="1400"/>
      <c r="M71" s="1400"/>
      <c r="N71" s="1400"/>
      <c r="O71" s="1400"/>
      <c r="P71" s="1400"/>
      <c r="Q71" s="1401"/>
      <c r="R71" s="488"/>
    </row>
    <row r="72" spans="2:18" s="491" customFormat="1" ht="13" x14ac:dyDescent="0.3">
      <c r="B72" s="536">
        <v>11</v>
      </c>
      <c r="C72" s="507"/>
      <c r="D72" s="1357"/>
      <c r="E72" s="1358"/>
      <c r="F72" s="517"/>
      <c r="G72" s="518"/>
      <c r="H72" s="517"/>
      <c r="I72" s="518"/>
      <c r="J72" s="1357"/>
      <c r="K72" s="1359"/>
      <c r="L72" s="1359"/>
      <c r="M72" s="1359"/>
      <c r="N72" s="1359"/>
      <c r="O72" s="1359"/>
      <c r="P72" s="1359"/>
      <c r="Q72" s="1358"/>
    </row>
    <row r="73" spans="2:18" s="491" customFormat="1" ht="13" x14ac:dyDescent="0.3">
      <c r="B73" s="536">
        <v>12</v>
      </c>
      <c r="C73" s="507"/>
      <c r="D73" s="1357"/>
      <c r="E73" s="1358"/>
      <c r="F73" s="517"/>
      <c r="G73" s="518"/>
      <c r="H73" s="1298"/>
      <c r="I73" s="518"/>
      <c r="J73" s="1360"/>
      <c r="K73" s="1361"/>
      <c r="L73" s="1361"/>
      <c r="M73" s="1361"/>
      <c r="N73" s="1361"/>
      <c r="O73" s="1361"/>
      <c r="P73" s="1361"/>
      <c r="Q73" s="1362"/>
    </row>
    <row r="74" spans="2:18" s="491" customFormat="1" ht="13" x14ac:dyDescent="0.3">
      <c r="B74" s="536">
        <v>13</v>
      </c>
      <c r="C74" s="507"/>
      <c r="D74" s="1357"/>
      <c r="E74" s="1358"/>
      <c r="F74" s="517"/>
      <c r="G74" s="518"/>
      <c r="H74" s="517"/>
      <c r="I74" s="518"/>
      <c r="J74" s="1360"/>
      <c r="K74" s="1361"/>
      <c r="L74" s="1361"/>
      <c r="M74" s="1361"/>
      <c r="N74" s="1361"/>
      <c r="O74" s="1361"/>
      <c r="P74" s="1361"/>
      <c r="Q74" s="1362"/>
    </row>
    <row r="75" spans="2:18" s="489" customFormat="1" ht="13.15" customHeight="1" x14ac:dyDescent="0.3">
      <c r="B75" s="536">
        <v>14</v>
      </c>
      <c r="C75" s="507"/>
      <c r="D75" s="1357"/>
      <c r="E75" s="1358"/>
      <c r="F75" s="517"/>
      <c r="G75" s="518"/>
      <c r="H75" s="517"/>
      <c r="I75" s="518"/>
      <c r="J75" s="1360"/>
      <c r="K75" s="1361"/>
      <c r="L75" s="1361"/>
      <c r="M75" s="1361"/>
      <c r="N75" s="1361"/>
      <c r="O75" s="1361"/>
      <c r="P75" s="1361"/>
      <c r="Q75" s="1362"/>
    </row>
    <row r="76" spans="2:18" s="489" customFormat="1" ht="13" x14ac:dyDescent="0.3">
      <c r="B76" s="536">
        <v>15</v>
      </c>
      <c r="C76" s="507"/>
      <c r="D76" s="1357"/>
      <c r="E76" s="1358"/>
      <c r="F76" s="517"/>
      <c r="G76" s="518"/>
      <c r="H76" s="1299"/>
      <c r="I76" s="518"/>
      <c r="J76" s="1360"/>
      <c r="K76" s="1361"/>
      <c r="L76" s="1361"/>
      <c r="M76" s="1361"/>
      <c r="N76" s="1361"/>
      <c r="O76" s="1361"/>
      <c r="P76" s="1361"/>
      <c r="Q76" s="1362"/>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279" t="s">
        <v>406</v>
      </c>
      <c r="E80" s="1283" t="s">
        <v>428</v>
      </c>
      <c r="F80" s="1413" t="s">
        <v>476</v>
      </c>
      <c r="G80" s="1414"/>
      <c r="H80" s="1414"/>
      <c r="I80" s="1414"/>
      <c r="J80" s="1414"/>
      <c r="K80" s="1414"/>
      <c r="L80" s="1414"/>
      <c r="M80" s="1414"/>
      <c r="N80" s="1414"/>
      <c r="O80" s="1414"/>
      <c r="P80" s="1414"/>
      <c r="Q80" s="1415"/>
      <c r="R80" s="488"/>
    </row>
    <row r="81" spans="2:18" ht="13" x14ac:dyDescent="0.3">
      <c r="B81" s="533">
        <v>1</v>
      </c>
      <c r="C81" s="519" t="s">
        <v>480</v>
      </c>
      <c r="D81" s="520">
        <v>1000</v>
      </c>
      <c r="E81" s="1285" t="s">
        <v>481</v>
      </c>
      <c r="F81" s="1416" t="s">
        <v>482</v>
      </c>
      <c r="G81" s="1417"/>
      <c r="H81" s="1417"/>
      <c r="I81" s="1417"/>
      <c r="J81" s="1417"/>
      <c r="K81" s="1417"/>
      <c r="L81" s="1417"/>
      <c r="M81" s="1417"/>
      <c r="N81" s="1417"/>
      <c r="O81" s="1417"/>
      <c r="P81" s="1417"/>
      <c r="Q81" s="1418"/>
      <c r="R81" s="488"/>
    </row>
    <row r="82" spans="2:18" ht="13" x14ac:dyDescent="0.3">
      <c r="B82" s="533">
        <v>2</v>
      </c>
      <c r="C82" s="519" t="s">
        <v>483</v>
      </c>
      <c r="D82" s="1300">
        <f>0.03412*0.10548</f>
        <v>3.5989775999999999E-3</v>
      </c>
      <c r="E82" s="1285" t="s">
        <v>484</v>
      </c>
      <c r="F82" s="1419" t="s">
        <v>485</v>
      </c>
      <c r="G82" s="1420"/>
      <c r="H82" s="1420"/>
      <c r="I82" s="1420"/>
      <c r="J82" s="1420"/>
      <c r="K82" s="1420"/>
      <c r="L82" s="1420"/>
      <c r="M82" s="1420"/>
      <c r="N82" s="1420"/>
      <c r="O82" s="1420"/>
      <c r="P82" s="1420"/>
      <c r="Q82" s="1421"/>
      <c r="R82" s="488"/>
    </row>
    <row r="83" spans="2:18" ht="13" x14ac:dyDescent="0.3">
      <c r="B83" s="533">
        <v>3</v>
      </c>
      <c r="C83" s="519" t="s">
        <v>486</v>
      </c>
      <c r="D83" s="1300">
        <v>3.7854099999999999E-3</v>
      </c>
      <c r="E83" s="1285" t="s">
        <v>487</v>
      </c>
      <c r="F83" s="1419" t="s">
        <v>485</v>
      </c>
      <c r="G83" s="1420"/>
      <c r="H83" s="1420"/>
      <c r="I83" s="1420"/>
      <c r="J83" s="1420"/>
      <c r="K83" s="1420"/>
      <c r="L83" s="1420"/>
      <c r="M83" s="1420"/>
      <c r="N83" s="1420"/>
      <c r="O83" s="1420"/>
      <c r="P83" s="1420"/>
      <c r="Q83" s="1421"/>
      <c r="R83" s="488"/>
    </row>
    <row r="84" spans="2:18" ht="13" x14ac:dyDescent="0.3">
      <c r="B84" s="533">
        <v>4</v>
      </c>
      <c r="C84" s="519" t="s">
        <v>488</v>
      </c>
      <c r="D84" s="1300">
        <v>0.1055</v>
      </c>
      <c r="E84" s="1285" t="s">
        <v>489</v>
      </c>
      <c r="F84" s="1419" t="s">
        <v>485</v>
      </c>
      <c r="G84" s="1420"/>
      <c r="H84" s="1420"/>
      <c r="I84" s="1420"/>
      <c r="J84" s="1420"/>
      <c r="K84" s="1420"/>
      <c r="L84" s="1420"/>
      <c r="M84" s="1420"/>
      <c r="N84" s="1420"/>
      <c r="O84" s="1420"/>
      <c r="P84" s="1420"/>
      <c r="Q84" s="1421"/>
      <c r="R84" s="488"/>
    </row>
    <row r="85" spans="2:18" ht="13" x14ac:dyDescent="0.3">
      <c r="B85" s="533">
        <v>5</v>
      </c>
      <c r="C85" s="519" t="s">
        <v>490</v>
      </c>
      <c r="D85" s="1300">
        <v>1.0000000000000001E-5</v>
      </c>
      <c r="E85" s="1285" t="s">
        <v>491</v>
      </c>
      <c r="F85" s="1419" t="s">
        <v>485</v>
      </c>
      <c r="G85" s="1420"/>
      <c r="H85" s="1420"/>
      <c r="I85" s="1420"/>
      <c r="J85" s="1420"/>
      <c r="K85" s="1420"/>
      <c r="L85" s="1420"/>
      <c r="M85" s="1420"/>
      <c r="N85" s="1420"/>
      <c r="O85" s="1420"/>
      <c r="P85" s="1420"/>
      <c r="Q85" s="1421"/>
      <c r="R85" s="488"/>
    </row>
    <row r="86" spans="2:18" ht="13" x14ac:dyDescent="0.3">
      <c r="B86" s="533">
        <v>6</v>
      </c>
      <c r="C86" s="522"/>
      <c r="D86" s="1161"/>
      <c r="E86" s="1285"/>
      <c r="F86" s="1419"/>
      <c r="G86" s="1420"/>
      <c r="H86" s="1420"/>
      <c r="I86" s="1420"/>
      <c r="J86" s="1420"/>
      <c r="K86" s="1420"/>
      <c r="L86" s="1420"/>
      <c r="M86" s="1420"/>
      <c r="N86" s="1420"/>
      <c r="O86" s="1420"/>
      <c r="P86" s="1420"/>
      <c r="Q86" s="1421"/>
      <c r="R86" s="488"/>
    </row>
    <row r="87" spans="2:18" ht="13" x14ac:dyDescent="0.3">
      <c r="B87" s="533">
        <v>7</v>
      </c>
      <c r="C87" s="522"/>
      <c r="D87" s="521"/>
      <c r="E87" s="1285"/>
      <c r="F87" s="1419"/>
      <c r="G87" s="1420"/>
      <c r="H87" s="1420"/>
      <c r="I87" s="1420"/>
      <c r="J87" s="1420"/>
      <c r="K87" s="1420"/>
      <c r="L87" s="1420"/>
      <c r="M87" s="1420"/>
      <c r="N87" s="1420"/>
      <c r="O87" s="1420"/>
      <c r="P87" s="1420"/>
      <c r="Q87" s="1421"/>
      <c r="R87" s="488"/>
    </row>
    <row r="88" spans="2:18" ht="13" x14ac:dyDescent="0.3">
      <c r="B88" s="533">
        <v>8</v>
      </c>
      <c r="C88" s="522"/>
      <c r="D88" s="1161"/>
      <c r="E88" s="1285"/>
      <c r="F88" s="1419"/>
      <c r="G88" s="1420"/>
      <c r="H88" s="1420"/>
      <c r="I88" s="1420"/>
      <c r="J88" s="1420"/>
      <c r="K88" s="1420"/>
      <c r="L88" s="1420"/>
      <c r="M88" s="1420"/>
      <c r="N88" s="1420"/>
      <c r="O88" s="1420"/>
      <c r="P88" s="1420"/>
      <c r="Q88" s="1421"/>
      <c r="R88" s="488"/>
    </row>
    <row r="89" spans="2:18" ht="13" x14ac:dyDescent="0.3">
      <c r="B89" s="533">
        <v>9</v>
      </c>
      <c r="C89" s="522"/>
      <c r="D89" s="521"/>
      <c r="E89" s="1285"/>
      <c r="F89" s="1419"/>
      <c r="G89" s="1420"/>
      <c r="H89" s="1420"/>
      <c r="I89" s="1420"/>
      <c r="J89" s="1420"/>
      <c r="K89" s="1420"/>
      <c r="L89" s="1420"/>
      <c r="M89" s="1420"/>
      <c r="N89" s="1420"/>
      <c r="O89" s="1420"/>
      <c r="P89" s="1420"/>
      <c r="Q89" s="1421"/>
      <c r="R89" s="488"/>
    </row>
    <row r="90" spans="2:18" ht="13" x14ac:dyDescent="0.3">
      <c r="B90" s="533">
        <v>10</v>
      </c>
      <c r="C90" s="522"/>
      <c r="D90" s="1161"/>
      <c r="E90" s="1285"/>
      <c r="F90" s="1419"/>
      <c r="G90" s="1420"/>
      <c r="H90" s="1420"/>
      <c r="I90" s="1420"/>
      <c r="J90" s="1420"/>
      <c r="K90" s="1420"/>
      <c r="L90" s="1420"/>
      <c r="M90" s="1420"/>
      <c r="N90" s="1420"/>
      <c r="O90" s="1420"/>
      <c r="P90" s="1420"/>
      <c r="Q90" s="142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28"/>
      <c r="C95" s="1429"/>
      <c r="D95" s="1430"/>
      <c r="E95" s="524" t="s">
        <v>495</v>
      </c>
      <c r="F95" s="524" t="s">
        <v>496</v>
      </c>
      <c r="G95" s="524" t="s">
        <v>497</v>
      </c>
      <c r="H95" s="524" t="s">
        <v>498</v>
      </c>
      <c r="I95" s="524" t="s">
        <v>499</v>
      </c>
      <c r="J95" s="524" t="s">
        <v>500</v>
      </c>
      <c r="K95" s="524" t="s">
        <v>501</v>
      </c>
      <c r="L95" s="524" t="s">
        <v>502</v>
      </c>
      <c r="M95" s="524" t="s">
        <v>503</v>
      </c>
      <c r="N95" s="1282" t="s">
        <v>504</v>
      </c>
      <c r="O95" s="1407"/>
      <c r="P95" s="1408"/>
      <c r="Q95" s="1409"/>
      <c r="R95" s="488"/>
    </row>
    <row r="96" spans="2:18" ht="25.5" customHeight="1" x14ac:dyDescent="0.3">
      <c r="B96" s="1280" t="s">
        <v>478</v>
      </c>
      <c r="C96" s="1402" t="s">
        <v>505</v>
      </c>
      <c r="D96" s="1431"/>
      <c r="E96" s="525"/>
      <c r="F96" s="525"/>
      <c r="G96" s="525"/>
      <c r="H96" s="525"/>
      <c r="I96" s="525"/>
      <c r="J96" s="525"/>
      <c r="K96" s="525"/>
      <c r="L96" s="525"/>
      <c r="M96" s="525"/>
      <c r="N96" s="1284"/>
      <c r="O96" s="1410"/>
      <c r="P96" s="1411"/>
      <c r="Q96" s="1412"/>
      <c r="R96" s="488"/>
    </row>
    <row r="97" spans="2:18" ht="13" x14ac:dyDescent="0.3">
      <c r="B97" s="533">
        <v>1</v>
      </c>
      <c r="C97" s="515"/>
      <c r="D97" s="600"/>
      <c r="E97" s="1287"/>
      <c r="F97" s="1287"/>
      <c r="G97" s="1287"/>
      <c r="H97" s="1287"/>
      <c r="I97" s="527"/>
      <c r="J97" s="527"/>
      <c r="K97" s="527"/>
      <c r="L97" s="527"/>
      <c r="M97" s="527"/>
      <c r="N97" s="527"/>
      <c r="O97" s="1432"/>
      <c r="P97" s="1433"/>
      <c r="Q97" s="1434"/>
      <c r="R97" s="488"/>
    </row>
    <row r="98" spans="2:18" ht="13" x14ac:dyDescent="0.3">
      <c r="B98" s="533">
        <v>2</v>
      </c>
      <c r="C98" s="515"/>
      <c r="D98" s="600"/>
      <c r="E98" s="1287"/>
      <c r="F98" s="1287"/>
      <c r="G98" s="1287"/>
      <c r="H98" s="1287"/>
      <c r="I98" s="527"/>
      <c r="J98" s="527"/>
      <c r="K98" s="527"/>
      <c r="L98" s="527"/>
      <c r="M98" s="527"/>
      <c r="N98" s="527"/>
      <c r="O98" s="1422"/>
      <c r="P98" s="1423"/>
      <c r="Q98" s="1424"/>
      <c r="R98" s="488"/>
    </row>
    <row r="99" spans="2:18" ht="13" x14ac:dyDescent="0.3">
      <c r="B99" s="533">
        <v>3</v>
      </c>
      <c r="C99" s="515"/>
      <c r="D99" s="600"/>
      <c r="E99" s="1287"/>
      <c r="F99" s="1287"/>
      <c r="G99" s="1287"/>
      <c r="H99" s="1287"/>
      <c r="I99" s="527"/>
      <c r="J99" s="527"/>
      <c r="K99" s="527"/>
      <c r="L99" s="527"/>
      <c r="M99" s="527"/>
      <c r="N99" s="527"/>
      <c r="O99" s="1422"/>
      <c r="P99" s="1423"/>
      <c r="Q99" s="1424"/>
      <c r="R99" s="488"/>
    </row>
    <row r="100" spans="2:18" ht="13" x14ac:dyDescent="0.3">
      <c r="B100" s="533">
        <v>4</v>
      </c>
      <c r="C100" s="515"/>
      <c r="D100" s="600"/>
      <c r="E100" s="1287"/>
      <c r="F100" s="1287"/>
      <c r="G100" s="1287"/>
      <c r="H100" s="1287"/>
      <c r="I100" s="527"/>
      <c r="J100" s="527"/>
      <c r="K100" s="527"/>
      <c r="L100" s="527"/>
      <c r="M100" s="527"/>
      <c r="N100" s="527"/>
      <c r="O100" s="1422"/>
      <c r="P100" s="1423"/>
      <c r="Q100" s="1424"/>
      <c r="R100" s="488"/>
    </row>
    <row r="101" spans="2:18" ht="13" x14ac:dyDescent="0.3">
      <c r="B101" s="533">
        <v>5</v>
      </c>
      <c r="C101" s="515"/>
      <c r="D101" s="600"/>
      <c r="E101" s="1287"/>
      <c r="F101" s="1287"/>
      <c r="G101" s="1287"/>
      <c r="H101" s="1287"/>
      <c r="I101" s="527"/>
      <c r="J101" s="527"/>
      <c r="K101" s="527"/>
      <c r="L101" s="527"/>
      <c r="M101" s="527"/>
      <c r="N101" s="527"/>
      <c r="O101" s="1422"/>
      <c r="P101" s="1423"/>
      <c r="Q101" s="1424"/>
      <c r="R101" s="488"/>
    </row>
    <row r="102" spans="2:18" ht="13" x14ac:dyDescent="0.3">
      <c r="B102" s="533">
        <v>6</v>
      </c>
      <c r="C102" s="515"/>
      <c r="D102" s="1281"/>
      <c r="E102" s="1287"/>
      <c r="F102" s="619"/>
      <c r="G102" s="1287"/>
      <c r="H102" s="1287"/>
      <c r="I102" s="528"/>
      <c r="J102" s="528"/>
      <c r="K102" s="528"/>
      <c r="L102" s="528"/>
      <c r="M102" s="528"/>
      <c r="N102" s="528"/>
      <c r="O102" s="1425"/>
      <c r="P102" s="1426"/>
      <c r="Q102" s="1427"/>
      <c r="R102" s="488"/>
    </row>
    <row r="103" spans="2:18" ht="13" x14ac:dyDescent="0.3">
      <c r="B103" s="533">
        <v>7</v>
      </c>
      <c r="C103" s="515"/>
      <c r="D103" s="1281"/>
      <c r="E103" s="1287"/>
      <c r="F103" s="528"/>
      <c r="G103" s="528"/>
      <c r="H103" s="1287"/>
      <c r="I103" s="528"/>
      <c r="J103" s="528"/>
      <c r="K103" s="528"/>
      <c r="L103" s="528"/>
      <c r="M103" s="528"/>
      <c r="N103" s="528"/>
      <c r="O103" s="1425"/>
      <c r="P103" s="1426"/>
      <c r="Q103" s="1427"/>
      <c r="R103" s="488"/>
    </row>
    <row r="104" spans="2:18" ht="13" x14ac:dyDescent="0.3">
      <c r="B104" s="533">
        <v>8</v>
      </c>
      <c r="C104" s="515"/>
      <c r="D104" s="1281"/>
      <c r="E104" s="1287"/>
      <c r="F104" s="528"/>
      <c r="G104" s="528"/>
      <c r="H104" s="528"/>
      <c r="I104" s="528"/>
      <c r="J104" s="528"/>
      <c r="K104" s="528"/>
      <c r="L104" s="528"/>
      <c r="M104" s="528"/>
      <c r="N104" s="528"/>
      <c r="O104" s="1425"/>
      <c r="P104" s="1426"/>
      <c r="Q104" s="1427"/>
      <c r="R104" s="488"/>
    </row>
    <row r="105" spans="2:18" ht="13" x14ac:dyDescent="0.3">
      <c r="B105" s="533">
        <v>9</v>
      </c>
      <c r="C105" s="515"/>
      <c r="D105" s="1281"/>
      <c r="E105" s="1287"/>
      <c r="F105" s="1288"/>
      <c r="G105" s="1288"/>
      <c r="H105" s="1288"/>
      <c r="I105" s="528"/>
      <c r="J105" s="528"/>
      <c r="K105" s="528"/>
      <c r="L105" s="528"/>
      <c r="M105" s="528"/>
      <c r="N105" s="528"/>
      <c r="O105" s="1425"/>
      <c r="P105" s="1426"/>
      <c r="Q105" s="1427"/>
      <c r="R105" s="488"/>
    </row>
    <row r="106" spans="2:18" ht="13" x14ac:dyDescent="0.3">
      <c r="B106" s="533">
        <v>10</v>
      </c>
      <c r="C106" s="515"/>
      <c r="D106" s="1281"/>
      <c r="E106" s="1288"/>
      <c r="F106" s="1288"/>
      <c r="G106" s="1288"/>
      <c r="H106" s="1288"/>
      <c r="I106" s="528"/>
      <c r="J106" s="528"/>
      <c r="K106" s="528"/>
      <c r="L106" s="528"/>
      <c r="M106" s="528"/>
      <c r="N106" s="528"/>
      <c r="O106" s="1425"/>
      <c r="P106" s="1426"/>
      <c r="Q106" s="1427"/>
      <c r="R106" s="488"/>
    </row>
    <row r="107" spans="2:18" ht="13" x14ac:dyDescent="0.3">
      <c r="B107" s="533">
        <v>11</v>
      </c>
      <c r="C107" s="515"/>
      <c r="D107" s="1281"/>
      <c r="E107" s="529"/>
      <c r="F107" s="1287"/>
      <c r="G107" s="529"/>
      <c r="H107" s="529"/>
      <c r="I107" s="528"/>
      <c r="J107" s="528"/>
      <c r="K107" s="528"/>
      <c r="L107" s="528"/>
      <c r="M107" s="528"/>
      <c r="N107" s="528"/>
      <c r="O107" s="1425"/>
      <c r="P107" s="1426"/>
      <c r="Q107" s="1427"/>
      <c r="R107" s="488"/>
    </row>
    <row r="108" spans="2:18" ht="13" x14ac:dyDescent="0.3">
      <c r="B108" s="533">
        <v>12</v>
      </c>
      <c r="C108" s="515"/>
      <c r="D108" s="1281"/>
      <c r="E108" s="1288"/>
      <c r="F108" s="1287"/>
      <c r="G108" s="1288"/>
      <c r="H108" s="1288"/>
      <c r="I108" s="528"/>
      <c r="J108" s="528"/>
      <c r="K108" s="528"/>
      <c r="L108" s="528"/>
      <c r="M108" s="528"/>
      <c r="N108" s="528"/>
      <c r="O108" s="1425"/>
      <c r="P108" s="1426"/>
      <c r="Q108" s="1427"/>
      <c r="R108" s="488"/>
    </row>
    <row r="109" spans="2:18" ht="13" x14ac:dyDescent="0.3">
      <c r="B109" s="533">
        <v>13</v>
      </c>
      <c r="C109" s="515"/>
      <c r="D109" s="1281"/>
      <c r="E109" s="1288"/>
      <c r="F109" s="1288"/>
      <c r="G109" s="1288"/>
      <c r="H109" s="1288"/>
      <c r="I109" s="528"/>
      <c r="J109" s="528"/>
      <c r="K109" s="528"/>
      <c r="L109" s="528"/>
      <c r="M109" s="528"/>
      <c r="N109" s="528"/>
      <c r="O109" s="1425"/>
      <c r="P109" s="1426"/>
      <c r="Q109" s="1427"/>
      <c r="R109" s="488"/>
    </row>
    <row r="110" spans="2:18" ht="13" x14ac:dyDescent="0.3">
      <c r="B110" s="533">
        <v>14</v>
      </c>
      <c r="C110" s="515"/>
      <c r="D110" s="1281"/>
      <c r="E110" s="530"/>
      <c r="F110" s="530"/>
      <c r="G110" s="530"/>
      <c r="H110" s="530"/>
      <c r="I110" s="528"/>
      <c r="J110" s="528"/>
      <c r="K110" s="528"/>
      <c r="L110" s="528"/>
      <c r="M110" s="528"/>
      <c r="N110" s="528"/>
      <c r="O110" s="1425"/>
      <c r="P110" s="1426"/>
      <c r="Q110" s="1427"/>
      <c r="R110" s="488"/>
    </row>
    <row r="111" spans="2:18" ht="13" x14ac:dyDescent="0.3">
      <c r="B111" s="533">
        <v>15</v>
      </c>
      <c r="C111" s="515"/>
      <c r="D111" s="1281"/>
      <c r="E111" s="530"/>
      <c r="F111" s="530"/>
      <c r="G111" s="530"/>
      <c r="H111" s="530"/>
      <c r="I111" s="528"/>
      <c r="J111" s="528"/>
      <c r="K111" s="528"/>
      <c r="L111" s="528"/>
      <c r="M111" s="528"/>
      <c r="N111" s="528"/>
      <c r="O111" s="1425"/>
      <c r="P111" s="1426"/>
      <c r="Q111" s="1427"/>
      <c r="R111" s="488"/>
    </row>
    <row r="112" spans="2:18" ht="13" x14ac:dyDescent="0.3">
      <c r="B112" s="533">
        <v>16</v>
      </c>
      <c r="C112" s="515"/>
      <c r="D112" s="1281"/>
      <c r="E112" s="530"/>
      <c r="F112" s="530"/>
      <c r="G112" s="530"/>
      <c r="H112" s="530"/>
      <c r="I112" s="528"/>
      <c r="J112" s="528"/>
      <c r="K112" s="528"/>
      <c r="L112" s="528"/>
      <c r="M112" s="528"/>
      <c r="N112" s="528"/>
      <c r="O112" s="1425"/>
      <c r="P112" s="1426"/>
      <c r="Q112" s="1427"/>
      <c r="R112" s="488"/>
    </row>
    <row r="113" spans="2:18" ht="13" x14ac:dyDescent="0.3">
      <c r="B113" s="533">
        <v>17</v>
      </c>
      <c r="C113" s="515"/>
      <c r="D113" s="1281"/>
      <c r="E113" s="530"/>
      <c r="F113" s="530"/>
      <c r="G113" s="530"/>
      <c r="H113" s="530"/>
      <c r="I113" s="528"/>
      <c r="J113" s="528"/>
      <c r="K113" s="528"/>
      <c r="L113" s="528"/>
      <c r="M113" s="528"/>
      <c r="N113" s="528"/>
      <c r="O113" s="1425"/>
      <c r="P113" s="1426"/>
      <c r="Q113" s="1427"/>
      <c r="R113" s="488"/>
    </row>
    <row r="114" spans="2:18" ht="13" x14ac:dyDescent="0.3">
      <c r="B114" s="533">
        <v>18</v>
      </c>
      <c r="C114" s="515"/>
      <c r="D114" s="1281"/>
      <c r="E114" s="530"/>
      <c r="F114" s="530"/>
      <c r="G114" s="530"/>
      <c r="H114" s="530"/>
      <c r="I114" s="528"/>
      <c r="J114" s="528"/>
      <c r="K114" s="528"/>
      <c r="L114" s="528"/>
      <c r="M114" s="528"/>
      <c r="N114" s="528"/>
      <c r="O114" s="1425"/>
      <c r="P114" s="1426"/>
      <c r="Q114" s="1427"/>
      <c r="R114" s="488"/>
    </row>
    <row r="115" spans="2:18" ht="13" x14ac:dyDescent="0.3">
      <c r="B115" s="533">
        <v>19</v>
      </c>
      <c r="C115" s="515"/>
      <c r="D115" s="1281"/>
      <c r="E115" s="530"/>
      <c r="F115" s="530"/>
      <c r="G115" s="530"/>
      <c r="H115" s="530"/>
      <c r="I115" s="528"/>
      <c r="J115" s="528"/>
      <c r="K115" s="528"/>
      <c r="L115" s="528"/>
      <c r="M115" s="528"/>
      <c r="N115" s="528"/>
      <c r="O115" s="1425"/>
      <c r="P115" s="1426"/>
      <c r="Q115" s="1427"/>
      <c r="R115" s="488"/>
    </row>
    <row r="116" spans="2:18" ht="13" x14ac:dyDescent="0.3">
      <c r="B116" s="533">
        <v>20</v>
      </c>
      <c r="C116" s="515"/>
      <c r="D116" s="1281"/>
      <c r="E116" s="530"/>
      <c r="F116" s="530"/>
      <c r="G116" s="530"/>
      <c r="H116" s="530"/>
      <c r="I116" s="528"/>
      <c r="J116" s="528"/>
      <c r="K116" s="528"/>
      <c r="L116" s="528"/>
      <c r="M116" s="528"/>
      <c r="N116" s="528"/>
      <c r="O116" s="1425"/>
      <c r="P116" s="1426"/>
      <c r="Q116" s="1427"/>
      <c r="R116" s="488"/>
    </row>
  </sheetData>
  <sheetProtection algorithmName="SHA-512" hashValue="FpBJVBOx+S9Umd08zuhYC234ND3IgVuPSV5hTMklha+dBtlFY3FKfEsHXWMzCCfUTl0qDo7JgEh5EY6ctjgEsQ==" saltValue="daogU87f+PxuUicZsOFWZQ==" spinCount="100000" sheet="1" objects="1" scenarios="1" selectLockedCells="1" selectUnlockedCells="1"/>
  <mergeCells count="121">
    <mergeCell ref="O113:Q113"/>
    <mergeCell ref="O114:Q114"/>
    <mergeCell ref="O115:Q115"/>
    <mergeCell ref="O116:Q116"/>
    <mergeCell ref="O107:Q107"/>
    <mergeCell ref="O108:Q108"/>
    <mergeCell ref="O109:Q109"/>
    <mergeCell ref="O110:Q110"/>
    <mergeCell ref="O111:Q111"/>
    <mergeCell ref="O112:Q112"/>
    <mergeCell ref="O101:Q101"/>
    <mergeCell ref="O102:Q102"/>
    <mergeCell ref="O103:Q103"/>
    <mergeCell ref="O104:Q104"/>
    <mergeCell ref="O105:Q105"/>
    <mergeCell ref="O106:Q106"/>
    <mergeCell ref="B95:D95"/>
    <mergeCell ref="C96:D96"/>
    <mergeCell ref="O97:Q97"/>
    <mergeCell ref="O98:Q98"/>
    <mergeCell ref="O99:Q99"/>
    <mergeCell ref="O100:Q100"/>
    <mergeCell ref="E94:N94"/>
    <mergeCell ref="O94:Q96"/>
    <mergeCell ref="F80:Q80"/>
    <mergeCell ref="F81:Q81"/>
    <mergeCell ref="F82:Q82"/>
    <mergeCell ref="F83:Q83"/>
    <mergeCell ref="F84:Q84"/>
    <mergeCell ref="F85:Q85"/>
    <mergeCell ref="F86:Q86"/>
    <mergeCell ref="F87:Q87"/>
    <mergeCell ref="F88:Q88"/>
    <mergeCell ref="F89:Q89"/>
    <mergeCell ref="F90:Q90"/>
    <mergeCell ref="D69:E69"/>
    <mergeCell ref="J69:Q69"/>
    <mergeCell ref="D70:E70"/>
    <mergeCell ref="J70:Q70"/>
    <mergeCell ref="D71:E71"/>
    <mergeCell ref="J71:Q71"/>
    <mergeCell ref="D66:E66"/>
    <mergeCell ref="J66:Q66"/>
    <mergeCell ref="D67:E67"/>
    <mergeCell ref="J67:Q67"/>
    <mergeCell ref="D68:E68"/>
    <mergeCell ref="J68:Q68"/>
    <mergeCell ref="D63:E63"/>
    <mergeCell ref="J63:Q63"/>
    <mergeCell ref="D64:E64"/>
    <mergeCell ref="J64:Q64"/>
    <mergeCell ref="D65:E65"/>
    <mergeCell ref="J65:Q65"/>
    <mergeCell ref="C57:M57"/>
    <mergeCell ref="P57:Q57"/>
    <mergeCell ref="D61:E61"/>
    <mergeCell ref="J61:Q61"/>
    <mergeCell ref="D62:E62"/>
    <mergeCell ref="J62:Q62"/>
    <mergeCell ref="C54:M54"/>
    <mergeCell ref="P54:Q54"/>
    <mergeCell ref="C55:M55"/>
    <mergeCell ref="P55:Q55"/>
    <mergeCell ref="C56:M56"/>
    <mergeCell ref="P56:Q56"/>
    <mergeCell ref="C50:M50"/>
    <mergeCell ref="P50:Q50"/>
    <mergeCell ref="C51:M51"/>
    <mergeCell ref="P51:Q51"/>
    <mergeCell ref="C53:M53"/>
    <mergeCell ref="P53:Q53"/>
    <mergeCell ref="C47:M47"/>
    <mergeCell ref="P47:Q47"/>
    <mergeCell ref="C48:M48"/>
    <mergeCell ref="P48:Q48"/>
    <mergeCell ref="C49:M49"/>
    <mergeCell ref="P49:Q49"/>
    <mergeCell ref="C43:M43"/>
    <mergeCell ref="P43:Q43"/>
    <mergeCell ref="C44:M44"/>
    <mergeCell ref="P44:Q44"/>
    <mergeCell ref="C45:M45"/>
    <mergeCell ref="P45:Q45"/>
    <mergeCell ref="C22:Q22"/>
    <mergeCell ref="C23:Q23"/>
    <mergeCell ref="D25:Q25"/>
    <mergeCell ref="E35:Q35"/>
    <mergeCell ref="E36:Q36"/>
    <mergeCell ref="E37:Q37"/>
    <mergeCell ref="C41:M41"/>
    <mergeCell ref="P41:Q41"/>
    <mergeCell ref="C42:M42"/>
    <mergeCell ref="P42:Q42"/>
    <mergeCell ref="D26:Q26"/>
    <mergeCell ref="D27:Q27"/>
    <mergeCell ref="D28:Q28"/>
    <mergeCell ref="E32:Q32"/>
    <mergeCell ref="E33:Q33"/>
    <mergeCell ref="E34:Q34"/>
    <mergeCell ref="D29:Q29"/>
    <mergeCell ref="D30:Q30"/>
    <mergeCell ref="D17:F17"/>
    <mergeCell ref="D18:F18"/>
    <mergeCell ref="D8:F16"/>
    <mergeCell ref="C2:F2"/>
    <mergeCell ref="C3:F3"/>
    <mergeCell ref="C4:F4"/>
    <mergeCell ref="D7:F7"/>
    <mergeCell ref="B20:Q20"/>
    <mergeCell ref="C21:Q21"/>
    <mergeCell ref="C5:F5"/>
    <mergeCell ref="D72:E72"/>
    <mergeCell ref="J72:Q72"/>
    <mergeCell ref="D73:E73"/>
    <mergeCell ref="J73:Q73"/>
    <mergeCell ref="D74:E74"/>
    <mergeCell ref="J74:Q74"/>
    <mergeCell ref="D75:E75"/>
    <mergeCell ref="J75:Q75"/>
    <mergeCell ref="D76:E76"/>
    <mergeCell ref="J76:Q76"/>
  </mergeCells>
  <conditionalFormatting sqref="H71">
    <cfRule type="expression" dxfId="4356" priority="39">
      <formula>IF(OR(#REF!="L",#REF!="C"),TRUE,FALSE)</formula>
    </cfRule>
  </conditionalFormatting>
  <conditionalFormatting sqref="H65">
    <cfRule type="expression" dxfId="4355" priority="37">
      <formula>IF(OR(#REF!="L",#REF!="C"),TRUE,FALSE)</formula>
    </cfRule>
  </conditionalFormatting>
  <conditionalFormatting sqref="H64">
    <cfRule type="expression" dxfId="4354" priority="38">
      <formula>IF(OR(#REF!="L",#REF!="C"),TRUE,FALSE)</formula>
    </cfRule>
  </conditionalFormatting>
  <conditionalFormatting sqref="H66">
    <cfRule type="expression" dxfId="4353" priority="36">
      <formula>IF(OR(#REF!="L",#REF!="C"),TRUE,FALSE)</formula>
    </cfRule>
  </conditionalFormatting>
  <conditionalFormatting sqref="H67">
    <cfRule type="expression" dxfId="4352" priority="35">
      <formula>IF(OR(#REF!="L",#REF!="C"),TRUE,FALSE)</formula>
    </cfRule>
  </conditionalFormatting>
  <conditionalFormatting sqref="H68">
    <cfRule type="expression" dxfId="4351" priority="34">
      <formula>IF(OR(#REF!="L",#REF!="C"),TRUE,FALSE)</formula>
    </cfRule>
  </conditionalFormatting>
  <conditionalFormatting sqref="H69">
    <cfRule type="expression" dxfId="4350" priority="33">
      <formula>IF(OR(#REF!="L",#REF!="C"),TRUE,FALSE)</formula>
    </cfRule>
  </conditionalFormatting>
  <conditionalFormatting sqref="H70">
    <cfRule type="expression" dxfId="4349" priority="32">
      <formula>IF(OR(#REF!="L",#REF!="C"),TRUE,FALSE)</formula>
    </cfRule>
  </conditionalFormatting>
  <conditionalFormatting sqref="F109:F116 G102:G116 H104:H116">
    <cfRule type="expression" dxfId="4348" priority="31">
      <formula>IF(OR(#REF!="L",#REF!="C"),TRUE,FALSE)</formula>
    </cfRule>
  </conditionalFormatting>
  <conditionalFormatting sqref="E110:E116">
    <cfRule type="expression" dxfId="4347" priority="30">
      <formula>IF(OR(#REF!="L",#REF!="C"),TRUE,FALSE)</formula>
    </cfRule>
  </conditionalFormatting>
  <conditionalFormatting sqref="E107">
    <cfRule type="expression" dxfId="4346" priority="29">
      <formula>IF(OR(#REF!="L",#REF!="C"),TRUE,FALSE)</formula>
    </cfRule>
  </conditionalFormatting>
  <conditionalFormatting sqref="E108">
    <cfRule type="expression" dxfId="4345" priority="28">
      <formula>IF(OR(#REF!="L",#REF!="C"),TRUE,FALSE)</formula>
    </cfRule>
  </conditionalFormatting>
  <conditionalFormatting sqref="E109">
    <cfRule type="expression" dxfId="4344" priority="27">
      <formula>IF(OR(#REF!="L",#REF!="C"),TRUE,FALSE)</formula>
    </cfRule>
  </conditionalFormatting>
  <conditionalFormatting sqref="E106">
    <cfRule type="expression" dxfId="4343" priority="26">
      <formula>IF(OR(#REF!="L",#REF!="C"),TRUE,FALSE)</formula>
    </cfRule>
  </conditionalFormatting>
  <conditionalFormatting sqref="E95 G95 I95 K95 M95">
    <cfRule type="duplicateValues" dxfId="4342" priority="25"/>
  </conditionalFormatting>
  <conditionalFormatting sqref="M104:M116">
    <cfRule type="expression" dxfId="4341" priority="15">
      <formula>IF(OR(#REF!="L",#REF!="C"),TRUE,FALSE)</formula>
    </cfRule>
  </conditionalFormatting>
  <conditionalFormatting sqref="F102:F106">
    <cfRule type="expression" dxfId="4340" priority="24">
      <formula>IF(OR(#REF!="L",#REF!="C"),TRUE,FALSE)</formula>
    </cfRule>
  </conditionalFormatting>
  <conditionalFormatting sqref="I102:I103">
    <cfRule type="expression" dxfId="4339" priority="22">
      <formula>IF(OR(#REF!="L",#REF!="C"),TRUE,FALSE)</formula>
    </cfRule>
  </conditionalFormatting>
  <conditionalFormatting sqref="N102:N103">
    <cfRule type="expression" dxfId="4338" priority="12">
      <formula>IF(OR(#REF!="L",#REF!="C"),TRUE,FALSE)</formula>
    </cfRule>
  </conditionalFormatting>
  <conditionalFormatting sqref="I104:I116">
    <cfRule type="expression" dxfId="4337" priority="23">
      <formula>IF(OR(#REF!="L",#REF!="C"),TRUE,FALSE)</formula>
    </cfRule>
  </conditionalFormatting>
  <conditionalFormatting sqref="J102:J103">
    <cfRule type="expression" dxfId="4336" priority="20">
      <formula>IF(OR(#REF!="L",#REF!="C"),TRUE,FALSE)</formula>
    </cfRule>
  </conditionalFormatting>
  <conditionalFormatting sqref="J104:J116">
    <cfRule type="expression" dxfId="4335" priority="21">
      <formula>IF(OR(#REF!="L",#REF!="C"),TRUE,FALSE)</formula>
    </cfRule>
  </conditionalFormatting>
  <conditionalFormatting sqref="K102:K103">
    <cfRule type="expression" dxfId="4334" priority="18">
      <formula>IF(OR(#REF!="L",#REF!="C"),TRUE,FALSE)</formula>
    </cfRule>
  </conditionalFormatting>
  <conditionalFormatting sqref="K104:K116">
    <cfRule type="expression" dxfId="4333" priority="19">
      <formula>IF(OR(#REF!="L",#REF!="C"),TRUE,FALSE)</formula>
    </cfRule>
  </conditionalFormatting>
  <conditionalFormatting sqref="L102:L103">
    <cfRule type="expression" dxfId="4332" priority="16">
      <formula>IF(OR(#REF!="L",#REF!="C"),TRUE,FALSE)</formula>
    </cfRule>
  </conditionalFormatting>
  <conditionalFormatting sqref="L104:L116">
    <cfRule type="expression" dxfId="4331" priority="17">
      <formula>IF(OR(#REF!="L",#REF!="C"),TRUE,FALSE)</formula>
    </cfRule>
  </conditionalFormatting>
  <conditionalFormatting sqref="M102:M103">
    <cfRule type="expression" dxfId="4330" priority="14">
      <formula>IF(OR(#REF!="L",#REF!="C"),TRUE,FALSE)</formula>
    </cfRule>
  </conditionalFormatting>
  <conditionalFormatting sqref="N104:N116">
    <cfRule type="expression" dxfId="4329" priority="13">
      <formula>IF(OR(#REF!="L",#REF!="C"),TRUE,FALSE)</formula>
    </cfRule>
  </conditionalFormatting>
  <conditionalFormatting sqref="H63">
    <cfRule type="expression" dxfId="4328" priority="11">
      <formula>IF(OR(#REF!="L",#REF!="C"),TRUE,FALSE)</formula>
    </cfRule>
  </conditionalFormatting>
  <conditionalFormatting sqref="O102:O103">
    <cfRule type="expression" dxfId="4327" priority="8">
      <formula>IF(OR(#REF!="L",#REF!="C"),TRUE,FALSE)</formula>
    </cfRule>
  </conditionalFormatting>
  <conditionalFormatting sqref="O104:O116">
    <cfRule type="expression" dxfId="4326" priority="9">
      <formula>IF(OR(#REF!="L",#REF!="C"),TRUE,FALSE)</formula>
    </cfRule>
  </conditionalFormatting>
  <conditionalFormatting sqref="E96:N96">
    <cfRule type="duplicateValues" dxfId="4325" priority="7"/>
  </conditionalFormatting>
  <conditionalFormatting sqref="H62">
    <cfRule type="expression" dxfId="4324" priority="6">
      <formula>IF(OR(#REF!="L",#REF!="C"),TRUE,FALSE)</formula>
    </cfRule>
  </conditionalFormatting>
  <conditionalFormatting sqref="H72">
    <cfRule type="expression" dxfId="4323" priority="5">
      <formula>IF(OR(#REF!="L",#REF!="C"),TRUE,FALSE)</formula>
    </cfRule>
  </conditionalFormatting>
  <conditionalFormatting sqref="H73">
    <cfRule type="expression" dxfId="4322" priority="4">
      <formula>IF(OR(#REF!="L",#REF!="C"),TRUE,FALSE)</formula>
    </cfRule>
  </conditionalFormatting>
  <conditionalFormatting sqref="H74">
    <cfRule type="expression" dxfId="4321" priority="3">
      <formula>IF(OR(#REF!="L",#REF!="C"),TRUE,FALSE)</formula>
    </cfRule>
  </conditionalFormatting>
  <conditionalFormatting sqref="H75">
    <cfRule type="expression" dxfId="4320" priority="2">
      <formula>IF(OR(#REF!="L",#REF!="C"),TRUE,FALSE)</formula>
    </cfRule>
  </conditionalFormatting>
  <conditionalFormatting sqref="H76">
    <cfRule type="expression" dxfId="4319" priority="1">
      <formula>IF(OR(#REF!="L",#REF!="C"),TRUE,FALSE)</formula>
    </cfRule>
  </conditionalFormatting>
  <dataValidations count="8">
    <dataValidation type="list" allowBlank="1" showInputMessage="1" showErrorMessage="1" sqref="F62:F65" xr:uid="{85BFC018-CD46-4868-A5D1-7D05C0D0F623}">
      <formula1>#REF!</formula1>
    </dataValidation>
    <dataValidation type="list" allowBlank="1" showInputMessage="1" showErrorMessage="1" sqref="C4" xr:uid="{B81E5F33-C16E-4D8F-A825-CAA59A4AB1DB}">
      <formula1>"COM,RES"</formula1>
    </dataValidation>
    <dataValidation type="list" allowBlank="1" showInputMessage="1" showErrorMessage="1" sqref="F72:F74" xr:uid="{350ACFAB-AC62-4C75-A651-8D24F89A90D8}">
      <formula1>$C$98:$C$103</formula1>
    </dataValidation>
    <dataValidation type="list" allowBlank="1" showInputMessage="1" showErrorMessage="1" sqref="C9" xr:uid="{0A50667F-B05A-4565-B378-0FEEB2F40E7C}">
      <formula1>INDIRECT("MeasureTypeList[Index]")</formula1>
    </dataValidation>
    <dataValidation type="list" allowBlank="1" showInputMessage="1" showErrorMessage="1" sqref="C26" xr:uid="{3219A0F7-F6A3-40F4-A4FF-F432D8F907DA}">
      <formula1>INDIRECT("RegionList[Index]")</formula1>
    </dataValidation>
    <dataValidation type="list" allowBlank="1" showInputMessage="1" showErrorMessage="1" sqref="C27" xr:uid="{6AE692BE-C6CE-455C-B4D8-2AB9CD849A7B}">
      <formula1>INDIRECT("ReplacementTypeList[Index]")</formula1>
    </dataValidation>
    <dataValidation type="list" allowBlank="1" showInputMessage="1" showErrorMessage="1" sqref="C28" xr:uid="{A821F3F5-6F13-44F4-BF1E-1646D385E1A6}">
      <formula1>INDIRECT("BuildingType[Building]")</formula1>
    </dataValidation>
    <dataValidation type="list" allowBlank="1" showInputMessage="1" showErrorMessage="1" sqref="C29 C30" xr:uid="{DD3FA5D2-E5CB-481C-8F95-E2DFA8B8993C}">
      <formula1>INDIRECT("FuelTypeList[Index]")</formula1>
    </dataValidation>
  </dataValidations>
  <hyperlinks>
    <hyperlink ref="F83" r:id="rId1" xr:uid="{C3A6929C-A61E-48C0-8FF0-A1F76D61D666}"/>
    <hyperlink ref="F85" r:id="rId2" xr:uid="{21425D1D-59C7-4761-8E6B-5CD04E10A8F8}"/>
    <hyperlink ref="F84" r:id="rId3" xr:uid="{67289662-9C5B-4B45-9913-1950EC839388}"/>
    <hyperlink ref="F82" r:id="rId4" xr:uid="{B53547AA-92E0-46C5-8431-3ED8DA08E3D5}"/>
  </hyperlinks>
  <pageMargins left="0.7" right="0.7" top="0.75" bottom="0.75" header="0.3" footer="0.3"/>
  <pageSetup orientation="portrait" r:id="rId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3B308-6598-4280-9E05-F3A7FDF7C9D9}">
  <sheetPr codeName="Sheet46"/>
  <dimension ref="A2:R116"/>
  <sheetViews>
    <sheetView topLeftCell="A55" workbookViewId="0">
      <selection activeCell="J61" sqref="J61:Q61"/>
    </sheetView>
  </sheetViews>
  <sheetFormatPr defaultColWidth="9.08984375" defaultRowHeight="18.75" customHeight="1" x14ac:dyDescent="0.3"/>
  <cols>
    <col min="1" max="1" width="2.36328125" style="488" customWidth="1"/>
    <col min="2" max="2" width="44.36328125" style="488" bestFit="1" customWidth="1"/>
    <col min="3" max="3" width="19.81640625" style="488" customWidth="1"/>
    <col min="4" max="4" width="21.6328125" style="488" customWidth="1"/>
    <col min="5" max="5" width="15" style="488" customWidth="1"/>
    <col min="6" max="6" width="15.6328125" style="488" customWidth="1"/>
    <col min="7" max="7" width="19.6328125" style="488" customWidth="1"/>
    <col min="8" max="8" width="21.08984375"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623" customWidth="1"/>
    <col min="19" max="19" width="9.08984375" style="488"/>
    <col min="20" max="20" width="8.6328125" style="488" customWidth="1"/>
    <col min="21" max="16384" width="9.08984375" style="488"/>
  </cols>
  <sheetData>
    <row r="2" spans="1:18" ht="18.75" customHeight="1" x14ac:dyDescent="0.3">
      <c r="B2" s="1203" t="s">
        <v>506</v>
      </c>
      <c r="C2" s="1608" t="s">
        <v>406</v>
      </c>
      <c r="D2" s="1608"/>
      <c r="E2" s="1608"/>
      <c r="F2" s="1608"/>
    </row>
    <row r="3" spans="1:18" ht="18.75" customHeight="1" x14ac:dyDescent="0.3">
      <c r="B3" s="624" t="s">
        <v>407</v>
      </c>
      <c r="C3" s="2004" t="str">
        <f>IF(ISBLANK(C8)+ISBLANK(C10),C8,C8&amp;"_"&amp;C10)</f>
        <v>C-R-003</v>
      </c>
      <c r="D3" s="2004"/>
      <c r="E3" s="2004"/>
      <c r="F3" s="2004"/>
    </row>
    <row r="4" spans="1:18" ht="18.75" customHeight="1" x14ac:dyDescent="0.3">
      <c r="B4" s="624" t="s">
        <v>11</v>
      </c>
      <c r="C4" s="2004" t="str" cm="1">
        <f t="array" ref="C4">_xlfn.SWITCH(LEFT(C8,1),"R","Residential","C","Commercial","ERROR")</f>
        <v>Commercial</v>
      </c>
      <c r="D4" s="2004"/>
      <c r="E4" s="2004"/>
      <c r="F4" s="2004"/>
    </row>
    <row r="5" spans="1:18" ht="19.5" customHeight="1" x14ac:dyDescent="0.3">
      <c r="B5" s="624" t="s">
        <v>408</v>
      </c>
      <c r="C5" s="2005" t="s">
        <v>281</v>
      </c>
      <c r="D5" s="2006"/>
      <c r="E5" s="2006"/>
      <c r="F5" s="2007"/>
      <c r="R5" s="488"/>
    </row>
    <row r="6" spans="1:18" ht="18.75" customHeight="1" x14ac:dyDescent="0.3">
      <c r="A6" s="573"/>
    </row>
    <row r="7" spans="1:18" ht="18.75" customHeight="1" x14ac:dyDescent="0.3">
      <c r="B7" s="1203" t="s">
        <v>409</v>
      </c>
      <c r="C7" s="1202" t="s">
        <v>406</v>
      </c>
      <c r="D7" s="1607" t="s">
        <v>410</v>
      </c>
      <c r="E7" s="1607"/>
      <c r="F7" s="1607"/>
      <c r="R7" s="488"/>
    </row>
    <row r="8" spans="1:18" ht="18.75" customHeight="1" x14ac:dyDescent="0.3">
      <c r="B8" s="624" t="s">
        <v>411</v>
      </c>
      <c r="C8" s="1169" t="s">
        <v>124</v>
      </c>
      <c r="D8" s="2008"/>
      <c r="E8" s="2008"/>
      <c r="F8" s="2008"/>
      <c r="R8" s="488"/>
    </row>
    <row r="9" spans="1:18" ht="18.75" customHeight="1" x14ac:dyDescent="0.3">
      <c r="B9" s="624" t="s">
        <v>49</v>
      </c>
      <c r="C9" s="1169" t="s">
        <v>1640</v>
      </c>
      <c r="D9" s="2008"/>
      <c r="E9" s="2008"/>
      <c r="F9" s="2008"/>
      <c r="R9" s="488"/>
    </row>
    <row r="10" spans="1:18" ht="18.75" customHeight="1" x14ac:dyDescent="0.3">
      <c r="B10" s="624" t="s">
        <v>412</v>
      </c>
      <c r="C10" s="1169"/>
      <c r="D10" s="2008"/>
      <c r="E10" s="2008"/>
      <c r="F10" s="2008"/>
      <c r="R10" s="488"/>
    </row>
    <row r="11" spans="1:18" ht="18.75" customHeight="1" x14ac:dyDescent="0.3">
      <c r="B11" s="624" t="s">
        <v>413</v>
      </c>
      <c r="C11" s="1169"/>
      <c r="D11" s="2008"/>
      <c r="E11" s="2008"/>
      <c r="F11" s="2008"/>
      <c r="R11" s="488"/>
    </row>
    <row r="12" spans="1:18" ht="18.75" customHeight="1" x14ac:dyDescent="0.3">
      <c r="B12" s="624" t="s">
        <v>414</v>
      </c>
      <c r="C12" s="1170"/>
      <c r="D12" s="2008"/>
      <c r="E12" s="2008"/>
      <c r="F12" s="2008"/>
      <c r="R12" s="488"/>
    </row>
    <row r="13" spans="1:18" ht="18.75" customHeight="1" x14ac:dyDescent="0.3">
      <c r="B13" s="626" t="s">
        <v>415</v>
      </c>
      <c r="C13" s="1167">
        <f>N43</f>
        <v>3305</v>
      </c>
      <c r="D13" s="2008"/>
      <c r="E13" s="2008"/>
      <c r="F13" s="2008"/>
      <c r="R13" s="488"/>
    </row>
    <row r="14" spans="1:18" ht="18.75" customHeight="1" x14ac:dyDescent="0.3">
      <c r="B14" s="626" t="s">
        <v>416</v>
      </c>
      <c r="C14" s="1167">
        <f>N42</f>
        <v>0</v>
      </c>
      <c r="D14" s="2008"/>
      <c r="E14" s="2008"/>
      <c r="F14" s="2008"/>
      <c r="R14" s="488"/>
    </row>
    <row r="15" spans="1:18" ht="18.75" customHeight="1" x14ac:dyDescent="0.3">
      <c r="B15" s="626" t="s">
        <v>417</v>
      </c>
      <c r="C15" s="1167">
        <f>N44</f>
        <v>0</v>
      </c>
      <c r="D15" s="2008"/>
      <c r="E15" s="2008"/>
      <c r="F15" s="2008"/>
      <c r="R15" s="488"/>
    </row>
    <row r="16" spans="1:18" ht="18.75" customHeight="1" x14ac:dyDescent="0.3">
      <c r="B16" s="626" t="s">
        <v>418</v>
      </c>
      <c r="C16" s="1166">
        <f>C37</f>
        <v>0</v>
      </c>
      <c r="D16" s="2008"/>
      <c r="E16" s="2008"/>
      <c r="F16" s="2008"/>
      <c r="R16" s="488"/>
    </row>
    <row r="17" spans="2:18" ht="18.75" customHeight="1" x14ac:dyDescent="0.3">
      <c r="B17" s="624" t="s">
        <v>48</v>
      </c>
      <c r="C17" s="539" t="s">
        <v>1641</v>
      </c>
      <c r="D17" s="1607" t="s">
        <v>419</v>
      </c>
      <c r="E17" s="1607"/>
      <c r="F17" s="1607"/>
      <c r="R17" s="488"/>
    </row>
    <row r="18" spans="2:18" ht="18.75" customHeight="1" x14ac:dyDescent="0.3">
      <c r="B18" s="624" t="s">
        <v>420</v>
      </c>
      <c r="C18" s="1168">
        <v>12</v>
      </c>
      <c r="D18" s="1364" t="s">
        <v>1669</v>
      </c>
      <c r="E18" s="1364"/>
      <c r="F18" s="1364"/>
      <c r="R18" s="488"/>
    </row>
    <row r="19" spans="2:18" ht="18.75" customHeight="1" x14ac:dyDescent="0.3">
      <c r="B19" s="627"/>
      <c r="C19" s="576"/>
      <c r="R19" s="488"/>
    </row>
    <row r="20" spans="2:18" ht="18.75" customHeight="1" x14ac:dyDescent="0.3">
      <c r="B20" s="1609" t="s">
        <v>421</v>
      </c>
      <c r="C20" s="1609"/>
      <c r="D20" s="1609"/>
      <c r="E20" s="1609"/>
      <c r="F20" s="1609"/>
      <c r="G20" s="1609"/>
      <c r="H20" s="1609"/>
      <c r="I20" s="1609"/>
      <c r="J20" s="1609"/>
      <c r="K20" s="1609"/>
      <c r="L20" s="1609"/>
      <c r="M20" s="1609"/>
      <c r="N20" s="1609"/>
      <c r="O20" s="1609"/>
      <c r="P20" s="1609"/>
      <c r="Q20" s="1609"/>
      <c r="R20" s="488"/>
    </row>
    <row r="21" spans="2:18" ht="13" x14ac:dyDescent="0.3">
      <c r="B21" s="656" t="s">
        <v>422</v>
      </c>
      <c r="C21" s="2002" t="s">
        <v>282</v>
      </c>
      <c r="D21" s="2002"/>
      <c r="E21" s="2002"/>
      <c r="F21" s="2002"/>
      <c r="G21" s="2002"/>
      <c r="H21" s="2002"/>
      <c r="I21" s="2002"/>
      <c r="J21" s="2002"/>
      <c r="K21" s="2002"/>
      <c r="L21" s="2002"/>
      <c r="M21" s="2002"/>
      <c r="N21" s="2002"/>
      <c r="O21" s="2002"/>
      <c r="P21" s="2002"/>
      <c r="Q21" s="2002"/>
      <c r="R21" s="488"/>
    </row>
    <row r="22" spans="2:18" ht="32.25" customHeight="1" x14ac:dyDescent="0.3">
      <c r="B22" s="628" t="s">
        <v>423</v>
      </c>
      <c r="C22" s="1373" t="s">
        <v>283</v>
      </c>
      <c r="D22" s="2003"/>
      <c r="E22" s="2003"/>
      <c r="F22" s="2003"/>
      <c r="G22" s="2003"/>
      <c r="H22" s="2003"/>
      <c r="I22" s="2003"/>
      <c r="J22" s="2003"/>
      <c r="K22" s="2003"/>
      <c r="L22" s="2003"/>
      <c r="M22" s="2003"/>
      <c r="N22" s="2003"/>
      <c r="O22" s="2003"/>
      <c r="P22" s="2003"/>
      <c r="Q22" s="2003"/>
      <c r="R22" s="488"/>
    </row>
    <row r="23" spans="2:18" ht="18.75" customHeight="1" x14ac:dyDescent="0.3">
      <c r="B23" s="628" t="s">
        <v>424</v>
      </c>
      <c r="C23" s="1373"/>
      <c r="D23" s="1373"/>
      <c r="E23" s="1373"/>
      <c r="F23" s="1373"/>
      <c r="G23" s="1373"/>
      <c r="H23" s="1373"/>
      <c r="I23" s="1373"/>
      <c r="J23" s="1373"/>
      <c r="K23" s="1373"/>
      <c r="L23" s="1373"/>
      <c r="M23" s="1373"/>
      <c r="N23" s="1373"/>
      <c r="O23" s="1373"/>
      <c r="P23" s="1373"/>
      <c r="Q23" s="1373"/>
      <c r="R23" s="488"/>
    </row>
    <row r="25" spans="2:18" ht="18.75" customHeight="1" x14ac:dyDescent="0.3">
      <c r="B25" s="1203" t="s">
        <v>425</v>
      </c>
      <c r="C25" s="625" t="s">
        <v>406</v>
      </c>
      <c r="D25" s="1607" t="s">
        <v>421</v>
      </c>
      <c r="E25" s="1607"/>
      <c r="F25" s="1607"/>
      <c r="G25" s="1607"/>
      <c r="H25" s="1607"/>
      <c r="I25" s="1607"/>
      <c r="J25" s="1607"/>
      <c r="K25" s="1607"/>
      <c r="L25" s="1607"/>
      <c r="M25" s="1607"/>
      <c r="N25" s="1607"/>
      <c r="O25" s="1607"/>
      <c r="P25" s="1607"/>
      <c r="Q25" s="1607"/>
      <c r="R25" s="488"/>
    </row>
    <row r="26" spans="2:18" ht="18.75" customHeight="1" x14ac:dyDescent="0.3">
      <c r="B26" s="624"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624" t="s">
        <v>27</v>
      </c>
      <c r="C27" s="539" t="str">
        <f>Default.ReplacementType</f>
        <v>RET</v>
      </c>
      <c r="D27" s="1386"/>
      <c r="E27" s="1386"/>
      <c r="F27" s="1386"/>
      <c r="G27" s="1386"/>
      <c r="H27" s="1386"/>
      <c r="I27" s="1386"/>
      <c r="J27" s="1386"/>
      <c r="K27" s="1386"/>
      <c r="L27" s="1386"/>
      <c r="M27" s="1386"/>
      <c r="N27" s="1386"/>
      <c r="O27" s="1386"/>
      <c r="P27" s="1386"/>
      <c r="Q27" s="1386"/>
      <c r="R27" s="488"/>
    </row>
    <row r="28" spans="2:18" ht="18.75" customHeight="1" x14ac:dyDescent="0.3">
      <c r="B28" s="624"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624"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624"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203" t="s">
        <v>427</v>
      </c>
      <c r="C32" s="1202" t="s">
        <v>406</v>
      </c>
      <c r="D32" s="625" t="s">
        <v>428</v>
      </c>
      <c r="E32" s="1607" t="s">
        <v>419</v>
      </c>
      <c r="F32" s="1607"/>
      <c r="G32" s="1607"/>
      <c r="H32" s="1607"/>
      <c r="I32" s="1607"/>
      <c r="J32" s="1607"/>
      <c r="K32" s="1607"/>
      <c r="L32" s="1607"/>
      <c r="M32" s="1607"/>
      <c r="N32" s="1607"/>
      <c r="O32" s="1607"/>
      <c r="P32" s="1607"/>
      <c r="Q32" s="1607"/>
    </row>
    <row r="33" spans="2:18" ht="18.75" customHeight="1" x14ac:dyDescent="0.3">
      <c r="B33" s="624" t="s">
        <v>429</v>
      </c>
      <c r="C33" s="1171"/>
      <c r="D33" s="586" t="s">
        <v>430</v>
      </c>
      <c r="E33" s="1374"/>
      <c r="F33" s="1374"/>
      <c r="G33" s="1374"/>
      <c r="H33" s="1374"/>
      <c r="I33" s="1374"/>
      <c r="J33" s="1374"/>
      <c r="K33" s="1374"/>
      <c r="L33" s="1374"/>
      <c r="M33" s="1374"/>
      <c r="N33" s="1374"/>
      <c r="O33" s="1374"/>
      <c r="P33" s="1374"/>
      <c r="Q33" s="1374"/>
      <c r="R33" s="488"/>
    </row>
    <row r="34" spans="2:18" ht="18.75" customHeight="1" x14ac:dyDescent="0.3">
      <c r="B34" s="626" t="s">
        <v>431</v>
      </c>
      <c r="C34" s="1171"/>
      <c r="D34" s="586" t="s">
        <v>430</v>
      </c>
      <c r="E34" s="1375"/>
      <c r="F34" s="1375"/>
      <c r="G34" s="1375"/>
      <c r="H34" s="1375"/>
      <c r="I34" s="1375"/>
      <c r="J34" s="1375"/>
      <c r="K34" s="1375"/>
      <c r="L34" s="1375"/>
      <c r="M34" s="1375"/>
      <c r="N34" s="1375"/>
      <c r="O34" s="1375"/>
      <c r="P34" s="1375"/>
      <c r="Q34" s="1375"/>
    </row>
    <row r="35" spans="2:18" ht="18.75" customHeight="1" x14ac:dyDescent="0.3">
      <c r="B35" s="624" t="s">
        <v>432</v>
      </c>
      <c r="C35" s="1171"/>
      <c r="D35" s="586" t="s">
        <v>430</v>
      </c>
      <c r="E35" s="1374"/>
      <c r="F35" s="1374"/>
      <c r="G35" s="1374"/>
      <c r="H35" s="1374"/>
      <c r="I35" s="1374"/>
      <c r="J35" s="1374"/>
      <c r="K35" s="1374"/>
      <c r="L35" s="1374"/>
      <c r="M35" s="1374"/>
      <c r="N35" s="1374"/>
      <c r="O35" s="1374"/>
      <c r="P35" s="1374"/>
      <c r="Q35" s="1374"/>
    </row>
    <row r="36" spans="2:18" ht="18.75" customHeight="1" x14ac:dyDescent="0.3">
      <c r="B36" s="626" t="s">
        <v>433</v>
      </c>
      <c r="C36" s="1039">
        <f>SUM(C33:C34)</f>
        <v>0</v>
      </c>
      <c r="D36" s="586" t="s">
        <v>430</v>
      </c>
      <c r="E36" s="1375"/>
      <c r="F36" s="1375"/>
      <c r="G36" s="1375"/>
      <c r="H36" s="1375"/>
      <c r="I36" s="1375"/>
      <c r="J36" s="1375"/>
      <c r="K36" s="1375"/>
      <c r="L36" s="1375"/>
      <c r="M36" s="1375"/>
      <c r="N36" s="1375"/>
      <c r="O36" s="1375"/>
      <c r="P36" s="1375"/>
      <c r="Q36" s="1375"/>
    </row>
    <row r="37" spans="2:18" ht="18.75" customHeight="1" x14ac:dyDescent="0.3">
      <c r="B37" s="626" t="s">
        <v>434</v>
      </c>
      <c r="C37" s="1039">
        <f>IF(C27="RET",C33+(C34-C35),C34-C35)</f>
        <v>0</v>
      </c>
      <c r="D37" s="586" t="s">
        <v>430</v>
      </c>
      <c r="E37" s="1375"/>
      <c r="F37" s="1375"/>
      <c r="G37" s="1375"/>
      <c r="H37" s="1375"/>
      <c r="I37" s="1375"/>
      <c r="J37" s="1375"/>
      <c r="K37" s="1375"/>
      <c r="L37" s="1375"/>
      <c r="M37" s="1375"/>
      <c r="N37" s="1375"/>
      <c r="O37" s="1375"/>
      <c r="P37" s="1375"/>
      <c r="Q37" s="1375"/>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1175"/>
      <c r="D39" s="1175"/>
      <c r="E39" s="1175"/>
      <c r="F39" s="1175"/>
      <c r="G39" s="1175"/>
      <c r="H39" s="1175"/>
      <c r="I39" s="1175"/>
      <c r="J39" s="1175"/>
      <c r="K39" s="1175"/>
      <c r="L39" s="1175"/>
      <c r="M39" s="1175"/>
      <c r="N39" s="1175"/>
      <c r="O39" s="1175"/>
      <c r="P39" s="1175"/>
      <c r="Q39" s="1176"/>
    </row>
    <row r="41" spans="2:18" ht="18.75" customHeight="1" x14ac:dyDescent="0.3">
      <c r="B41" s="506" t="s">
        <v>436</v>
      </c>
      <c r="C41" s="1376" t="s">
        <v>437</v>
      </c>
      <c r="D41" s="1377"/>
      <c r="E41" s="1377"/>
      <c r="F41" s="1377"/>
      <c r="G41" s="1377"/>
      <c r="H41" s="1377"/>
      <c r="I41" s="1377"/>
      <c r="J41" s="1377"/>
      <c r="K41" s="1377"/>
      <c r="L41" s="1377"/>
      <c r="M41" s="1378"/>
      <c r="N41" s="1245" t="s">
        <v>406</v>
      </c>
      <c r="O41" s="1245" t="s">
        <v>428</v>
      </c>
      <c r="P41" s="2001" t="s">
        <v>419</v>
      </c>
      <c r="Q41" s="2001"/>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383"/>
      <c r="Q42" s="1383"/>
      <c r="R42" s="488"/>
    </row>
    <row r="43" spans="2:18" ht="18.75" customHeight="1" x14ac:dyDescent="0.3">
      <c r="B43" s="582" t="s">
        <v>441</v>
      </c>
      <c r="C43" s="1380" t="s">
        <v>442</v>
      </c>
      <c r="D43" s="1381"/>
      <c r="E43" s="1381"/>
      <c r="F43" s="1381"/>
      <c r="G43" s="1381"/>
      <c r="H43" s="1381"/>
      <c r="I43" s="1381"/>
      <c r="J43" s="1381"/>
      <c r="K43" s="1381"/>
      <c r="L43" s="1381"/>
      <c r="M43" s="1382"/>
      <c r="N43" s="585">
        <f>N49+N55</f>
        <v>3305</v>
      </c>
      <c r="O43" s="1243" t="s">
        <v>443</v>
      </c>
      <c r="P43" s="1383"/>
      <c r="Q43" s="1383"/>
      <c r="R43" s="488"/>
    </row>
    <row r="44" spans="2:18" ht="18.75" customHeight="1" x14ac:dyDescent="0.3">
      <c r="B44" s="582" t="s">
        <v>444</v>
      </c>
      <c r="C44" s="1380" t="s">
        <v>445</v>
      </c>
      <c r="D44" s="1381"/>
      <c r="E44" s="1381"/>
      <c r="F44" s="1381"/>
      <c r="G44" s="1381"/>
      <c r="H44" s="1381"/>
      <c r="I44" s="1381"/>
      <c r="J44" s="1381"/>
      <c r="K44" s="1381"/>
      <c r="L44" s="1381"/>
      <c r="M44" s="1382"/>
      <c r="N44" s="584">
        <f>N50+N56</f>
        <v>0</v>
      </c>
      <c r="O44" s="1243" t="s">
        <v>446</v>
      </c>
      <c r="P44" s="1383"/>
      <c r="Q44" s="1383"/>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383"/>
      <c r="Q45" s="1383"/>
      <c r="R45" s="488"/>
    </row>
    <row r="46" spans="2:18" ht="18.75" customHeight="1" x14ac:dyDescent="0.3">
      <c r="B46" s="583"/>
      <c r="C46" s="578"/>
      <c r="D46" s="578"/>
      <c r="E46" s="578"/>
      <c r="F46" s="578"/>
      <c r="G46" s="578"/>
      <c r="H46" s="578"/>
      <c r="I46" s="578"/>
      <c r="J46" s="578"/>
      <c r="K46" s="578"/>
      <c r="L46" s="578"/>
      <c r="M46" s="578"/>
      <c r="Q46" s="623"/>
      <c r="R46" s="488"/>
    </row>
    <row r="47" spans="2:18" ht="18.75" customHeight="1" x14ac:dyDescent="0.3">
      <c r="B47" s="1172" t="s">
        <v>450</v>
      </c>
      <c r="C47" s="1998" t="s">
        <v>451</v>
      </c>
      <c r="D47" s="1999"/>
      <c r="E47" s="1999"/>
      <c r="F47" s="1999"/>
      <c r="G47" s="1999"/>
      <c r="H47" s="1999"/>
      <c r="I47" s="1999"/>
      <c r="J47" s="1999"/>
      <c r="K47" s="1999"/>
      <c r="L47" s="1999"/>
      <c r="M47" s="2000"/>
      <c r="N47" s="1245" t="s">
        <v>406</v>
      </c>
      <c r="O47" s="1245" t="s">
        <v>428</v>
      </c>
      <c r="P47" s="2001" t="s">
        <v>419</v>
      </c>
      <c r="Q47" s="2001"/>
      <c r="R47" s="488"/>
    </row>
    <row r="48" spans="2:18" ht="18.75" customHeight="1" x14ac:dyDescent="0.3">
      <c r="B48" s="582" t="s">
        <v>452</v>
      </c>
      <c r="C48" s="1380" t="s">
        <v>453</v>
      </c>
      <c r="D48" s="1381"/>
      <c r="E48" s="1381"/>
      <c r="F48" s="1381"/>
      <c r="G48" s="1381"/>
      <c r="H48" s="1381"/>
      <c r="I48" s="1381"/>
      <c r="J48" s="1381"/>
      <c r="K48" s="1381"/>
      <c r="L48" s="1381"/>
      <c r="M48" s="1382"/>
      <c r="N48" s="1143"/>
      <c r="O48" s="1243" t="s">
        <v>440</v>
      </c>
      <c r="P48" s="1383"/>
      <c r="Q48" s="1383"/>
      <c r="R48" s="488"/>
    </row>
    <row r="49" spans="2:18" ht="18.75" customHeight="1" x14ac:dyDescent="0.3">
      <c r="B49" s="582" t="s">
        <v>454</v>
      </c>
      <c r="C49" s="1380" t="s">
        <v>1670</v>
      </c>
      <c r="D49" s="1381"/>
      <c r="E49" s="1381"/>
      <c r="F49" s="1381"/>
      <c r="G49" s="1381"/>
      <c r="H49" s="1381"/>
      <c r="I49" s="1381"/>
      <c r="J49" s="1381"/>
      <c r="K49" s="1381"/>
      <c r="L49" s="1381"/>
      <c r="M49" s="1382"/>
      <c r="N49" s="1144">
        <f>H64</f>
        <v>3305</v>
      </c>
      <c r="O49" s="1243" t="s">
        <v>443</v>
      </c>
      <c r="P49" s="1383" t="s">
        <v>1671</v>
      </c>
      <c r="Q49" s="1383"/>
      <c r="R49" s="488"/>
    </row>
    <row r="50" spans="2:18" ht="18.75" customHeight="1" x14ac:dyDescent="0.3">
      <c r="B50" s="582" t="s">
        <v>456</v>
      </c>
      <c r="C50" s="1380" t="s">
        <v>457</v>
      </c>
      <c r="D50" s="1381"/>
      <c r="E50" s="1381"/>
      <c r="F50" s="1381"/>
      <c r="G50" s="1381"/>
      <c r="H50" s="1381"/>
      <c r="I50" s="1381"/>
      <c r="J50" s="1381"/>
      <c r="K50" s="1381"/>
      <c r="L50" s="1381"/>
      <c r="M50" s="1382"/>
      <c r="N50" s="1144"/>
      <c r="O50" s="1243" t="s">
        <v>446</v>
      </c>
      <c r="P50" s="1383"/>
      <c r="Q50" s="1383"/>
      <c r="R50" s="488"/>
    </row>
    <row r="51" spans="2:18" ht="18.75" customHeight="1" x14ac:dyDescent="0.3">
      <c r="B51" s="582" t="s">
        <v>458</v>
      </c>
      <c r="C51" s="1380" t="s">
        <v>459</v>
      </c>
      <c r="D51" s="1381"/>
      <c r="E51" s="1381"/>
      <c r="F51" s="1381"/>
      <c r="G51" s="1381"/>
      <c r="H51" s="1381"/>
      <c r="I51" s="1381"/>
      <c r="J51" s="1381"/>
      <c r="K51" s="1381"/>
      <c r="L51" s="1381"/>
      <c r="M51" s="1382"/>
      <c r="N51" s="1144"/>
      <c r="O51" s="1243" t="s">
        <v>449</v>
      </c>
      <c r="P51" s="1383"/>
      <c r="Q51" s="1383"/>
      <c r="R51" s="488"/>
    </row>
    <row r="52" spans="2:18" ht="18.75" customHeight="1" x14ac:dyDescent="0.3">
      <c r="B52" s="583"/>
      <c r="C52" s="578"/>
      <c r="D52" s="578"/>
      <c r="E52" s="578"/>
      <c r="F52" s="578"/>
      <c r="G52" s="578"/>
      <c r="H52" s="578"/>
      <c r="I52" s="578"/>
      <c r="J52" s="578"/>
      <c r="K52" s="578"/>
      <c r="L52" s="578"/>
      <c r="M52" s="578"/>
      <c r="Q52" s="623"/>
      <c r="R52" s="488"/>
    </row>
    <row r="53" spans="2:18" s="634" customFormat="1" ht="18.75" customHeight="1" x14ac:dyDescent="0.3">
      <c r="B53" s="1172" t="s">
        <v>460</v>
      </c>
      <c r="C53" s="1998" t="s">
        <v>461</v>
      </c>
      <c r="D53" s="1999"/>
      <c r="E53" s="1999"/>
      <c r="F53" s="1999"/>
      <c r="G53" s="1999"/>
      <c r="H53" s="1999"/>
      <c r="I53" s="1999"/>
      <c r="J53" s="1999"/>
      <c r="K53" s="1999"/>
      <c r="L53" s="1999"/>
      <c r="M53" s="2000"/>
      <c r="N53" s="1245" t="s">
        <v>406</v>
      </c>
      <c r="O53" s="1245" t="s">
        <v>428</v>
      </c>
      <c r="P53" s="2001" t="s">
        <v>419</v>
      </c>
      <c r="Q53" s="2001"/>
    </row>
    <row r="54" spans="2:18" s="634" customFormat="1" ht="18.75" customHeight="1" x14ac:dyDescent="0.3">
      <c r="B54" s="664" t="s">
        <v>462</v>
      </c>
      <c r="C54" s="1994" t="s">
        <v>463</v>
      </c>
      <c r="D54" s="1995"/>
      <c r="E54" s="1995"/>
      <c r="F54" s="1995"/>
      <c r="G54" s="1995"/>
      <c r="H54" s="1995"/>
      <c r="I54" s="1995"/>
      <c r="J54" s="1995"/>
      <c r="K54" s="1995"/>
      <c r="L54" s="1995"/>
      <c r="M54" s="1996"/>
      <c r="N54" s="1145"/>
      <c r="O54" s="1246" t="s">
        <v>440</v>
      </c>
      <c r="P54" s="1997"/>
      <c r="Q54" s="1997"/>
    </row>
    <row r="55" spans="2:18" s="634" customFormat="1" ht="18.75" customHeight="1" x14ac:dyDescent="0.3">
      <c r="B55" s="664" t="s">
        <v>464</v>
      </c>
      <c r="C55" s="1994" t="s">
        <v>465</v>
      </c>
      <c r="D55" s="1995"/>
      <c r="E55" s="1995"/>
      <c r="F55" s="1995"/>
      <c r="G55" s="1995"/>
      <c r="H55" s="1995"/>
      <c r="I55" s="1995"/>
      <c r="J55" s="1995"/>
      <c r="K55" s="1995"/>
      <c r="L55" s="1995"/>
      <c r="M55" s="1996"/>
      <c r="N55" s="1146"/>
      <c r="O55" s="1246" t="s">
        <v>443</v>
      </c>
      <c r="P55" s="1997"/>
      <c r="Q55" s="1997"/>
    </row>
    <row r="56" spans="2:18" s="634" customFormat="1" ht="18.75" customHeight="1" x14ac:dyDescent="0.3">
      <c r="B56" s="664" t="s">
        <v>466</v>
      </c>
      <c r="C56" s="1380" t="s">
        <v>467</v>
      </c>
      <c r="D56" s="1381"/>
      <c r="E56" s="1381"/>
      <c r="F56" s="1381"/>
      <c r="G56" s="1381"/>
      <c r="H56" s="1381"/>
      <c r="I56" s="1381"/>
      <c r="J56" s="1381"/>
      <c r="K56" s="1381"/>
      <c r="L56" s="1381"/>
      <c r="M56" s="1382"/>
      <c r="N56" s="1147"/>
      <c r="O56" s="1246" t="s">
        <v>446</v>
      </c>
      <c r="P56" s="1997"/>
      <c r="Q56" s="1997"/>
    </row>
    <row r="57" spans="2:18" s="634" customFormat="1" ht="18.75" customHeight="1" x14ac:dyDescent="0.3">
      <c r="B57" s="664" t="s">
        <v>468</v>
      </c>
      <c r="C57" s="1994" t="s">
        <v>469</v>
      </c>
      <c r="D57" s="1995"/>
      <c r="E57" s="1995"/>
      <c r="F57" s="1995"/>
      <c r="G57" s="1995"/>
      <c r="H57" s="1995"/>
      <c r="I57" s="1995"/>
      <c r="J57" s="1995"/>
      <c r="K57" s="1995"/>
      <c r="L57" s="1995"/>
      <c r="M57" s="1996"/>
      <c r="N57" s="1148"/>
      <c r="O57" s="1246" t="s">
        <v>449</v>
      </c>
      <c r="P57" s="1997"/>
      <c r="Q57" s="1997"/>
    </row>
    <row r="58" spans="2:18" s="634" customFormat="1" ht="18.75" customHeight="1" x14ac:dyDescent="0.3">
      <c r="B58" s="660"/>
      <c r="C58" s="661"/>
      <c r="D58" s="662"/>
      <c r="E58" s="662"/>
      <c r="F58" s="662"/>
      <c r="G58" s="662"/>
      <c r="H58" s="662"/>
      <c r="I58" s="662"/>
      <c r="J58" s="662"/>
      <c r="K58" s="662"/>
      <c r="L58" s="662"/>
      <c r="M58" s="662"/>
      <c r="N58" s="662"/>
      <c r="O58" s="662"/>
      <c r="R58" s="623"/>
    </row>
    <row r="59" spans="2:18" ht="18.75" customHeight="1" x14ac:dyDescent="0.3">
      <c r="B59" s="511" t="s">
        <v>470</v>
      </c>
      <c r="C59" s="1175"/>
      <c r="D59" s="1175"/>
      <c r="E59" s="1175"/>
      <c r="F59" s="1175"/>
      <c r="G59" s="1175"/>
      <c r="H59" s="1175"/>
      <c r="I59" s="1175"/>
      <c r="J59" s="1175"/>
      <c r="K59" s="1175"/>
      <c r="L59" s="1175"/>
      <c r="M59" s="1175"/>
      <c r="N59" s="1175"/>
      <c r="O59" s="1175"/>
      <c r="P59" s="1175"/>
      <c r="Q59" s="1176"/>
    </row>
    <row r="61" spans="2:18" ht="18.75" customHeight="1" x14ac:dyDescent="0.3">
      <c r="B61" s="1172" t="s">
        <v>471</v>
      </c>
      <c r="C61" s="1172" t="s">
        <v>472</v>
      </c>
      <c r="D61" s="1986" t="s">
        <v>473</v>
      </c>
      <c r="E61" s="1986"/>
      <c r="F61" s="1172" t="s">
        <v>474</v>
      </c>
      <c r="G61" s="1172" t="s">
        <v>475</v>
      </c>
      <c r="H61" s="1245" t="s">
        <v>406</v>
      </c>
      <c r="I61" s="1245" t="s">
        <v>428</v>
      </c>
      <c r="J61" s="1987" t="s">
        <v>476</v>
      </c>
      <c r="K61" s="1988"/>
      <c r="L61" s="1988"/>
      <c r="M61" s="1988"/>
      <c r="N61" s="1988"/>
      <c r="O61" s="1988"/>
      <c r="P61" s="1988"/>
      <c r="Q61" s="1989"/>
    </row>
    <row r="62" spans="2:18" ht="13" x14ac:dyDescent="0.3">
      <c r="B62" s="533">
        <v>1</v>
      </c>
      <c r="C62" s="1149" t="s">
        <v>1672</v>
      </c>
      <c r="D62" s="1990" t="s">
        <v>1673</v>
      </c>
      <c r="E62" s="1990"/>
      <c r="F62" s="1150"/>
      <c r="G62" s="1150"/>
      <c r="H62" s="1151" t="s">
        <v>1674</v>
      </c>
      <c r="I62" s="1150" t="s">
        <v>597</v>
      </c>
      <c r="J62" s="1991" t="s">
        <v>1675</v>
      </c>
      <c r="K62" s="1992"/>
      <c r="L62" s="1992"/>
      <c r="M62" s="1992"/>
      <c r="N62" s="1992"/>
      <c r="O62" s="1992"/>
      <c r="P62" s="1992"/>
      <c r="Q62" s="1993"/>
      <c r="R62" s="488"/>
    </row>
    <row r="63" spans="2:18" ht="15" customHeight="1" x14ac:dyDescent="0.3">
      <c r="B63" s="533">
        <v>2</v>
      </c>
      <c r="C63" s="1149" t="s">
        <v>1676</v>
      </c>
      <c r="D63" s="1990" t="s">
        <v>1677</v>
      </c>
      <c r="E63" s="1990"/>
      <c r="F63" s="1150"/>
      <c r="G63" s="1150"/>
      <c r="H63" s="1152" t="s">
        <v>1678</v>
      </c>
      <c r="I63" s="1150" t="s">
        <v>597</v>
      </c>
      <c r="J63" s="1991" t="s">
        <v>1679</v>
      </c>
      <c r="K63" s="1992"/>
      <c r="L63" s="1992"/>
      <c r="M63" s="1992"/>
      <c r="N63" s="1992"/>
      <c r="O63" s="1992"/>
      <c r="P63" s="1992"/>
      <c r="Q63" s="1993"/>
      <c r="R63" s="488"/>
    </row>
    <row r="64" spans="2:18" ht="13" x14ac:dyDescent="0.3">
      <c r="B64" s="535">
        <v>3</v>
      </c>
      <c r="C64" s="1153" t="s">
        <v>1680</v>
      </c>
      <c r="D64" s="1982" t="s">
        <v>1681</v>
      </c>
      <c r="E64" s="1982"/>
      <c r="F64" s="1154" t="str">
        <f>H62</f>
        <v>30-50 cf (two-door)</v>
      </c>
      <c r="G64" s="1155" t="str">
        <f>H63</f>
        <v>Solid door, tier 2</v>
      </c>
      <c r="H64" s="1155">
        <f>INDEX($C$96:$N$116,MATCH(F64,$C$96:$C$116,0),MATCH(G64,$C$96:$N$96,0))</f>
        <v>3305</v>
      </c>
      <c r="I64" s="1156" t="s">
        <v>443</v>
      </c>
      <c r="J64" s="1983" t="s">
        <v>1682</v>
      </c>
      <c r="K64" s="1984"/>
      <c r="L64" s="1984"/>
      <c r="M64" s="1984"/>
      <c r="N64" s="1984"/>
      <c r="O64" s="1984"/>
      <c r="P64" s="1984"/>
      <c r="Q64" s="1985"/>
      <c r="R64" s="488"/>
    </row>
    <row r="65" spans="2:18" ht="13" x14ac:dyDescent="0.3">
      <c r="B65" s="533">
        <v>4</v>
      </c>
      <c r="C65" s="515"/>
      <c r="D65" s="1391"/>
      <c r="E65" s="1391"/>
      <c r="F65" s="1240"/>
      <c r="G65" s="1240"/>
      <c r="H65" s="526"/>
      <c r="I65" s="1240"/>
      <c r="J65" s="1392"/>
      <c r="K65" s="1393"/>
      <c r="L65" s="1393"/>
      <c r="M65" s="1393"/>
      <c r="N65" s="1393"/>
      <c r="O65" s="1393"/>
      <c r="P65" s="1393"/>
      <c r="Q65" s="1394"/>
      <c r="R65" s="488"/>
    </row>
    <row r="66" spans="2:18" ht="13" x14ac:dyDescent="0.3">
      <c r="B66" s="533">
        <v>5</v>
      </c>
      <c r="C66" s="515"/>
      <c r="D66" s="1391"/>
      <c r="E66" s="1391"/>
      <c r="F66" s="1240"/>
      <c r="G66" s="1240"/>
      <c r="H66" s="526"/>
      <c r="I66" s="1240"/>
      <c r="J66" s="1392"/>
      <c r="K66" s="1393"/>
      <c r="L66" s="1393"/>
      <c r="M66" s="1393"/>
      <c r="N66" s="1393"/>
      <c r="O66" s="1393"/>
      <c r="P66" s="1393"/>
      <c r="Q66" s="1394"/>
      <c r="R66" s="488"/>
    </row>
    <row r="67" spans="2:18" ht="13" x14ac:dyDescent="0.3">
      <c r="B67" s="533">
        <v>6</v>
      </c>
      <c r="C67" s="515"/>
      <c r="D67" s="1391"/>
      <c r="E67" s="1391"/>
      <c r="F67" s="1240"/>
      <c r="G67" s="1240"/>
      <c r="H67" s="526"/>
      <c r="I67" s="1240"/>
      <c r="J67" s="1392"/>
      <c r="K67" s="1393"/>
      <c r="L67" s="1393"/>
      <c r="M67" s="1393"/>
      <c r="N67" s="1393"/>
      <c r="O67" s="1393"/>
      <c r="P67" s="1393"/>
      <c r="Q67" s="1394"/>
      <c r="R67" s="488"/>
    </row>
    <row r="68" spans="2:18" ht="13" x14ac:dyDescent="0.3">
      <c r="B68" s="533">
        <v>7</v>
      </c>
      <c r="C68" s="515"/>
      <c r="D68" s="1391"/>
      <c r="E68" s="1391"/>
      <c r="F68" s="1240"/>
      <c r="G68" s="1240"/>
      <c r="H68" s="526"/>
      <c r="I68" s="1240"/>
      <c r="J68" s="1392"/>
      <c r="K68" s="1393"/>
      <c r="L68" s="1393"/>
      <c r="M68" s="1393"/>
      <c r="N68" s="1393"/>
      <c r="O68" s="1393"/>
      <c r="P68" s="1393"/>
      <c r="Q68" s="1394"/>
      <c r="R68" s="488"/>
    </row>
    <row r="69" spans="2:18" ht="13" x14ac:dyDescent="0.3">
      <c r="B69" s="533">
        <v>8</v>
      </c>
      <c r="C69" s="515"/>
      <c r="D69" s="1391"/>
      <c r="E69" s="1391"/>
      <c r="F69" s="1240"/>
      <c r="G69" s="1240"/>
      <c r="H69" s="526"/>
      <c r="I69" s="1240"/>
      <c r="J69" s="1392"/>
      <c r="K69" s="1393"/>
      <c r="L69" s="1393"/>
      <c r="M69" s="1393"/>
      <c r="N69" s="1393"/>
      <c r="O69" s="1393"/>
      <c r="P69" s="1393"/>
      <c r="Q69" s="1394"/>
      <c r="R69" s="488"/>
    </row>
    <row r="70" spans="2:18" ht="13" x14ac:dyDescent="0.3">
      <c r="B70" s="533">
        <v>9</v>
      </c>
      <c r="C70" s="515"/>
      <c r="D70" s="1391"/>
      <c r="E70" s="1391"/>
      <c r="F70" s="1240"/>
      <c r="G70" s="1240"/>
      <c r="H70" s="526"/>
      <c r="I70" s="1240"/>
      <c r="J70" s="1392"/>
      <c r="K70" s="1393"/>
      <c r="L70" s="1393"/>
      <c r="M70" s="1393"/>
      <c r="N70" s="1393"/>
      <c r="O70" s="1393"/>
      <c r="P70" s="1393"/>
      <c r="Q70" s="1394"/>
      <c r="R70" s="488"/>
    </row>
    <row r="71" spans="2:18" ht="13" x14ac:dyDescent="0.3">
      <c r="B71" s="533">
        <v>10</v>
      </c>
      <c r="C71" s="515"/>
      <c r="D71" s="1391"/>
      <c r="E71" s="1391"/>
      <c r="F71" s="1240"/>
      <c r="G71" s="1240"/>
      <c r="H71" s="526"/>
      <c r="I71" s="1240"/>
      <c r="J71" s="1392"/>
      <c r="K71" s="1393"/>
      <c r="L71" s="1393"/>
      <c r="M71" s="1393"/>
      <c r="N71" s="1393"/>
      <c r="O71" s="1393"/>
      <c r="P71" s="1393"/>
      <c r="Q71" s="1394"/>
      <c r="R71" s="488"/>
    </row>
    <row r="72" spans="2:18" s="634" customFormat="1" ht="13" x14ac:dyDescent="0.3">
      <c r="B72" s="638">
        <v>11</v>
      </c>
      <c r="C72" s="515"/>
      <c r="D72" s="1391"/>
      <c r="E72" s="1391"/>
      <c r="F72" s="1240"/>
      <c r="G72" s="1240"/>
      <c r="H72" s="526"/>
      <c r="I72" s="1240"/>
      <c r="J72" s="1392"/>
      <c r="K72" s="1393"/>
      <c r="L72" s="1393"/>
      <c r="M72" s="1393"/>
      <c r="N72" s="1393"/>
      <c r="O72" s="1393"/>
      <c r="P72" s="1393"/>
      <c r="Q72" s="1394"/>
    </row>
    <row r="73" spans="2:18" s="634" customFormat="1" ht="13" x14ac:dyDescent="0.3">
      <c r="B73" s="638">
        <v>12</v>
      </c>
      <c r="C73" s="515"/>
      <c r="D73" s="1391"/>
      <c r="E73" s="1391"/>
      <c r="F73" s="1240"/>
      <c r="G73" s="1240"/>
      <c r="H73" s="526"/>
      <c r="I73" s="1240"/>
      <c r="J73" s="1392"/>
      <c r="K73" s="1393"/>
      <c r="L73" s="1393"/>
      <c r="M73" s="1393"/>
      <c r="N73" s="1393"/>
      <c r="O73" s="1393"/>
      <c r="P73" s="1393"/>
      <c r="Q73" s="1394"/>
    </row>
    <row r="74" spans="2:18" s="634" customFormat="1" ht="13" x14ac:dyDescent="0.3">
      <c r="B74" s="638">
        <v>13</v>
      </c>
      <c r="C74" s="515"/>
      <c r="D74" s="1391"/>
      <c r="E74" s="1391"/>
      <c r="F74" s="1240"/>
      <c r="G74" s="1240"/>
      <c r="H74" s="526"/>
      <c r="I74" s="1240"/>
      <c r="J74" s="1392"/>
      <c r="K74" s="1393"/>
      <c r="L74" s="1393"/>
      <c r="M74" s="1393"/>
      <c r="N74" s="1393"/>
      <c r="O74" s="1393"/>
      <c r="P74" s="1393"/>
      <c r="Q74" s="1394"/>
    </row>
    <row r="75" spans="2:18" s="623" customFormat="1" ht="13.15" customHeight="1" x14ac:dyDescent="0.3">
      <c r="B75" s="638">
        <v>14</v>
      </c>
      <c r="C75" s="515"/>
      <c r="D75" s="1391"/>
      <c r="E75" s="1391"/>
      <c r="F75" s="1240"/>
      <c r="G75" s="1240"/>
      <c r="H75" s="526"/>
      <c r="I75" s="1240"/>
      <c r="J75" s="1392"/>
      <c r="K75" s="1393"/>
      <c r="L75" s="1393"/>
      <c r="M75" s="1393"/>
      <c r="N75" s="1393"/>
      <c r="O75" s="1393"/>
      <c r="P75" s="1393"/>
      <c r="Q75" s="1394"/>
    </row>
    <row r="76" spans="2:18" s="623" customFormat="1" ht="13" x14ac:dyDescent="0.3">
      <c r="B76" s="638">
        <v>15</v>
      </c>
      <c r="C76" s="515"/>
      <c r="D76" s="1391"/>
      <c r="E76" s="1391"/>
      <c r="F76" s="1240"/>
      <c r="G76" s="1240"/>
      <c r="H76" s="526"/>
      <c r="I76" s="1240"/>
      <c r="J76" s="1392"/>
      <c r="K76" s="1393"/>
      <c r="L76" s="1393"/>
      <c r="M76" s="1393"/>
      <c r="N76" s="1393"/>
      <c r="O76" s="1393"/>
      <c r="P76" s="1393"/>
      <c r="Q76" s="1394"/>
    </row>
    <row r="77" spans="2:18" ht="18.75" customHeight="1" x14ac:dyDescent="0.3">
      <c r="R77" s="488"/>
    </row>
    <row r="78" spans="2:18" ht="18.75" customHeight="1" x14ac:dyDescent="0.3">
      <c r="B78" s="511" t="s">
        <v>477</v>
      </c>
      <c r="C78" s="1175"/>
      <c r="D78" s="1175"/>
      <c r="E78" s="1175"/>
      <c r="F78" s="1175"/>
      <c r="G78" s="1175"/>
      <c r="H78" s="1175"/>
      <c r="I78" s="1175"/>
      <c r="J78" s="1175"/>
      <c r="K78" s="1175"/>
      <c r="L78" s="1175"/>
      <c r="M78" s="1175"/>
      <c r="N78" s="1175"/>
      <c r="O78" s="1175"/>
      <c r="P78" s="1175"/>
      <c r="Q78" s="1176"/>
      <c r="R78" s="488"/>
    </row>
    <row r="79" spans="2:18" ht="18.75" customHeight="1" x14ac:dyDescent="0.3">
      <c r="R79" s="488"/>
    </row>
    <row r="80" spans="2:18" ht="18.75" customHeight="1" x14ac:dyDescent="0.3">
      <c r="B80" s="1172" t="s">
        <v>478</v>
      </c>
      <c r="C80" s="1172" t="s">
        <v>479</v>
      </c>
      <c r="D80" s="1244" t="s">
        <v>406</v>
      </c>
      <c r="E80" s="1248" t="s">
        <v>428</v>
      </c>
      <c r="F80" s="1976" t="s">
        <v>476</v>
      </c>
      <c r="G80" s="1977"/>
      <c r="H80" s="1977"/>
      <c r="I80" s="1977"/>
      <c r="J80" s="1977"/>
      <c r="K80" s="1977"/>
      <c r="L80" s="1977"/>
      <c r="M80" s="1977"/>
      <c r="N80" s="1977"/>
      <c r="O80" s="1977"/>
      <c r="P80" s="1977"/>
      <c r="Q80" s="1978"/>
      <c r="R80" s="488"/>
    </row>
    <row r="81" spans="2:18" ht="13" x14ac:dyDescent="0.3">
      <c r="B81" s="639">
        <v>1</v>
      </c>
      <c r="C81" s="1157" t="s">
        <v>480</v>
      </c>
      <c r="D81" s="1158">
        <v>1000</v>
      </c>
      <c r="E81" s="1159" t="s">
        <v>481</v>
      </c>
      <c r="F81" s="1979" t="s">
        <v>482</v>
      </c>
      <c r="G81" s="1980"/>
      <c r="H81" s="1980"/>
      <c r="I81" s="1980"/>
      <c r="J81" s="1980"/>
      <c r="K81" s="1980"/>
      <c r="L81" s="1980"/>
      <c r="M81" s="1980"/>
      <c r="N81" s="1980"/>
      <c r="O81" s="1980"/>
      <c r="P81" s="1980"/>
      <c r="Q81" s="1981"/>
      <c r="R81" s="488"/>
    </row>
    <row r="82" spans="2:18" ht="13" x14ac:dyDescent="0.3">
      <c r="B82" s="639">
        <v>2</v>
      </c>
      <c r="C82" s="1157" t="s">
        <v>483</v>
      </c>
      <c r="D82" s="1160">
        <f>0.03412*0.10548</f>
        <v>3.5989775999999999E-3</v>
      </c>
      <c r="E82" s="1159" t="s">
        <v>484</v>
      </c>
      <c r="F82" s="1958" t="s">
        <v>485</v>
      </c>
      <c r="G82" s="1959"/>
      <c r="H82" s="1959"/>
      <c r="I82" s="1959"/>
      <c r="J82" s="1959"/>
      <c r="K82" s="1959"/>
      <c r="L82" s="1959"/>
      <c r="M82" s="1959"/>
      <c r="N82" s="1959"/>
      <c r="O82" s="1959"/>
      <c r="P82" s="1959"/>
      <c r="Q82" s="1960"/>
      <c r="R82" s="488"/>
    </row>
    <row r="83" spans="2:18" ht="13" x14ac:dyDescent="0.3">
      <c r="B83" s="639">
        <v>3</v>
      </c>
      <c r="C83" s="1157" t="s">
        <v>486</v>
      </c>
      <c r="D83" s="1160">
        <v>3.7854099999999999E-3</v>
      </c>
      <c r="E83" s="1159" t="s">
        <v>487</v>
      </c>
      <c r="F83" s="1958" t="s">
        <v>485</v>
      </c>
      <c r="G83" s="1959"/>
      <c r="H83" s="1959"/>
      <c r="I83" s="1959"/>
      <c r="J83" s="1959"/>
      <c r="K83" s="1959"/>
      <c r="L83" s="1959"/>
      <c r="M83" s="1959"/>
      <c r="N83" s="1959"/>
      <c r="O83" s="1959"/>
      <c r="P83" s="1959"/>
      <c r="Q83" s="1960"/>
      <c r="R83" s="488"/>
    </row>
    <row r="84" spans="2:18" ht="13" x14ac:dyDescent="0.3">
      <c r="B84" s="639">
        <v>4</v>
      </c>
      <c r="C84" s="1157" t="s">
        <v>488</v>
      </c>
      <c r="D84" s="1160">
        <v>0.1055</v>
      </c>
      <c r="E84" s="1159" t="s">
        <v>489</v>
      </c>
      <c r="F84" s="1958" t="s">
        <v>485</v>
      </c>
      <c r="G84" s="1959"/>
      <c r="H84" s="1959"/>
      <c r="I84" s="1959"/>
      <c r="J84" s="1959"/>
      <c r="K84" s="1959"/>
      <c r="L84" s="1959"/>
      <c r="M84" s="1959"/>
      <c r="N84" s="1959"/>
      <c r="O84" s="1959"/>
      <c r="P84" s="1959"/>
      <c r="Q84" s="1960"/>
      <c r="R84" s="488"/>
    </row>
    <row r="85" spans="2:18" ht="13" x14ac:dyDescent="0.3">
      <c r="B85" s="639">
        <v>5</v>
      </c>
      <c r="C85" s="1157" t="s">
        <v>490</v>
      </c>
      <c r="D85" s="1160">
        <v>1.0000000000000001E-5</v>
      </c>
      <c r="E85" s="1159" t="s">
        <v>491</v>
      </c>
      <c r="F85" s="1958" t="s">
        <v>485</v>
      </c>
      <c r="G85" s="1959"/>
      <c r="H85" s="1959"/>
      <c r="I85" s="1959"/>
      <c r="J85" s="1959"/>
      <c r="K85" s="1959"/>
      <c r="L85" s="1959"/>
      <c r="M85" s="1959"/>
      <c r="N85" s="1959"/>
      <c r="O85" s="1959"/>
      <c r="P85" s="1959"/>
      <c r="Q85" s="1960"/>
      <c r="R85" s="488"/>
    </row>
    <row r="86" spans="2:18" ht="13" x14ac:dyDescent="0.3">
      <c r="B86" s="533">
        <v>6</v>
      </c>
      <c r="C86" s="522"/>
      <c r="D86" s="1161"/>
      <c r="E86" s="1159"/>
      <c r="F86" s="1958"/>
      <c r="G86" s="1959"/>
      <c r="H86" s="1959"/>
      <c r="I86" s="1959"/>
      <c r="J86" s="1959"/>
      <c r="K86" s="1959"/>
      <c r="L86" s="1959"/>
      <c r="M86" s="1959"/>
      <c r="N86" s="1959"/>
      <c r="O86" s="1959"/>
      <c r="P86" s="1959"/>
      <c r="Q86" s="1960"/>
      <c r="R86" s="488"/>
    </row>
    <row r="87" spans="2:18" ht="13" x14ac:dyDescent="0.3">
      <c r="B87" s="533">
        <v>7</v>
      </c>
      <c r="C87" s="522"/>
      <c r="D87" s="521"/>
      <c r="E87" s="1159"/>
      <c r="F87" s="1958"/>
      <c r="G87" s="1959"/>
      <c r="H87" s="1959"/>
      <c r="I87" s="1959"/>
      <c r="J87" s="1959"/>
      <c r="K87" s="1959"/>
      <c r="L87" s="1959"/>
      <c r="M87" s="1959"/>
      <c r="N87" s="1959"/>
      <c r="O87" s="1959"/>
      <c r="P87" s="1959"/>
      <c r="Q87" s="1960"/>
      <c r="R87" s="488"/>
    </row>
    <row r="88" spans="2:18" ht="13" x14ac:dyDescent="0.3">
      <c r="B88" s="533">
        <v>8</v>
      </c>
      <c r="C88" s="522"/>
      <c r="D88" s="1161"/>
      <c r="E88" s="1159"/>
      <c r="F88" s="1958"/>
      <c r="G88" s="1959"/>
      <c r="H88" s="1959"/>
      <c r="I88" s="1959"/>
      <c r="J88" s="1959"/>
      <c r="K88" s="1959"/>
      <c r="L88" s="1959"/>
      <c r="M88" s="1959"/>
      <c r="N88" s="1959"/>
      <c r="O88" s="1959"/>
      <c r="P88" s="1959"/>
      <c r="Q88" s="1960"/>
      <c r="R88" s="488"/>
    </row>
    <row r="89" spans="2:18" ht="13" x14ac:dyDescent="0.3">
      <c r="B89" s="533">
        <v>9</v>
      </c>
      <c r="C89" s="522"/>
      <c r="D89" s="521"/>
      <c r="E89" s="1159"/>
      <c r="F89" s="1958"/>
      <c r="G89" s="1959"/>
      <c r="H89" s="1959"/>
      <c r="I89" s="1959"/>
      <c r="J89" s="1959"/>
      <c r="K89" s="1959"/>
      <c r="L89" s="1959"/>
      <c r="M89" s="1959"/>
      <c r="N89" s="1959"/>
      <c r="O89" s="1959"/>
      <c r="P89" s="1959"/>
      <c r="Q89" s="1960"/>
      <c r="R89" s="488"/>
    </row>
    <row r="90" spans="2:18" ht="13" x14ac:dyDescent="0.3">
      <c r="B90" s="533">
        <v>10</v>
      </c>
      <c r="C90" s="522"/>
      <c r="D90" s="1161"/>
      <c r="E90" s="1159"/>
      <c r="F90" s="1958"/>
      <c r="G90" s="1959"/>
      <c r="H90" s="1959"/>
      <c r="I90" s="1959"/>
      <c r="J90" s="1959"/>
      <c r="K90" s="1959"/>
      <c r="L90" s="1959"/>
      <c r="M90" s="1959"/>
      <c r="N90" s="1959"/>
      <c r="O90" s="1959"/>
      <c r="P90" s="1959"/>
      <c r="Q90" s="1960"/>
      <c r="R90" s="488"/>
    </row>
    <row r="91" spans="2:18" ht="18.75" customHeight="1" x14ac:dyDescent="0.3">
      <c r="R91" s="488"/>
    </row>
    <row r="92" spans="2:18" ht="18.75" customHeight="1" x14ac:dyDescent="0.3">
      <c r="B92" s="511" t="s">
        <v>492</v>
      </c>
      <c r="C92" s="1175"/>
      <c r="D92" s="1175"/>
      <c r="E92" s="1175"/>
      <c r="F92" s="1175"/>
      <c r="G92" s="1175"/>
      <c r="H92" s="1175"/>
      <c r="I92" s="1175"/>
      <c r="J92" s="1175"/>
      <c r="K92" s="1175"/>
      <c r="L92" s="1175"/>
      <c r="M92" s="1175"/>
      <c r="N92" s="1175"/>
      <c r="O92" s="1175"/>
      <c r="P92" s="1175"/>
      <c r="Q92" s="1176"/>
      <c r="R92" s="488"/>
    </row>
    <row r="93" spans="2:18" ht="18.75" customHeight="1" x14ac:dyDescent="0.3">
      <c r="R93" s="488"/>
    </row>
    <row r="94" spans="2:18" ht="38.25" customHeight="1" x14ac:dyDescent="0.3">
      <c r="B94" s="1173" t="s">
        <v>493</v>
      </c>
      <c r="E94" s="1961" t="s">
        <v>494</v>
      </c>
      <c r="F94" s="1962"/>
      <c r="G94" s="1962"/>
      <c r="H94" s="1962"/>
      <c r="I94" s="1962"/>
      <c r="J94" s="1962"/>
      <c r="K94" s="1962"/>
      <c r="L94" s="1962"/>
      <c r="M94" s="1962"/>
      <c r="N94" s="1963"/>
      <c r="O94" s="1964" t="s">
        <v>476</v>
      </c>
      <c r="P94" s="1965"/>
      <c r="Q94" s="1966"/>
      <c r="R94" s="488"/>
    </row>
    <row r="95" spans="2:18" ht="24.75" customHeight="1" x14ac:dyDescent="0.3">
      <c r="B95" s="1973" t="s">
        <v>1683</v>
      </c>
      <c r="C95" s="1974"/>
      <c r="D95" s="1975"/>
      <c r="E95" s="1174" t="s">
        <v>495</v>
      </c>
      <c r="F95" s="1174" t="s">
        <v>496</v>
      </c>
      <c r="G95" s="1174" t="s">
        <v>497</v>
      </c>
      <c r="H95" s="1174" t="s">
        <v>498</v>
      </c>
      <c r="I95" s="1174" t="s">
        <v>499</v>
      </c>
      <c r="J95" s="1174" t="s">
        <v>500</v>
      </c>
      <c r="K95" s="1174" t="s">
        <v>501</v>
      </c>
      <c r="L95" s="1174" t="s">
        <v>502</v>
      </c>
      <c r="M95" s="1174" t="s">
        <v>503</v>
      </c>
      <c r="N95" s="1249" t="s">
        <v>504</v>
      </c>
      <c r="O95" s="1967"/>
      <c r="P95" s="1968"/>
      <c r="Q95" s="1969"/>
      <c r="R95" s="488"/>
    </row>
    <row r="96" spans="2:18" ht="21.75" customHeight="1" x14ac:dyDescent="0.3">
      <c r="B96" s="1245" t="s">
        <v>478</v>
      </c>
      <c r="C96" s="1961" t="s">
        <v>505</v>
      </c>
      <c r="D96" s="1963"/>
      <c r="E96" s="637" t="s">
        <v>1684</v>
      </c>
      <c r="F96" s="637" t="s">
        <v>1678</v>
      </c>
      <c r="G96" s="637" t="s">
        <v>1685</v>
      </c>
      <c r="H96" s="637"/>
      <c r="I96" s="637"/>
      <c r="J96" s="637"/>
      <c r="K96" s="637"/>
      <c r="L96" s="637"/>
      <c r="M96" s="637"/>
      <c r="N96" s="637"/>
      <c r="O96" s="1970"/>
      <c r="P96" s="1971"/>
      <c r="Q96" s="1972"/>
      <c r="R96" s="488"/>
    </row>
    <row r="97" spans="2:18" s="1040" customFormat="1" ht="13" x14ac:dyDescent="0.3">
      <c r="B97" s="533">
        <v>1</v>
      </c>
      <c r="C97" s="1247" t="s">
        <v>1686</v>
      </c>
      <c r="D97" s="600"/>
      <c r="E97" s="1240">
        <v>353</v>
      </c>
      <c r="F97" s="1240">
        <v>716</v>
      </c>
      <c r="G97" s="1240">
        <v>1562</v>
      </c>
      <c r="H97" s="1240"/>
      <c r="I97" s="527"/>
      <c r="J97" s="527"/>
      <c r="K97" s="527"/>
      <c r="L97" s="527"/>
      <c r="M97" s="527"/>
      <c r="N97" s="527"/>
      <c r="O97" s="1425" t="s">
        <v>1687</v>
      </c>
      <c r="P97" s="1426"/>
      <c r="Q97" s="1427"/>
    </row>
    <row r="98" spans="2:18" s="1040" customFormat="1" ht="13" x14ac:dyDescent="0.3">
      <c r="B98" s="533">
        <v>2</v>
      </c>
      <c r="C98" s="1247" t="s">
        <v>1688</v>
      </c>
      <c r="D98" s="1189"/>
      <c r="E98" s="1240">
        <v>668</v>
      </c>
      <c r="F98" s="1240">
        <v>1508</v>
      </c>
      <c r="G98" s="1240">
        <v>2001</v>
      </c>
      <c r="H98" s="1240"/>
      <c r="I98" s="527"/>
      <c r="J98" s="527"/>
      <c r="K98" s="527"/>
      <c r="L98" s="527"/>
      <c r="M98" s="527"/>
      <c r="N98" s="527"/>
      <c r="O98" s="1425" t="s">
        <v>1687</v>
      </c>
      <c r="P98" s="1426"/>
      <c r="Q98" s="1427"/>
    </row>
    <row r="99" spans="2:18" s="1040" customFormat="1" ht="13" x14ac:dyDescent="0.3">
      <c r="B99" s="533">
        <v>3</v>
      </c>
      <c r="C99" s="1247" t="s">
        <v>1674</v>
      </c>
      <c r="D99" s="1189"/>
      <c r="E99" s="1240">
        <v>1903</v>
      </c>
      <c r="F99" s="1162">
        <v>3305</v>
      </c>
      <c r="G99" s="1240">
        <v>3869</v>
      </c>
      <c r="H99" s="1240"/>
      <c r="I99" s="527"/>
      <c r="J99" s="527"/>
      <c r="K99" s="527"/>
      <c r="L99" s="527"/>
      <c r="M99" s="527"/>
      <c r="N99" s="527"/>
      <c r="O99" s="1425" t="s">
        <v>1687</v>
      </c>
      <c r="P99" s="1426"/>
      <c r="Q99" s="1427"/>
    </row>
    <row r="100" spans="2:18" s="1040" customFormat="1" ht="13" x14ac:dyDescent="0.3">
      <c r="B100" s="533">
        <v>4</v>
      </c>
      <c r="C100" s="1247" t="s">
        <v>1689</v>
      </c>
      <c r="D100" s="1189"/>
      <c r="E100" s="1240">
        <v>3805</v>
      </c>
      <c r="F100" s="1240">
        <v>5576</v>
      </c>
      <c r="G100" s="1240">
        <v>7884</v>
      </c>
      <c r="H100" s="1240"/>
      <c r="I100" s="527"/>
      <c r="J100" s="527"/>
      <c r="K100" s="527"/>
      <c r="L100" s="527"/>
      <c r="M100" s="527"/>
      <c r="N100" s="527"/>
      <c r="O100" s="1425" t="s">
        <v>1687</v>
      </c>
      <c r="P100" s="1426"/>
      <c r="Q100" s="1427"/>
    </row>
    <row r="101" spans="2:18" s="1040" customFormat="1" ht="13" x14ac:dyDescent="0.3">
      <c r="B101" s="533">
        <v>5</v>
      </c>
      <c r="C101" s="1247" t="s">
        <v>1690</v>
      </c>
      <c r="D101" s="1189"/>
      <c r="E101" s="1240"/>
      <c r="F101" s="1240"/>
      <c r="G101" s="1240">
        <v>3902</v>
      </c>
      <c r="H101" s="1240"/>
      <c r="I101" s="527"/>
      <c r="J101" s="527"/>
      <c r="K101" s="527"/>
      <c r="L101" s="527"/>
      <c r="M101" s="527"/>
      <c r="N101" s="527"/>
      <c r="O101" s="1425" t="s">
        <v>1687</v>
      </c>
      <c r="P101" s="1426"/>
      <c r="Q101" s="1427"/>
    </row>
    <row r="102" spans="2:18" s="1040" customFormat="1" ht="13" x14ac:dyDescent="0.3">
      <c r="B102" s="533">
        <v>6</v>
      </c>
      <c r="C102" s="1247"/>
      <c r="D102" s="600"/>
      <c r="E102" s="1240"/>
      <c r="F102" s="1240"/>
      <c r="G102" s="1240"/>
      <c r="H102" s="1240"/>
      <c r="I102" s="527"/>
      <c r="J102" s="527"/>
      <c r="K102" s="527"/>
      <c r="L102" s="527"/>
      <c r="M102" s="527"/>
      <c r="N102" s="527"/>
      <c r="O102" s="1425"/>
      <c r="P102" s="1426"/>
      <c r="Q102" s="1427"/>
    </row>
    <row r="103" spans="2:18" s="1040" customFormat="1" ht="13" x14ac:dyDescent="0.3">
      <c r="B103" s="533">
        <v>7</v>
      </c>
      <c r="C103" s="1247"/>
      <c r="D103" s="600"/>
      <c r="E103" s="1240"/>
      <c r="F103" s="1240"/>
      <c r="G103" s="1240"/>
      <c r="H103" s="1240"/>
      <c r="I103" s="1240"/>
      <c r="J103" s="527"/>
      <c r="K103" s="527"/>
      <c r="L103" s="527"/>
      <c r="M103" s="527"/>
      <c r="N103" s="527"/>
      <c r="O103" s="1425"/>
      <c r="P103" s="1426"/>
      <c r="Q103" s="1427"/>
    </row>
    <row r="104" spans="2:18" s="1040" customFormat="1" ht="13" x14ac:dyDescent="0.3">
      <c r="B104" s="533">
        <v>8</v>
      </c>
      <c r="C104" s="1247"/>
      <c r="D104" s="600"/>
      <c r="E104" s="1240"/>
      <c r="F104" s="1240"/>
      <c r="G104" s="1240"/>
      <c r="H104" s="1240"/>
      <c r="I104" s="1240"/>
      <c r="J104" s="527"/>
      <c r="K104" s="527"/>
      <c r="L104" s="527"/>
      <c r="M104" s="527"/>
      <c r="N104" s="527"/>
      <c r="O104" s="1425"/>
      <c r="P104" s="1426"/>
      <c r="Q104" s="1427"/>
    </row>
    <row r="105" spans="2:18" s="1040" customFormat="1" ht="13" x14ac:dyDescent="0.3">
      <c r="B105" s="533">
        <v>9</v>
      </c>
      <c r="C105" s="1247"/>
      <c r="D105" s="600"/>
      <c r="E105" s="1240"/>
      <c r="F105" s="1240"/>
      <c r="G105" s="1240"/>
      <c r="H105" s="1240"/>
      <c r="I105" s="1240"/>
      <c r="J105" s="527"/>
      <c r="K105" s="527"/>
      <c r="L105" s="527"/>
      <c r="M105" s="527"/>
      <c r="N105" s="527"/>
      <c r="O105" s="1425"/>
      <c r="P105" s="1426"/>
      <c r="Q105" s="1427"/>
    </row>
    <row r="106" spans="2:18" ht="13" x14ac:dyDescent="0.3">
      <c r="B106" s="533">
        <v>10</v>
      </c>
      <c r="C106" s="515"/>
      <c r="D106" s="1189"/>
      <c r="E106" s="1240"/>
      <c r="F106" s="1240"/>
      <c r="G106" s="1240"/>
      <c r="H106" s="1240"/>
      <c r="I106" s="528"/>
      <c r="J106" s="528"/>
      <c r="K106" s="528"/>
      <c r="L106" s="528"/>
      <c r="M106" s="528"/>
      <c r="N106" s="528"/>
      <c r="O106" s="1425"/>
      <c r="P106" s="1426"/>
      <c r="Q106" s="1427"/>
      <c r="R106" s="488"/>
    </row>
    <row r="107" spans="2:18" ht="13" x14ac:dyDescent="0.3">
      <c r="B107" s="533">
        <v>11</v>
      </c>
      <c r="C107" s="515"/>
      <c r="D107" s="1189"/>
      <c r="E107" s="1240"/>
      <c r="F107" s="1239"/>
      <c r="G107" s="529"/>
      <c r="H107" s="529"/>
      <c r="I107" s="528"/>
      <c r="J107" s="528"/>
      <c r="K107" s="528"/>
      <c r="L107" s="528"/>
      <c r="M107" s="528"/>
      <c r="N107" s="528"/>
      <c r="O107" s="1425"/>
      <c r="P107" s="1426"/>
      <c r="Q107" s="1427"/>
      <c r="R107" s="488"/>
    </row>
    <row r="108" spans="2:18" ht="13" x14ac:dyDescent="0.3">
      <c r="B108" s="533">
        <v>12</v>
      </c>
      <c r="C108" s="515"/>
      <c r="D108" s="1163"/>
      <c r="E108" s="1240"/>
      <c r="F108" s="1164"/>
      <c r="G108" s="1242"/>
      <c r="H108" s="1242"/>
      <c r="I108" s="1165"/>
      <c r="J108" s="1165"/>
      <c r="K108" s="1165"/>
      <c r="L108" s="1165"/>
      <c r="M108" s="1165"/>
      <c r="N108" s="1165"/>
      <c r="O108" s="1425"/>
      <c r="P108" s="1426"/>
      <c r="Q108" s="1427"/>
      <c r="R108" s="488"/>
    </row>
    <row r="109" spans="2:18" ht="13" x14ac:dyDescent="0.3">
      <c r="B109" s="533">
        <v>13</v>
      </c>
      <c r="C109" s="515"/>
      <c r="D109" s="1189"/>
      <c r="E109" s="1240"/>
      <c r="F109" s="1240"/>
      <c r="G109" s="1240"/>
      <c r="H109" s="1240"/>
      <c r="I109" s="528"/>
      <c r="J109" s="528"/>
      <c r="K109" s="528"/>
      <c r="L109" s="528"/>
      <c r="M109" s="528"/>
      <c r="N109" s="528"/>
      <c r="O109" s="1425"/>
      <c r="P109" s="1426"/>
      <c r="Q109" s="1427"/>
      <c r="R109" s="488"/>
    </row>
    <row r="110" spans="2:18" ht="13" x14ac:dyDescent="0.3">
      <c r="B110" s="533">
        <v>14</v>
      </c>
      <c r="C110" s="515"/>
      <c r="D110" s="1189"/>
      <c r="E110" s="530"/>
      <c r="F110" s="530"/>
      <c r="G110" s="530"/>
      <c r="H110" s="530"/>
      <c r="I110" s="528"/>
      <c r="J110" s="528"/>
      <c r="K110" s="528"/>
      <c r="L110" s="528"/>
      <c r="M110" s="528"/>
      <c r="N110" s="528"/>
      <c r="O110" s="1425"/>
      <c r="P110" s="1426"/>
      <c r="Q110" s="1427"/>
      <c r="R110" s="488"/>
    </row>
    <row r="111" spans="2:18" ht="13" x14ac:dyDescent="0.3">
      <c r="B111" s="533">
        <v>15</v>
      </c>
      <c r="C111" s="515"/>
      <c r="D111" s="1189"/>
      <c r="E111" s="530"/>
      <c r="F111" s="530"/>
      <c r="G111" s="530"/>
      <c r="H111" s="530"/>
      <c r="I111" s="528"/>
      <c r="J111" s="528"/>
      <c r="K111" s="528"/>
      <c r="L111" s="528"/>
      <c r="M111" s="528"/>
      <c r="N111" s="528"/>
      <c r="O111" s="1425"/>
      <c r="P111" s="1426"/>
      <c r="Q111" s="1427"/>
      <c r="R111" s="488"/>
    </row>
    <row r="112" spans="2:18" ht="13" x14ac:dyDescent="0.3">
      <c r="B112" s="533">
        <v>16</v>
      </c>
      <c r="C112" s="515"/>
      <c r="D112" s="1189"/>
      <c r="E112" s="530"/>
      <c r="F112" s="530"/>
      <c r="G112" s="530"/>
      <c r="H112" s="530"/>
      <c r="I112" s="528"/>
      <c r="J112" s="528"/>
      <c r="K112" s="528"/>
      <c r="L112" s="528"/>
      <c r="M112" s="528"/>
      <c r="N112" s="528"/>
      <c r="O112" s="1425"/>
      <c r="P112" s="1426"/>
      <c r="Q112" s="1427"/>
      <c r="R112" s="488"/>
    </row>
    <row r="113" spans="2:18" ht="13" x14ac:dyDescent="0.3">
      <c r="B113" s="533">
        <v>17</v>
      </c>
      <c r="C113" s="515"/>
      <c r="D113" s="1189"/>
      <c r="E113" s="530"/>
      <c r="F113" s="530"/>
      <c r="G113" s="530"/>
      <c r="H113" s="530"/>
      <c r="I113" s="528"/>
      <c r="J113" s="528"/>
      <c r="K113" s="528"/>
      <c r="L113" s="528"/>
      <c r="M113" s="528"/>
      <c r="N113" s="528"/>
      <c r="O113" s="1425"/>
      <c r="P113" s="1426"/>
      <c r="Q113" s="1427"/>
      <c r="R113" s="488"/>
    </row>
    <row r="114" spans="2:18" ht="13" x14ac:dyDescent="0.3">
      <c r="B114" s="533">
        <v>18</v>
      </c>
      <c r="C114" s="515"/>
      <c r="D114" s="1189"/>
      <c r="E114" s="530"/>
      <c r="F114" s="530"/>
      <c r="G114" s="530"/>
      <c r="H114" s="530"/>
      <c r="I114" s="528"/>
      <c r="J114" s="528"/>
      <c r="K114" s="528"/>
      <c r="L114" s="528"/>
      <c r="M114" s="528"/>
      <c r="N114" s="528"/>
      <c r="O114" s="1425"/>
      <c r="P114" s="1426"/>
      <c r="Q114" s="1427"/>
      <c r="R114" s="488"/>
    </row>
    <row r="115" spans="2:18" ht="13" x14ac:dyDescent="0.3">
      <c r="B115" s="533">
        <v>19</v>
      </c>
      <c r="C115" s="515"/>
      <c r="D115" s="1189"/>
      <c r="E115" s="530"/>
      <c r="F115" s="530"/>
      <c r="G115" s="530"/>
      <c r="H115" s="530"/>
      <c r="I115" s="528"/>
      <c r="J115" s="528"/>
      <c r="K115" s="528"/>
      <c r="L115" s="528"/>
      <c r="M115" s="528"/>
      <c r="N115" s="528"/>
      <c r="O115" s="1425"/>
      <c r="P115" s="1426"/>
      <c r="Q115" s="1427"/>
      <c r="R115" s="488"/>
    </row>
    <row r="116" spans="2:18" ht="13" x14ac:dyDescent="0.3">
      <c r="B116" s="533">
        <v>20</v>
      </c>
      <c r="C116" s="515"/>
      <c r="D116" s="1189"/>
      <c r="E116" s="530"/>
      <c r="F116" s="530"/>
      <c r="G116" s="530"/>
      <c r="H116" s="530"/>
      <c r="I116" s="528"/>
      <c r="J116" s="528"/>
      <c r="K116" s="528"/>
      <c r="L116" s="528"/>
      <c r="M116" s="528"/>
      <c r="N116" s="528"/>
      <c r="O116" s="1425"/>
      <c r="P116" s="1426"/>
      <c r="Q116" s="1427"/>
      <c r="R116" s="488"/>
    </row>
  </sheetData>
  <sheetProtection algorithmName="SHA-512" hashValue="AE6ud+0ZzKG2NC1inb0f6LBl685WN24Kq1DNZ39yJvbC+OPt/f0G5IwC2qDz7pbRr71muZdt6w5COWbhbCFMow==" saltValue="VJzEgGYWZG/pkMXpajQ2Ew==" spinCount="100000" sheet="1" objects="1" scenarios="1" selectLockedCells="1" selectUnlockedCells="1"/>
  <mergeCells count="121">
    <mergeCell ref="D17:F17"/>
    <mergeCell ref="D18:F18"/>
    <mergeCell ref="B20:Q20"/>
    <mergeCell ref="C21:Q21"/>
    <mergeCell ref="C22:Q22"/>
    <mergeCell ref="C23:Q23"/>
    <mergeCell ref="C2:F2"/>
    <mergeCell ref="C3:F3"/>
    <mergeCell ref="C4:F4"/>
    <mergeCell ref="C5:F5"/>
    <mergeCell ref="D7:F7"/>
    <mergeCell ref="D8:F16"/>
    <mergeCell ref="E32:Q32"/>
    <mergeCell ref="E33:Q33"/>
    <mergeCell ref="E34:Q34"/>
    <mergeCell ref="E35:Q35"/>
    <mergeCell ref="E36:Q36"/>
    <mergeCell ref="E37:Q37"/>
    <mergeCell ref="D25:Q25"/>
    <mergeCell ref="D26:Q26"/>
    <mergeCell ref="D27:Q27"/>
    <mergeCell ref="D28:Q28"/>
    <mergeCell ref="D29:Q29"/>
    <mergeCell ref="D30:Q30"/>
    <mergeCell ref="C44:M44"/>
    <mergeCell ref="P44:Q44"/>
    <mergeCell ref="C45:M45"/>
    <mergeCell ref="P45:Q45"/>
    <mergeCell ref="C47:M47"/>
    <mergeCell ref="P47:Q47"/>
    <mergeCell ref="C41:M41"/>
    <mergeCell ref="P41:Q41"/>
    <mergeCell ref="C42:M42"/>
    <mergeCell ref="P42:Q42"/>
    <mergeCell ref="C43:M43"/>
    <mergeCell ref="P43:Q43"/>
    <mergeCell ref="C51:M51"/>
    <mergeCell ref="P51:Q51"/>
    <mergeCell ref="C53:M53"/>
    <mergeCell ref="P53:Q53"/>
    <mergeCell ref="C54:M54"/>
    <mergeCell ref="P54:Q54"/>
    <mergeCell ref="C48:M48"/>
    <mergeCell ref="P48:Q48"/>
    <mergeCell ref="C49:M49"/>
    <mergeCell ref="P49:Q49"/>
    <mergeCell ref="C50:M50"/>
    <mergeCell ref="P50:Q50"/>
    <mergeCell ref="D61:E61"/>
    <mergeCell ref="J61:Q61"/>
    <mergeCell ref="D62:E62"/>
    <mergeCell ref="J62:Q62"/>
    <mergeCell ref="D63:E63"/>
    <mergeCell ref="J63:Q63"/>
    <mergeCell ref="C55:M55"/>
    <mergeCell ref="P55:Q55"/>
    <mergeCell ref="C56:M56"/>
    <mergeCell ref="P56:Q56"/>
    <mergeCell ref="C57:M57"/>
    <mergeCell ref="P57:Q57"/>
    <mergeCell ref="D67:E67"/>
    <mergeCell ref="J67:Q67"/>
    <mergeCell ref="D68:E68"/>
    <mergeCell ref="J68:Q68"/>
    <mergeCell ref="D69:E69"/>
    <mergeCell ref="J69:Q69"/>
    <mergeCell ref="D64:E64"/>
    <mergeCell ref="J64:Q64"/>
    <mergeCell ref="D65:E65"/>
    <mergeCell ref="J65:Q65"/>
    <mergeCell ref="D66:E66"/>
    <mergeCell ref="J66:Q66"/>
    <mergeCell ref="D73:E73"/>
    <mergeCell ref="J73:Q73"/>
    <mergeCell ref="D74:E74"/>
    <mergeCell ref="J74:Q74"/>
    <mergeCell ref="D75:E75"/>
    <mergeCell ref="J75:Q75"/>
    <mergeCell ref="D70:E70"/>
    <mergeCell ref="J70:Q70"/>
    <mergeCell ref="D71:E71"/>
    <mergeCell ref="J71:Q71"/>
    <mergeCell ref="D72:E72"/>
    <mergeCell ref="J72:Q72"/>
    <mergeCell ref="F84:Q84"/>
    <mergeCell ref="F85:Q85"/>
    <mergeCell ref="F86:Q86"/>
    <mergeCell ref="F87:Q87"/>
    <mergeCell ref="F88:Q88"/>
    <mergeCell ref="F89:Q89"/>
    <mergeCell ref="D76:E76"/>
    <mergeCell ref="J76:Q76"/>
    <mergeCell ref="F80:Q80"/>
    <mergeCell ref="F81:Q81"/>
    <mergeCell ref="F82:Q82"/>
    <mergeCell ref="F83:Q83"/>
    <mergeCell ref="O97:Q97"/>
    <mergeCell ref="O98:Q98"/>
    <mergeCell ref="O99:Q99"/>
    <mergeCell ref="F90:Q90"/>
    <mergeCell ref="E94:N94"/>
    <mergeCell ref="O94:Q96"/>
    <mergeCell ref="B95:D95"/>
    <mergeCell ref="C96:D96"/>
    <mergeCell ref="O102:Q102"/>
    <mergeCell ref="O116:Q116"/>
    <mergeCell ref="O110:Q110"/>
    <mergeCell ref="O111:Q111"/>
    <mergeCell ref="O112:Q112"/>
    <mergeCell ref="O113:Q113"/>
    <mergeCell ref="O114:Q114"/>
    <mergeCell ref="O115:Q115"/>
    <mergeCell ref="O100:Q100"/>
    <mergeCell ref="O101:Q101"/>
    <mergeCell ref="O106:Q106"/>
    <mergeCell ref="O107:Q107"/>
    <mergeCell ref="O108:Q108"/>
    <mergeCell ref="O109:Q109"/>
    <mergeCell ref="O103:Q103"/>
    <mergeCell ref="O104:Q104"/>
    <mergeCell ref="O105:Q105"/>
  </mergeCells>
  <conditionalFormatting sqref="F109:F116 G106:H116 E106:E109 E103:I105 E97:H102">
    <cfRule type="expression" dxfId="2226" priority="31">
      <formula>IF(OR(#REF!="L",#REF!="C"),TRUE,FALSE)</formula>
    </cfRule>
  </conditionalFormatting>
  <conditionalFormatting sqref="E110:E116">
    <cfRule type="expression" dxfId="2225" priority="30">
      <formula>IF(OR(#REF!="L",#REF!="C"),TRUE,FALSE)</formula>
    </cfRule>
  </conditionalFormatting>
  <conditionalFormatting sqref="E95 G95 I95 K95 M95">
    <cfRule type="duplicateValues" dxfId="2224" priority="28"/>
  </conditionalFormatting>
  <conditionalFormatting sqref="F106 F98:F101 I106:N116 G100:G101">
    <cfRule type="expression" dxfId="2223" priority="18">
      <formula>IF(OR(#REF!="L",#REF!="C"),TRUE,FALSE)</formula>
    </cfRule>
  </conditionalFormatting>
  <conditionalFormatting sqref="G98:G99">
    <cfRule type="expression" dxfId="2222" priority="25">
      <formula>IF(OR(#REF!="L",#REF!="C"),TRUE,FALSE)</formula>
    </cfRule>
  </conditionalFormatting>
  <conditionalFormatting sqref="O102 O106:O116">
    <cfRule type="expression" dxfId="2221" priority="14">
      <formula>IF(OR(#REF!="L",#REF!="C"),TRUE,FALSE)</formula>
    </cfRule>
  </conditionalFormatting>
  <conditionalFormatting sqref="E96:N96">
    <cfRule type="duplicateValues" dxfId="2220" priority="13"/>
  </conditionalFormatting>
  <conditionalFormatting sqref="H65:H76">
    <cfRule type="expression" dxfId="2219" priority="12">
      <formula>IF(OR(#REF!="L",#REF!="C"),TRUE,FALSE)</formula>
    </cfRule>
  </conditionalFormatting>
  <conditionalFormatting sqref="H62">
    <cfRule type="expression" dxfId="2218" priority="11">
      <formula>IF(OR(#REF!="L",#REF!="C"),TRUE,FALSE)</formula>
    </cfRule>
  </conditionalFormatting>
  <conditionalFormatting sqref="H63">
    <cfRule type="expression" dxfId="2217" priority="10">
      <formula>IF(OR(#REF!="L",#REF!="C"),TRUE,FALSE)</formula>
    </cfRule>
  </conditionalFormatting>
  <conditionalFormatting sqref="H64">
    <cfRule type="expression" dxfId="2216" priority="9">
      <formula>IF(OR(#REF!="L",#REF!="C"),TRUE,FALSE)</formula>
    </cfRule>
  </conditionalFormatting>
  <conditionalFormatting sqref="O101">
    <cfRule type="expression" dxfId="2215" priority="8">
      <formula>IF(OR(#REF!="L",#REF!="C"),TRUE,FALSE)</formula>
    </cfRule>
  </conditionalFormatting>
  <conditionalFormatting sqref="O103">
    <cfRule type="expression" dxfId="2214" priority="7">
      <formula>IF(OR(#REF!="L",#REF!="C"),TRUE,FALSE)</formula>
    </cfRule>
  </conditionalFormatting>
  <conditionalFormatting sqref="O104">
    <cfRule type="expression" dxfId="2213" priority="6">
      <formula>IF(OR(#REF!="L",#REF!="C"),TRUE,FALSE)</formula>
    </cfRule>
  </conditionalFormatting>
  <conditionalFormatting sqref="O105">
    <cfRule type="expression" dxfId="2212" priority="5">
      <formula>IF(OR(#REF!="L",#REF!="C"),TRUE,FALSE)</formula>
    </cfRule>
  </conditionalFormatting>
  <conditionalFormatting sqref="O100">
    <cfRule type="expression" dxfId="2211" priority="4">
      <formula>IF(OR(#REF!="L",#REF!="C"),TRUE,FALSE)</formula>
    </cfRule>
  </conditionalFormatting>
  <conditionalFormatting sqref="O99">
    <cfRule type="expression" dxfId="2210" priority="3">
      <formula>IF(OR(#REF!="L",#REF!="C"),TRUE,FALSE)</formula>
    </cfRule>
  </conditionalFormatting>
  <conditionalFormatting sqref="O98">
    <cfRule type="expression" dxfId="2209" priority="2">
      <formula>IF(OR(#REF!="L",#REF!="C"),TRUE,FALSE)</formula>
    </cfRule>
  </conditionalFormatting>
  <conditionalFormatting sqref="O97">
    <cfRule type="expression" dxfId="2208" priority="1">
      <formula>IF(OR(#REF!="L",#REF!="C"),TRUE,FALSE)</formula>
    </cfRule>
  </conditionalFormatting>
  <dataValidations count="8">
    <dataValidation type="list" allowBlank="1" showInputMessage="1" showErrorMessage="1" sqref="C4" xr:uid="{0F877CD3-4320-43D6-AF4D-EE36E2F984E9}">
      <formula1>"COM,RES"</formula1>
    </dataValidation>
    <dataValidation type="list" allowBlank="1" showInputMessage="1" showErrorMessage="1" sqref="H62" xr:uid="{32BF85B6-5120-4AF9-8A53-12987431219D}">
      <formula1>$C$97:$C$116</formula1>
    </dataValidation>
    <dataValidation type="list" allowBlank="1" showInputMessage="1" showErrorMessage="1" sqref="H63" xr:uid="{12E062A8-1431-4C02-852F-7A3B06875B08}">
      <formula1>$E$96:$N$96</formula1>
    </dataValidation>
    <dataValidation type="list" allowBlank="1" showInputMessage="1" showErrorMessage="1" sqref="C9" xr:uid="{1F7A0318-3175-4EA9-BB66-ACE5455BF126}">
      <formula1>INDIRECT("MeasureTypeList[Index]")</formula1>
    </dataValidation>
    <dataValidation type="list" allowBlank="1" showInputMessage="1" showErrorMessage="1" sqref="C26" xr:uid="{24521FC4-7558-449F-8C55-0AF106DA5993}">
      <formula1>INDIRECT("RegionList[Index]")</formula1>
    </dataValidation>
    <dataValidation type="list" allowBlank="1" showInputMessage="1" showErrorMessage="1" sqref="C27" xr:uid="{E53F465A-4C62-4AD2-AF49-563F8B0B4213}">
      <formula1>INDIRECT("ReplacementTypeList[Index]")</formula1>
    </dataValidation>
    <dataValidation type="list" allowBlank="1" showInputMessage="1" showErrorMessage="1" sqref="C28" xr:uid="{81E1024C-0AC5-4928-8A44-E51A5194A179}">
      <formula1>INDIRECT("BuildingType[Building]")</formula1>
    </dataValidation>
    <dataValidation type="list" allowBlank="1" showInputMessage="1" showErrorMessage="1" sqref="C29 C30" xr:uid="{A053AC93-E868-4F9D-819C-CCB3EF89B207}">
      <formula1>INDIRECT("FuelTypeList[Index]")</formula1>
    </dataValidation>
  </dataValidations>
  <hyperlinks>
    <hyperlink ref="F83" r:id="rId1" xr:uid="{DC39838A-5F83-404C-976C-4BF260DBD94A}"/>
    <hyperlink ref="F85" r:id="rId2" xr:uid="{0FE21A97-9458-42CA-BDFB-B045D213B6ED}"/>
    <hyperlink ref="F84" r:id="rId3" xr:uid="{0C2147D0-F4E1-49A1-A2D3-51376F4C9BBB}"/>
    <hyperlink ref="F82" r:id="rId4" xr:uid="{73ACD168-C1A8-4E7C-8425-2CBE822EBC8F}"/>
  </hyperlinks>
  <pageMargins left="0.7" right="0.7" top="0.75" bottom="0.75" header="0.3" footer="0.3"/>
  <pageSetup orientation="portrait" r:id="rId5"/>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2DC7A-C361-4815-AA42-604C9D294B17}">
  <sheetPr codeName="Sheet47"/>
  <dimension ref="A2:R164"/>
  <sheetViews>
    <sheetView topLeftCell="A64" workbookViewId="0">
      <selection activeCell="C106" sqref="C106"/>
    </sheetView>
  </sheetViews>
  <sheetFormatPr defaultColWidth="9.08984375" defaultRowHeight="18.75" customHeight="1" x14ac:dyDescent="0.3"/>
  <cols>
    <col min="1" max="1" width="2.36328125" style="488" customWidth="1"/>
    <col min="2" max="2" width="33.26953125" style="488" customWidth="1"/>
    <col min="3" max="3" width="24.36328125" style="488" customWidth="1"/>
    <col min="4" max="4" width="21.6328125" style="488" customWidth="1"/>
    <col min="5" max="5" width="15" style="488" customWidth="1"/>
    <col min="6" max="6" width="15.6328125" style="488" customWidth="1"/>
    <col min="7" max="7" width="19.6328125" style="488" customWidth="1"/>
    <col min="8" max="8" width="16" style="488" customWidth="1"/>
    <col min="9" max="10" width="17.6328125" style="488" customWidth="1"/>
    <col min="11" max="12" width="9.08984375" style="488"/>
    <col min="13" max="13" width="11" style="488" customWidth="1"/>
    <col min="14" max="14" width="12.36328125" style="488" customWidth="1"/>
    <col min="15" max="15" width="10.6328125" style="488" customWidth="1"/>
    <col min="16" max="16" width="17" style="488" customWidth="1"/>
    <col min="17" max="17" width="15.81640625" style="488" customWidth="1"/>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C-R-004</v>
      </c>
      <c r="D3" s="1367"/>
      <c r="E3" s="1367"/>
      <c r="F3" s="1367"/>
    </row>
    <row r="4" spans="1:18" ht="18.75" customHeight="1" x14ac:dyDescent="0.3">
      <c r="B4" s="490" t="s">
        <v>11</v>
      </c>
      <c r="C4" s="1367" t="str" cm="1">
        <f t="array" ref="C4">_xlfn.SWITCH(LEFT(C8,1),"R","Residential","C","Commercial","ERROR")</f>
        <v>Commercial</v>
      </c>
      <c r="D4" s="1367"/>
      <c r="E4" s="1367"/>
      <c r="F4" s="1367"/>
    </row>
    <row r="5" spans="1:18" ht="19.5" customHeight="1" x14ac:dyDescent="0.3">
      <c r="B5" s="490" t="s">
        <v>408</v>
      </c>
      <c r="C5" s="1530" t="s">
        <v>284</v>
      </c>
      <c r="D5" s="1531"/>
      <c r="E5" s="1531"/>
      <c r="F5" s="1532"/>
      <c r="R5" s="488"/>
    </row>
    <row r="6" spans="1:18" ht="18.75" customHeight="1" x14ac:dyDescent="0.3">
      <c r="A6" s="573"/>
    </row>
    <row r="7" spans="1:18" ht="18.75" customHeight="1" x14ac:dyDescent="0.3">
      <c r="B7" s="1193" t="s">
        <v>409</v>
      </c>
      <c r="C7" s="1192" t="s">
        <v>406</v>
      </c>
      <c r="D7" s="2009" t="s">
        <v>410</v>
      </c>
      <c r="E7" s="2010"/>
      <c r="F7" s="2011"/>
      <c r="R7" s="488"/>
    </row>
    <row r="8" spans="1:18" ht="18.75" customHeight="1" x14ac:dyDescent="0.3">
      <c r="B8" s="490" t="s">
        <v>411</v>
      </c>
      <c r="C8" s="1218" t="s">
        <v>126</v>
      </c>
      <c r="D8" s="1957"/>
      <c r="E8" s="1957"/>
      <c r="F8" s="1957"/>
      <c r="R8" s="488"/>
    </row>
    <row r="9" spans="1:18" ht="33.75" customHeight="1" x14ac:dyDescent="0.3">
      <c r="B9" s="490" t="s">
        <v>49</v>
      </c>
      <c r="C9" s="1218" t="s">
        <v>1691</v>
      </c>
      <c r="D9" s="1957"/>
      <c r="E9" s="1957"/>
      <c r="F9" s="1957"/>
      <c r="R9" s="488"/>
    </row>
    <row r="10" spans="1:18" ht="18.75" customHeight="1" x14ac:dyDescent="0.3">
      <c r="B10" s="490" t="s">
        <v>412</v>
      </c>
      <c r="C10" s="1218"/>
      <c r="D10" s="1957"/>
      <c r="E10" s="1957"/>
      <c r="F10" s="1957"/>
      <c r="R10" s="488"/>
    </row>
    <row r="11" spans="1:18" ht="18.75" customHeight="1" x14ac:dyDescent="0.3">
      <c r="B11" s="490" t="s">
        <v>413</v>
      </c>
      <c r="C11" s="1218"/>
      <c r="D11" s="1957"/>
      <c r="E11" s="1957"/>
      <c r="F11" s="1957"/>
      <c r="R11" s="488"/>
    </row>
    <row r="12" spans="1:18" ht="18.75" customHeight="1" x14ac:dyDescent="0.3">
      <c r="B12" s="490" t="s">
        <v>414</v>
      </c>
      <c r="C12" s="665"/>
      <c r="D12" s="1957"/>
      <c r="E12" s="1957"/>
      <c r="F12" s="1957"/>
      <c r="R12" s="488"/>
    </row>
    <row r="13" spans="1:18" ht="18.75" customHeight="1" x14ac:dyDescent="0.3">
      <c r="B13" s="494" t="s">
        <v>415</v>
      </c>
      <c r="C13" s="1044">
        <f>N43</f>
        <v>339.43484999999998</v>
      </c>
      <c r="D13" s="1957"/>
      <c r="E13" s="1957"/>
      <c r="F13" s="1957"/>
      <c r="R13" s="488"/>
    </row>
    <row r="14" spans="1:18" ht="18.75" customHeight="1" x14ac:dyDescent="0.3">
      <c r="B14" s="494" t="s">
        <v>416</v>
      </c>
      <c r="C14" s="658">
        <f>N42</f>
        <v>0</v>
      </c>
      <c r="D14" s="1957"/>
      <c r="E14" s="1957"/>
      <c r="F14" s="1957"/>
      <c r="R14" s="488"/>
    </row>
    <row r="15" spans="1:18" ht="18.75" customHeight="1" x14ac:dyDescent="0.3">
      <c r="B15" s="494" t="s">
        <v>417</v>
      </c>
      <c r="C15" s="658">
        <f>N44</f>
        <v>0</v>
      </c>
      <c r="D15" s="1957"/>
      <c r="E15" s="1957"/>
      <c r="F15" s="1957"/>
      <c r="R15" s="488"/>
    </row>
    <row r="16" spans="1:18" ht="18.75" customHeight="1" x14ac:dyDescent="0.3">
      <c r="B16" s="494" t="s">
        <v>418</v>
      </c>
      <c r="C16" s="659">
        <f>C37</f>
        <v>0</v>
      </c>
      <c r="D16" s="1957"/>
      <c r="E16" s="1957"/>
      <c r="F16" s="1957"/>
      <c r="R16" s="488"/>
    </row>
    <row r="17" spans="2:18" ht="18.75" customHeight="1" x14ac:dyDescent="0.3">
      <c r="B17" s="490" t="s">
        <v>48</v>
      </c>
      <c r="C17" s="1218" t="s">
        <v>1692</v>
      </c>
      <c r="D17" s="2009" t="s">
        <v>419</v>
      </c>
      <c r="E17" s="2010"/>
      <c r="F17" s="2011"/>
      <c r="R17" s="488"/>
    </row>
    <row r="18" spans="2:18" ht="33" customHeight="1" x14ac:dyDescent="0.3">
      <c r="B18" s="490" t="s">
        <v>420</v>
      </c>
      <c r="C18" s="666">
        <v>10</v>
      </c>
      <c r="D18" s="1513" t="s">
        <v>1693</v>
      </c>
      <c r="E18" s="1513"/>
      <c r="F18" s="1513"/>
      <c r="R18" s="488"/>
    </row>
    <row r="19" spans="2:18" ht="18.75" customHeight="1" x14ac:dyDescent="0.3">
      <c r="B19" s="613"/>
      <c r="C19" s="614"/>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32.25" customHeight="1" x14ac:dyDescent="0.3">
      <c r="B21" s="499" t="s">
        <v>422</v>
      </c>
      <c r="C21" s="1546" t="s">
        <v>285</v>
      </c>
      <c r="D21" s="1546"/>
      <c r="E21" s="1546"/>
      <c r="F21" s="1546"/>
      <c r="G21" s="1546"/>
      <c r="H21" s="1546"/>
      <c r="I21" s="1546"/>
      <c r="J21" s="1546"/>
      <c r="K21" s="1546"/>
      <c r="L21" s="1546"/>
      <c r="M21" s="1546"/>
      <c r="N21" s="1546"/>
      <c r="O21" s="1546"/>
      <c r="P21" s="1546"/>
      <c r="Q21" s="1546"/>
    </row>
    <row r="22" spans="2:18" ht="69" customHeight="1" x14ac:dyDescent="0.3">
      <c r="B22" s="500" t="s">
        <v>423</v>
      </c>
      <c r="C22" s="1536" t="s">
        <v>286</v>
      </c>
      <c r="D22" s="1536"/>
      <c r="E22" s="1536"/>
      <c r="F22" s="1536"/>
      <c r="G22" s="1536"/>
      <c r="H22" s="1536"/>
      <c r="I22" s="1536"/>
      <c r="J22" s="1536"/>
      <c r="K22" s="1536"/>
      <c r="L22" s="1536"/>
      <c r="M22" s="1536"/>
      <c r="N22" s="1536"/>
      <c r="O22" s="1536"/>
      <c r="P22" s="1536"/>
      <c r="Q22" s="1536"/>
    </row>
    <row r="23" spans="2:18" ht="32.25" customHeight="1" x14ac:dyDescent="0.3">
      <c r="B23" s="500" t="s">
        <v>424</v>
      </c>
      <c r="C23" s="1536"/>
      <c r="D23" s="1536"/>
      <c r="E23" s="1536"/>
      <c r="F23" s="1536"/>
      <c r="G23" s="1536"/>
      <c r="H23" s="1536"/>
      <c r="I23" s="1536"/>
      <c r="J23" s="1536"/>
      <c r="K23" s="1536"/>
      <c r="L23" s="1536"/>
      <c r="M23" s="1536"/>
      <c r="N23" s="1536"/>
      <c r="O23" s="1536"/>
      <c r="P23" s="1536"/>
      <c r="Q23" s="1536"/>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512"/>
      <c r="F33" s="1512"/>
      <c r="G33" s="1512"/>
      <c r="H33" s="1512"/>
      <c r="I33" s="1512"/>
      <c r="J33" s="1512"/>
      <c r="K33" s="1512"/>
      <c r="L33" s="1512"/>
      <c r="M33" s="1512"/>
      <c r="N33" s="1512"/>
      <c r="O33" s="1512"/>
      <c r="P33" s="1512"/>
      <c r="Q33" s="1512"/>
      <c r="R33" s="488"/>
    </row>
    <row r="34" spans="2:18" ht="18.75" customHeight="1" x14ac:dyDescent="0.3">
      <c r="B34" s="494" t="s">
        <v>431</v>
      </c>
      <c r="C34" s="542"/>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504">
        <f>SUM(C33:C34)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504">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4">
        <f>N49+N55</f>
        <v>339.43484999999998</v>
      </c>
      <c r="O43" s="1243" t="s">
        <v>443</v>
      </c>
      <c r="P43" s="1511" t="s">
        <v>1693</v>
      </c>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v>
      </c>
      <c r="O44" s="1243" t="s">
        <v>446</v>
      </c>
      <c r="P44" s="1511" t="s">
        <v>1693</v>
      </c>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1694</v>
      </c>
      <c r="D49" s="1505"/>
      <c r="E49" s="1505"/>
      <c r="F49" s="1505"/>
      <c r="G49" s="1505"/>
      <c r="H49" s="1505"/>
      <c r="I49" s="1505"/>
      <c r="J49" s="1505"/>
      <c r="K49" s="1505"/>
      <c r="L49" s="1505"/>
      <c r="M49" s="1506"/>
      <c r="N49" s="591">
        <f>H62*H66</f>
        <v>339.43484999999998</v>
      </c>
      <c r="O49" s="1243" t="s">
        <v>443</v>
      </c>
      <c r="P49" s="1511"/>
      <c r="Q49" s="1511"/>
      <c r="R49" s="488"/>
    </row>
    <row r="50" spans="2:18" ht="18.75" customHeight="1" x14ac:dyDescent="0.3">
      <c r="B50" s="582" t="s">
        <v>456</v>
      </c>
      <c r="C50" s="1504" t="s">
        <v>457</v>
      </c>
      <c r="D50" s="1505"/>
      <c r="E50" s="1505"/>
      <c r="F50" s="1505"/>
      <c r="G50" s="1505"/>
      <c r="H50" s="1505"/>
      <c r="I50" s="1505"/>
      <c r="J50" s="1505"/>
      <c r="K50" s="1505"/>
      <c r="L50" s="1505"/>
      <c r="M50" s="1506"/>
      <c r="N50" s="591"/>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467</v>
      </c>
      <c r="D56" s="1505"/>
      <c r="E56" s="1505"/>
      <c r="F56" s="1505"/>
      <c r="G56" s="1505"/>
      <c r="H56" s="1505"/>
      <c r="I56" s="1505"/>
      <c r="J56" s="1505"/>
      <c r="K56" s="1505"/>
      <c r="L56" s="1505"/>
      <c r="M56" s="1506"/>
      <c r="N56" s="594"/>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1188" t="s">
        <v>406</v>
      </c>
      <c r="I61" s="1188" t="s">
        <v>428</v>
      </c>
      <c r="J61" s="1396" t="s">
        <v>476</v>
      </c>
      <c r="K61" s="1397"/>
      <c r="L61" s="1397"/>
      <c r="M61" s="1397"/>
      <c r="N61" s="1397"/>
      <c r="O61" s="1397"/>
      <c r="P61" s="1397"/>
      <c r="Q61" s="1398"/>
    </row>
    <row r="62" spans="2:18" ht="46.5" customHeight="1" x14ac:dyDescent="0.3">
      <c r="B62" s="533">
        <v>1</v>
      </c>
      <c r="C62" s="546" t="s">
        <v>1695</v>
      </c>
      <c r="D62" s="1539" t="s">
        <v>1696</v>
      </c>
      <c r="E62" s="1539"/>
      <c r="F62" s="645" t="str">
        <f>IF(COUNTIF($C$145:$C$164,C28)&gt;0,C28,"Other")</f>
        <v>Other</v>
      </c>
      <c r="G62" s="1217" t="str">
        <f>H63&amp;" Motor Savings"</f>
        <v>9-12 Watt Motor Savings</v>
      </c>
      <c r="H62" s="572">
        <f>INDEX($C$144:$N$164,MATCH(F62,$C$144:$C$164,0),MATCH(G62,$C$144:$N$144,0))</f>
        <v>339.43484999999998</v>
      </c>
      <c r="I62" s="1217" t="s">
        <v>1697</v>
      </c>
      <c r="J62" s="1468" t="s">
        <v>1698</v>
      </c>
      <c r="K62" s="1478"/>
      <c r="L62" s="1478"/>
      <c r="M62" s="1478"/>
      <c r="N62" s="1478"/>
      <c r="O62" s="1478"/>
      <c r="P62" s="1478"/>
      <c r="Q62" s="1469"/>
      <c r="R62" s="488"/>
    </row>
    <row r="63" spans="2:18" ht="13" x14ac:dyDescent="0.3">
      <c r="B63" s="535">
        <v>2</v>
      </c>
      <c r="C63" s="551" t="s">
        <v>1699</v>
      </c>
      <c r="D63" s="1543" t="s">
        <v>1700</v>
      </c>
      <c r="E63" s="1543"/>
      <c r="F63" s="1041" t="str">
        <f>$C$28</f>
        <v>Other</v>
      </c>
      <c r="G63" s="552" t="str">
        <f>C63</f>
        <v>MotorSize</v>
      </c>
      <c r="H63" s="1037" t="s">
        <v>1701</v>
      </c>
      <c r="I63" s="552" t="s">
        <v>597</v>
      </c>
      <c r="J63" s="1482" t="s">
        <v>1702</v>
      </c>
      <c r="K63" s="1544"/>
      <c r="L63" s="1544"/>
      <c r="M63" s="1544"/>
      <c r="N63" s="1544"/>
      <c r="O63" s="1544"/>
      <c r="P63" s="1544"/>
      <c r="Q63" s="1545"/>
      <c r="R63" s="488"/>
    </row>
    <row r="64" spans="2:18" ht="13" x14ac:dyDescent="0.3">
      <c r="B64" s="533">
        <v>3</v>
      </c>
      <c r="C64" s="546" t="s">
        <v>1703</v>
      </c>
      <c r="D64" s="1539" t="s">
        <v>1704</v>
      </c>
      <c r="E64" s="1539"/>
      <c r="F64" s="609"/>
      <c r="G64" s="1217"/>
      <c r="H64" s="645" t="s">
        <v>923</v>
      </c>
      <c r="I64" s="1238" t="s">
        <v>597</v>
      </c>
      <c r="J64" s="1468" t="s">
        <v>1693</v>
      </c>
      <c r="K64" s="1478"/>
      <c r="L64" s="1478"/>
      <c r="M64" s="1478"/>
      <c r="N64" s="1478"/>
      <c r="O64" s="1478"/>
      <c r="P64" s="1478"/>
      <c r="Q64" s="1469"/>
      <c r="R64" s="488"/>
    </row>
    <row r="65" spans="2:18" ht="13" x14ac:dyDescent="0.3">
      <c r="B65" s="533">
        <v>4</v>
      </c>
      <c r="C65" s="549" t="s">
        <v>1705</v>
      </c>
      <c r="D65" s="1556" t="s">
        <v>1706</v>
      </c>
      <c r="E65" s="1556"/>
      <c r="F65" s="762"/>
      <c r="G65" s="1238"/>
      <c r="H65" s="1045" t="s">
        <v>923</v>
      </c>
      <c r="I65" s="1238" t="s">
        <v>597</v>
      </c>
      <c r="J65" s="1468" t="s">
        <v>1693</v>
      </c>
      <c r="K65" s="1478"/>
      <c r="L65" s="1478"/>
      <c r="M65" s="1478"/>
      <c r="N65" s="1478"/>
      <c r="O65" s="1478"/>
      <c r="P65" s="1478"/>
      <c r="Q65" s="1469"/>
      <c r="R65" s="488"/>
    </row>
    <row r="66" spans="2:18" ht="13" x14ac:dyDescent="0.3">
      <c r="B66" s="535">
        <v>5</v>
      </c>
      <c r="C66" s="551" t="s">
        <v>1707</v>
      </c>
      <c r="D66" s="1543" t="s">
        <v>1708</v>
      </c>
      <c r="E66" s="1543"/>
      <c r="F66" s="1041"/>
      <c r="G66" s="552"/>
      <c r="H66" s="1037">
        <v>1</v>
      </c>
      <c r="I66" s="552" t="s">
        <v>1405</v>
      </c>
      <c r="J66" s="1482" t="s">
        <v>1709</v>
      </c>
      <c r="K66" s="1544"/>
      <c r="L66" s="1544"/>
      <c r="M66" s="1544"/>
      <c r="N66" s="1544"/>
      <c r="O66" s="1544"/>
      <c r="P66" s="1544"/>
      <c r="Q66" s="1545"/>
      <c r="R66" s="488"/>
    </row>
    <row r="67" spans="2:18" ht="41.25" customHeight="1" x14ac:dyDescent="0.3">
      <c r="B67" s="533">
        <v>6</v>
      </c>
      <c r="C67" s="546" t="s">
        <v>1710</v>
      </c>
      <c r="D67" s="1539" t="s">
        <v>1711</v>
      </c>
      <c r="E67" s="1539"/>
      <c r="F67" s="609" t="str">
        <f>H65</f>
        <v>Unkown</v>
      </c>
      <c r="G67" s="1217" t="str">
        <f>H64</f>
        <v>Unkown</v>
      </c>
      <c r="H67" s="645">
        <f>IF(H63="9-12 Watt",INDEX($C$96:$N$116,MATCH(F67,$C$96:$C$116,0),MATCH(G67,$B$96:$M$96,0)),INDEX($C$120:$N$140,MATCH(F67,$C$120:$C$140,0),MATCH(G67,$B$120:$M$120,0)))</f>
        <v>0</v>
      </c>
      <c r="I67" s="1217" t="s">
        <v>1697</v>
      </c>
      <c r="J67" s="1468" t="s">
        <v>1693</v>
      </c>
      <c r="K67" s="1478"/>
      <c r="L67" s="1478"/>
      <c r="M67" s="1478"/>
      <c r="N67" s="1478"/>
      <c r="O67" s="1478"/>
      <c r="P67" s="1478"/>
      <c r="Q67" s="1469"/>
      <c r="R67" s="488"/>
    </row>
    <row r="68" spans="2:18" ht="13" x14ac:dyDescent="0.3">
      <c r="B68" s="533">
        <v>7</v>
      </c>
      <c r="C68" s="546"/>
      <c r="D68" s="1539"/>
      <c r="E68" s="1539"/>
      <c r="F68" s="609"/>
      <c r="G68" s="1217"/>
      <c r="H68" s="645"/>
      <c r="I68" s="1217"/>
      <c r="J68" s="1468"/>
      <c r="K68" s="1478"/>
      <c r="L68" s="1478"/>
      <c r="M68" s="1478"/>
      <c r="N68" s="1478"/>
      <c r="O68" s="1478"/>
      <c r="P68" s="1478"/>
      <c r="Q68" s="1469"/>
      <c r="R68" s="488"/>
    </row>
    <row r="69" spans="2:18" ht="13" x14ac:dyDescent="0.3">
      <c r="B69" s="533">
        <v>8</v>
      </c>
      <c r="C69" s="546"/>
      <c r="D69" s="1539"/>
      <c r="E69" s="1539"/>
      <c r="F69" s="609"/>
      <c r="G69" s="1217"/>
      <c r="H69" s="645"/>
      <c r="I69" s="1217"/>
      <c r="J69" s="1468"/>
      <c r="K69" s="1478"/>
      <c r="L69" s="1478"/>
      <c r="M69" s="1478"/>
      <c r="N69" s="1478"/>
      <c r="O69" s="1478"/>
      <c r="P69" s="1478"/>
      <c r="Q69" s="1469"/>
      <c r="R69" s="488"/>
    </row>
    <row r="70" spans="2:18" ht="14.5" customHeight="1" x14ac:dyDescent="0.3">
      <c r="B70" s="533">
        <v>9</v>
      </c>
      <c r="C70" s="546"/>
      <c r="D70" s="1539"/>
      <c r="E70" s="1539"/>
      <c r="F70" s="609"/>
      <c r="G70" s="1217"/>
      <c r="H70" s="645"/>
      <c r="I70" s="1217"/>
      <c r="J70" s="1468"/>
      <c r="K70" s="1478"/>
      <c r="L70" s="1478"/>
      <c r="M70" s="1478"/>
      <c r="N70" s="1478"/>
      <c r="O70" s="1478"/>
      <c r="P70" s="1478"/>
      <c r="Q70" s="1469"/>
      <c r="R70" s="488"/>
    </row>
    <row r="71" spans="2:18" ht="15" customHeight="1" x14ac:dyDescent="0.3">
      <c r="B71" s="533">
        <v>10</v>
      </c>
      <c r="C71" s="546"/>
      <c r="D71" s="1539"/>
      <c r="E71" s="1539"/>
      <c r="F71" s="609"/>
      <c r="G71" s="1217"/>
      <c r="H71" s="645"/>
      <c r="I71" s="1217"/>
      <c r="J71" s="1468"/>
      <c r="K71" s="1478"/>
      <c r="L71" s="1478"/>
      <c r="M71" s="1478"/>
      <c r="N71" s="1478"/>
      <c r="O71" s="1478"/>
      <c r="P71" s="1478"/>
      <c r="Q71" s="1469"/>
      <c r="R71" s="488"/>
    </row>
    <row r="72" spans="2:18" ht="15" customHeight="1" x14ac:dyDescent="0.3">
      <c r="B72" s="533">
        <v>11</v>
      </c>
      <c r="C72" s="546"/>
      <c r="D72" s="1539"/>
      <c r="E72" s="1539"/>
      <c r="F72" s="609"/>
      <c r="G72" s="1217"/>
      <c r="H72" s="645"/>
      <c r="I72" s="1217"/>
      <c r="J72" s="1468"/>
      <c r="K72" s="1478"/>
      <c r="L72" s="1478"/>
      <c r="M72" s="1478"/>
      <c r="N72" s="1478"/>
      <c r="O72" s="1478"/>
      <c r="P72" s="1478"/>
      <c r="Q72" s="1469"/>
      <c r="R72" s="488"/>
    </row>
    <row r="73" spans="2:18" ht="15" customHeight="1" x14ac:dyDescent="0.3">
      <c r="B73" s="533">
        <v>12</v>
      </c>
      <c r="C73" s="546"/>
      <c r="D73" s="1539"/>
      <c r="E73" s="1539"/>
      <c r="F73" s="609"/>
      <c r="G73" s="1217"/>
      <c r="H73" s="645"/>
      <c r="I73" s="1217"/>
      <c r="J73" s="1468"/>
      <c r="K73" s="1478"/>
      <c r="L73" s="1478"/>
      <c r="M73" s="1478"/>
      <c r="N73" s="1478"/>
      <c r="O73" s="1478"/>
      <c r="P73" s="1478"/>
      <c r="Q73" s="1469"/>
      <c r="R73" s="488"/>
    </row>
    <row r="74" spans="2:18" ht="15" customHeight="1" x14ac:dyDescent="0.3">
      <c r="B74" s="533">
        <v>13</v>
      </c>
      <c r="C74" s="546"/>
      <c r="D74" s="1539"/>
      <c r="E74" s="1539"/>
      <c r="F74" s="609"/>
      <c r="G74" s="1217"/>
      <c r="H74" s="645"/>
      <c r="I74" s="1217"/>
      <c r="J74" s="1468"/>
      <c r="K74" s="1478"/>
      <c r="L74" s="1478"/>
      <c r="M74" s="1478"/>
      <c r="N74" s="1478"/>
      <c r="O74" s="1478"/>
      <c r="P74" s="1478"/>
      <c r="Q74" s="1469"/>
      <c r="R74" s="488"/>
    </row>
    <row r="75" spans="2:18" ht="15" customHeight="1" x14ac:dyDescent="0.3">
      <c r="B75" s="533">
        <v>14</v>
      </c>
      <c r="C75" s="546"/>
      <c r="D75" s="1539"/>
      <c r="E75" s="1539"/>
      <c r="F75" s="645"/>
      <c r="G75" s="1217"/>
      <c r="H75" s="645"/>
      <c r="I75" s="1217"/>
      <c r="J75" s="1468"/>
      <c r="K75" s="1478"/>
      <c r="L75" s="1478"/>
      <c r="M75" s="1478"/>
      <c r="N75" s="1478"/>
      <c r="O75" s="1478"/>
      <c r="P75" s="1478"/>
      <c r="Q75" s="1469"/>
      <c r="R75" s="488"/>
    </row>
    <row r="76" spans="2:18" ht="13" x14ac:dyDescent="0.3">
      <c r="B76" s="533">
        <v>15</v>
      </c>
      <c r="C76" s="546"/>
      <c r="D76" s="1539"/>
      <c r="E76" s="1539"/>
      <c r="F76" s="609"/>
      <c r="G76" s="1217"/>
      <c r="H76" s="645"/>
      <c r="I76" s="1217"/>
      <c r="J76" s="1468"/>
      <c r="K76" s="1478"/>
      <c r="L76" s="1478"/>
      <c r="M76" s="1478"/>
      <c r="N76" s="1478"/>
      <c r="O76" s="1478"/>
      <c r="P76" s="1478"/>
      <c r="Q76" s="1469"/>
      <c r="R76" s="488"/>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182"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182"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c r="R85" s="488"/>
    </row>
    <row r="86" spans="2:18" ht="13" x14ac:dyDescent="0.3">
      <c r="B86" s="533">
        <v>6</v>
      </c>
      <c r="C86" s="563"/>
      <c r="D86" s="564"/>
      <c r="E86" s="1182"/>
      <c r="F86" s="1489"/>
      <c r="G86" s="1490"/>
      <c r="H86" s="1490"/>
      <c r="I86" s="1490"/>
      <c r="J86" s="1490"/>
      <c r="K86" s="1490"/>
      <c r="L86" s="1490"/>
      <c r="M86" s="1490"/>
      <c r="N86" s="1490"/>
      <c r="O86" s="1490"/>
      <c r="P86" s="1490"/>
      <c r="Q86" s="1491"/>
      <c r="R86" s="488"/>
    </row>
    <row r="87" spans="2:18" ht="13" x14ac:dyDescent="0.3">
      <c r="B87" s="533">
        <v>7</v>
      </c>
      <c r="C87" s="563"/>
      <c r="D87" s="1233"/>
      <c r="E87" s="1182"/>
      <c r="F87" s="1489"/>
      <c r="G87" s="1490"/>
      <c r="H87" s="1490"/>
      <c r="I87" s="1490"/>
      <c r="J87" s="1490"/>
      <c r="K87" s="1490"/>
      <c r="L87" s="1490"/>
      <c r="M87" s="1490"/>
      <c r="N87" s="1490"/>
      <c r="O87" s="1490"/>
      <c r="P87" s="1490"/>
      <c r="Q87" s="1491"/>
      <c r="R87" s="488"/>
    </row>
    <row r="88" spans="2:18" ht="13" x14ac:dyDescent="0.3">
      <c r="B88" s="533">
        <v>8</v>
      </c>
      <c r="C88" s="563"/>
      <c r="D88" s="564"/>
      <c r="E88" s="1182"/>
      <c r="F88" s="1489"/>
      <c r="G88" s="1490"/>
      <c r="H88" s="1490"/>
      <c r="I88" s="1490"/>
      <c r="J88" s="1490"/>
      <c r="K88" s="1490"/>
      <c r="L88" s="1490"/>
      <c r="M88" s="1490"/>
      <c r="N88" s="1490"/>
      <c r="O88" s="1490"/>
      <c r="P88" s="1490"/>
      <c r="Q88" s="1491"/>
      <c r="R88" s="488"/>
    </row>
    <row r="89" spans="2:18" ht="13" x14ac:dyDescent="0.3">
      <c r="B89" s="533">
        <v>9</v>
      </c>
      <c r="C89" s="563"/>
      <c r="D89" s="1233"/>
      <c r="E89" s="1182"/>
      <c r="F89" s="1489"/>
      <c r="G89" s="1490"/>
      <c r="H89" s="1490"/>
      <c r="I89" s="1490"/>
      <c r="J89" s="1490"/>
      <c r="K89" s="1490"/>
      <c r="L89" s="1490"/>
      <c r="M89" s="1490"/>
      <c r="N89" s="1490"/>
      <c r="O89" s="1490"/>
      <c r="P89" s="1490"/>
      <c r="Q89" s="1491"/>
      <c r="R89" s="488"/>
    </row>
    <row r="90" spans="2:18" ht="13" x14ac:dyDescent="0.3">
      <c r="B90" s="533">
        <v>10</v>
      </c>
      <c r="C90" s="563"/>
      <c r="D90" s="564"/>
      <c r="E90" s="1182"/>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37.5" customHeight="1" x14ac:dyDescent="0.3">
      <c r="B95" s="1498" t="s">
        <v>1712</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08"/>
      <c r="Q95" s="1409"/>
      <c r="R95" s="488"/>
    </row>
    <row r="96" spans="2:18" ht="25.5" customHeight="1" x14ac:dyDescent="0.3">
      <c r="B96" s="1188" t="s">
        <v>478</v>
      </c>
      <c r="C96" s="1402" t="s">
        <v>505</v>
      </c>
      <c r="D96" s="1431"/>
      <c r="E96" s="565" t="s">
        <v>1713</v>
      </c>
      <c r="F96" s="565" t="s">
        <v>1714</v>
      </c>
      <c r="G96" s="565" t="s">
        <v>923</v>
      </c>
      <c r="H96" s="565"/>
      <c r="I96" s="565"/>
      <c r="J96" s="565"/>
      <c r="K96" s="565"/>
      <c r="L96" s="565"/>
      <c r="M96" s="565"/>
      <c r="N96" s="566"/>
      <c r="O96" s="1410"/>
      <c r="P96" s="1411"/>
      <c r="Q96" s="1412"/>
      <c r="R96" s="488"/>
    </row>
    <row r="97" spans="2:18" ht="45" customHeight="1" x14ac:dyDescent="0.3">
      <c r="B97" s="533">
        <v>1</v>
      </c>
      <c r="C97" s="546" t="s">
        <v>1715</v>
      </c>
      <c r="D97" s="546" t="s">
        <v>1716</v>
      </c>
      <c r="E97" s="567">
        <v>509.9</v>
      </c>
      <c r="F97" s="567">
        <v>412.1</v>
      </c>
      <c r="G97" s="567"/>
      <c r="H97" s="1190"/>
      <c r="I97" s="568"/>
      <c r="J97" s="568"/>
      <c r="K97" s="568"/>
      <c r="L97" s="568"/>
      <c r="M97" s="568"/>
      <c r="N97" s="568"/>
      <c r="O97" s="1495" t="s">
        <v>1693</v>
      </c>
      <c r="P97" s="1496"/>
      <c r="Q97" s="1497"/>
      <c r="R97" s="488"/>
    </row>
    <row r="98" spans="2:18" ht="13" x14ac:dyDescent="0.3">
      <c r="B98" s="533">
        <v>2</v>
      </c>
      <c r="C98" s="546" t="s">
        <v>1717</v>
      </c>
      <c r="D98" s="546" t="s">
        <v>1718</v>
      </c>
      <c r="E98" s="567">
        <v>94.1</v>
      </c>
      <c r="F98" s="567">
        <v>76</v>
      </c>
      <c r="G98" s="567"/>
      <c r="H98" s="1190"/>
      <c r="I98" s="568"/>
      <c r="J98" s="568"/>
      <c r="K98" s="568"/>
      <c r="L98" s="568"/>
      <c r="M98" s="568"/>
      <c r="N98" s="568"/>
      <c r="O98" s="1495" t="s">
        <v>1693</v>
      </c>
      <c r="P98" s="1496"/>
      <c r="Q98" s="1497"/>
      <c r="R98" s="488"/>
    </row>
    <row r="99" spans="2:18" ht="13" x14ac:dyDescent="0.3">
      <c r="B99" s="533">
        <v>3</v>
      </c>
      <c r="C99" s="546" t="s">
        <v>1719</v>
      </c>
      <c r="D99" s="546" t="s">
        <v>1719</v>
      </c>
      <c r="E99" s="567">
        <v>0</v>
      </c>
      <c r="F99" s="567">
        <v>0</v>
      </c>
      <c r="G99" s="567"/>
      <c r="H99" s="1190"/>
      <c r="I99" s="568"/>
      <c r="J99" s="568"/>
      <c r="K99" s="568"/>
      <c r="L99" s="568"/>
      <c r="M99" s="568"/>
      <c r="N99" s="568"/>
      <c r="O99" s="1495"/>
      <c r="P99" s="1496"/>
      <c r="Q99" s="1497"/>
      <c r="R99" s="488"/>
    </row>
    <row r="100" spans="2:18" ht="13" x14ac:dyDescent="0.3">
      <c r="B100" s="533">
        <v>4</v>
      </c>
      <c r="C100" s="546" t="s">
        <v>923</v>
      </c>
      <c r="D100" s="546"/>
      <c r="E100" s="618"/>
      <c r="F100" s="567"/>
      <c r="G100" s="567"/>
      <c r="H100" s="1190"/>
      <c r="I100" s="568"/>
      <c r="J100" s="568"/>
      <c r="K100" s="568"/>
      <c r="L100" s="568"/>
      <c r="M100" s="568"/>
      <c r="N100" s="568"/>
      <c r="O100" s="1495"/>
      <c r="P100" s="1496"/>
      <c r="Q100" s="1497"/>
      <c r="R100" s="488"/>
    </row>
    <row r="101" spans="2:18" ht="13" x14ac:dyDescent="0.3">
      <c r="B101" s="533">
        <v>5</v>
      </c>
      <c r="C101" s="546"/>
      <c r="D101" s="546"/>
      <c r="E101" s="567"/>
      <c r="F101" s="567"/>
      <c r="G101" s="567"/>
      <c r="H101" s="1190"/>
      <c r="I101" s="568"/>
      <c r="J101" s="568"/>
      <c r="K101" s="568"/>
      <c r="L101" s="568"/>
      <c r="M101" s="568"/>
      <c r="N101" s="568"/>
      <c r="O101" s="1495"/>
      <c r="P101" s="1496"/>
      <c r="Q101" s="1497"/>
      <c r="R101" s="488"/>
    </row>
    <row r="102" spans="2:18" ht="13" x14ac:dyDescent="0.3">
      <c r="B102" s="533">
        <v>6</v>
      </c>
      <c r="C102" s="546"/>
      <c r="D102" s="546"/>
      <c r="E102" s="567"/>
      <c r="F102" s="567"/>
      <c r="G102" s="567"/>
      <c r="H102" s="1190"/>
      <c r="I102" s="569"/>
      <c r="J102" s="569"/>
      <c r="K102" s="569"/>
      <c r="L102" s="569"/>
      <c r="M102" s="569"/>
      <c r="N102" s="569"/>
      <c r="O102" s="1495"/>
      <c r="P102" s="1496"/>
      <c r="Q102" s="1497"/>
      <c r="R102" s="488"/>
    </row>
    <row r="103" spans="2:18" ht="13" x14ac:dyDescent="0.3">
      <c r="B103" s="533">
        <v>7</v>
      </c>
      <c r="C103" s="546"/>
      <c r="D103" s="546"/>
      <c r="E103" s="567"/>
      <c r="F103" s="567"/>
      <c r="G103" s="567"/>
      <c r="H103" s="1190"/>
      <c r="I103" s="569"/>
      <c r="J103" s="569"/>
      <c r="K103" s="569"/>
      <c r="L103" s="569"/>
      <c r="M103" s="569"/>
      <c r="N103" s="569"/>
      <c r="O103" s="1495"/>
      <c r="P103" s="1496"/>
      <c r="Q103" s="1497"/>
      <c r="R103" s="488"/>
    </row>
    <row r="104" spans="2:18" ht="13" x14ac:dyDescent="0.3">
      <c r="B104" s="533">
        <v>8</v>
      </c>
      <c r="C104" s="546"/>
      <c r="D104" s="546"/>
      <c r="E104" s="567"/>
      <c r="F104" s="567"/>
      <c r="G104" s="567"/>
      <c r="H104" s="569"/>
      <c r="I104" s="569"/>
      <c r="J104" s="569"/>
      <c r="K104" s="569"/>
      <c r="L104" s="569"/>
      <c r="M104" s="569"/>
      <c r="N104" s="569"/>
      <c r="O104" s="1495"/>
      <c r="P104" s="1496"/>
      <c r="Q104" s="1497"/>
      <c r="R104" s="488"/>
    </row>
    <row r="105" spans="2:18" ht="13" x14ac:dyDescent="0.3">
      <c r="B105" s="533">
        <v>9</v>
      </c>
      <c r="C105" s="546"/>
      <c r="D105" s="546"/>
      <c r="E105" s="567"/>
      <c r="F105" s="567"/>
      <c r="G105" s="567"/>
      <c r="H105" s="1217"/>
      <c r="I105" s="569"/>
      <c r="J105" s="569"/>
      <c r="K105" s="569"/>
      <c r="L105" s="569"/>
      <c r="M105" s="569"/>
      <c r="N105" s="569"/>
      <c r="O105" s="1492"/>
      <c r="P105" s="1493"/>
      <c r="Q105" s="1494"/>
      <c r="R105" s="488"/>
    </row>
    <row r="106" spans="2:18" ht="13" x14ac:dyDescent="0.3">
      <c r="B106" s="533">
        <v>10</v>
      </c>
      <c r="C106" s="546"/>
      <c r="D106" s="546"/>
      <c r="E106" s="567"/>
      <c r="F106" s="567"/>
      <c r="G106" s="567"/>
      <c r="H106" s="1217"/>
      <c r="I106" s="569"/>
      <c r="J106" s="569"/>
      <c r="K106" s="569"/>
      <c r="L106" s="569"/>
      <c r="M106" s="569"/>
      <c r="N106" s="569"/>
      <c r="O106" s="1492"/>
      <c r="P106" s="1493"/>
      <c r="Q106" s="1494"/>
      <c r="R106" s="488"/>
    </row>
    <row r="107" spans="2:18" ht="13" x14ac:dyDescent="0.3">
      <c r="B107" s="533">
        <v>11</v>
      </c>
      <c r="C107" s="546"/>
      <c r="D107" s="546"/>
      <c r="E107" s="618"/>
      <c r="F107" s="567"/>
      <c r="G107" s="567"/>
      <c r="H107" s="571"/>
      <c r="I107" s="569"/>
      <c r="J107" s="569"/>
      <c r="K107" s="569"/>
      <c r="L107" s="569"/>
      <c r="M107" s="569"/>
      <c r="N107" s="569"/>
      <c r="O107" s="1492"/>
      <c r="P107" s="1493"/>
      <c r="Q107" s="1494"/>
      <c r="R107" s="488"/>
    </row>
    <row r="108" spans="2:18" ht="13" x14ac:dyDescent="0.3">
      <c r="B108" s="533">
        <v>12</v>
      </c>
      <c r="C108" s="546"/>
      <c r="D108" s="546"/>
      <c r="E108" s="567"/>
      <c r="F108" s="567"/>
      <c r="G108" s="567"/>
      <c r="H108" s="1217"/>
      <c r="I108" s="569"/>
      <c r="J108" s="569"/>
      <c r="K108" s="569"/>
      <c r="L108" s="569"/>
      <c r="M108" s="569"/>
      <c r="N108" s="569"/>
      <c r="O108" s="1492"/>
      <c r="P108" s="1493"/>
      <c r="Q108" s="1494"/>
      <c r="R108" s="488"/>
    </row>
    <row r="109" spans="2:18" ht="13" x14ac:dyDescent="0.3">
      <c r="B109" s="533">
        <v>13</v>
      </c>
      <c r="C109" s="546"/>
      <c r="D109" s="546"/>
      <c r="E109" s="567"/>
      <c r="F109" s="567"/>
      <c r="G109" s="567"/>
      <c r="H109" s="1217"/>
      <c r="I109" s="569"/>
      <c r="J109" s="569"/>
      <c r="K109" s="569"/>
      <c r="L109" s="569"/>
      <c r="M109" s="569"/>
      <c r="N109" s="569"/>
      <c r="O109" s="1492"/>
      <c r="P109" s="1493"/>
      <c r="Q109" s="1494"/>
      <c r="R109" s="488"/>
    </row>
    <row r="110" spans="2:18" ht="13" x14ac:dyDescent="0.3">
      <c r="B110" s="533">
        <v>14</v>
      </c>
      <c r="C110" s="546"/>
      <c r="D110" s="546"/>
      <c r="E110" s="567"/>
      <c r="F110" s="567"/>
      <c r="G110" s="567"/>
      <c r="H110" s="572"/>
      <c r="I110" s="569"/>
      <c r="J110" s="569"/>
      <c r="K110" s="569"/>
      <c r="L110" s="569"/>
      <c r="M110" s="569"/>
      <c r="N110" s="569"/>
      <c r="O110" s="1492"/>
      <c r="P110" s="1493"/>
      <c r="Q110" s="1494"/>
      <c r="R110" s="488"/>
    </row>
    <row r="111" spans="2:18" ht="13" x14ac:dyDescent="0.3">
      <c r="B111" s="533">
        <v>15</v>
      </c>
      <c r="C111" s="546"/>
      <c r="D111" s="546"/>
      <c r="E111" s="572"/>
      <c r="F111" s="572"/>
      <c r="G111" s="572"/>
      <c r="H111" s="572"/>
      <c r="I111" s="569"/>
      <c r="J111" s="569"/>
      <c r="K111" s="569"/>
      <c r="L111" s="569"/>
      <c r="M111" s="569"/>
      <c r="N111" s="569"/>
      <c r="O111" s="1492"/>
      <c r="P111" s="1493"/>
      <c r="Q111" s="1494"/>
      <c r="R111" s="488"/>
    </row>
    <row r="112" spans="2:18" ht="13" x14ac:dyDescent="0.3">
      <c r="B112" s="533">
        <v>16</v>
      </c>
      <c r="C112" s="546"/>
      <c r="D112" s="546"/>
      <c r="E112" s="572"/>
      <c r="F112" s="572"/>
      <c r="G112" s="572"/>
      <c r="H112" s="572"/>
      <c r="I112" s="569"/>
      <c r="J112" s="569"/>
      <c r="K112" s="569"/>
      <c r="L112" s="569"/>
      <c r="M112" s="569"/>
      <c r="N112" s="569"/>
      <c r="O112" s="1492"/>
      <c r="P112" s="1493"/>
      <c r="Q112" s="1494"/>
      <c r="R112" s="488"/>
    </row>
    <row r="113" spans="2:18" ht="13" x14ac:dyDescent="0.3">
      <c r="B113" s="533">
        <v>17</v>
      </c>
      <c r="C113" s="546"/>
      <c r="D113" s="546"/>
      <c r="E113" s="572"/>
      <c r="F113" s="572"/>
      <c r="G113" s="572"/>
      <c r="H113" s="572"/>
      <c r="I113" s="569"/>
      <c r="J113" s="569"/>
      <c r="K113" s="569"/>
      <c r="L113" s="569"/>
      <c r="M113" s="569"/>
      <c r="N113" s="569"/>
      <c r="O113" s="1492"/>
      <c r="P113" s="1493"/>
      <c r="Q113" s="1494"/>
      <c r="R113" s="488"/>
    </row>
    <row r="114" spans="2:18" ht="13" x14ac:dyDescent="0.3">
      <c r="B114" s="533">
        <v>18</v>
      </c>
      <c r="C114" s="546"/>
      <c r="D114" s="546"/>
      <c r="E114" s="572"/>
      <c r="F114" s="572"/>
      <c r="G114" s="572"/>
      <c r="H114" s="572"/>
      <c r="I114" s="569"/>
      <c r="J114" s="569"/>
      <c r="K114" s="569"/>
      <c r="L114" s="569"/>
      <c r="M114" s="569"/>
      <c r="N114" s="569"/>
      <c r="O114" s="1492"/>
      <c r="P114" s="1493"/>
      <c r="Q114" s="1494"/>
      <c r="R114" s="488"/>
    </row>
    <row r="115" spans="2:18" ht="13" x14ac:dyDescent="0.3">
      <c r="B115" s="533">
        <v>19</v>
      </c>
      <c r="C115" s="546"/>
      <c r="D115" s="546"/>
      <c r="E115" s="572"/>
      <c r="F115" s="572"/>
      <c r="G115" s="572"/>
      <c r="H115" s="572"/>
      <c r="I115" s="569"/>
      <c r="J115" s="569"/>
      <c r="K115" s="569"/>
      <c r="L115" s="569"/>
      <c r="M115" s="569"/>
      <c r="N115" s="569"/>
      <c r="O115" s="1492"/>
      <c r="P115" s="1493"/>
      <c r="Q115" s="1494"/>
      <c r="R115" s="488"/>
    </row>
    <row r="116" spans="2:18" ht="13" x14ac:dyDescent="0.3">
      <c r="B116" s="533">
        <v>20</v>
      </c>
      <c r="C116" s="546"/>
      <c r="D116" s="546"/>
      <c r="E116" s="572"/>
      <c r="F116" s="572"/>
      <c r="G116" s="572"/>
      <c r="H116" s="572"/>
      <c r="I116" s="569"/>
      <c r="J116" s="569"/>
      <c r="K116" s="569"/>
      <c r="L116" s="569"/>
      <c r="M116" s="569"/>
      <c r="N116" s="569"/>
      <c r="O116" s="1492"/>
      <c r="P116" s="1493"/>
      <c r="Q116" s="1494"/>
      <c r="R116" s="488"/>
    </row>
    <row r="117" spans="2:18" ht="18.75" customHeight="1" x14ac:dyDescent="0.3">
      <c r="R117" s="488"/>
    </row>
    <row r="118" spans="2:18" ht="18.75" customHeight="1" x14ac:dyDescent="0.3">
      <c r="B118" s="702" t="s">
        <v>493</v>
      </c>
      <c r="E118" s="1662" t="s">
        <v>494</v>
      </c>
      <c r="F118" s="1663"/>
      <c r="G118" s="1663"/>
      <c r="H118" s="1663"/>
      <c r="I118" s="1663"/>
      <c r="J118" s="1663"/>
      <c r="K118" s="1663"/>
      <c r="L118" s="1663"/>
      <c r="M118" s="1663"/>
      <c r="N118" s="1663"/>
      <c r="O118" s="1664" t="s">
        <v>476</v>
      </c>
      <c r="P118" s="1665"/>
      <c r="Q118" s="1666"/>
      <c r="R118" s="488"/>
    </row>
    <row r="119" spans="2:18" ht="37.5" customHeight="1" x14ac:dyDescent="0.3">
      <c r="B119" s="1673" t="s">
        <v>1720</v>
      </c>
      <c r="C119" s="1674"/>
      <c r="D119" s="1675"/>
      <c r="E119" s="703" t="s">
        <v>495</v>
      </c>
      <c r="F119" s="703" t="s">
        <v>496</v>
      </c>
      <c r="G119" s="703" t="s">
        <v>497</v>
      </c>
      <c r="H119" s="703" t="s">
        <v>498</v>
      </c>
      <c r="I119" s="703" t="s">
        <v>499</v>
      </c>
      <c r="J119" s="703" t="s">
        <v>500</v>
      </c>
      <c r="K119" s="703" t="s">
        <v>501</v>
      </c>
      <c r="L119" s="703" t="s">
        <v>502</v>
      </c>
      <c r="M119" s="703" t="s">
        <v>503</v>
      </c>
      <c r="N119" s="1213" t="s">
        <v>504</v>
      </c>
      <c r="O119" s="1667"/>
      <c r="P119" s="1702"/>
      <c r="Q119" s="1669"/>
      <c r="R119" s="488"/>
    </row>
    <row r="120" spans="2:18" ht="25.5" customHeight="1" x14ac:dyDescent="0.3">
      <c r="B120" s="704" t="s">
        <v>478</v>
      </c>
      <c r="C120" s="1662" t="s">
        <v>505</v>
      </c>
      <c r="D120" s="1676"/>
      <c r="E120" s="525" t="s">
        <v>1713</v>
      </c>
      <c r="F120" s="525" t="s">
        <v>1714</v>
      </c>
      <c r="G120" s="525" t="s">
        <v>923</v>
      </c>
      <c r="H120" s="525"/>
      <c r="I120" s="525"/>
      <c r="J120" s="525"/>
      <c r="K120" s="525"/>
      <c r="L120" s="525"/>
      <c r="M120" s="525"/>
      <c r="N120" s="1214"/>
      <c r="O120" s="1670"/>
      <c r="P120" s="1671"/>
      <c r="Q120" s="1672"/>
      <c r="R120" s="488"/>
    </row>
    <row r="121" spans="2:18" ht="45" customHeight="1" x14ac:dyDescent="0.3">
      <c r="B121" s="1240">
        <v>1</v>
      </c>
      <c r="C121" s="515" t="s">
        <v>1715</v>
      </c>
      <c r="D121" s="515" t="s">
        <v>1716</v>
      </c>
      <c r="E121" s="526">
        <v>1262.682</v>
      </c>
      <c r="F121" s="526">
        <v>1020.364</v>
      </c>
      <c r="G121" s="526"/>
      <c r="H121" s="1239"/>
      <c r="I121" s="527"/>
      <c r="J121" s="527"/>
      <c r="K121" s="527"/>
      <c r="L121" s="527"/>
      <c r="M121" s="527"/>
      <c r="N121" s="527"/>
      <c r="O121" s="1422" t="s">
        <v>1693</v>
      </c>
      <c r="P121" s="1423"/>
      <c r="Q121" s="1424"/>
      <c r="R121" s="488"/>
    </row>
    <row r="122" spans="2:18" ht="13" x14ac:dyDescent="0.3">
      <c r="B122" s="1240">
        <v>2</v>
      </c>
      <c r="C122" s="515" t="s">
        <v>1719</v>
      </c>
      <c r="D122" s="515" t="s">
        <v>1721</v>
      </c>
      <c r="E122" s="526">
        <v>365.75299999999999</v>
      </c>
      <c r="F122" s="526">
        <v>295.56200000000001</v>
      </c>
      <c r="G122" s="526"/>
      <c r="H122" s="1239"/>
      <c r="I122" s="527"/>
      <c r="J122" s="527"/>
      <c r="K122" s="527"/>
      <c r="L122" s="527"/>
      <c r="M122" s="527"/>
      <c r="N122" s="527"/>
      <c r="O122" s="1422" t="s">
        <v>1693</v>
      </c>
      <c r="P122" s="1423"/>
      <c r="Q122" s="1424"/>
      <c r="R122" s="488"/>
    </row>
    <row r="123" spans="2:18" ht="13" x14ac:dyDescent="0.3">
      <c r="B123" s="1240">
        <v>3</v>
      </c>
      <c r="C123" s="515" t="s">
        <v>1717</v>
      </c>
      <c r="D123" s="515"/>
      <c r="E123" s="526"/>
      <c r="F123" s="526"/>
      <c r="G123" s="526"/>
      <c r="H123" s="1240"/>
      <c r="I123" s="528"/>
      <c r="J123" s="527"/>
      <c r="K123" s="527"/>
      <c r="L123" s="527"/>
      <c r="M123" s="527"/>
      <c r="N123" s="527"/>
      <c r="O123" s="1422" t="s">
        <v>1693</v>
      </c>
      <c r="P123" s="1423"/>
      <c r="Q123" s="1424"/>
      <c r="R123" s="488"/>
    </row>
    <row r="124" spans="2:18" ht="13" x14ac:dyDescent="0.3">
      <c r="B124" s="1240">
        <v>4</v>
      </c>
      <c r="C124" s="515" t="s">
        <v>923</v>
      </c>
      <c r="D124" s="515"/>
      <c r="E124" s="526"/>
      <c r="F124" s="526"/>
      <c r="G124" s="526"/>
      <c r="H124" s="1240"/>
      <c r="I124" s="528"/>
      <c r="J124" s="527"/>
      <c r="K124" s="527"/>
      <c r="L124" s="527"/>
      <c r="M124" s="527"/>
      <c r="N124" s="527"/>
      <c r="O124" s="1422" t="s">
        <v>1693</v>
      </c>
      <c r="P124" s="1423"/>
      <c r="Q124" s="1424"/>
      <c r="R124" s="488"/>
    </row>
    <row r="125" spans="2:18" ht="13" x14ac:dyDescent="0.3">
      <c r="B125" s="1240">
        <v>5</v>
      </c>
      <c r="C125" s="515"/>
      <c r="D125" s="515"/>
      <c r="E125" s="526"/>
      <c r="F125" s="526"/>
      <c r="G125" s="526"/>
      <c r="H125" s="1240"/>
      <c r="I125" s="528"/>
      <c r="J125" s="527"/>
      <c r="K125" s="527"/>
      <c r="L125" s="527"/>
      <c r="M125" s="527"/>
      <c r="N125" s="527"/>
      <c r="O125" s="1422" t="s">
        <v>1693</v>
      </c>
      <c r="P125" s="1423"/>
      <c r="Q125" s="1424"/>
      <c r="R125" s="488"/>
    </row>
    <row r="126" spans="2:18" ht="13" x14ac:dyDescent="0.3">
      <c r="B126" s="1240">
        <v>6</v>
      </c>
      <c r="C126" s="515"/>
      <c r="D126" s="515"/>
      <c r="E126" s="526"/>
      <c r="F126" s="526"/>
      <c r="G126" s="526"/>
      <c r="H126" s="1240"/>
      <c r="I126" s="528"/>
      <c r="J126" s="528"/>
      <c r="K126" s="528"/>
      <c r="L126" s="528"/>
      <c r="M126" s="528"/>
      <c r="N126" s="528"/>
      <c r="O126" s="1422" t="s">
        <v>1693</v>
      </c>
      <c r="P126" s="1423"/>
      <c r="Q126" s="1424"/>
      <c r="R126" s="488"/>
    </row>
    <row r="127" spans="2:18" ht="13" x14ac:dyDescent="0.3">
      <c r="B127" s="1240">
        <v>7</v>
      </c>
      <c r="C127" s="515"/>
      <c r="D127" s="515"/>
      <c r="E127" s="526"/>
      <c r="F127" s="526"/>
      <c r="G127" s="526"/>
      <c r="H127" s="1240"/>
      <c r="I127" s="528"/>
      <c r="J127" s="528"/>
      <c r="K127" s="528"/>
      <c r="L127" s="528"/>
      <c r="M127" s="528"/>
      <c r="N127" s="528"/>
      <c r="O127" s="1422" t="s">
        <v>1693</v>
      </c>
      <c r="P127" s="1423"/>
      <c r="Q127" s="1424"/>
      <c r="R127" s="488"/>
    </row>
    <row r="128" spans="2:18" ht="13" x14ac:dyDescent="0.3">
      <c r="B128" s="1240">
        <v>8</v>
      </c>
      <c r="C128" s="515"/>
      <c r="D128" s="515"/>
      <c r="E128" s="526"/>
      <c r="F128" s="526"/>
      <c r="G128" s="526"/>
      <c r="H128" s="1240"/>
      <c r="I128" s="528"/>
      <c r="J128" s="528"/>
      <c r="K128" s="528"/>
      <c r="L128" s="528"/>
      <c r="M128" s="528"/>
      <c r="N128" s="528"/>
      <c r="O128" s="1422" t="s">
        <v>1693</v>
      </c>
      <c r="P128" s="1423"/>
      <c r="Q128" s="1424"/>
      <c r="R128" s="488"/>
    </row>
    <row r="129" spans="2:18" ht="13" x14ac:dyDescent="0.3">
      <c r="B129" s="1240">
        <v>9</v>
      </c>
      <c r="C129" s="515"/>
      <c r="D129" s="515"/>
      <c r="E129" s="526"/>
      <c r="F129" s="526"/>
      <c r="G129" s="526"/>
      <c r="H129" s="1240"/>
      <c r="I129" s="528"/>
      <c r="J129" s="528"/>
      <c r="K129" s="528"/>
      <c r="L129" s="528"/>
      <c r="M129" s="528"/>
      <c r="N129" s="528"/>
      <c r="O129" s="1425"/>
      <c r="P129" s="1426"/>
      <c r="Q129" s="1427"/>
      <c r="R129" s="488"/>
    </row>
    <row r="130" spans="2:18" ht="13" x14ac:dyDescent="0.3">
      <c r="B130" s="1240">
        <v>10</v>
      </c>
      <c r="C130" s="515"/>
      <c r="D130" s="515"/>
      <c r="E130" s="526"/>
      <c r="F130" s="526"/>
      <c r="G130" s="526"/>
      <c r="H130" s="1240"/>
      <c r="I130" s="528"/>
      <c r="J130" s="528"/>
      <c r="K130" s="528"/>
      <c r="L130" s="528"/>
      <c r="M130" s="528"/>
      <c r="N130" s="528"/>
      <c r="O130" s="1425"/>
      <c r="P130" s="1426"/>
      <c r="Q130" s="1427"/>
      <c r="R130" s="488"/>
    </row>
    <row r="131" spans="2:18" ht="13" x14ac:dyDescent="0.3">
      <c r="B131" s="1240">
        <v>11</v>
      </c>
      <c r="C131" s="515"/>
      <c r="D131" s="515"/>
      <c r="F131" s="526"/>
      <c r="G131" s="526"/>
      <c r="H131" s="529"/>
      <c r="I131" s="528"/>
      <c r="J131" s="528"/>
      <c r="K131" s="528"/>
      <c r="L131" s="528"/>
      <c r="M131" s="528"/>
      <c r="N131" s="528"/>
      <c r="O131" s="1425"/>
      <c r="P131" s="1426"/>
      <c r="Q131" s="1427"/>
      <c r="R131" s="488"/>
    </row>
    <row r="132" spans="2:18" ht="13" x14ac:dyDescent="0.3">
      <c r="B132" s="1240">
        <v>12</v>
      </c>
      <c r="C132" s="515"/>
      <c r="D132" s="515"/>
      <c r="E132" s="526"/>
      <c r="F132" s="526"/>
      <c r="G132" s="526"/>
      <c r="H132" s="1240"/>
      <c r="I132" s="528"/>
      <c r="J132" s="528"/>
      <c r="K132" s="528"/>
      <c r="L132" s="528"/>
      <c r="M132" s="528"/>
      <c r="N132" s="528"/>
      <c r="O132" s="1425"/>
      <c r="P132" s="1426"/>
      <c r="Q132" s="1427"/>
      <c r="R132" s="488"/>
    </row>
    <row r="133" spans="2:18" ht="13" x14ac:dyDescent="0.3">
      <c r="B133" s="1240">
        <v>13</v>
      </c>
      <c r="C133" s="515"/>
      <c r="D133" s="515"/>
      <c r="E133" s="526"/>
      <c r="F133" s="526"/>
      <c r="G133" s="526"/>
      <c r="H133" s="1240"/>
      <c r="I133" s="528"/>
      <c r="J133" s="528"/>
      <c r="K133" s="528"/>
      <c r="L133" s="528"/>
      <c r="M133" s="528"/>
      <c r="N133" s="528"/>
      <c r="O133" s="1425"/>
      <c r="P133" s="1426"/>
      <c r="Q133" s="1427"/>
      <c r="R133" s="488"/>
    </row>
    <row r="134" spans="2:18" ht="13" x14ac:dyDescent="0.3">
      <c r="B134" s="1240">
        <v>14</v>
      </c>
      <c r="C134" s="515"/>
      <c r="D134" s="515"/>
      <c r="E134" s="526"/>
      <c r="F134" s="526"/>
      <c r="G134" s="526"/>
      <c r="H134" s="530"/>
      <c r="I134" s="528"/>
      <c r="J134" s="528"/>
      <c r="K134" s="528"/>
      <c r="L134" s="528"/>
      <c r="M134" s="528"/>
      <c r="N134" s="528"/>
      <c r="O134" s="1425"/>
      <c r="P134" s="1426"/>
      <c r="Q134" s="1427"/>
      <c r="R134" s="488"/>
    </row>
    <row r="135" spans="2:18" ht="13" x14ac:dyDescent="0.3">
      <c r="B135" s="1240">
        <v>15</v>
      </c>
      <c r="C135" s="515"/>
      <c r="D135" s="515"/>
      <c r="E135" s="530"/>
      <c r="F135" s="530"/>
      <c r="G135" s="530"/>
      <c r="H135" s="530"/>
      <c r="I135" s="528"/>
      <c r="J135" s="528"/>
      <c r="K135" s="528"/>
      <c r="L135" s="528"/>
      <c r="M135" s="528"/>
      <c r="N135" s="528"/>
      <c r="O135" s="1425"/>
      <c r="P135" s="1426"/>
      <c r="Q135" s="1427"/>
      <c r="R135" s="488"/>
    </row>
    <row r="136" spans="2:18" ht="13" x14ac:dyDescent="0.3">
      <c r="B136" s="1240">
        <v>16</v>
      </c>
      <c r="C136" s="515"/>
      <c r="D136" s="515"/>
      <c r="E136" s="530"/>
      <c r="F136" s="530"/>
      <c r="G136" s="530"/>
      <c r="H136" s="530"/>
      <c r="I136" s="528"/>
      <c r="J136" s="528"/>
      <c r="K136" s="528"/>
      <c r="L136" s="528"/>
      <c r="M136" s="528"/>
      <c r="N136" s="528"/>
      <c r="O136" s="1425"/>
      <c r="P136" s="1426"/>
      <c r="Q136" s="1427"/>
      <c r="R136" s="488"/>
    </row>
    <row r="137" spans="2:18" ht="13" x14ac:dyDescent="0.3">
      <c r="B137" s="1240">
        <v>17</v>
      </c>
      <c r="C137" s="515"/>
      <c r="D137" s="515"/>
      <c r="E137" s="530"/>
      <c r="F137" s="530"/>
      <c r="G137" s="530"/>
      <c r="H137" s="530"/>
      <c r="I137" s="528"/>
      <c r="J137" s="528"/>
      <c r="K137" s="528"/>
      <c r="L137" s="528"/>
      <c r="M137" s="528"/>
      <c r="N137" s="528"/>
      <c r="O137" s="1425"/>
      <c r="P137" s="1426"/>
      <c r="Q137" s="1427"/>
      <c r="R137" s="488"/>
    </row>
    <row r="138" spans="2:18" ht="13" x14ac:dyDescent="0.3">
      <c r="B138" s="1240">
        <v>18</v>
      </c>
      <c r="C138" s="515"/>
      <c r="D138" s="515"/>
      <c r="E138" s="530"/>
      <c r="F138" s="530"/>
      <c r="G138" s="530"/>
      <c r="H138" s="530"/>
      <c r="I138" s="528"/>
      <c r="J138" s="528"/>
      <c r="K138" s="528"/>
      <c r="L138" s="528"/>
      <c r="M138" s="528"/>
      <c r="N138" s="528"/>
      <c r="O138" s="1425"/>
      <c r="P138" s="1426"/>
      <c r="Q138" s="1427"/>
      <c r="R138" s="488"/>
    </row>
    <row r="139" spans="2:18" ht="13" x14ac:dyDescent="0.3">
      <c r="B139" s="1240">
        <v>19</v>
      </c>
      <c r="C139" s="515"/>
      <c r="D139" s="515"/>
      <c r="E139" s="530"/>
      <c r="F139" s="530"/>
      <c r="G139" s="530"/>
      <c r="H139" s="530"/>
      <c r="I139" s="528"/>
      <c r="J139" s="528"/>
      <c r="K139" s="528"/>
      <c r="L139" s="528"/>
      <c r="M139" s="528"/>
      <c r="N139" s="528"/>
      <c r="O139" s="1425"/>
      <c r="P139" s="1426"/>
      <c r="Q139" s="1427"/>
      <c r="R139" s="488"/>
    </row>
    <row r="140" spans="2:18" ht="13" x14ac:dyDescent="0.3">
      <c r="B140" s="1240">
        <v>20</v>
      </c>
      <c r="C140" s="515"/>
      <c r="D140" s="515"/>
      <c r="E140" s="530"/>
      <c r="F140" s="530"/>
      <c r="G140" s="530"/>
      <c r="H140" s="530"/>
      <c r="I140" s="528"/>
      <c r="J140" s="528"/>
      <c r="K140" s="528"/>
      <c r="L140" s="528"/>
      <c r="M140" s="528"/>
      <c r="N140" s="528"/>
      <c r="O140" s="1425"/>
      <c r="P140" s="1426"/>
      <c r="Q140" s="1427"/>
      <c r="R140" s="488"/>
    </row>
    <row r="142" spans="2:18" ht="18.75" customHeight="1" x14ac:dyDescent="0.3">
      <c r="B142" s="702" t="s">
        <v>493</v>
      </c>
      <c r="E142" s="1662" t="s">
        <v>494</v>
      </c>
      <c r="F142" s="1663"/>
      <c r="G142" s="1663"/>
      <c r="H142" s="1663"/>
      <c r="I142" s="1663"/>
      <c r="J142" s="1663"/>
      <c r="K142" s="1663"/>
      <c r="L142" s="1663"/>
      <c r="M142" s="1663"/>
      <c r="N142" s="1663"/>
      <c r="O142" s="1664" t="s">
        <v>476</v>
      </c>
      <c r="P142" s="1665"/>
      <c r="Q142" s="1666"/>
    </row>
    <row r="143" spans="2:18" ht="18.75" customHeight="1" x14ac:dyDescent="0.3">
      <c r="B143" s="1673" t="s">
        <v>1722</v>
      </c>
      <c r="C143" s="1674"/>
      <c r="D143" s="1675"/>
      <c r="E143" s="703" t="s">
        <v>495</v>
      </c>
      <c r="F143" s="703" t="s">
        <v>496</v>
      </c>
      <c r="G143" s="703" t="s">
        <v>497</v>
      </c>
      <c r="H143" s="703" t="s">
        <v>498</v>
      </c>
      <c r="I143" s="703" t="s">
        <v>499</v>
      </c>
      <c r="J143" s="703" t="s">
        <v>500</v>
      </c>
      <c r="K143" s="703" t="s">
        <v>501</v>
      </c>
      <c r="L143" s="703" t="s">
        <v>502</v>
      </c>
      <c r="M143" s="703" t="s">
        <v>503</v>
      </c>
      <c r="N143" s="1213" t="s">
        <v>504</v>
      </c>
      <c r="O143" s="1667"/>
      <c r="P143" s="1702"/>
      <c r="Q143" s="1669"/>
    </row>
    <row r="144" spans="2:18" ht="44.25" customHeight="1" x14ac:dyDescent="0.3">
      <c r="B144" s="704" t="s">
        <v>478</v>
      </c>
      <c r="C144" s="1662" t="s">
        <v>505</v>
      </c>
      <c r="D144" s="1676"/>
      <c r="E144" s="525" t="s">
        <v>1723</v>
      </c>
      <c r="F144" s="525" t="s">
        <v>1724</v>
      </c>
      <c r="G144" s="525" t="s">
        <v>1725</v>
      </c>
      <c r="H144" s="525" t="s">
        <v>1726</v>
      </c>
      <c r="I144" s="525" t="s">
        <v>1727</v>
      </c>
      <c r="J144" s="525" t="s">
        <v>1728</v>
      </c>
      <c r="K144" s="525"/>
      <c r="L144" s="525"/>
      <c r="M144" s="525"/>
      <c r="N144" s="525"/>
      <c r="O144" s="1670"/>
      <c r="P144" s="1671"/>
      <c r="Q144" s="1672"/>
    </row>
    <row r="145" spans="2:17" ht="13" x14ac:dyDescent="0.3">
      <c r="B145" s="1240">
        <v>1</v>
      </c>
      <c r="C145" s="600" t="s">
        <v>1373</v>
      </c>
      <c r="D145" s="600" t="s">
        <v>1729</v>
      </c>
      <c r="E145" s="516">
        <v>0.7</v>
      </c>
      <c r="F145" s="516">
        <v>0.3</v>
      </c>
      <c r="G145" s="516">
        <v>0.32</v>
      </c>
      <c r="H145" s="516">
        <v>0.68</v>
      </c>
      <c r="I145" s="528">
        <f>G145*(E145*$E$97+F145*$E$98)+H145*(E145*$F$97+F145*$F$98)</f>
        <v>334.91480000000001</v>
      </c>
      <c r="J145" s="528">
        <f>G145*(95%*$E$122+5%*$E$121)+H145*(95%*$F$122+5%*$F$121)</f>
        <v>357.01725199999998</v>
      </c>
      <c r="K145" s="707"/>
      <c r="L145" s="528"/>
      <c r="M145" s="528"/>
      <c r="N145" s="528"/>
      <c r="O145" s="1425"/>
      <c r="P145" s="1426"/>
      <c r="Q145" s="1427"/>
    </row>
    <row r="146" spans="2:17" ht="13" x14ac:dyDescent="0.3">
      <c r="B146" s="1240">
        <v>2</v>
      </c>
      <c r="C146" s="600" t="s">
        <v>1666</v>
      </c>
      <c r="D146" s="600" t="s">
        <v>1730</v>
      </c>
      <c r="E146" s="516">
        <v>0.85</v>
      </c>
      <c r="F146" s="516">
        <v>0.15</v>
      </c>
      <c r="G146" s="516">
        <v>0.32</v>
      </c>
      <c r="H146" s="516">
        <v>0.68</v>
      </c>
      <c r="I146" s="528">
        <f>G146*(E146*$E$97+F146*$E$98)+H146*(E146*$F$97+F146*$F$98)</f>
        <v>389.15539999999999</v>
      </c>
      <c r="J146" s="528">
        <f>G146*(95%*$E$122+5%*$E$121)+H146*(95%*$F$122+5%*$F$121)</f>
        <v>357.01725199999998</v>
      </c>
      <c r="K146" s="706"/>
      <c r="L146" s="528"/>
      <c r="M146" s="528"/>
      <c r="N146" s="528"/>
      <c r="O146" s="1425"/>
      <c r="P146" s="1426"/>
      <c r="Q146" s="1427"/>
    </row>
    <row r="147" spans="2:17" ht="13" x14ac:dyDescent="0.3">
      <c r="B147" s="1240">
        <v>3</v>
      </c>
      <c r="C147" s="600" t="s">
        <v>1372</v>
      </c>
      <c r="D147" s="600" t="s">
        <v>1731</v>
      </c>
      <c r="E147" s="516">
        <v>0.6</v>
      </c>
      <c r="F147" s="516">
        <v>0.4</v>
      </c>
      <c r="G147" s="516">
        <v>0.32</v>
      </c>
      <c r="H147" s="516">
        <v>0.68</v>
      </c>
      <c r="I147" s="528">
        <f>G147*(E147*$E$97+F147*$E$98)+H147*(E147*$F$97+F147*$F$98)</f>
        <v>298.75439999999998</v>
      </c>
      <c r="J147" s="528">
        <f>G147*(95%*$E$122+5%*$E$121)+H147*(95%*$F$122+5%*$F$121)</f>
        <v>357.01725199999998</v>
      </c>
      <c r="K147" s="706"/>
      <c r="L147" s="528"/>
      <c r="M147" s="528"/>
      <c r="N147" s="528"/>
      <c r="O147" s="1425"/>
      <c r="P147" s="1426"/>
      <c r="Q147" s="1427"/>
    </row>
    <row r="148" spans="2:17" ht="13" x14ac:dyDescent="0.3">
      <c r="B148" s="1240">
        <v>4</v>
      </c>
      <c r="C148" s="600" t="s">
        <v>1374</v>
      </c>
      <c r="D148" s="600" t="s">
        <v>1729</v>
      </c>
      <c r="E148" s="516">
        <v>0.7</v>
      </c>
      <c r="F148" s="516">
        <v>0.3</v>
      </c>
      <c r="G148" s="516">
        <v>0.32</v>
      </c>
      <c r="H148" s="516">
        <v>0.68</v>
      </c>
      <c r="I148" s="528">
        <f>G148*(E148*$E$97+F148*$E$98)+H148*(E148*$F$97+F148*$F$98)</f>
        <v>334.91480000000001</v>
      </c>
      <c r="J148" s="528">
        <f>G148*(95%*$E$122+5%*$E$121)+H148*(95%*$F$122+5%*$F$121)</f>
        <v>357.01725199999998</v>
      </c>
      <c r="K148" s="706"/>
      <c r="L148" s="528"/>
      <c r="M148" s="528"/>
      <c r="N148" s="528"/>
      <c r="O148" s="1425"/>
      <c r="P148" s="1426"/>
      <c r="Q148" s="1427"/>
    </row>
    <row r="149" spans="2:17" ht="31.5" customHeight="1" x14ac:dyDescent="0.3">
      <c r="B149" s="1240">
        <v>5</v>
      </c>
      <c r="C149" s="600" t="s">
        <v>32</v>
      </c>
      <c r="D149" s="600"/>
      <c r="E149" s="516">
        <f>AVERAGE(E145:E148)</f>
        <v>0.71249999999999991</v>
      </c>
      <c r="F149" s="516">
        <f>AVERAGE(F145:F148)</f>
        <v>0.28749999999999998</v>
      </c>
      <c r="G149" s="516">
        <f>AVERAGE(G145:G148)</f>
        <v>0.32</v>
      </c>
      <c r="H149" s="516">
        <f>AVERAGE(H145:H148)</f>
        <v>0.68</v>
      </c>
      <c r="I149" s="528">
        <f>G149*(E149*$E$97+F149*$E$98)+H149*(E149*$F$97+F149*$F$98)</f>
        <v>339.43484999999998</v>
      </c>
      <c r="J149" s="528">
        <f>G149*(95%*$E$122+5%*$E$121)+H149*(95%*$F$122+5%*$F$121)</f>
        <v>357.01725199999998</v>
      </c>
      <c r="K149" s="706"/>
      <c r="L149" s="528"/>
      <c r="M149" s="528"/>
      <c r="N149" s="528"/>
      <c r="O149" s="1425"/>
      <c r="P149" s="1426"/>
      <c r="Q149" s="1427"/>
    </row>
    <row r="150" spans="2:17" ht="31.5" customHeight="1" x14ac:dyDescent="0.3">
      <c r="B150" s="1240">
        <v>6</v>
      </c>
      <c r="C150" s="600"/>
      <c r="D150" s="600"/>
      <c r="E150" s="516"/>
      <c r="F150" s="516"/>
      <c r="G150" s="516"/>
      <c r="H150" s="516"/>
      <c r="I150" s="528"/>
      <c r="J150" s="528"/>
      <c r="K150" s="706"/>
      <c r="L150" s="528"/>
      <c r="M150" s="528"/>
      <c r="N150" s="528"/>
      <c r="O150" s="1425"/>
      <c r="P150" s="1426"/>
      <c r="Q150" s="1427"/>
    </row>
    <row r="151" spans="2:17" ht="31.5" customHeight="1" x14ac:dyDescent="0.3">
      <c r="B151" s="1240">
        <v>7</v>
      </c>
      <c r="C151" s="600"/>
      <c r="D151" s="600"/>
      <c r="E151" s="516"/>
      <c r="F151" s="516"/>
      <c r="G151" s="516"/>
      <c r="H151" s="516"/>
      <c r="I151" s="528"/>
      <c r="J151" s="528"/>
      <c r="K151" s="706"/>
      <c r="L151" s="528"/>
      <c r="M151" s="528"/>
      <c r="N151" s="528"/>
      <c r="O151" s="1425"/>
      <c r="P151" s="1426"/>
      <c r="Q151" s="1427"/>
    </row>
    <row r="152" spans="2:17" ht="18.75" customHeight="1" x14ac:dyDescent="0.3">
      <c r="B152" s="1240">
        <v>8</v>
      </c>
      <c r="C152" s="600"/>
      <c r="D152" s="600"/>
      <c r="E152" s="706"/>
      <c r="F152" s="706"/>
      <c r="G152" s="706"/>
      <c r="H152" s="706"/>
      <c r="I152" s="527"/>
      <c r="J152" s="527"/>
      <c r="K152" s="527"/>
      <c r="L152" s="527"/>
      <c r="M152" s="527"/>
      <c r="N152" s="527"/>
      <c r="O152" s="1432"/>
      <c r="P152" s="1433"/>
      <c r="Q152" s="1434"/>
    </row>
    <row r="153" spans="2:17" ht="18.75" customHeight="1" x14ac:dyDescent="0.3">
      <c r="B153" s="1240">
        <v>9</v>
      </c>
      <c r="C153" s="600"/>
      <c r="D153" s="600"/>
      <c r="E153" s="706"/>
      <c r="F153" s="706"/>
      <c r="G153" s="706"/>
      <c r="H153" s="706"/>
      <c r="I153" s="527"/>
      <c r="J153" s="527"/>
      <c r="K153" s="527"/>
      <c r="L153" s="527"/>
      <c r="M153" s="527"/>
      <c r="N153" s="527"/>
      <c r="O153" s="1432"/>
      <c r="P153" s="1433"/>
      <c r="Q153" s="1434"/>
    </row>
    <row r="154" spans="2:17" ht="18.75" customHeight="1" x14ac:dyDescent="0.3">
      <c r="B154" s="1240">
        <v>10</v>
      </c>
      <c r="C154" s="600"/>
      <c r="D154" s="600"/>
      <c r="E154" s="706"/>
      <c r="F154" s="706"/>
      <c r="G154" s="706"/>
      <c r="H154" s="706"/>
      <c r="I154" s="527"/>
      <c r="J154" s="527"/>
      <c r="K154" s="527"/>
      <c r="L154" s="527"/>
      <c r="M154" s="527"/>
      <c r="N154" s="527"/>
      <c r="O154" s="1422"/>
      <c r="P154" s="1423"/>
      <c r="Q154" s="1424"/>
    </row>
    <row r="155" spans="2:17" ht="18.75" customHeight="1" x14ac:dyDescent="0.3">
      <c r="B155" s="1240">
        <v>11</v>
      </c>
      <c r="C155" s="600"/>
      <c r="D155" s="600"/>
      <c r="E155" s="706"/>
      <c r="F155" s="706"/>
      <c r="G155" s="706"/>
      <c r="H155" s="706"/>
      <c r="I155" s="527"/>
      <c r="J155" s="527"/>
      <c r="K155" s="527"/>
      <c r="L155" s="527"/>
      <c r="M155" s="527"/>
      <c r="N155" s="527"/>
      <c r="O155" s="1422"/>
      <c r="P155" s="1423"/>
      <c r="Q155" s="1424"/>
    </row>
    <row r="156" spans="2:17" ht="18.75" customHeight="1" x14ac:dyDescent="0.3">
      <c r="B156" s="1240">
        <v>12</v>
      </c>
      <c r="C156" s="600"/>
      <c r="D156" s="600"/>
      <c r="E156" s="706"/>
      <c r="F156" s="706"/>
      <c r="G156" s="706"/>
      <c r="H156" s="706"/>
      <c r="I156" s="527"/>
      <c r="J156" s="527"/>
      <c r="K156" s="527"/>
      <c r="L156" s="527"/>
      <c r="M156" s="527"/>
      <c r="N156" s="527"/>
      <c r="O156" s="1422"/>
      <c r="P156" s="1423"/>
      <c r="Q156" s="1424"/>
    </row>
    <row r="157" spans="2:17" ht="18.75" customHeight="1" x14ac:dyDescent="0.3">
      <c r="B157" s="1240">
        <v>13</v>
      </c>
      <c r="C157" s="600"/>
      <c r="D157" s="600"/>
      <c r="E157" s="706"/>
      <c r="F157" s="706"/>
      <c r="G157" s="706"/>
      <c r="H157" s="706"/>
      <c r="I157" s="528"/>
      <c r="J157" s="528"/>
      <c r="K157" s="528"/>
      <c r="L157" s="528"/>
      <c r="M157" s="528"/>
      <c r="N157" s="528"/>
      <c r="O157" s="1425"/>
      <c r="P157" s="1426"/>
      <c r="Q157" s="1427"/>
    </row>
    <row r="158" spans="2:17" ht="18.75" customHeight="1" x14ac:dyDescent="0.3">
      <c r="B158" s="1240">
        <v>14</v>
      </c>
      <c r="C158" s="600"/>
      <c r="D158" s="600"/>
      <c r="E158" s="526"/>
      <c r="F158" s="526"/>
      <c r="G158" s="526"/>
      <c r="H158" s="1240"/>
      <c r="I158" s="528"/>
      <c r="J158" s="528"/>
      <c r="K158" s="528"/>
      <c r="L158" s="528"/>
      <c r="M158" s="528"/>
      <c r="N158" s="528"/>
      <c r="O158" s="1425"/>
      <c r="P158" s="1426"/>
      <c r="Q158" s="1427"/>
    </row>
    <row r="159" spans="2:17" ht="18.75" customHeight="1" x14ac:dyDescent="0.3">
      <c r="B159" s="1240">
        <v>15</v>
      </c>
      <c r="C159" s="600"/>
      <c r="D159" s="600"/>
      <c r="E159" s="530"/>
      <c r="F159" s="530"/>
      <c r="G159" s="530"/>
      <c r="H159" s="530"/>
      <c r="I159" s="528"/>
      <c r="J159" s="528"/>
      <c r="K159" s="528"/>
      <c r="L159" s="528"/>
      <c r="M159" s="528"/>
      <c r="N159" s="528"/>
      <c r="O159" s="1425"/>
      <c r="P159" s="1426"/>
      <c r="Q159" s="1427"/>
    </row>
    <row r="160" spans="2:17" ht="18.75" customHeight="1" x14ac:dyDescent="0.3">
      <c r="B160" s="1240">
        <v>16</v>
      </c>
      <c r="C160" s="600"/>
      <c r="D160" s="600"/>
      <c r="E160" s="530"/>
      <c r="F160" s="530"/>
      <c r="G160" s="530"/>
      <c r="H160" s="530"/>
      <c r="I160" s="528"/>
      <c r="J160" s="528"/>
      <c r="K160" s="528"/>
      <c r="L160" s="528"/>
      <c r="M160" s="528"/>
      <c r="N160" s="528"/>
      <c r="O160" s="1425"/>
      <c r="P160" s="1426"/>
      <c r="Q160" s="1427"/>
    </row>
    <row r="161" spans="2:17" ht="18.75" customHeight="1" x14ac:dyDescent="0.3">
      <c r="B161" s="1240">
        <v>17</v>
      </c>
      <c r="C161" s="600"/>
      <c r="D161" s="600"/>
      <c r="E161" s="530"/>
      <c r="F161" s="530"/>
      <c r="G161" s="530"/>
      <c r="H161" s="530"/>
      <c r="I161" s="528"/>
      <c r="J161" s="528"/>
      <c r="K161" s="528"/>
      <c r="L161" s="528"/>
      <c r="M161" s="528"/>
      <c r="N161" s="528"/>
      <c r="O161" s="1425"/>
      <c r="P161" s="1426"/>
      <c r="Q161" s="1427"/>
    </row>
    <row r="162" spans="2:17" ht="18.75" customHeight="1" x14ac:dyDescent="0.3">
      <c r="B162" s="1240">
        <v>18</v>
      </c>
      <c r="C162" s="600"/>
      <c r="D162" s="600"/>
      <c r="E162" s="530"/>
      <c r="F162" s="530"/>
      <c r="G162" s="530"/>
      <c r="H162" s="530"/>
      <c r="I162" s="528"/>
      <c r="J162" s="528"/>
      <c r="K162" s="528"/>
      <c r="L162" s="528"/>
      <c r="M162" s="528"/>
      <c r="N162" s="528"/>
      <c r="O162" s="1425"/>
      <c r="P162" s="1426"/>
      <c r="Q162" s="1427"/>
    </row>
    <row r="163" spans="2:17" ht="18.75" customHeight="1" x14ac:dyDescent="0.3">
      <c r="B163" s="1240">
        <v>19</v>
      </c>
      <c r="C163" s="600"/>
      <c r="D163" s="600"/>
      <c r="E163" s="530"/>
      <c r="F163" s="530"/>
      <c r="G163" s="530"/>
      <c r="H163" s="530"/>
      <c r="I163" s="528"/>
      <c r="J163" s="528"/>
      <c r="K163" s="528"/>
      <c r="L163" s="528"/>
      <c r="M163" s="528"/>
      <c r="N163" s="528"/>
      <c r="O163" s="1425"/>
      <c r="P163" s="1426"/>
      <c r="Q163" s="1427"/>
    </row>
    <row r="164" spans="2:17" ht="18.75" customHeight="1" x14ac:dyDescent="0.3">
      <c r="B164" s="1240">
        <v>20</v>
      </c>
      <c r="C164" s="600"/>
      <c r="D164" s="600"/>
      <c r="E164" s="530"/>
      <c r="F164" s="530"/>
      <c r="G164" s="530"/>
      <c r="H164" s="530"/>
      <c r="I164" s="528"/>
      <c r="J164" s="528"/>
      <c r="K164" s="528"/>
      <c r="L164" s="528"/>
      <c r="M164" s="528"/>
      <c r="N164" s="528"/>
      <c r="O164" s="1425"/>
      <c r="P164" s="1426"/>
      <c r="Q164" s="1427"/>
    </row>
  </sheetData>
  <sheetProtection algorithmName="SHA-512" hashValue="10fwf1zO9RShSzdqHIYXHcgFHDaqOkeoC8bhr41y+Zf0YICwq3NU3tZOOztWRI92i37nzCILhxaKLBQr31yfNg==" saltValue="dWRbqM2nfcMKa5m86rPbLQ==" spinCount="100000" sheet="1" objects="1" scenarios="1" selectLockedCells="1" selectUnlockedCells="1"/>
  <mergeCells count="169">
    <mergeCell ref="C2:F2"/>
    <mergeCell ref="C3:F3"/>
    <mergeCell ref="C4:F4"/>
    <mergeCell ref="C5:F5"/>
    <mergeCell ref="D7:F7"/>
    <mergeCell ref="D8:F16"/>
    <mergeCell ref="D25:Q25"/>
    <mergeCell ref="D26:Q26"/>
    <mergeCell ref="D27:Q27"/>
    <mergeCell ref="D28:Q28"/>
    <mergeCell ref="D29:Q29"/>
    <mergeCell ref="D30:Q30"/>
    <mergeCell ref="D17:F17"/>
    <mergeCell ref="D18:F18"/>
    <mergeCell ref="B20:Q20"/>
    <mergeCell ref="C21:Q21"/>
    <mergeCell ref="C22:Q22"/>
    <mergeCell ref="C23:Q23"/>
    <mergeCell ref="C41:M41"/>
    <mergeCell ref="P41:Q41"/>
    <mergeCell ref="C42:M42"/>
    <mergeCell ref="P42:Q42"/>
    <mergeCell ref="C43:M43"/>
    <mergeCell ref="P43:Q43"/>
    <mergeCell ref="E32:Q32"/>
    <mergeCell ref="E33:Q33"/>
    <mergeCell ref="E34:Q34"/>
    <mergeCell ref="E35:Q35"/>
    <mergeCell ref="E36:Q36"/>
    <mergeCell ref="E37:Q37"/>
    <mergeCell ref="C48:M48"/>
    <mergeCell ref="P48:Q48"/>
    <mergeCell ref="C49:M49"/>
    <mergeCell ref="P49:Q49"/>
    <mergeCell ref="C50:M50"/>
    <mergeCell ref="P50:Q50"/>
    <mergeCell ref="C44:M44"/>
    <mergeCell ref="P44:Q44"/>
    <mergeCell ref="C45:M45"/>
    <mergeCell ref="P45:Q45"/>
    <mergeCell ref="C47:M47"/>
    <mergeCell ref="P47:Q47"/>
    <mergeCell ref="C55:M55"/>
    <mergeCell ref="P55:Q55"/>
    <mergeCell ref="C56:M56"/>
    <mergeCell ref="P56:Q56"/>
    <mergeCell ref="C57:M57"/>
    <mergeCell ref="P57:Q57"/>
    <mergeCell ref="C51:M51"/>
    <mergeCell ref="P51:Q51"/>
    <mergeCell ref="C53:M53"/>
    <mergeCell ref="P53:Q53"/>
    <mergeCell ref="C54:M54"/>
    <mergeCell ref="P54:Q54"/>
    <mergeCell ref="D64:E64"/>
    <mergeCell ref="J64:Q64"/>
    <mergeCell ref="D65:E65"/>
    <mergeCell ref="J65:Q65"/>
    <mergeCell ref="D76:E76"/>
    <mergeCell ref="J76:Q76"/>
    <mergeCell ref="D61:E61"/>
    <mergeCell ref="J61:Q61"/>
    <mergeCell ref="D62:E62"/>
    <mergeCell ref="J62:Q62"/>
    <mergeCell ref="D63:E63"/>
    <mergeCell ref="J63:Q63"/>
    <mergeCell ref="D69:E69"/>
    <mergeCell ref="J69:Q69"/>
    <mergeCell ref="D70:E70"/>
    <mergeCell ref="J70:Q70"/>
    <mergeCell ref="D71:E71"/>
    <mergeCell ref="J71:Q71"/>
    <mergeCell ref="D66:E66"/>
    <mergeCell ref="J66:Q66"/>
    <mergeCell ref="D67:E67"/>
    <mergeCell ref="J67:Q67"/>
    <mergeCell ref="D68:E68"/>
    <mergeCell ref="J68:Q68"/>
    <mergeCell ref="D75:E75"/>
    <mergeCell ref="J75:Q75"/>
    <mergeCell ref="F80:Q80"/>
    <mergeCell ref="F81:Q81"/>
    <mergeCell ref="F82:Q82"/>
    <mergeCell ref="F83:Q83"/>
    <mergeCell ref="D72:E72"/>
    <mergeCell ref="J72:Q72"/>
    <mergeCell ref="D73:E73"/>
    <mergeCell ref="J73:Q73"/>
    <mergeCell ref="D74:E74"/>
    <mergeCell ref="J74:Q74"/>
    <mergeCell ref="F90:Q90"/>
    <mergeCell ref="E94:N94"/>
    <mergeCell ref="O94:Q96"/>
    <mergeCell ref="C96:D96"/>
    <mergeCell ref="O97:Q97"/>
    <mergeCell ref="F84:Q84"/>
    <mergeCell ref="F85:Q85"/>
    <mergeCell ref="F86:Q86"/>
    <mergeCell ref="F87:Q87"/>
    <mergeCell ref="F88:Q88"/>
    <mergeCell ref="F89:Q89"/>
    <mergeCell ref="B95:D95"/>
    <mergeCell ref="O104:Q104"/>
    <mergeCell ref="O105:Q105"/>
    <mergeCell ref="O106:Q106"/>
    <mergeCell ref="O107:Q107"/>
    <mergeCell ref="O108:Q108"/>
    <mergeCell ref="O109:Q109"/>
    <mergeCell ref="O98:Q98"/>
    <mergeCell ref="O99:Q99"/>
    <mergeCell ref="O100:Q100"/>
    <mergeCell ref="O101:Q101"/>
    <mergeCell ref="O102:Q102"/>
    <mergeCell ref="O103:Q103"/>
    <mergeCell ref="O145:Q145"/>
    <mergeCell ref="O146:Q146"/>
    <mergeCell ref="O116:Q116"/>
    <mergeCell ref="E142:N142"/>
    <mergeCell ref="O142:Q144"/>
    <mergeCell ref="C144:D144"/>
    <mergeCell ref="O152:Q152"/>
    <mergeCell ref="O153:Q153"/>
    <mergeCell ref="O110:Q110"/>
    <mergeCell ref="O111:Q111"/>
    <mergeCell ref="O112:Q112"/>
    <mergeCell ref="O113:Q113"/>
    <mergeCell ref="O114:Q114"/>
    <mergeCell ref="O115:Q115"/>
    <mergeCell ref="B143:D143"/>
    <mergeCell ref="O122:Q122"/>
    <mergeCell ref="O123:Q123"/>
    <mergeCell ref="O124:Q124"/>
    <mergeCell ref="O125:Q125"/>
    <mergeCell ref="O126:Q126"/>
    <mergeCell ref="O136:Q136"/>
    <mergeCell ref="O137:Q137"/>
    <mergeCell ref="O138:Q138"/>
    <mergeCell ref="O139:Q139"/>
    <mergeCell ref="O159:Q159"/>
    <mergeCell ref="O160:Q160"/>
    <mergeCell ref="O161:Q161"/>
    <mergeCell ref="O162:Q162"/>
    <mergeCell ref="O163:Q163"/>
    <mergeCell ref="O164:Q164"/>
    <mergeCell ref="O147:Q147"/>
    <mergeCell ref="O148:Q148"/>
    <mergeCell ref="O149:Q149"/>
    <mergeCell ref="O151:Q151"/>
    <mergeCell ref="O158:Q158"/>
    <mergeCell ref="O150:Q150"/>
    <mergeCell ref="O154:Q154"/>
    <mergeCell ref="O155:Q155"/>
    <mergeCell ref="O156:Q156"/>
    <mergeCell ref="O157:Q157"/>
    <mergeCell ref="O140:Q140"/>
    <mergeCell ref="E118:N118"/>
    <mergeCell ref="O118:Q120"/>
    <mergeCell ref="B119:D119"/>
    <mergeCell ref="C120:D120"/>
    <mergeCell ref="O121:Q121"/>
    <mergeCell ref="O127:Q127"/>
    <mergeCell ref="O128:Q128"/>
    <mergeCell ref="O129:Q129"/>
    <mergeCell ref="O130:Q130"/>
    <mergeCell ref="O131:Q131"/>
    <mergeCell ref="O132:Q132"/>
    <mergeCell ref="O133:Q133"/>
    <mergeCell ref="O134:Q134"/>
    <mergeCell ref="O135:Q135"/>
  </mergeCells>
  <conditionalFormatting sqref="G103:G116 E108:E116 E97:F97 E101:E106 E121:F122">
    <cfRule type="expression" dxfId="2207" priority="144">
      <formula>IF(OR(#REF!="L",#REF!="C"),TRUE,FALSE)</formula>
    </cfRule>
  </conditionalFormatting>
  <conditionalFormatting sqref="H104:H116 F108:F116">
    <cfRule type="expression" dxfId="2206" priority="142">
      <formula>IF(OR(#REF!="L",#REF!="C"),TRUE,FALSE)</formula>
    </cfRule>
  </conditionalFormatting>
  <conditionalFormatting sqref="E106">
    <cfRule type="expression" dxfId="2205" priority="140">
      <formula>IF(OR(#REF!="L",#REF!="C"),TRUE,FALSE)</formula>
    </cfRule>
  </conditionalFormatting>
  <conditionalFormatting sqref="E108">
    <cfRule type="expression" dxfId="2204" priority="139">
      <formula>IF(OR(#REF!="L",#REF!="C"),TRUE,FALSE)</formula>
    </cfRule>
  </conditionalFormatting>
  <conditionalFormatting sqref="E109">
    <cfRule type="expression" dxfId="2203" priority="138">
      <formula>IF(OR(#REF!="L",#REF!="C"),TRUE,FALSE)</formula>
    </cfRule>
  </conditionalFormatting>
  <conditionalFormatting sqref="E95 G95 I95 K95 M95">
    <cfRule type="duplicateValues" dxfId="2202" priority="136"/>
  </conditionalFormatting>
  <conditionalFormatting sqref="M104:M116 H65:H76 F121:F122">
    <cfRule type="expression" dxfId="2201" priority="126">
      <formula>IF(OR(#REF!="L",#REF!="C"),TRUE,FALSE)</formula>
    </cfRule>
  </conditionalFormatting>
  <conditionalFormatting sqref="F101:F106">
    <cfRule type="expression" dxfId="2200" priority="135">
      <formula>IF(OR(#REF!="L",#REF!="C"),TRUE,FALSE)</formula>
    </cfRule>
  </conditionalFormatting>
  <conditionalFormatting sqref="I102:I103">
    <cfRule type="expression" dxfId="2199" priority="133">
      <formula>IF(OR(#REF!="L",#REF!="C"),TRUE,FALSE)</formula>
    </cfRule>
  </conditionalFormatting>
  <conditionalFormatting sqref="N102:N103">
    <cfRule type="expression" dxfId="2198" priority="123">
      <formula>IF(OR(#REF!="L",#REF!="C"),TRUE,FALSE)</formula>
    </cfRule>
  </conditionalFormatting>
  <conditionalFormatting sqref="I104:I116">
    <cfRule type="expression" dxfId="2197" priority="134">
      <formula>IF(OR(#REF!="L",#REF!="C"),TRUE,FALSE)</formula>
    </cfRule>
  </conditionalFormatting>
  <conditionalFormatting sqref="J102:J103">
    <cfRule type="expression" dxfId="2196" priority="131">
      <formula>IF(OR(#REF!="L",#REF!="C"),TRUE,FALSE)</formula>
    </cfRule>
  </conditionalFormatting>
  <conditionalFormatting sqref="J104:J116">
    <cfRule type="expression" dxfId="2195" priority="132">
      <formula>IF(OR(#REF!="L",#REF!="C"),TRUE,FALSE)</formula>
    </cfRule>
  </conditionalFormatting>
  <conditionalFormatting sqref="K102:K103">
    <cfRule type="expression" dxfId="2194" priority="129">
      <formula>IF(OR(#REF!="L",#REF!="C"),TRUE,FALSE)</formula>
    </cfRule>
  </conditionalFormatting>
  <conditionalFormatting sqref="K104:K116">
    <cfRule type="expression" dxfId="2193" priority="130">
      <formula>IF(OR(#REF!="L",#REF!="C"),TRUE,FALSE)</formula>
    </cfRule>
  </conditionalFormatting>
  <conditionalFormatting sqref="L102:L103">
    <cfRule type="expression" dxfId="2192" priority="127">
      <formula>IF(OR(#REF!="L",#REF!="C"),TRUE,FALSE)</formula>
    </cfRule>
  </conditionalFormatting>
  <conditionalFormatting sqref="L104:L116">
    <cfRule type="expression" dxfId="2191" priority="128">
      <formula>IF(OR(#REF!="L",#REF!="C"),TRUE,FALSE)</formula>
    </cfRule>
  </conditionalFormatting>
  <conditionalFormatting sqref="M102:M103">
    <cfRule type="expression" dxfId="2190" priority="125">
      <formula>IF(OR(#REF!="L",#REF!="C"),TRUE,FALSE)</formula>
    </cfRule>
  </conditionalFormatting>
  <conditionalFormatting sqref="N104:N116">
    <cfRule type="expression" dxfId="2189" priority="124">
      <formula>IF(OR(#REF!="L",#REF!="C"),TRUE,FALSE)</formula>
    </cfRule>
  </conditionalFormatting>
  <conditionalFormatting sqref="O105:O116">
    <cfRule type="expression" dxfId="2188" priority="122">
      <formula>IF(OR(#REF!="L",#REF!="C"),TRUE,FALSE)</formula>
    </cfRule>
  </conditionalFormatting>
  <conditionalFormatting sqref="E96:N96">
    <cfRule type="duplicateValues" dxfId="2187" priority="121"/>
  </conditionalFormatting>
  <conditionalFormatting sqref="E106 F131:F134 E121:F122">
    <cfRule type="expression" dxfId="2186" priority="119">
      <formula>IF(OR(#REF!="L",#REF!="C"),TRUE,FALSE)</formula>
    </cfRule>
  </conditionalFormatting>
  <conditionalFormatting sqref="E108">
    <cfRule type="expression" dxfId="2185" priority="118">
      <formula>IF(OR(#REF!="L",#REF!="C"),TRUE,FALSE)</formula>
    </cfRule>
  </conditionalFormatting>
  <conditionalFormatting sqref="E105">
    <cfRule type="expression" dxfId="2184" priority="117">
      <formula>IF(OR(#REF!="L",#REF!="C"),TRUE,FALSE)</formula>
    </cfRule>
  </conditionalFormatting>
  <conditionalFormatting sqref="F103:F110">
    <cfRule type="expression" dxfId="2183" priority="116">
      <formula>IF(OR(#REF!="L",#REF!="C"),TRUE,FALSE)</formula>
    </cfRule>
  </conditionalFormatting>
  <conditionalFormatting sqref="E108:E110">
    <cfRule type="expression" dxfId="2182" priority="115">
      <formula>IF(OR(#REF!="L",#REF!="C"),TRUE,FALSE)</formula>
    </cfRule>
  </conditionalFormatting>
  <conditionalFormatting sqref="E101:E106">
    <cfRule type="expression" dxfId="2181" priority="114">
      <formula>IF(OR(#REF!="L",#REF!="C"),TRUE,FALSE)</formula>
    </cfRule>
  </conditionalFormatting>
  <conditionalFormatting sqref="E96:F96">
    <cfRule type="duplicateValues" dxfId="2180" priority="113"/>
  </conditionalFormatting>
  <conditionalFormatting sqref="E149:E150 E152:E157 E158:H164 E151:F151">
    <cfRule type="expression" dxfId="2179" priority="109">
      <formula>IF(OR(#REF!="L",#REF!="C"),TRUE,FALSE)</formula>
    </cfRule>
  </conditionalFormatting>
  <conditionalFormatting sqref="E145:F145">
    <cfRule type="expression" dxfId="2178" priority="107">
      <formula>IF(OR(#REF!="L",#REF!="C"),TRUE,FALSE)</formula>
    </cfRule>
  </conditionalFormatting>
  <conditionalFormatting sqref="E158">
    <cfRule type="expression" dxfId="2177" priority="104">
      <formula>IF(OR(#REF!="L",#REF!="C"),TRUE,FALSE)</formula>
    </cfRule>
  </conditionalFormatting>
  <conditionalFormatting sqref="E143 G143 I143 K143 M143">
    <cfRule type="duplicateValues" dxfId="2176" priority="102"/>
  </conditionalFormatting>
  <conditionalFormatting sqref="E158:F158 E151:F151 I157:O164 L145:O151 I145:J147 I150:J151">
    <cfRule type="expression" dxfId="2175" priority="92">
      <formula>IF(OR(#REF!="L",#REF!="C"),TRUE,FALSE)</formula>
    </cfRule>
  </conditionalFormatting>
  <conditionalFormatting sqref="F150">
    <cfRule type="expression" dxfId="2174" priority="101">
      <formula>IF(OR(#REF!="L",#REF!="C"),TRUE,FALSE)</formula>
    </cfRule>
  </conditionalFormatting>
  <conditionalFormatting sqref="E150 E145:F145">
    <cfRule type="expression" dxfId="2173" priority="80">
      <formula>IF(OR(#REF!="L",#REF!="C"),TRUE,FALSE)</formula>
    </cfRule>
  </conditionalFormatting>
  <conditionalFormatting sqref="E144:F144 L144:N144 I144:J144">
    <cfRule type="duplicateValues" dxfId="2172" priority="146"/>
  </conditionalFormatting>
  <conditionalFormatting sqref="E151">
    <cfRule type="expression" dxfId="2171" priority="79">
      <formula>IF(OR(#REF!="L",#REF!="C"),TRUE,FALSE)</formula>
    </cfRule>
  </conditionalFormatting>
  <conditionalFormatting sqref="E146">
    <cfRule type="expression" dxfId="2170" priority="78">
      <formula>IF(OR(#REF!="L",#REF!="C"),TRUE,FALSE)</formula>
    </cfRule>
  </conditionalFormatting>
  <conditionalFormatting sqref="E147">
    <cfRule type="expression" dxfId="2169" priority="77">
      <formula>IF(OR(#REF!="L",#REF!="C"),TRUE,FALSE)</formula>
    </cfRule>
  </conditionalFormatting>
  <conditionalFormatting sqref="C65:C76">
    <cfRule type="duplicateValues" dxfId="2168" priority="331"/>
  </conditionalFormatting>
  <conditionalFormatting sqref="G131:G140 E132:E140">
    <cfRule type="expression" dxfId="2167" priority="71">
      <formula>IF(OR(#REF!="L",#REF!="C"),TRUE,FALSE)</formula>
    </cfRule>
  </conditionalFormatting>
  <conditionalFormatting sqref="H131:H140 F132:F140">
    <cfRule type="expression" dxfId="2166" priority="70">
      <formula>IF(OR(#REF!="L",#REF!="C"),TRUE,FALSE)</formula>
    </cfRule>
  </conditionalFormatting>
  <conditionalFormatting sqref="E132">
    <cfRule type="expression" dxfId="2165" priority="68">
      <formula>IF(OR(#REF!="L",#REF!="C"),TRUE,FALSE)</formula>
    </cfRule>
  </conditionalFormatting>
  <conditionalFormatting sqref="E133">
    <cfRule type="expression" dxfId="2164" priority="67">
      <formula>IF(OR(#REF!="L",#REF!="C"),TRUE,FALSE)</formula>
    </cfRule>
  </conditionalFormatting>
  <conditionalFormatting sqref="E119 G119 I119 K119 M119">
    <cfRule type="duplicateValues" dxfId="2163" priority="66"/>
  </conditionalFormatting>
  <conditionalFormatting sqref="M128:M140">
    <cfRule type="expression" dxfId="2162" priority="56">
      <formula>IF(OR(#REF!="L",#REF!="C"),TRUE,FALSE)</formula>
    </cfRule>
  </conditionalFormatting>
  <conditionalFormatting sqref="N126:N127">
    <cfRule type="expression" dxfId="2161" priority="53">
      <formula>IF(OR(#REF!="L",#REF!="C"),TRUE,FALSE)</formula>
    </cfRule>
  </conditionalFormatting>
  <conditionalFormatting sqref="I131:I140">
    <cfRule type="expression" dxfId="2160" priority="64">
      <formula>IF(OR(#REF!="L",#REF!="C"),TRUE,FALSE)</formula>
    </cfRule>
  </conditionalFormatting>
  <conditionalFormatting sqref="J126:J127">
    <cfRule type="expression" dxfId="2159" priority="61">
      <formula>IF(OR(#REF!="L",#REF!="C"),TRUE,FALSE)</formula>
    </cfRule>
  </conditionalFormatting>
  <conditionalFormatting sqref="J128:J140">
    <cfRule type="expression" dxfId="2158" priority="62">
      <formula>IF(OR(#REF!="L",#REF!="C"),TRUE,FALSE)</formula>
    </cfRule>
  </conditionalFormatting>
  <conditionalFormatting sqref="K126:K127">
    <cfRule type="expression" dxfId="2157" priority="59">
      <formula>IF(OR(#REF!="L",#REF!="C"),TRUE,FALSE)</formula>
    </cfRule>
  </conditionalFormatting>
  <conditionalFormatting sqref="K128:K140">
    <cfRule type="expression" dxfId="2156" priority="60">
      <formula>IF(OR(#REF!="L",#REF!="C"),TRUE,FALSE)</formula>
    </cfRule>
  </conditionalFormatting>
  <conditionalFormatting sqref="L126:L127">
    <cfRule type="expression" dxfId="2155" priority="57">
      <formula>IF(OR(#REF!="L",#REF!="C"),TRUE,FALSE)</formula>
    </cfRule>
  </conditionalFormatting>
  <conditionalFormatting sqref="L128:L140">
    <cfRule type="expression" dxfId="2154" priority="58">
      <formula>IF(OR(#REF!="L",#REF!="C"),TRUE,FALSE)</formula>
    </cfRule>
  </conditionalFormatting>
  <conditionalFormatting sqref="M126:M127">
    <cfRule type="expression" dxfId="2153" priority="55">
      <formula>IF(OR(#REF!="L",#REF!="C"),TRUE,FALSE)</formula>
    </cfRule>
  </conditionalFormatting>
  <conditionalFormatting sqref="N128:N140">
    <cfRule type="expression" dxfId="2152" priority="54">
      <formula>IF(OR(#REF!="L",#REF!="C"),TRUE,FALSE)</formula>
    </cfRule>
  </conditionalFormatting>
  <conditionalFormatting sqref="O129:O140">
    <cfRule type="expression" dxfId="2151" priority="52">
      <formula>IF(OR(#REF!="L",#REF!="C"),TRUE,FALSE)</formula>
    </cfRule>
  </conditionalFormatting>
  <conditionalFormatting sqref="G120:N120">
    <cfRule type="duplicateValues" dxfId="2150" priority="51"/>
  </conditionalFormatting>
  <conditionalFormatting sqref="E132">
    <cfRule type="expression" dxfId="2149" priority="49">
      <formula>IF(OR(#REF!="L",#REF!="C"),TRUE,FALSE)</formula>
    </cfRule>
  </conditionalFormatting>
  <conditionalFormatting sqref="E132:E134">
    <cfRule type="expression" dxfId="2148" priority="46">
      <formula>IF(OR(#REF!="L",#REF!="C"),TRUE,FALSE)</formula>
    </cfRule>
  </conditionalFormatting>
  <conditionalFormatting sqref="E98:F98">
    <cfRule type="expression" dxfId="2147" priority="43">
      <formula>IF(OR(#REF!="L",#REF!="C"),TRUE,FALSE)</formula>
    </cfRule>
  </conditionalFormatting>
  <conditionalFormatting sqref="F123:F130">
    <cfRule type="expression" dxfId="2146" priority="42">
      <formula>IF(OR(#REF!="L",#REF!="C"),TRUE,FALSE)</formula>
    </cfRule>
  </conditionalFormatting>
  <conditionalFormatting sqref="G123:G130 E123:E130">
    <cfRule type="expression" dxfId="2145" priority="41">
      <formula>IF(OR(#REF!="L",#REF!="C"),TRUE,FALSE)</formula>
    </cfRule>
  </conditionalFormatting>
  <conditionalFormatting sqref="H123:H130 F123:F130">
    <cfRule type="expression" dxfId="2144" priority="40">
      <formula>IF(OR(#REF!="L",#REF!="C"),TRUE,FALSE)</formula>
    </cfRule>
  </conditionalFormatting>
  <conditionalFormatting sqref="E123:E130">
    <cfRule type="expression" dxfId="2143" priority="39">
      <formula>IF(OR(#REF!="L",#REF!="C"),TRUE,FALSE)</formula>
    </cfRule>
  </conditionalFormatting>
  <conditionalFormatting sqref="I123:I130">
    <cfRule type="expression" dxfId="2142" priority="38">
      <formula>IF(OR(#REF!="L",#REF!="C"),TRUE,FALSE)</formula>
    </cfRule>
  </conditionalFormatting>
  <conditionalFormatting sqref="E123:E130">
    <cfRule type="expression" dxfId="2141" priority="37">
      <formula>IF(OR(#REF!="L",#REF!="C"),TRUE,FALSE)</formula>
    </cfRule>
  </conditionalFormatting>
  <conditionalFormatting sqref="E123:E130">
    <cfRule type="expression" dxfId="2140" priority="36">
      <formula>IF(OR(#REF!="L",#REF!="C"),TRUE,FALSE)</formula>
    </cfRule>
  </conditionalFormatting>
  <conditionalFormatting sqref="K151">
    <cfRule type="expression" dxfId="2139" priority="34">
      <formula>IF(OR(#REF!="L",#REF!="C"),TRUE,FALSE)</formula>
    </cfRule>
  </conditionalFormatting>
  <conditionalFormatting sqref="K145">
    <cfRule type="expression" dxfId="2138" priority="33">
      <formula>IF(OR(#REF!="L",#REF!="C"),TRUE,FALSE)</formula>
    </cfRule>
  </conditionalFormatting>
  <conditionalFormatting sqref="K145">
    <cfRule type="expression" dxfId="2137" priority="32">
      <formula>IF(OR(#REF!="L",#REF!="C"),TRUE,FALSE)</formula>
    </cfRule>
  </conditionalFormatting>
  <conditionalFormatting sqref="K144">
    <cfRule type="duplicateValues" dxfId="2136" priority="35"/>
  </conditionalFormatting>
  <conditionalFormatting sqref="G151">
    <cfRule type="expression" dxfId="2135" priority="30">
      <formula>IF(OR(#REF!="L",#REF!="C"),TRUE,FALSE)</formula>
    </cfRule>
  </conditionalFormatting>
  <conditionalFormatting sqref="G145">
    <cfRule type="expression" dxfId="2134" priority="29">
      <formula>IF(OR(#REF!="L",#REF!="C"),TRUE,FALSE)</formula>
    </cfRule>
  </conditionalFormatting>
  <conditionalFormatting sqref="G145">
    <cfRule type="expression" dxfId="2133" priority="28">
      <formula>IF(OR(#REF!="L",#REF!="C"),TRUE,FALSE)</formula>
    </cfRule>
  </conditionalFormatting>
  <conditionalFormatting sqref="G144">
    <cfRule type="duplicateValues" dxfId="2132" priority="31"/>
  </conditionalFormatting>
  <conditionalFormatting sqref="H151">
    <cfRule type="expression" dxfId="2131" priority="26">
      <formula>IF(OR(#REF!="L",#REF!="C"),TRUE,FALSE)</formula>
    </cfRule>
  </conditionalFormatting>
  <conditionalFormatting sqref="H145">
    <cfRule type="expression" dxfId="2130" priority="25">
      <formula>IF(OR(#REF!="L",#REF!="C"),TRUE,FALSE)</formula>
    </cfRule>
  </conditionalFormatting>
  <conditionalFormatting sqref="H145">
    <cfRule type="expression" dxfId="2129" priority="24">
      <formula>IF(OR(#REF!="L",#REF!="C"),TRUE,FALSE)</formula>
    </cfRule>
  </conditionalFormatting>
  <conditionalFormatting sqref="H144">
    <cfRule type="duplicateValues" dxfId="2128" priority="27"/>
  </conditionalFormatting>
  <conditionalFormatting sqref="E147">
    <cfRule type="expression" dxfId="2127" priority="23">
      <formula>IF(OR(#REF!="L",#REF!="C"),TRUE,FALSE)</formula>
    </cfRule>
  </conditionalFormatting>
  <conditionalFormatting sqref="E145">
    <cfRule type="expression" dxfId="2126" priority="22">
      <formula>IF(OR(#REF!="L",#REF!="C"),TRUE,FALSE)</formula>
    </cfRule>
  </conditionalFormatting>
  <conditionalFormatting sqref="E146">
    <cfRule type="expression" dxfId="2125" priority="21">
      <formula>IF(OR(#REF!="L",#REF!="C"),TRUE,FALSE)</formula>
    </cfRule>
  </conditionalFormatting>
  <conditionalFormatting sqref="E148:F148">
    <cfRule type="expression" dxfId="2124" priority="20">
      <formula>IF(OR(#REF!="L",#REF!="C"),TRUE,FALSE)</formula>
    </cfRule>
  </conditionalFormatting>
  <conditionalFormatting sqref="E148:F148 I148:J148">
    <cfRule type="expression" dxfId="2123" priority="19">
      <formula>IF(OR(#REF!="L",#REF!="C"),TRUE,FALSE)</formula>
    </cfRule>
  </conditionalFormatting>
  <conditionalFormatting sqref="E148">
    <cfRule type="expression" dxfId="2122" priority="18">
      <formula>IF(OR(#REF!="L",#REF!="C"),TRUE,FALSE)</formula>
    </cfRule>
  </conditionalFormatting>
  <conditionalFormatting sqref="G148">
    <cfRule type="expression" dxfId="2121" priority="17">
      <formula>IF(OR(#REF!="L",#REF!="C"),TRUE,FALSE)</formula>
    </cfRule>
  </conditionalFormatting>
  <conditionalFormatting sqref="H148">
    <cfRule type="expression" dxfId="2120" priority="16">
      <formula>IF(OR(#REF!="L",#REF!="C"),TRUE,FALSE)</formula>
    </cfRule>
  </conditionalFormatting>
  <conditionalFormatting sqref="F149">
    <cfRule type="expression" dxfId="2119" priority="15">
      <formula>IF(OR(#REF!="L",#REF!="C"),TRUE,FALSE)</formula>
    </cfRule>
  </conditionalFormatting>
  <conditionalFormatting sqref="G149">
    <cfRule type="expression" dxfId="2118" priority="14">
      <formula>IF(OR(#REF!="L",#REF!="C"),TRUE,FALSE)</formula>
    </cfRule>
  </conditionalFormatting>
  <conditionalFormatting sqref="H149">
    <cfRule type="expression" dxfId="2117" priority="13">
      <formula>IF(OR(#REF!="L",#REF!="C"),TRUE,FALSE)</formula>
    </cfRule>
  </conditionalFormatting>
  <conditionalFormatting sqref="I149:J149">
    <cfRule type="expression" dxfId="2116" priority="12">
      <formula>IF(OR(#REF!="L",#REF!="C"),TRUE,FALSE)</formula>
    </cfRule>
  </conditionalFormatting>
  <conditionalFormatting sqref="H62">
    <cfRule type="expression" dxfId="2115" priority="10">
      <formula>IF(OR(#REF!="L",#REF!="C"),TRUE,FALSE)</formula>
    </cfRule>
  </conditionalFormatting>
  <conditionalFormatting sqref="C62">
    <cfRule type="duplicateValues" dxfId="2114" priority="11"/>
  </conditionalFormatting>
  <conditionalFormatting sqref="H63">
    <cfRule type="expression" dxfId="2113" priority="8">
      <formula>IF(OR(#REF!="L",#REF!="C"),TRUE,FALSE)</formula>
    </cfRule>
  </conditionalFormatting>
  <conditionalFormatting sqref="C63">
    <cfRule type="duplicateValues" dxfId="2112" priority="9"/>
  </conditionalFormatting>
  <conditionalFormatting sqref="H64">
    <cfRule type="expression" dxfId="2111" priority="6">
      <formula>IF(OR(#REF!="L",#REF!="C"),TRUE,FALSE)</formula>
    </cfRule>
  </conditionalFormatting>
  <conditionalFormatting sqref="C64">
    <cfRule type="duplicateValues" dxfId="2110" priority="7"/>
  </conditionalFormatting>
  <conditionalFormatting sqref="E120:F120">
    <cfRule type="duplicateValues" dxfId="2109" priority="5"/>
  </conditionalFormatting>
  <conditionalFormatting sqref="E120:F120">
    <cfRule type="duplicateValues" dxfId="2108" priority="4"/>
  </conditionalFormatting>
  <conditionalFormatting sqref="E99:F99">
    <cfRule type="expression" dxfId="2107" priority="3">
      <formula>IF(OR(#REF!="L",#REF!="C"),TRUE,FALSE)</formula>
    </cfRule>
  </conditionalFormatting>
  <conditionalFormatting sqref="F99">
    <cfRule type="expression" dxfId="2106" priority="2">
      <formula>IF(OR(#REF!="L",#REF!="C"),TRUE,FALSE)</formula>
    </cfRule>
  </conditionalFormatting>
  <conditionalFormatting sqref="E99:F99">
    <cfRule type="expression" dxfId="2105" priority="1">
      <formula>IF(OR(#REF!="L",#REF!="C"),TRUE,FALSE)</formula>
    </cfRule>
  </conditionalFormatting>
  <dataValidations count="9">
    <dataValidation type="list" allowBlank="1" showInputMessage="1" showErrorMessage="1" sqref="C4" xr:uid="{2F8D17B8-F9F0-484F-B37F-3B94E300878D}">
      <formula1>"COM,RES"</formula1>
    </dataValidation>
    <dataValidation type="list" allowBlank="1" showInputMessage="1" showErrorMessage="1" sqref="H63" xr:uid="{02EC5EC5-6FDB-4689-AAE7-C7419E225174}">
      <formula1>"9-12 Watt, 38-50 Watt"</formula1>
    </dataValidation>
    <dataValidation type="list" allowBlank="1" showInputMessage="1" showErrorMessage="1" sqref="H65" xr:uid="{138FA273-6773-42A2-AF4E-7ED90DB945FA}">
      <formula1>$C$97:$C$116</formula1>
    </dataValidation>
    <dataValidation type="list" allowBlank="1" showInputMessage="1" showErrorMessage="1" sqref="H64" xr:uid="{483F78DB-6465-4CAB-9E85-41293F505FDD}">
      <formula1>$E$96:$N$96</formula1>
    </dataValidation>
    <dataValidation type="list" allowBlank="1" showInputMessage="1" showErrorMessage="1" sqref="C9" xr:uid="{0CD04FF4-2362-413B-AF25-118EE9270A87}">
      <formula1>INDIRECT("MeasureTypeList[Index]")</formula1>
    </dataValidation>
    <dataValidation type="list" allowBlank="1" showInputMessage="1" showErrorMessage="1" sqref="C26" xr:uid="{70DAD4EA-E2B3-468C-A6B5-355AB154FF75}">
      <formula1>INDIRECT("RegionList[Index]")</formula1>
    </dataValidation>
    <dataValidation type="list" allowBlank="1" showInputMessage="1" showErrorMessage="1" sqref="C27" xr:uid="{C32703AF-3C67-4D87-9AF0-22DD5FC8C8A0}">
      <formula1>INDIRECT("ReplacementTypeList[Index]")</formula1>
    </dataValidation>
    <dataValidation type="list" allowBlank="1" showInputMessage="1" showErrorMessage="1" sqref="C28" xr:uid="{791D5428-E041-428B-825D-6EB957509DA4}">
      <formula1>INDIRECT("BuildingType[Building]")</formula1>
    </dataValidation>
    <dataValidation type="list" allowBlank="1" showInputMessage="1" showErrorMessage="1" sqref="C29 C30" xr:uid="{F8FCC28C-1F9B-4992-8E80-F84E0228DB4C}">
      <formula1>INDIRECT("FuelTypeList[Index]")</formula1>
    </dataValidation>
  </dataValidations>
  <hyperlinks>
    <hyperlink ref="F83" r:id="rId1" xr:uid="{DA2A5A88-B7AA-49DD-9B4A-47C3A44AD587}"/>
    <hyperlink ref="F85" r:id="rId2" xr:uid="{6A68112C-D53C-49E7-9490-D67815F136D1}"/>
    <hyperlink ref="F84" r:id="rId3" xr:uid="{84C26F4A-70C7-40C4-A28B-A286D5C10D6E}"/>
    <hyperlink ref="F82" r:id="rId4" xr:uid="{3B1ED86E-E091-4417-A250-FA0B542FE8E1}"/>
  </hyperlinks>
  <pageMargins left="0.7" right="0.7" top="0.75" bottom="0.75" header="0.3" footer="0.3"/>
  <pageSetup orientation="portrait" r:id="rId5"/>
  <legacyDrawing r:id="rId6"/>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AFADF-1624-4194-ADA7-5CB9093C23AB}">
  <sheetPr codeName="Sheet29"/>
  <dimension ref="A2:R116"/>
  <sheetViews>
    <sheetView workbookViewId="0">
      <selection activeCell="C68" sqref="C68"/>
    </sheetView>
  </sheetViews>
  <sheetFormatPr defaultColWidth="9.08984375" defaultRowHeight="18.75" customHeight="1" x14ac:dyDescent="0.3"/>
  <cols>
    <col min="1" max="1" width="2.36328125" style="488" customWidth="1"/>
    <col min="2" max="2" width="44.36328125" style="488" bestFit="1" customWidth="1"/>
    <col min="3" max="3" width="19.81640625" style="488" customWidth="1"/>
    <col min="4" max="4" width="21.6328125" style="488" customWidth="1"/>
    <col min="5" max="5" width="15" style="488" customWidth="1"/>
    <col min="6" max="6" width="15.6328125" style="488" customWidth="1"/>
    <col min="7" max="7" width="19.6328125" style="488" customWidth="1"/>
    <col min="8" max="8" width="16"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C-R-005</v>
      </c>
      <c r="D3" s="1367"/>
      <c r="E3" s="1367"/>
      <c r="F3" s="1367"/>
    </row>
    <row r="4" spans="1:18" ht="18.75" customHeight="1" x14ac:dyDescent="0.3">
      <c r="B4" s="490" t="s">
        <v>11</v>
      </c>
      <c r="C4" s="1367" t="str" cm="1">
        <f t="array" ref="C4">_xlfn.SWITCH(LEFT(C8,1),"R","Residential","C","Commercial","ERROR")</f>
        <v>Commercial</v>
      </c>
      <c r="D4" s="1367"/>
      <c r="E4" s="1367"/>
      <c r="F4" s="1367"/>
    </row>
    <row r="5" spans="1:18" ht="19.5" customHeight="1" x14ac:dyDescent="0.3">
      <c r="B5" s="490" t="s">
        <v>408</v>
      </c>
      <c r="C5" s="1530" t="s">
        <v>287</v>
      </c>
      <c r="D5" s="1531"/>
      <c r="E5" s="1531"/>
      <c r="F5" s="1532"/>
      <c r="R5" s="488"/>
    </row>
    <row r="6" spans="1:18" ht="18.75" customHeight="1" x14ac:dyDescent="0.3">
      <c r="A6" s="573"/>
    </row>
    <row r="7" spans="1:18" ht="18.75" customHeight="1" x14ac:dyDescent="0.3">
      <c r="B7" s="1193" t="s">
        <v>409</v>
      </c>
      <c r="C7" s="1192" t="s">
        <v>406</v>
      </c>
      <c r="D7" s="1363" t="s">
        <v>410</v>
      </c>
      <c r="E7" s="1363"/>
      <c r="F7" s="1363"/>
      <c r="R7" s="488"/>
    </row>
    <row r="8" spans="1:18" ht="18.75" customHeight="1" x14ac:dyDescent="0.3">
      <c r="B8" s="490" t="s">
        <v>411</v>
      </c>
      <c r="C8" s="1218" t="s">
        <v>127</v>
      </c>
      <c r="D8" s="1957"/>
      <c r="E8" s="1957"/>
      <c r="F8" s="1957"/>
      <c r="R8" s="488"/>
    </row>
    <row r="9" spans="1:18" ht="36" customHeight="1" x14ac:dyDescent="0.3">
      <c r="B9" s="490" t="s">
        <v>49</v>
      </c>
      <c r="C9" s="1218" t="s">
        <v>1732</v>
      </c>
      <c r="D9" s="1957"/>
      <c r="E9" s="1957"/>
      <c r="F9" s="1957"/>
      <c r="R9" s="488"/>
    </row>
    <row r="10" spans="1:18" ht="18.75" customHeight="1" x14ac:dyDescent="0.3">
      <c r="B10" s="490" t="s">
        <v>412</v>
      </c>
      <c r="C10" s="1218"/>
      <c r="D10" s="1957"/>
      <c r="E10" s="1957"/>
      <c r="F10" s="1957"/>
      <c r="R10" s="488"/>
    </row>
    <row r="11" spans="1:18" ht="18.75" customHeight="1" x14ac:dyDescent="0.3">
      <c r="B11" s="490" t="s">
        <v>413</v>
      </c>
      <c r="C11" s="1218"/>
      <c r="D11" s="1957"/>
      <c r="E11" s="1957"/>
      <c r="F11" s="1957"/>
      <c r="R11" s="488"/>
    </row>
    <row r="12" spans="1:18" ht="18.75" customHeight="1" x14ac:dyDescent="0.3">
      <c r="B12" s="490" t="s">
        <v>414</v>
      </c>
      <c r="C12" s="665"/>
      <c r="D12" s="1957"/>
      <c r="E12" s="1957"/>
      <c r="F12" s="1957"/>
      <c r="R12" s="488"/>
    </row>
    <row r="13" spans="1:18" ht="18.75" customHeight="1" x14ac:dyDescent="0.3">
      <c r="B13" s="494" t="s">
        <v>415</v>
      </c>
      <c r="C13" s="658">
        <f>N43</f>
        <v>403.23192499999999</v>
      </c>
      <c r="D13" s="1957"/>
      <c r="E13" s="1957"/>
      <c r="F13" s="1957"/>
      <c r="R13" s="488"/>
    </row>
    <row r="14" spans="1:18" ht="18.75" customHeight="1" x14ac:dyDescent="0.3">
      <c r="B14" s="494" t="s">
        <v>416</v>
      </c>
      <c r="C14" s="658">
        <f>N42</f>
        <v>0</v>
      </c>
      <c r="D14" s="1957"/>
      <c r="E14" s="1957"/>
      <c r="F14" s="1957"/>
      <c r="R14" s="488"/>
    </row>
    <row r="15" spans="1:18" ht="18.75" customHeight="1" x14ac:dyDescent="0.3">
      <c r="B15" s="494" t="s">
        <v>417</v>
      </c>
      <c r="C15" s="658">
        <f>N44</f>
        <v>0</v>
      </c>
      <c r="D15" s="1957"/>
      <c r="E15" s="1957"/>
      <c r="F15" s="1957"/>
      <c r="R15" s="488"/>
    </row>
    <row r="16" spans="1:18" ht="18.75" customHeight="1" x14ac:dyDescent="0.3">
      <c r="B16" s="494" t="s">
        <v>418</v>
      </c>
      <c r="C16" s="659">
        <f>C37</f>
        <v>0</v>
      </c>
      <c r="D16" s="1957"/>
      <c r="E16" s="1957"/>
      <c r="F16" s="1957"/>
      <c r="R16" s="488"/>
    </row>
    <row r="17" spans="2:18" ht="18.75" customHeight="1" x14ac:dyDescent="0.3">
      <c r="B17" s="490" t="s">
        <v>48</v>
      </c>
      <c r="C17" s="1218" t="s">
        <v>717</v>
      </c>
      <c r="D17" s="1363" t="s">
        <v>419</v>
      </c>
      <c r="E17" s="1363"/>
      <c r="F17" s="1363"/>
      <c r="R17" s="488"/>
    </row>
    <row r="18" spans="2:18" ht="18.75" customHeight="1" x14ac:dyDescent="0.3">
      <c r="B18" s="490" t="s">
        <v>420</v>
      </c>
      <c r="C18" s="666">
        <v>10</v>
      </c>
      <c r="D18" s="1513" t="s">
        <v>1733</v>
      </c>
      <c r="E18" s="1513"/>
      <c r="F18" s="1513"/>
      <c r="R18" s="488"/>
    </row>
    <row r="19" spans="2:18" ht="18.75" customHeight="1" x14ac:dyDescent="0.3">
      <c r="B19" s="613"/>
      <c r="C19" s="614"/>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37.5" customHeight="1" x14ac:dyDescent="0.3">
      <c r="B21" s="499" t="s">
        <v>422</v>
      </c>
      <c r="C21" s="1536" t="s">
        <v>288</v>
      </c>
      <c r="D21" s="1536"/>
      <c r="E21" s="1536"/>
      <c r="F21" s="1536"/>
      <c r="G21" s="1536"/>
      <c r="H21" s="1536"/>
      <c r="I21" s="1536"/>
      <c r="J21" s="1536"/>
      <c r="K21" s="1536"/>
      <c r="L21" s="1536"/>
      <c r="M21" s="1536"/>
      <c r="N21" s="1536"/>
      <c r="O21" s="1536"/>
      <c r="P21" s="1536"/>
      <c r="Q21" s="1536"/>
      <c r="R21" s="488"/>
    </row>
    <row r="22" spans="2:18" ht="18.75" customHeight="1" x14ac:dyDescent="0.3">
      <c r="B22" s="500" t="s">
        <v>423</v>
      </c>
      <c r="C22" s="1536" t="s">
        <v>289</v>
      </c>
      <c r="D22" s="1536"/>
      <c r="E22" s="1536"/>
      <c r="F22" s="1536"/>
      <c r="G22" s="1536"/>
      <c r="H22" s="1536"/>
      <c r="I22" s="1536"/>
      <c r="J22" s="1536"/>
      <c r="K22" s="1536"/>
      <c r="L22" s="1536"/>
      <c r="M22" s="1536"/>
      <c r="N22" s="1536"/>
      <c r="O22" s="1536"/>
      <c r="P22" s="1536"/>
      <c r="Q22" s="1536"/>
      <c r="R22" s="488"/>
    </row>
    <row r="23" spans="2:18" ht="18.75" customHeight="1"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512"/>
      <c r="F33" s="1512"/>
      <c r="G33" s="1512"/>
      <c r="H33" s="1512"/>
      <c r="I33" s="1512"/>
      <c r="J33" s="1512"/>
      <c r="K33" s="1512"/>
      <c r="L33" s="1512"/>
      <c r="M33" s="1512"/>
      <c r="N33" s="1512"/>
      <c r="O33" s="1512"/>
      <c r="P33" s="1512"/>
      <c r="Q33" s="1512"/>
      <c r="R33" s="488"/>
    </row>
    <row r="34" spans="2:18" ht="18.75" customHeight="1" x14ac:dyDescent="0.3">
      <c r="B34" s="494" t="s">
        <v>431</v>
      </c>
      <c r="C34" s="542"/>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504">
        <f>SUM(C33:C34)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504">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403.23192499999999</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1734</v>
      </c>
      <c r="D49" s="1505"/>
      <c r="E49" s="1505"/>
      <c r="F49" s="1505"/>
      <c r="G49" s="1505"/>
      <c r="H49" s="1505"/>
      <c r="I49" s="1505"/>
      <c r="J49" s="1505"/>
      <c r="K49" s="1505"/>
      <c r="L49" s="1505"/>
      <c r="M49" s="1506"/>
      <c r="N49" s="591">
        <f>(H62-H63)*H64*(1+H65)</f>
        <v>403.23192499999999</v>
      </c>
      <c r="O49" s="1243" t="s">
        <v>443</v>
      </c>
      <c r="P49" s="1511"/>
      <c r="Q49" s="1511"/>
      <c r="R49" s="488"/>
    </row>
    <row r="50" spans="2:18" ht="18.75" customHeight="1" x14ac:dyDescent="0.3">
      <c r="B50" s="582" t="s">
        <v>456</v>
      </c>
      <c r="C50" s="1504" t="s">
        <v>457</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467</v>
      </c>
      <c r="D56" s="1505"/>
      <c r="E56" s="1505"/>
      <c r="F56" s="1505"/>
      <c r="G56" s="1505"/>
      <c r="H56" s="1505"/>
      <c r="I56" s="1505"/>
      <c r="J56" s="1505"/>
      <c r="K56" s="1505"/>
      <c r="L56" s="1505"/>
      <c r="M56" s="1506"/>
      <c r="N56" s="594"/>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1188" t="s">
        <v>406</v>
      </c>
      <c r="I61" s="1188" t="s">
        <v>428</v>
      </c>
      <c r="J61" s="1396" t="s">
        <v>476</v>
      </c>
      <c r="K61" s="1397"/>
      <c r="L61" s="1397"/>
      <c r="M61" s="1397"/>
      <c r="N61" s="1397"/>
      <c r="O61" s="1397"/>
      <c r="P61" s="1397"/>
      <c r="Q61" s="1398"/>
    </row>
    <row r="62" spans="2:18" ht="13" x14ac:dyDescent="0.3">
      <c r="B62" s="533">
        <v>1</v>
      </c>
      <c r="C62" s="546" t="s">
        <v>1735</v>
      </c>
      <c r="D62" s="1539" t="s">
        <v>1736</v>
      </c>
      <c r="E62" s="1539"/>
      <c r="F62" s="1217"/>
      <c r="G62" s="1217"/>
      <c r="H62" s="645">
        <v>8.1000000000000003E-2</v>
      </c>
      <c r="I62" s="1217" t="s">
        <v>440</v>
      </c>
      <c r="J62" s="1468" t="s">
        <v>1737</v>
      </c>
      <c r="K62" s="1478"/>
      <c r="L62" s="1478"/>
      <c r="M62" s="1478"/>
      <c r="N62" s="1478"/>
      <c r="O62" s="1478"/>
      <c r="P62" s="1478"/>
      <c r="Q62" s="1469"/>
      <c r="R62" s="488"/>
    </row>
    <row r="63" spans="2:18" ht="15" customHeight="1" x14ac:dyDescent="0.3">
      <c r="B63" s="533">
        <v>2</v>
      </c>
      <c r="C63" s="546" t="s">
        <v>1738</v>
      </c>
      <c r="D63" s="1539" t="s">
        <v>1739</v>
      </c>
      <c r="E63" s="1539"/>
      <c r="F63" s="1217"/>
      <c r="G63" s="1217"/>
      <c r="H63" s="645">
        <v>0.04</v>
      </c>
      <c r="I63" s="1217" t="s">
        <v>440</v>
      </c>
      <c r="J63" s="1468" t="s">
        <v>1737</v>
      </c>
      <c r="K63" s="1478"/>
      <c r="L63" s="1478"/>
      <c r="M63" s="1478"/>
      <c r="N63" s="1478"/>
      <c r="O63" s="1478"/>
      <c r="P63" s="1478"/>
      <c r="Q63" s="1469"/>
      <c r="R63" s="488"/>
    </row>
    <row r="64" spans="2:18" ht="15" customHeight="1" x14ac:dyDescent="0.3">
      <c r="B64" s="533">
        <v>3</v>
      </c>
      <c r="C64" s="546" t="s">
        <v>1050</v>
      </c>
      <c r="D64" s="1539" t="s">
        <v>1740</v>
      </c>
      <c r="E64" s="1539"/>
      <c r="F64" s="1217"/>
      <c r="G64" s="1217"/>
      <c r="H64" s="567">
        <v>6205</v>
      </c>
      <c r="I64" s="1217" t="s">
        <v>532</v>
      </c>
      <c r="J64" s="1468" t="s">
        <v>1737</v>
      </c>
      <c r="K64" s="1478"/>
      <c r="L64" s="1478"/>
      <c r="M64" s="1478"/>
      <c r="N64" s="1478"/>
      <c r="O64" s="1478"/>
      <c r="P64" s="1478"/>
      <c r="Q64" s="1469"/>
      <c r="R64" s="488"/>
    </row>
    <row r="65" spans="2:18" ht="13" x14ac:dyDescent="0.3">
      <c r="B65" s="533">
        <v>4</v>
      </c>
      <c r="C65" s="546" t="s">
        <v>1741</v>
      </c>
      <c r="D65" s="1539" t="s">
        <v>1742</v>
      </c>
      <c r="E65" s="1539"/>
      <c r="F65" s="609" t="str">
        <f>H66</f>
        <v>Average</v>
      </c>
      <c r="G65" s="1217" t="s">
        <v>1032</v>
      </c>
      <c r="H65" s="554">
        <f>INDEX($C$96:$N$116,MATCH(F65,$C$96:$C$116,0),MATCH(G65,$C$96:$N$96,0))</f>
        <v>0.58499999999999996</v>
      </c>
      <c r="I65" s="1217" t="s">
        <v>519</v>
      </c>
      <c r="J65" s="1468" t="s">
        <v>1743</v>
      </c>
      <c r="K65" s="1478"/>
      <c r="L65" s="1478"/>
      <c r="M65" s="1478"/>
      <c r="N65" s="1478"/>
      <c r="O65" s="1478"/>
      <c r="P65" s="1478"/>
      <c r="Q65" s="1469"/>
      <c r="R65" s="488"/>
    </row>
    <row r="66" spans="2:18" ht="33.75" customHeight="1" x14ac:dyDescent="0.3">
      <c r="B66" s="534">
        <v>5</v>
      </c>
      <c r="C66" s="549" t="s">
        <v>425</v>
      </c>
      <c r="D66" s="1556" t="s">
        <v>1744</v>
      </c>
      <c r="E66" s="1556"/>
      <c r="F66" s="1238"/>
      <c r="G66" s="1238"/>
      <c r="H66" s="762" t="s">
        <v>10</v>
      </c>
      <c r="I66" s="1238" t="s">
        <v>597</v>
      </c>
      <c r="J66" s="1462" t="s">
        <v>1745</v>
      </c>
      <c r="K66" s="1464"/>
      <c r="L66" s="1464"/>
      <c r="M66" s="1464"/>
      <c r="N66" s="1464"/>
      <c r="O66" s="1464"/>
      <c r="P66" s="1464"/>
      <c r="Q66" s="1463"/>
      <c r="R66" s="488"/>
    </row>
    <row r="67" spans="2:18" ht="13" x14ac:dyDescent="0.3">
      <c r="B67" s="533">
        <v>6</v>
      </c>
      <c r="C67" s="546"/>
      <c r="D67" s="1539"/>
      <c r="E67" s="1539"/>
      <c r="F67" s="1217"/>
      <c r="G67" s="1217"/>
      <c r="H67" s="765"/>
      <c r="I67" s="1217"/>
      <c r="J67" s="1507"/>
      <c r="K67" s="1514"/>
      <c r="L67" s="1514"/>
      <c r="M67" s="1514"/>
      <c r="N67" s="1514"/>
      <c r="O67" s="1514"/>
      <c r="P67" s="1514"/>
      <c r="Q67" s="1515"/>
      <c r="R67" s="488"/>
    </row>
    <row r="68" spans="2:18" ht="13" x14ac:dyDescent="0.3">
      <c r="B68" s="533">
        <v>7</v>
      </c>
      <c r="C68" s="546"/>
      <c r="D68" s="1539"/>
      <c r="E68" s="1539"/>
      <c r="F68" s="1217"/>
      <c r="G68" s="1217"/>
      <c r="H68" s="609"/>
      <c r="I68" s="1217"/>
      <c r="J68" s="1507"/>
      <c r="K68" s="1514"/>
      <c r="L68" s="1514"/>
      <c r="M68" s="1514"/>
      <c r="N68" s="1514"/>
      <c r="O68" s="1514"/>
      <c r="P68" s="1514"/>
      <c r="Q68" s="1515"/>
      <c r="R68" s="488"/>
    </row>
    <row r="69" spans="2:18" ht="13" x14ac:dyDescent="0.3">
      <c r="B69" s="533">
        <v>8</v>
      </c>
      <c r="C69" s="546"/>
      <c r="D69" s="1539"/>
      <c r="E69" s="1539"/>
      <c r="F69" s="1217"/>
      <c r="G69" s="1217"/>
      <c r="H69" s="1217"/>
      <c r="I69" s="1217"/>
      <c r="J69" s="1507"/>
      <c r="K69" s="1514"/>
      <c r="L69" s="1514"/>
      <c r="M69" s="1514"/>
      <c r="N69" s="1514"/>
      <c r="O69" s="1514"/>
      <c r="P69" s="1514"/>
      <c r="Q69" s="1515"/>
      <c r="R69" s="488"/>
    </row>
    <row r="70" spans="2:18" ht="13" x14ac:dyDescent="0.3">
      <c r="B70" s="533">
        <v>9</v>
      </c>
      <c r="C70" s="546"/>
      <c r="D70" s="1539"/>
      <c r="E70" s="1539"/>
      <c r="F70" s="1217"/>
      <c r="G70" s="1217"/>
      <c r="H70" s="1217"/>
      <c r="I70" s="1217"/>
      <c r="J70" s="1507"/>
      <c r="K70" s="1514"/>
      <c r="L70" s="1514"/>
      <c r="M70" s="1514"/>
      <c r="N70" s="1514"/>
      <c r="O70" s="1514"/>
      <c r="P70" s="1514"/>
      <c r="Q70" s="1515"/>
      <c r="R70" s="488"/>
    </row>
    <row r="71" spans="2:18" ht="13" x14ac:dyDescent="0.3">
      <c r="B71" s="533">
        <v>10</v>
      </c>
      <c r="C71" s="546"/>
      <c r="D71" s="1539"/>
      <c r="E71" s="1539"/>
      <c r="F71" s="1217"/>
      <c r="G71" s="1217"/>
      <c r="H71" s="571"/>
      <c r="I71" s="1217"/>
      <c r="J71" s="1507"/>
      <c r="K71" s="1514"/>
      <c r="L71" s="1514"/>
      <c r="M71" s="1514"/>
      <c r="N71" s="1514"/>
      <c r="O71" s="1514"/>
      <c r="P71" s="1514"/>
      <c r="Q71" s="1515"/>
      <c r="R71" s="488"/>
    </row>
    <row r="72" spans="2:18" s="491" customFormat="1" ht="13" x14ac:dyDescent="0.3">
      <c r="B72" s="536">
        <v>11</v>
      </c>
      <c r="C72" s="555"/>
      <c r="D72" s="1437"/>
      <c r="E72" s="1438"/>
      <c r="F72" s="556"/>
      <c r="G72" s="557"/>
      <c r="H72" s="556"/>
      <c r="I72" s="557"/>
      <c r="J72" s="1437"/>
      <c r="K72" s="1448"/>
      <c r="L72" s="1448"/>
      <c r="M72" s="1448"/>
      <c r="N72" s="1448"/>
      <c r="O72" s="1448"/>
      <c r="P72" s="1448"/>
      <c r="Q72" s="1438"/>
    </row>
    <row r="73" spans="2:18" s="491" customFormat="1" ht="13" x14ac:dyDescent="0.3">
      <c r="B73" s="536">
        <v>12</v>
      </c>
      <c r="C73" s="555"/>
      <c r="D73" s="1437"/>
      <c r="E73" s="1438"/>
      <c r="F73" s="556"/>
      <c r="G73" s="557"/>
      <c r="H73" s="558"/>
      <c r="I73" s="557"/>
      <c r="J73" s="1472"/>
      <c r="K73" s="1473"/>
      <c r="L73" s="1473"/>
      <c r="M73" s="1473"/>
      <c r="N73" s="1473"/>
      <c r="O73" s="1473"/>
      <c r="P73" s="1473"/>
      <c r="Q73" s="1474"/>
    </row>
    <row r="74" spans="2:18" s="491" customFormat="1" ht="13" x14ac:dyDescent="0.3">
      <c r="B74" s="536">
        <v>13</v>
      </c>
      <c r="C74" s="555"/>
      <c r="D74" s="1437"/>
      <c r="E74" s="1438"/>
      <c r="F74" s="556"/>
      <c r="G74" s="557"/>
      <c r="H74" s="556"/>
      <c r="I74" s="557"/>
      <c r="J74" s="1472"/>
      <c r="K74" s="1473"/>
      <c r="L74" s="1473"/>
      <c r="M74" s="1473"/>
      <c r="N74" s="1473"/>
      <c r="O74" s="1473"/>
      <c r="P74" s="1473"/>
      <c r="Q74" s="1474"/>
    </row>
    <row r="75" spans="2:18" s="489" customFormat="1" ht="13.15" customHeight="1" x14ac:dyDescent="0.3">
      <c r="B75" s="536">
        <v>14</v>
      </c>
      <c r="C75" s="555"/>
      <c r="D75" s="1437"/>
      <c r="E75" s="1438"/>
      <c r="F75" s="556"/>
      <c r="G75" s="557"/>
      <c r="H75" s="556"/>
      <c r="I75" s="557"/>
      <c r="J75" s="1472"/>
      <c r="K75" s="1473"/>
      <c r="L75" s="1473"/>
      <c r="M75" s="1473"/>
      <c r="N75" s="1473"/>
      <c r="O75" s="1473"/>
      <c r="P75" s="1473"/>
      <c r="Q75" s="1474"/>
    </row>
    <row r="76" spans="2:18" s="489" customFormat="1" ht="13" x14ac:dyDescent="0.3">
      <c r="B76" s="536">
        <v>15</v>
      </c>
      <c r="C76" s="555"/>
      <c r="D76" s="1437"/>
      <c r="E76" s="1438"/>
      <c r="F76" s="556"/>
      <c r="G76" s="557"/>
      <c r="H76" s="559"/>
      <c r="I76" s="557"/>
      <c r="J76" s="1472"/>
      <c r="K76" s="1473"/>
      <c r="L76" s="1473"/>
      <c r="M76" s="1473"/>
      <c r="N76" s="1473"/>
      <c r="O76" s="1473"/>
      <c r="P76" s="1473"/>
      <c r="Q76" s="1474"/>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182"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182"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c r="R85" s="488"/>
    </row>
    <row r="86" spans="2:18" ht="13" x14ac:dyDescent="0.3">
      <c r="B86" s="533">
        <v>6</v>
      </c>
      <c r="C86" s="563"/>
      <c r="D86" s="564"/>
      <c r="E86" s="1182"/>
      <c r="F86" s="1489"/>
      <c r="G86" s="1490"/>
      <c r="H86" s="1490"/>
      <c r="I86" s="1490"/>
      <c r="J86" s="1490"/>
      <c r="K86" s="1490"/>
      <c r="L86" s="1490"/>
      <c r="M86" s="1490"/>
      <c r="N86" s="1490"/>
      <c r="O86" s="1490"/>
      <c r="P86" s="1490"/>
      <c r="Q86" s="1491"/>
      <c r="R86" s="488"/>
    </row>
    <row r="87" spans="2:18" ht="13" x14ac:dyDescent="0.3">
      <c r="B87" s="533">
        <v>7</v>
      </c>
      <c r="C87" s="563"/>
      <c r="D87" s="1233"/>
      <c r="E87" s="1182"/>
      <c r="F87" s="1489"/>
      <c r="G87" s="1490"/>
      <c r="H87" s="1490"/>
      <c r="I87" s="1490"/>
      <c r="J87" s="1490"/>
      <c r="K87" s="1490"/>
      <c r="L87" s="1490"/>
      <c r="M87" s="1490"/>
      <c r="N87" s="1490"/>
      <c r="O87" s="1490"/>
      <c r="P87" s="1490"/>
      <c r="Q87" s="1491"/>
      <c r="R87" s="488"/>
    </row>
    <row r="88" spans="2:18" ht="13" x14ac:dyDescent="0.3">
      <c r="B88" s="533">
        <v>8</v>
      </c>
      <c r="C88" s="563"/>
      <c r="D88" s="564"/>
      <c r="E88" s="1182"/>
      <c r="F88" s="1489"/>
      <c r="G88" s="1490"/>
      <c r="H88" s="1490"/>
      <c r="I88" s="1490"/>
      <c r="J88" s="1490"/>
      <c r="K88" s="1490"/>
      <c r="L88" s="1490"/>
      <c r="M88" s="1490"/>
      <c r="N88" s="1490"/>
      <c r="O88" s="1490"/>
      <c r="P88" s="1490"/>
      <c r="Q88" s="1491"/>
      <c r="R88" s="488"/>
    </row>
    <row r="89" spans="2:18" ht="13" x14ac:dyDescent="0.3">
      <c r="B89" s="533">
        <v>9</v>
      </c>
      <c r="C89" s="563"/>
      <c r="D89" s="1233"/>
      <c r="E89" s="1182"/>
      <c r="F89" s="1489"/>
      <c r="G89" s="1490"/>
      <c r="H89" s="1490"/>
      <c r="I89" s="1490"/>
      <c r="J89" s="1490"/>
      <c r="K89" s="1490"/>
      <c r="L89" s="1490"/>
      <c r="M89" s="1490"/>
      <c r="N89" s="1490"/>
      <c r="O89" s="1490"/>
      <c r="P89" s="1490"/>
      <c r="Q89" s="1491"/>
      <c r="R89" s="488"/>
    </row>
    <row r="90" spans="2:18" ht="13" x14ac:dyDescent="0.3">
      <c r="B90" s="533">
        <v>10</v>
      </c>
      <c r="C90" s="563"/>
      <c r="D90" s="564"/>
      <c r="E90" s="1182"/>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t="s">
        <v>1746</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08"/>
      <c r="Q95" s="1409"/>
      <c r="R95" s="488"/>
    </row>
    <row r="96" spans="2:18" ht="25.5" customHeight="1" x14ac:dyDescent="0.3">
      <c r="B96" s="1188" t="s">
        <v>478</v>
      </c>
      <c r="C96" s="1402" t="s">
        <v>505</v>
      </c>
      <c r="D96" s="1431"/>
      <c r="E96" s="565" t="s">
        <v>1032</v>
      </c>
      <c r="F96" s="565"/>
      <c r="G96" s="565"/>
      <c r="H96" s="565"/>
      <c r="I96" s="565"/>
      <c r="J96" s="565"/>
      <c r="K96" s="565"/>
      <c r="L96" s="565"/>
      <c r="M96" s="565"/>
      <c r="N96" s="566"/>
      <c r="O96" s="1410"/>
      <c r="P96" s="1411"/>
      <c r="Q96" s="1412"/>
      <c r="R96" s="488"/>
    </row>
    <row r="97" spans="2:18" ht="13" x14ac:dyDescent="0.3">
      <c r="B97" s="533">
        <v>1</v>
      </c>
      <c r="C97" s="546" t="s">
        <v>1747</v>
      </c>
      <c r="D97" s="1184"/>
      <c r="E97" s="1046">
        <v>0.4</v>
      </c>
      <c r="F97" s="1190"/>
      <c r="G97" s="1190"/>
      <c r="H97" s="1190"/>
      <c r="I97" s="568"/>
      <c r="J97" s="568"/>
      <c r="K97" s="568"/>
      <c r="L97" s="568"/>
      <c r="M97" s="568"/>
      <c r="N97" s="568"/>
      <c r="O97" s="1501"/>
      <c r="P97" s="1502"/>
      <c r="Q97" s="1503"/>
      <c r="R97" s="488"/>
    </row>
    <row r="98" spans="2:18" ht="13" x14ac:dyDescent="0.3">
      <c r="B98" s="533">
        <v>2</v>
      </c>
      <c r="C98" s="546" t="s">
        <v>1748</v>
      </c>
      <c r="D98" s="1184"/>
      <c r="E98" s="1046">
        <v>0.77</v>
      </c>
      <c r="F98" s="1190"/>
      <c r="G98" s="1190"/>
      <c r="H98" s="1190"/>
      <c r="I98" s="568"/>
      <c r="J98" s="568"/>
      <c r="K98" s="568"/>
      <c r="L98" s="568"/>
      <c r="M98" s="568"/>
      <c r="N98" s="568"/>
      <c r="O98" s="1501"/>
      <c r="P98" s="1502"/>
      <c r="Q98" s="1503"/>
      <c r="R98" s="488"/>
    </row>
    <row r="99" spans="2:18" ht="13" x14ac:dyDescent="0.3">
      <c r="B99" s="533">
        <v>3</v>
      </c>
      <c r="C99" s="546" t="s">
        <v>10</v>
      </c>
      <c r="D99" s="1184"/>
      <c r="E99" s="1190">
        <f>AVERAGE(E97:E98)</f>
        <v>0.58499999999999996</v>
      </c>
      <c r="F99" s="1190"/>
      <c r="G99" s="1190"/>
      <c r="H99" s="1190"/>
      <c r="I99" s="568"/>
      <c r="J99" s="568"/>
      <c r="K99" s="568"/>
      <c r="L99" s="568"/>
      <c r="M99" s="568"/>
      <c r="N99" s="568"/>
      <c r="O99" s="1495"/>
      <c r="P99" s="1496"/>
      <c r="Q99" s="1497"/>
      <c r="R99" s="488"/>
    </row>
    <row r="100" spans="2:18" ht="13" x14ac:dyDescent="0.3">
      <c r="B100" s="533">
        <v>4</v>
      </c>
      <c r="C100" s="546"/>
      <c r="D100" s="1184"/>
      <c r="E100" s="1190"/>
      <c r="F100" s="1190"/>
      <c r="G100" s="1190"/>
      <c r="H100" s="1190"/>
      <c r="I100" s="568"/>
      <c r="J100" s="568"/>
      <c r="K100" s="568"/>
      <c r="L100" s="568"/>
      <c r="M100" s="568"/>
      <c r="N100" s="568"/>
      <c r="O100" s="1495"/>
      <c r="P100" s="1496"/>
      <c r="Q100" s="1497"/>
      <c r="R100" s="488"/>
    </row>
    <row r="101" spans="2:18" ht="13" x14ac:dyDescent="0.3">
      <c r="B101" s="533">
        <v>5</v>
      </c>
      <c r="C101" s="546"/>
      <c r="D101" s="1184"/>
      <c r="E101" s="1190"/>
      <c r="F101" s="1190"/>
      <c r="G101" s="1190"/>
      <c r="H101" s="1190"/>
      <c r="I101" s="568"/>
      <c r="J101" s="568"/>
      <c r="K101" s="568"/>
      <c r="L101" s="568"/>
      <c r="M101" s="568"/>
      <c r="N101" s="568"/>
      <c r="O101" s="1495"/>
      <c r="P101" s="1496"/>
      <c r="Q101" s="1497"/>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sheetData>
  <sheetProtection algorithmName="SHA-512" hashValue="bVyozLgagiS4syDQS5V0rqChRSWjK1NmjnYOvghKfTOOIuxaElYZ7MlTagr1bhan0rLBDegPEygZsY+oD18nmg==" saltValue="TbS9HdyYKO5x4M7naEShkQ==" spinCount="100000" sheet="1" objects="1" scenarios="1" selectLockedCells="1" selectUnlockedCells="1"/>
  <mergeCells count="121">
    <mergeCell ref="D17:F17"/>
    <mergeCell ref="D18:F18"/>
    <mergeCell ref="B20:Q20"/>
    <mergeCell ref="C21:Q21"/>
    <mergeCell ref="C22:Q22"/>
    <mergeCell ref="C23:Q23"/>
    <mergeCell ref="C2:F2"/>
    <mergeCell ref="C3:F3"/>
    <mergeCell ref="C4:F4"/>
    <mergeCell ref="C5:F5"/>
    <mergeCell ref="D7:F7"/>
    <mergeCell ref="D8:F16"/>
    <mergeCell ref="E34:Q34"/>
    <mergeCell ref="E35:Q35"/>
    <mergeCell ref="E36:Q36"/>
    <mergeCell ref="E37:Q37"/>
    <mergeCell ref="C41:M41"/>
    <mergeCell ref="P41:Q41"/>
    <mergeCell ref="D25:Q25"/>
    <mergeCell ref="D26:Q26"/>
    <mergeCell ref="D27:Q27"/>
    <mergeCell ref="D28:Q28"/>
    <mergeCell ref="E32:Q32"/>
    <mergeCell ref="E33:Q33"/>
    <mergeCell ref="D29:Q29"/>
    <mergeCell ref="D30:Q30"/>
    <mergeCell ref="C45:M45"/>
    <mergeCell ref="P45:Q45"/>
    <mergeCell ref="C47:M47"/>
    <mergeCell ref="P47:Q47"/>
    <mergeCell ref="C48:M48"/>
    <mergeCell ref="P48:Q48"/>
    <mergeCell ref="C42:M42"/>
    <mergeCell ref="P42:Q42"/>
    <mergeCell ref="C43:M43"/>
    <mergeCell ref="P43:Q43"/>
    <mergeCell ref="C44:M44"/>
    <mergeCell ref="P44:Q44"/>
    <mergeCell ref="C53:M53"/>
    <mergeCell ref="P53:Q53"/>
    <mergeCell ref="C54:M54"/>
    <mergeCell ref="P54:Q54"/>
    <mergeCell ref="C55:M55"/>
    <mergeCell ref="P55:Q55"/>
    <mergeCell ref="C49:M49"/>
    <mergeCell ref="P49:Q49"/>
    <mergeCell ref="C50:M50"/>
    <mergeCell ref="P50:Q50"/>
    <mergeCell ref="C51:M51"/>
    <mergeCell ref="P51:Q51"/>
    <mergeCell ref="D62:E62"/>
    <mergeCell ref="J62:Q62"/>
    <mergeCell ref="D63:E63"/>
    <mergeCell ref="J63:Q63"/>
    <mergeCell ref="D64:E64"/>
    <mergeCell ref="J64:Q64"/>
    <mergeCell ref="C56:M56"/>
    <mergeCell ref="P56:Q56"/>
    <mergeCell ref="C57:M57"/>
    <mergeCell ref="P57:Q57"/>
    <mergeCell ref="D61:E61"/>
    <mergeCell ref="J61:Q61"/>
    <mergeCell ref="D68:E68"/>
    <mergeCell ref="J68:Q68"/>
    <mergeCell ref="D69:E69"/>
    <mergeCell ref="J69:Q69"/>
    <mergeCell ref="D70:E70"/>
    <mergeCell ref="J70:Q70"/>
    <mergeCell ref="D65:E65"/>
    <mergeCell ref="J65:Q65"/>
    <mergeCell ref="D66:E66"/>
    <mergeCell ref="J66:Q66"/>
    <mergeCell ref="D67:E67"/>
    <mergeCell ref="J67:Q67"/>
    <mergeCell ref="D74:E74"/>
    <mergeCell ref="J74:Q74"/>
    <mergeCell ref="D75:E75"/>
    <mergeCell ref="J75:Q75"/>
    <mergeCell ref="D76:E76"/>
    <mergeCell ref="J76:Q76"/>
    <mergeCell ref="D71:E71"/>
    <mergeCell ref="J71:Q71"/>
    <mergeCell ref="D72:E72"/>
    <mergeCell ref="J72:Q72"/>
    <mergeCell ref="D73:E73"/>
    <mergeCell ref="J73:Q73"/>
    <mergeCell ref="F86:Q86"/>
    <mergeCell ref="F87:Q87"/>
    <mergeCell ref="F88:Q88"/>
    <mergeCell ref="F89:Q89"/>
    <mergeCell ref="F90:Q90"/>
    <mergeCell ref="E94:N94"/>
    <mergeCell ref="O94:Q96"/>
    <mergeCell ref="F80:Q80"/>
    <mergeCell ref="F81:Q81"/>
    <mergeCell ref="F82:Q82"/>
    <mergeCell ref="F83:Q83"/>
    <mergeCell ref="F84:Q84"/>
    <mergeCell ref="F85:Q85"/>
    <mergeCell ref="O101:Q101"/>
    <mergeCell ref="O102:Q102"/>
    <mergeCell ref="O103:Q103"/>
    <mergeCell ref="O104:Q104"/>
    <mergeCell ref="O105:Q105"/>
    <mergeCell ref="O106:Q106"/>
    <mergeCell ref="B95:D95"/>
    <mergeCell ref="C96:D96"/>
    <mergeCell ref="O97:Q97"/>
    <mergeCell ref="O98:Q98"/>
    <mergeCell ref="O99:Q99"/>
    <mergeCell ref="O100:Q100"/>
    <mergeCell ref="O113:Q113"/>
    <mergeCell ref="O114:Q114"/>
    <mergeCell ref="O115:Q115"/>
    <mergeCell ref="O116:Q116"/>
    <mergeCell ref="O107:Q107"/>
    <mergeCell ref="O108:Q108"/>
    <mergeCell ref="O109:Q109"/>
    <mergeCell ref="O110:Q110"/>
    <mergeCell ref="O111:Q111"/>
    <mergeCell ref="O112:Q112"/>
  </mergeCells>
  <conditionalFormatting sqref="H71">
    <cfRule type="expression" dxfId="2104" priority="38">
      <formula>IF(OR(#REF!="L",#REF!="C"),TRUE,FALSE)</formula>
    </cfRule>
  </conditionalFormatting>
  <conditionalFormatting sqref="H65">
    <cfRule type="expression" dxfId="2103" priority="36">
      <formula>IF(OR(#REF!="L",#REF!="C"),TRUE,FALSE)</formula>
    </cfRule>
  </conditionalFormatting>
  <conditionalFormatting sqref="H64">
    <cfRule type="expression" dxfId="2102" priority="37">
      <formula>IF(OR(#REF!="L",#REF!="C"),TRUE,FALSE)</formula>
    </cfRule>
  </conditionalFormatting>
  <conditionalFormatting sqref="H66">
    <cfRule type="expression" dxfId="2101" priority="35">
      <formula>IF(OR(#REF!="L",#REF!="C"),TRUE,FALSE)</formula>
    </cfRule>
  </conditionalFormatting>
  <conditionalFormatting sqref="H67">
    <cfRule type="expression" dxfId="2100" priority="34">
      <formula>IF(OR(#REF!="L",#REF!="C"),TRUE,FALSE)</formula>
    </cfRule>
  </conditionalFormatting>
  <conditionalFormatting sqref="H68">
    <cfRule type="expression" dxfId="2099" priority="33">
      <formula>IF(OR(#REF!="L",#REF!="C"),TRUE,FALSE)</formula>
    </cfRule>
  </conditionalFormatting>
  <conditionalFormatting sqref="H69">
    <cfRule type="expression" dxfId="2098" priority="32">
      <formula>IF(OR(#REF!="L",#REF!="C"),TRUE,FALSE)</formula>
    </cfRule>
  </conditionalFormatting>
  <conditionalFormatting sqref="H70">
    <cfRule type="expression" dxfId="2097" priority="31">
      <formula>IF(OR(#REF!="L",#REF!="C"),TRUE,FALSE)</formula>
    </cfRule>
  </conditionalFormatting>
  <conditionalFormatting sqref="F109:F116 G102:G116 H104:H116">
    <cfRule type="expression" dxfId="2096" priority="30">
      <formula>IF(OR(#REF!="L",#REF!="C"),TRUE,FALSE)</formula>
    </cfRule>
  </conditionalFormatting>
  <conditionalFormatting sqref="E110:E116">
    <cfRule type="expression" dxfId="2095" priority="29">
      <formula>IF(OR(#REF!="L",#REF!="C"),TRUE,FALSE)</formula>
    </cfRule>
  </conditionalFormatting>
  <conditionalFormatting sqref="E107">
    <cfRule type="expression" dxfId="2094" priority="28">
      <formula>IF(OR(#REF!="L",#REF!="C"),TRUE,FALSE)</formula>
    </cfRule>
  </conditionalFormatting>
  <conditionalFormatting sqref="E108">
    <cfRule type="expression" dxfId="2093" priority="27">
      <formula>IF(OR(#REF!="L",#REF!="C"),TRUE,FALSE)</formula>
    </cfRule>
  </conditionalFormatting>
  <conditionalFormatting sqref="E109">
    <cfRule type="expression" dxfId="2092" priority="26">
      <formula>IF(OR(#REF!="L",#REF!="C"),TRUE,FALSE)</formula>
    </cfRule>
  </conditionalFormatting>
  <conditionalFormatting sqref="E106">
    <cfRule type="expression" dxfId="2091" priority="25">
      <formula>IF(OR(#REF!="L",#REF!="C"),TRUE,FALSE)</formula>
    </cfRule>
  </conditionalFormatting>
  <conditionalFormatting sqref="E95 G95 I95 K95 M95">
    <cfRule type="duplicateValues" dxfId="2090" priority="24"/>
  </conditionalFormatting>
  <conditionalFormatting sqref="M104:M116">
    <cfRule type="expression" dxfId="2089" priority="14">
      <formula>IF(OR(#REF!="L",#REF!="C"),TRUE,FALSE)</formula>
    </cfRule>
  </conditionalFormatting>
  <conditionalFormatting sqref="F102:F106">
    <cfRule type="expression" dxfId="2088" priority="23">
      <formula>IF(OR(#REF!="L",#REF!="C"),TRUE,FALSE)</formula>
    </cfRule>
  </conditionalFormatting>
  <conditionalFormatting sqref="I102:I103">
    <cfRule type="expression" dxfId="2087" priority="21">
      <formula>IF(OR(#REF!="L",#REF!="C"),TRUE,FALSE)</formula>
    </cfRule>
  </conditionalFormatting>
  <conditionalFormatting sqref="N102:N103">
    <cfRule type="expression" dxfId="2086" priority="11">
      <formula>IF(OR(#REF!="L",#REF!="C"),TRUE,FALSE)</formula>
    </cfRule>
  </conditionalFormatting>
  <conditionalFormatting sqref="I104:I116">
    <cfRule type="expression" dxfId="2085" priority="22">
      <formula>IF(OR(#REF!="L",#REF!="C"),TRUE,FALSE)</formula>
    </cfRule>
  </conditionalFormatting>
  <conditionalFormatting sqref="J102:J103">
    <cfRule type="expression" dxfId="2084" priority="19">
      <formula>IF(OR(#REF!="L",#REF!="C"),TRUE,FALSE)</formula>
    </cfRule>
  </conditionalFormatting>
  <conditionalFormatting sqref="J104:J116">
    <cfRule type="expression" dxfId="2083" priority="20">
      <formula>IF(OR(#REF!="L",#REF!="C"),TRUE,FALSE)</formula>
    </cfRule>
  </conditionalFormatting>
  <conditionalFormatting sqref="K102:K103">
    <cfRule type="expression" dxfId="2082" priority="17">
      <formula>IF(OR(#REF!="L",#REF!="C"),TRUE,FALSE)</formula>
    </cfRule>
  </conditionalFormatting>
  <conditionalFormatting sqref="K104:K116">
    <cfRule type="expression" dxfId="2081" priority="18">
      <formula>IF(OR(#REF!="L",#REF!="C"),TRUE,FALSE)</formula>
    </cfRule>
  </conditionalFormatting>
  <conditionalFormatting sqref="L102:L103">
    <cfRule type="expression" dxfId="2080" priority="15">
      <formula>IF(OR(#REF!="L",#REF!="C"),TRUE,FALSE)</formula>
    </cfRule>
  </conditionalFormatting>
  <conditionalFormatting sqref="L104:L116">
    <cfRule type="expression" dxfId="2079" priority="16">
      <formula>IF(OR(#REF!="L",#REF!="C"),TRUE,FALSE)</formula>
    </cfRule>
  </conditionalFormatting>
  <conditionalFormatting sqref="M102:M103">
    <cfRule type="expression" dxfId="2078" priority="13">
      <formula>IF(OR(#REF!="L",#REF!="C"),TRUE,FALSE)</formula>
    </cfRule>
  </conditionalFormatting>
  <conditionalFormatting sqref="N104:N116">
    <cfRule type="expression" dxfId="2077" priority="12">
      <formula>IF(OR(#REF!="L",#REF!="C"),TRUE,FALSE)</formula>
    </cfRule>
  </conditionalFormatting>
  <conditionalFormatting sqref="H63">
    <cfRule type="expression" dxfId="2076" priority="10">
      <formula>IF(OR(#REF!="L",#REF!="C"),TRUE,FALSE)</formula>
    </cfRule>
  </conditionalFormatting>
  <conditionalFormatting sqref="O102:O103">
    <cfRule type="expression" dxfId="2075" priority="8">
      <formula>IF(OR(#REF!="L",#REF!="C"),TRUE,FALSE)</formula>
    </cfRule>
  </conditionalFormatting>
  <conditionalFormatting sqref="O104:O116">
    <cfRule type="expression" dxfId="2074" priority="9">
      <formula>IF(OR(#REF!="L",#REF!="C"),TRUE,FALSE)</formula>
    </cfRule>
  </conditionalFormatting>
  <conditionalFormatting sqref="E96:N96">
    <cfRule type="duplicateValues" dxfId="2073" priority="7"/>
  </conditionalFormatting>
  <conditionalFormatting sqref="H62">
    <cfRule type="expression" dxfId="2072" priority="6">
      <formula>IF(OR(#REF!="L",#REF!="C"),TRUE,FALSE)</formula>
    </cfRule>
  </conditionalFormatting>
  <conditionalFormatting sqref="H72">
    <cfRule type="expression" dxfId="2071" priority="5">
      <formula>IF(OR(#REF!="L",#REF!="C"),TRUE,FALSE)</formula>
    </cfRule>
  </conditionalFormatting>
  <conditionalFormatting sqref="H73">
    <cfRule type="expression" dxfId="2070" priority="4">
      <formula>IF(OR(#REF!="L",#REF!="C"),TRUE,FALSE)</formula>
    </cfRule>
  </conditionalFormatting>
  <conditionalFormatting sqref="H74">
    <cfRule type="expression" dxfId="2069" priority="3">
      <formula>IF(OR(#REF!="L",#REF!="C"),TRUE,FALSE)</formula>
    </cfRule>
  </conditionalFormatting>
  <conditionalFormatting sqref="H75">
    <cfRule type="expression" dxfId="2068" priority="2">
      <formula>IF(OR(#REF!="L",#REF!="C"),TRUE,FALSE)</formula>
    </cfRule>
  </conditionalFormatting>
  <conditionalFormatting sqref="H76">
    <cfRule type="expression" dxfId="2067" priority="1">
      <formula>IF(OR(#REF!="L",#REF!="C"),TRUE,FALSE)</formula>
    </cfRule>
  </conditionalFormatting>
  <dataValidations count="7">
    <dataValidation type="list" allowBlank="1" showInputMessage="1" showErrorMessage="1" sqref="C4" xr:uid="{B0605A06-EC9C-481B-AE54-57BCEBFF904B}">
      <formula1>"COM,RES"</formula1>
    </dataValidation>
    <dataValidation type="list" allowBlank="1" showInputMessage="1" showErrorMessage="1" sqref="H66" xr:uid="{0ED90C0E-604F-4E4E-BDB2-E30367736E41}">
      <formula1>$C$97:$C$116</formula1>
    </dataValidation>
    <dataValidation type="list" allowBlank="1" showInputMessage="1" showErrorMessage="1" sqref="C9" xr:uid="{743EB20D-F0F9-45E1-A39A-618EB53D180D}">
      <formula1>INDIRECT("MeasureTypeList[Index]")</formula1>
    </dataValidation>
    <dataValidation type="list" allowBlank="1" showInputMessage="1" showErrorMessage="1" sqref="C26" xr:uid="{7037FF93-E7BA-4040-BAAE-29C5B0D5D809}">
      <formula1>INDIRECT("RegionList[Index]")</formula1>
    </dataValidation>
    <dataValidation type="list" allowBlank="1" showInputMessage="1" showErrorMessage="1" sqref="C27" xr:uid="{EC3F5F24-0AA1-4E72-9ABE-43D48BE83CE2}">
      <formula1>INDIRECT("ReplacementTypeList[Index]")</formula1>
    </dataValidation>
    <dataValidation type="list" allowBlank="1" showInputMessage="1" showErrorMessage="1" sqref="C28" xr:uid="{EAE9BC33-DC77-43C8-8F34-BC7497615B48}">
      <formula1>INDIRECT("BuildingType[Building]")</formula1>
    </dataValidation>
    <dataValidation type="list" allowBlank="1" showInputMessage="1" showErrorMessage="1" sqref="C29 C30" xr:uid="{BEF91718-E87B-41C9-80A5-61CDA8F1FFB8}">
      <formula1>INDIRECT("FuelTypeList[Index]")</formula1>
    </dataValidation>
  </dataValidations>
  <hyperlinks>
    <hyperlink ref="F83" r:id="rId1" xr:uid="{D983F23E-39F0-4579-8528-82CD67E7856C}"/>
    <hyperlink ref="F85" r:id="rId2" xr:uid="{AFCFE81F-5CB2-4E58-B73F-B77FE55BA376}"/>
    <hyperlink ref="F84" r:id="rId3" xr:uid="{08E98707-485B-42D3-A650-63DA3335ACB5}"/>
    <hyperlink ref="F82" r:id="rId4" xr:uid="{904E3705-38F3-4FAE-BF7F-290AC00E0E73}"/>
  </hyperlinks>
  <pageMargins left="0.7" right="0.7" top="0.75" bottom="0.75" header="0.3" footer="0.3"/>
  <pageSetup orientation="portrait" r:id="rId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09510-E95E-4CBF-B878-D14A623E8A01}">
  <sheetPr codeName="Sheet14"/>
  <dimension ref="A2:R116"/>
  <sheetViews>
    <sheetView topLeftCell="A49" workbookViewId="0"/>
  </sheetViews>
  <sheetFormatPr defaultColWidth="9.08984375" defaultRowHeight="18.75" customHeight="1" x14ac:dyDescent="0.3"/>
  <cols>
    <col min="1" max="1" width="2.36328125" style="488" customWidth="1"/>
    <col min="2" max="2" width="44.36328125" style="488" bestFit="1" customWidth="1"/>
    <col min="3" max="3" width="19.81640625" style="488" customWidth="1"/>
    <col min="4" max="4" width="21.6328125" style="488" customWidth="1"/>
    <col min="5" max="5" width="15" style="488" customWidth="1"/>
    <col min="6" max="6" width="15.6328125" style="488" customWidth="1"/>
    <col min="7" max="7" width="19.6328125" style="488" customWidth="1"/>
    <col min="8" max="8" width="16"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C-R-006</v>
      </c>
      <c r="D3" s="1367"/>
      <c r="E3" s="1367"/>
      <c r="F3" s="1367"/>
    </row>
    <row r="4" spans="1:18" ht="18.75" customHeight="1" x14ac:dyDescent="0.3">
      <c r="B4" s="490" t="s">
        <v>11</v>
      </c>
      <c r="C4" s="1367" t="str" cm="1">
        <f t="array" ref="C4">_xlfn.SWITCH(LEFT(C8,1),"R","Residential","C","Commercial","ERROR")</f>
        <v>Commercial</v>
      </c>
      <c r="D4" s="1367"/>
      <c r="E4" s="1367"/>
      <c r="F4" s="1367"/>
    </row>
    <row r="5" spans="1:18" ht="19.5" customHeight="1" x14ac:dyDescent="0.3">
      <c r="B5" s="490" t="s">
        <v>408</v>
      </c>
      <c r="C5" s="1530" t="s">
        <v>290</v>
      </c>
      <c r="D5" s="1531"/>
      <c r="E5" s="1531"/>
      <c r="F5" s="1532"/>
      <c r="R5" s="488"/>
    </row>
    <row r="6" spans="1:18" ht="18.75" customHeight="1" x14ac:dyDescent="0.3">
      <c r="A6" s="573"/>
    </row>
    <row r="7" spans="1:18" ht="18.75" customHeight="1" x14ac:dyDescent="0.3">
      <c r="B7" s="1193" t="s">
        <v>409</v>
      </c>
      <c r="C7" s="1192" t="s">
        <v>406</v>
      </c>
      <c r="D7" s="1363" t="s">
        <v>410</v>
      </c>
      <c r="E7" s="1363"/>
      <c r="F7" s="1363"/>
      <c r="R7" s="488"/>
    </row>
    <row r="8" spans="1:18" ht="18.75" customHeight="1" x14ac:dyDescent="0.3">
      <c r="B8" s="490" t="s">
        <v>411</v>
      </c>
      <c r="C8" s="1218" t="s">
        <v>129</v>
      </c>
      <c r="D8" s="1957"/>
      <c r="E8" s="1957"/>
      <c r="F8" s="1957"/>
      <c r="R8" s="488"/>
    </row>
    <row r="9" spans="1:18" ht="18.75" customHeight="1" x14ac:dyDescent="0.3">
      <c r="B9" s="490" t="s">
        <v>49</v>
      </c>
      <c r="C9" s="1218" t="s">
        <v>1640</v>
      </c>
      <c r="D9" s="1957"/>
      <c r="E9" s="1957"/>
      <c r="F9" s="1957"/>
      <c r="R9" s="488"/>
    </row>
    <row r="10" spans="1:18" ht="18.75" customHeight="1" x14ac:dyDescent="0.3">
      <c r="B10" s="490" t="s">
        <v>412</v>
      </c>
      <c r="C10" s="1218"/>
      <c r="D10" s="1957"/>
      <c r="E10" s="1957"/>
      <c r="F10" s="1957"/>
      <c r="R10" s="488"/>
    </row>
    <row r="11" spans="1:18" ht="18.75" customHeight="1" x14ac:dyDescent="0.3">
      <c r="B11" s="490" t="s">
        <v>413</v>
      </c>
      <c r="C11" s="1218"/>
      <c r="D11" s="1957"/>
      <c r="E11" s="1957"/>
      <c r="F11" s="1957"/>
      <c r="R11" s="488"/>
    </row>
    <row r="12" spans="1:18" ht="18.75" customHeight="1" x14ac:dyDescent="0.3">
      <c r="B12" s="490" t="s">
        <v>414</v>
      </c>
      <c r="C12" s="665"/>
      <c r="D12" s="1957"/>
      <c r="E12" s="1957"/>
      <c r="F12" s="1957"/>
      <c r="R12" s="488"/>
    </row>
    <row r="13" spans="1:18" ht="18.75" customHeight="1" x14ac:dyDescent="0.3">
      <c r="B13" s="494" t="s">
        <v>415</v>
      </c>
      <c r="C13" s="658">
        <f>N43</f>
        <v>943</v>
      </c>
      <c r="D13" s="1957"/>
      <c r="E13" s="1957"/>
      <c r="F13" s="1957"/>
      <c r="R13" s="488"/>
    </row>
    <row r="14" spans="1:18" ht="18.75" customHeight="1" x14ac:dyDescent="0.3">
      <c r="B14" s="494" t="s">
        <v>416</v>
      </c>
      <c r="C14" s="658">
        <f>N42</f>
        <v>0</v>
      </c>
      <c r="D14" s="1957"/>
      <c r="E14" s="1957"/>
      <c r="F14" s="1957"/>
      <c r="R14" s="488"/>
    </row>
    <row r="15" spans="1:18" ht="18.75" customHeight="1" x14ac:dyDescent="0.3">
      <c r="B15" s="494" t="s">
        <v>417</v>
      </c>
      <c r="C15" s="658">
        <f>N44</f>
        <v>0</v>
      </c>
      <c r="D15" s="1957"/>
      <c r="E15" s="1957"/>
      <c r="F15" s="1957"/>
      <c r="R15" s="488"/>
    </row>
    <row r="16" spans="1:18" ht="18.75" customHeight="1" x14ac:dyDescent="0.3">
      <c r="B16" s="494" t="s">
        <v>418</v>
      </c>
      <c r="C16" s="659">
        <f>C37</f>
        <v>0</v>
      </c>
      <c r="D16" s="1957"/>
      <c r="E16" s="1957"/>
      <c r="F16" s="1957"/>
      <c r="R16" s="488"/>
    </row>
    <row r="17" spans="2:18" ht="18.75" customHeight="1" x14ac:dyDescent="0.3">
      <c r="B17" s="490" t="s">
        <v>48</v>
      </c>
      <c r="C17" s="1218" t="s">
        <v>1641</v>
      </c>
      <c r="D17" s="1363" t="s">
        <v>419</v>
      </c>
      <c r="E17" s="1363"/>
      <c r="F17" s="1363"/>
      <c r="R17" s="488"/>
    </row>
    <row r="18" spans="2:18" ht="44.25" customHeight="1" x14ac:dyDescent="0.3">
      <c r="B18" s="490" t="s">
        <v>420</v>
      </c>
      <c r="C18" s="666">
        <v>8</v>
      </c>
      <c r="D18" s="1513" t="s">
        <v>1642</v>
      </c>
      <c r="E18" s="1513"/>
      <c r="F18" s="1513"/>
      <c r="R18" s="488"/>
    </row>
    <row r="19" spans="2:18" ht="18.75" customHeight="1" x14ac:dyDescent="0.3">
      <c r="B19" s="613"/>
      <c r="C19" s="614"/>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34.15" customHeight="1" x14ac:dyDescent="0.3">
      <c r="B21" s="499" t="s">
        <v>422</v>
      </c>
      <c r="C21" s="1536" t="s">
        <v>291</v>
      </c>
      <c r="D21" s="1536"/>
      <c r="E21" s="1536"/>
      <c r="F21" s="1536"/>
      <c r="G21" s="1536"/>
      <c r="H21" s="1536"/>
      <c r="I21" s="1536"/>
      <c r="J21" s="1536"/>
      <c r="K21" s="1536"/>
      <c r="L21" s="1536"/>
      <c r="M21" s="1536"/>
      <c r="N21" s="1536"/>
      <c r="O21" s="1536"/>
      <c r="P21" s="1536"/>
      <c r="Q21" s="1536"/>
      <c r="R21" s="488"/>
    </row>
    <row r="22" spans="2:18" ht="18.75" customHeight="1" x14ac:dyDescent="0.3">
      <c r="B22" s="500" t="s">
        <v>423</v>
      </c>
      <c r="C22" s="1536" t="s">
        <v>292</v>
      </c>
      <c r="D22" s="1536"/>
      <c r="E22" s="1536"/>
      <c r="F22" s="1536"/>
      <c r="G22" s="1536"/>
      <c r="H22" s="1536"/>
      <c r="I22" s="1536"/>
      <c r="J22" s="1536"/>
      <c r="K22" s="1536"/>
      <c r="L22" s="1536"/>
      <c r="M22" s="1536"/>
      <c r="N22" s="1536"/>
      <c r="O22" s="1536"/>
      <c r="P22" s="1536"/>
      <c r="Q22" s="1536"/>
      <c r="R22" s="488"/>
    </row>
    <row r="23" spans="2:18" ht="18.75" customHeight="1"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512"/>
      <c r="F33" s="1512"/>
      <c r="G33" s="1512"/>
      <c r="H33" s="1512"/>
      <c r="I33" s="1512"/>
      <c r="J33" s="1512"/>
      <c r="K33" s="1512"/>
      <c r="L33" s="1512"/>
      <c r="M33" s="1512"/>
      <c r="N33" s="1512"/>
      <c r="O33" s="1512"/>
      <c r="P33" s="1512"/>
      <c r="Q33" s="1512"/>
      <c r="R33" s="488"/>
    </row>
    <row r="34" spans="2:18" ht="18.75" customHeight="1" x14ac:dyDescent="0.3">
      <c r="B34" s="494" t="s">
        <v>431</v>
      </c>
      <c r="C34" s="542"/>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504">
        <f>SUM(C33:C34)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504">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943</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1643</v>
      </c>
      <c r="D49" s="1505"/>
      <c r="E49" s="1505"/>
      <c r="F49" s="1505"/>
      <c r="G49" s="1505"/>
      <c r="H49" s="1505"/>
      <c r="I49" s="1505"/>
      <c r="J49" s="1505"/>
      <c r="K49" s="1505"/>
      <c r="L49" s="1505"/>
      <c r="M49" s="1506"/>
      <c r="N49" s="592">
        <v>943</v>
      </c>
      <c r="O49" s="1243" t="s">
        <v>443</v>
      </c>
      <c r="P49" s="1511"/>
      <c r="Q49" s="1511"/>
      <c r="R49" s="488"/>
    </row>
    <row r="50" spans="2:18" ht="18.75" customHeight="1" x14ac:dyDescent="0.3">
      <c r="B50" s="582" t="s">
        <v>456</v>
      </c>
      <c r="C50" s="1504" t="s">
        <v>457</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467</v>
      </c>
      <c r="D56" s="1505"/>
      <c r="E56" s="1505"/>
      <c r="F56" s="1505"/>
      <c r="G56" s="1505"/>
      <c r="H56" s="1505"/>
      <c r="I56" s="1505"/>
      <c r="J56" s="1505"/>
      <c r="K56" s="1505"/>
      <c r="L56" s="1505"/>
      <c r="M56" s="1506"/>
      <c r="N56" s="594"/>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1188" t="s">
        <v>406</v>
      </c>
      <c r="I61" s="1188" t="s">
        <v>428</v>
      </c>
      <c r="J61" s="1396" t="s">
        <v>476</v>
      </c>
      <c r="K61" s="1397"/>
      <c r="L61" s="1397"/>
      <c r="M61" s="1397"/>
      <c r="N61" s="1397"/>
      <c r="O61" s="1397"/>
      <c r="P61" s="1397"/>
      <c r="Q61" s="1398"/>
    </row>
    <row r="62" spans="2:18" ht="69" customHeight="1" x14ac:dyDescent="0.3">
      <c r="B62" s="535">
        <v>1</v>
      </c>
      <c r="C62" s="551" t="s">
        <v>1644</v>
      </c>
      <c r="D62" s="1543" t="s">
        <v>1645</v>
      </c>
      <c r="E62" s="1543"/>
      <c r="F62" s="552"/>
      <c r="G62" s="552"/>
      <c r="H62" s="1037">
        <v>943</v>
      </c>
      <c r="I62" s="552" t="s">
        <v>443</v>
      </c>
      <c r="J62" s="1482" t="s">
        <v>1749</v>
      </c>
      <c r="K62" s="1484"/>
      <c r="L62" s="1484"/>
      <c r="M62" s="1484"/>
      <c r="N62" s="1484"/>
      <c r="O62" s="1484"/>
      <c r="P62" s="1484"/>
      <c r="Q62" s="1483"/>
      <c r="R62" s="488"/>
    </row>
    <row r="63" spans="2:18" ht="13" x14ac:dyDescent="0.3">
      <c r="B63" s="533">
        <v>2</v>
      </c>
      <c r="C63" s="546"/>
      <c r="D63" s="1539"/>
      <c r="E63" s="1539"/>
      <c r="F63" s="1217"/>
      <c r="G63" s="1217"/>
      <c r="H63" s="645"/>
      <c r="I63" s="1217"/>
      <c r="J63" s="1468"/>
      <c r="K63" s="1478"/>
      <c r="L63" s="1478"/>
      <c r="M63" s="1478"/>
      <c r="N63" s="1478"/>
      <c r="O63" s="1478"/>
      <c r="P63" s="1478"/>
      <c r="Q63" s="1469"/>
      <c r="R63" s="488"/>
    </row>
    <row r="64" spans="2:18" ht="13" x14ac:dyDescent="0.3">
      <c r="B64" s="533">
        <v>3</v>
      </c>
      <c r="C64" s="546"/>
      <c r="D64" s="1539"/>
      <c r="E64" s="1539"/>
      <c r="F64" s="1217"/>
      <c r="G64" s="1217"/>
      <c r="H64" s="569"/>
      <c r="I64" s="1217"/>
      <c r="J64" s="1468"/>
      <c r="K64" s="1478"/>
      <c r="L64" s="1478"/>
      <c r="M64" s="1478"/>
      <c r="N64" s="1478"/>
      <c r="O64" s="1478"/>
      <c r="P64" s="1478"/>
      <c r="Q64" s="1469"/>
      <c r="R64" s="488"/>
    </row>
    <row r="65" spans="2:18" ht="13" x14ac:dyDescent="0.3">
      <c r="B65" s="533">
        <v>4</v>
      </c>
      <c r="C65" s="546"/>
      <c r="D65" s="1539"/>
      <c r="E65" s="1539"/>
      <c r="F65" s="1217"/>
      <c r="G65" s="1217"/>
      <c r="H65" s="609"/>
      <c r="I65" s="1217"/>
      <c r="J65" s="1468"/>
      <c r="K65" s="1478"/>
      <c r="L65" s="1478"/>
      <c r="M65" s="1478"/>
      <c r="N65" s="1478"/>
      <c r="O65" s="1478"/>
      <c r="P65" s="1478"/>
      <c r="Q65" s="1469"/>
      <c r="R65" s="488"/>
    </row>
    <row r="66" spans="2:18" ht="13" x14ac:dyDescent="0.3">
      <c r="B66" s="533">
        <v>5</v>
      </c>
      <c r="C66" s="546"/>
      <c r="D66" s="1539"/>
      <c r="E66" s="1539"/>
      <c r="F66" s="1217"/>
      <c r="G66" s="1217"/>
      <c r="H66" s="609"/>
      <c r="I66" s="1217"/>
      <c r="J66" s="1468"/>
      <c r="K66" s="1478"/>
      <c r="L66" s="1478"/>
      <c r="M66" s="1478"/>
      <c r="N66" s="1478"/>
      <c r="O66" s="1478"/>
      <c r="P66" s="1478"/>
      <c r="Q66" s="1469"/>
      <c r="R66" s="488"/>
    </row>
    <row r="67" spans="2:18" ht="13" x14ac:dyDescent="0.3">
      <c r="B67" s="533">
        <v>6</v>
      </c>
      <c r="C67" s="546"/>
      <c r="D67" s="1539"/>
      <c r="E67" s="1539"/>
      <c r="F67" s="1217"/>
      <c r="G67" s="1217"/>
      <c r="H67" s="765"/>
      <c r="I67" s="1217"/>
      <c r="J67" s="1507"/>
      <c r="K67" s="1514"/>
      <c r="L67" s="1514"/>
      <c r="M67" s="1514"/>
      <c r="N67" s="1514"/>
      <c r="O67" s="1514"/>
      <c r="P67" s="1514"/>
      <c r="Q67" s="1515"/>
      <c r="R67" s="488"/>
    </row>
    <row r="68" spans="2:18" ht="13" x14ac:dyDescent="0.3">
      <c r="B68" s="533">
        <v>7</v>
      </c>
      <c r="C68" s="546"/>
      <c r="D68" s="1539"/>
      <c r="E68" s="1539"/>
      <c r="F68" s="1217"/>
      <c r="G68" s="1217"/>
      <c r="H68" s="609"/>
      <c r="I68" s="1217"/>
      <c r="J68" s="1507"/>
      <c r="K68" s="1514"/>
      <c r="L68" s="1514"/>
      <c r="M68" s="1514"/>
      <c r="N68" s="1514"/>
      <c r="O68" s="1514"/>
      <c r="P68" s="1514"/>
      <c r="Q68" s="1515"/>
      <c r="R68" s="488"/>
    </row>
    <row r="69" spans="2:18" ht="13" x14ac:dyDescent="0.3">
      <c r="B69" s="533">
        <v>8</v>
      </c>
      <c r="C69" s="546"/>
      <c r="D69" s="1539"/>
      <c r="E69" s="1539"/>
      <c r="F69" s="1217"/>
      <c r="G69" s="1217"/>
      <c r="H69" s="1217"/>
      <c r="I69" s="1217"/>
      <c r="J69" s="1507"/>
      <c r="K69" s="1514"/>
      <c r="L69" s="1514"/>
      <c r="M69" s="1514"/>
      <c r="N69" s="1514"/>
      <c r="O69" s="1514"/>
      <c r="P69" s="1514"/>
      <c r="Q69" s="1515"/>
      <c r="R69" s="488"/>
    </row>
    <row r="70" spans="2:18" ht="13" x14ac:dyDescent="0.3">
      <c r="B70" s="533">
        <v>9</v>
      </c>
      <c r="C70" s="546"/>
      <c r="D70" s="1539"/>
      <c r="E70" s="1539"/>
      <c r="F70" s="1217"/>
      <c r="G70" s="1217"/>
      <c r="H70" s="1217"/>
      <c r="I70" s="1217"/>
      <c r="J70" s="1507"/>
      <c r="K70" s="1514"/>
      <c r="L70" s="1514"/>
      <c r="M70" s="1514"/>
      <c r="N70" s="1514"/>
      <c r="O70" s="1514"/>
      <c r="P70" s="1514"/>
      <c r="Q70" s="1515"/>
      <c r="R70" s="488"/>
    </row>
    <row r="71" spans="2:18" ht="13" x14ac:dyDescent="0.3">
      <c r="B71" s="533">
        <v>10</v>
      </c>
      <c r="C71" s="546"/>
      <c r="D71" s="1539"/>
      <c r="E71" s="1539"/>
      <c r="F71" s="1217"/>
      <c r="G71" s="1217"/>
      <c r="H71" s="571"/>
      <c r="I71" s="1217"/>
      <c r="J71" s="1507"/>
      <c r="K71" s="1514"/>
      <c r="L71" s="1514"/>
      <c r="M71" s="1514"/>
      <c r="N71" s="1514"/>
      <c r="O71" s="1514"/>
      <c r="P71" s="1514"/>
      <c r="Q71" s="1515"/>
      <c r="R71" s="488"/>
    </row>
    <row r="72" spans="2:18" s="491" customFormat="1" ht="13" x14ac:dyDescent="0.3">
      <c r="B72" s="536">
        <v>11</v>
      </c>
      <c r="C72" s="555"/>
      <c r="D72" s="1437"/>
      <c r="E72" s="1438"/>
      <c r="F72" s="556"/>
      <c r="G72" s="557"/>
      <c r="H72" s="556"/>
      <c r="I72" s="557"/>
      <c r="J72" s="1437"/>
      <c r="K72" s="1448"/>
      <c r="L72" s="1448"/>
      <c r="M72" s="1448"/>
      <c r="N72" s="1448"/>
      <c r="O72" s="1448"/>
      <c r="P72" s="1448"/>
      <c r="Q72" s="1438"/>
    </row>
    <row r="73" spans="2:18" s="491" customFormat="1" ht="13" x14ac:dyDescent="0.3">
      <c r="B73" s="536">
        <v>12</v>
      </c>
      <c r="C73" s="555"/>
      <c r="D73" s="1437"/>
      <c r="E73" s="1438"/>
      <c r="F73" s="556"/>
      <c r="G73" s="557"/>
      <c r="H73" s="558"/>
      <c r="I73" s="557"/>
      <c r="J73" s="1472"/>
      <c r="K73" s="1473"/>
      <c r="L73" s="1473"/>
      <c r="M73" s="1473"/>
      <c r="N73" s="1473"/>
      <c r="O73" s="1473"/>
      <c r="P73" s="1473"/>
      <c r="Q73" s="1474"/>
    </row>
    <row r="74" spans="2:18" s="491" customFormat="1" ht="13" x14ac:dyDescent="0.3">
      <c r="B74" s="536">
        <v>13</v>
      </c>
      <c r="C74" s="555"/>
      <c r="D74" s="1437"/>
      <c r="E74" s="1438"/>
      <c r="F74" s="556"/>
      <c r="G74" s="557"/>
      <c r="H74" s="556"/>
      <c r="I74" s="557"/>
      <c r="J74" s="1472"/>
      <c r="K74" s="1473"/>
      <c r="L74" s="1473"/>
      <c r="M74" s="1473"/>
      <c r="N74" s="1473"/>
      <c r="O74" s="1473"/>
      <c r="P74" s="1473"/>
      <c r="Q74" s="1474"/>
    </row>
    <row r="75" spans="2:18" s="489" customFormat="1" ht="13.15" customHeight="1" x14ac:dyDescent="0.3">
      <c r="B75" s="536">
        <v>14</v>
      </c>
      <c r="C75" s="555"/>
      <c r="D75" s="1437"/>
      <c r="E75" s="1438"/>
      <c r="F75" s="556"/>
      <c r="G75" s="557"/>
      <c r="H75" s="556"/>
      <c r="I75" s="557"/>
      <c r="J75" s="1472"/>
      <c r="K75" s="1473"/>
      <c r="L75" s="1473"/>
      <c r="M75" s="1473"/>
      <c r="N75" s="1473"/>
      <c r="O75" s="1473"/>
      <c r="P75" s="1473"/>
      <c r="Q75" s="1474"/>
    </row>
    <row r="76" spans="2:18" s="489" customFormat="1" ht="13" x14ac:dyDescent="0.3">
      <c r="B76" s="536">
        <v>15</v>
      </c>
      <c r="C76" s="555"/>
      <c r="D76" s="1437"/>
      <c r="E76" s="1438"/>
      <c r="F76" s="556"/>
      <c r="G76" s="557"/>
      <c r="H76" s="559"/>
      <c r="I76" s="557"/>
      <c r="J76" s="1472"/>
      <c r="K76" s="1473"/>
      <c r="L76" s="1473"/>
      <c r="M76" s="1473"/>
      <c r="N76" s="1473"/>
      <c r="O76" s="1473"/>
      <c r="P76" s="1473"/>
      <c r="Q76" s="1474"/>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182"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182"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c r="R85" s="488"/>
    </row>
    <row r="86" spans="2:18" ht="13" x14ac:dyDescent="0.3">
      <c r="B86" s="533">
        <v>6</v>
      </c>
      <c r="C86" s="563"/>
      <c r="D86" s="564"/>
      <c r="E86" s="1182"/>
      <c r="F86" s="1489"/>
      <c r="G86" s="1490"/>
      <c r="H86" s="1490"/>
      <c r="I86" s="1490"/>
      <c r="J86" s="1490"/>
      <c r="K86" s="1490"/>
      <c r="L86" s="1490"/>
      <c r="M86" s="1490"/>
      <c r="N86" s="1490"/>
      <c r="O86" s="1490"/>
      <c r="P86" s="1490"/>
      <c r="Q86" s="1491"/>
      <c r="R86" s="488"/>
    </row>
    <row r="87" spans="2:18" ht="13" x14ac:dyDescent="0.3">
      <c r="B87" s="533">
        <v>7</v>
      </c>
      <c r="C87" s="563"/>
      <c r="D87" s="1233"/>
      <c r="E87" s="1182"/>
      <c r="F87" s="1489"/>
      <c r="G87" s="1490"/>
      <c r="H87" s="1490"/>
      <c r="I87" s="1490"/>
      <c r="J87" s="1490"/>
      <c r="K87" s="1490"/>
      <c r="L87" s="1490"/>
      <c r="M87" s="1490"/>
      <c r="N87" s="1490"/>
      <c r="O87" s="1490"/>
      <c r="P87" s="1490"/>
      <c r="Q87" s="1491"/>
      <c r="R87" s="488"/>
    </row>
    <row r="88" spans="2:18" ht="13" x14ac:dyDescent="0.3">
      <c r="B88" s="533">
        <v>8</v>
      </c>
      <c r="C88" s="563"/>
      <c r="D88" s="564"/>
      <c r="E88" s="1182"/>
      <c r="F88" s="1489"/>
      <c r="G88" s="1490"/>
      <c r="H88" s="1490"/>
      <c r="I88" s="1490"/>
      <c r="J88" s="1490"/>
      <c r="K88" s="1490"/>
      <c r="L88" s="1490"/>
      <c r="M88" s="1490"/>
      <c r="N88" s="1490"/>
      <c r="O88" s="1490"/>
      <c r="P88" s="1490"/>
      <c r="Q88" s="1491"/>
      <c r="R88" s="488"/>
    </row>
    <row r="89" spans="2:18" ht="13" x14ac:dyDescent="0.3">
      <c r="B89" s="533">
        <v>9</v>
      </c>
      <c r="C89" s="563"/>
      <c r="D89" s="1233"/>
      <c r="E89" s="1182"/>
      <c r="F89" s="1489"/>
      <c r="G89" s="1490"/>
      <c r="H89" s="1490"/>
      <c r="I89" s="1490"/>
      <c r="J89" s="1490"/>
      <c r="K89" s="1490"/>
      <c r="L89" s="1490"/>
      <c r="M89" s="1490"/>
      <c r="N89" s="1490"/>
      <c r="O89" s="1490"/>
      <c r="P89" s="1490"/>
      <c r="Q89" s="1491"/>
      <c r="R89" s="488"/>
    </row>
    <row r="90" spans="2:18" ht="13" x14ac:dyDescent="0.3">
      <c r="B90" s="533">
        <v>10</v>
      </c>
      <c r="C90" s="563"/>
      <c r="D90" s="564"/>
      <c r="E90" s="1182"/>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08"/>
      <c r="Q95" s="1409"/>
      <c r="R95" s="488"/>
    </row>
    <row r="96" spans="2:18" ht="25.5" customHeight="1" x14ac:dyDescent="0.3">
      <c r="B96" s="1188" t="s">
        <v>478</v>
      </c>
      <c r="C96" s="1402" t="s">
        <v>505</v>
      </c>
      <c r="D96" s="1431"/>
      <c r="E96" s="565"/>
      <c r="F96" s="565"/>
      <c r="G96" s="565"/>
      <c r="H96" s="565"/>
      <c r="I96" s="565"/>
      <c r="J96" s="565"/>
      <c r="K96" s="565"/>
      <c r="L96" s="565"/>
      <c r="M96" s="565"/>
      <c r="N96" s="566"/>
      <c r="O96" s="1410"/>
      <c r="P96" s="1411"/>
      <c r="Q96" s="1412"/>
      <c r="R96" s="488"/>
    </row>
    <row r="97" spans="2:18" ht="13" x14ac:dyDescent="0.3">
      <c r="B97" s="533">
        <v>1</v>
      </c>
      <c r="C97" s="546"/>
      <c r="D97" s="1184"/>
      <c r="E97" s="1038"/>
      <c r="F97" s="1190"/>
      <c r="G97" s="1190"/>
      <c r="H97" s="1190"/>
      <c r="I97" s="568"/>
      <c r="J97" s="568"/>
      <c r="K97" s="568"/>
      <c r="L97" s="568"/>
      <c r="M97" s="568"/>
      <c r="N97" s="568"/>
      <c r="O97" s="1501"/>
      <c r="P97" s="1502"/>
      <c r="Q97" s="1503"/>
      <c r="R97" s="488"/>
    </row>
    <row r="98" spans="2:18" ht="13" x14ac:dyDescent="0.3">
      <c r="B98" s="533">
        <v>2</v>
      </c>
      <c r="C98" s="546"/>
      <c r="D98" s="1184"/>
      <c r="E98" s="1038"/>
      <c r="F98" s="1190"/>
      <c r="G98" s="1190"/>
      <c r="H98" s="1190"/>
      <c r="I98" s="568"/>
      <c r="J98" s="568"/>
      <c r="K98" s="568"/>
      <c r="L98" s="568"/>
      <c r="M98" s="568"/>
      <c r="N98" s="568"/>
      <c r="O98" s="1501"/>
      <c r="P98" s="1502"/>
      <c r="Q98" s="1503"/>
      <c r="R98" s="488"/>
    </row>
    <row r="99" spans="2:18" ht="13" x14ac:dyDescent="0.3">
      <c r="B99" s="533">
        <v>3</v>
      </c>
      <c r="C99" s="546"/>
      <c r="D99" s="1184"/>
      <c r="E99" s="1190"/>
      <c r="F99" s="1190"/>
      <c r="G99" s="1190"/>
      <c r="H99" s="1190"/>
      <c r="I99" s="568"/>
      <c r="J99" s="568"/>
      <c r="K99" s="568"/>
      <c r="L99" s="568"/>
      <c r="M99" s="568"/>
      <c r="N99" s="568"/>
      <c r="O99" s="1495"/>
      <c r="P99" s="1496"/>
      <c r="Q99" s="1497"/>
      <c r="R99" s="488"/>
    </row>
    <row r="100" spans="2:18" ht="13" x14ac:dyDescent="0.3">
      <c r="B100" s="533">
        <v>4</v>
      </c>
      <c r="C100" s="546"/>
      <c r="D100" s="1184"/>
      <c r="E100" s="1190"/>
      <c r="F100" s="1190"/>
      <c r="G100" s="1190"/>
      <c r="H100" s="1190"/>
      <c r="I100" s="568"/>
      <c r="J100" s="568"/>
      <c r="K100" s="568"/>
      <c r="L100" s="568"/>
      <c r="M100" s="568"/>
      <c r="N100" s="568"/>
      <c r="O100" s="1495"/>
      <c r="P100" s="1496"/>
      <c r="Q100" s="1497"/>
      <c r="R100" s="488"/>
    </row>
    <row r="101" spans="2:18" ht="13" x14ac:dyDescent="0.3">
      <c r="B101" s="533">
        <v>5</v>
      </c>
      <c r="C101" s="546"/>
      <c r="D101" s="1184"/>
      <c r="E101" s="1190"/>
      <c r="F101" s="1190"/>
      <c r="G101" s="1190"/>
      <c r="H101" s="1190"/>
      <c r="I101" s="568"/>
      <c r="J101" s="568"/>
      <c r="K101" s="568"/>
      <c r="L101" s="568"/>
      <c r="M101" s="568"/>
      <c r="N101" s="568"/>
      <c r="O101" s="1495"/>
      <c r="P101" s="1496"/>
      <c r="Q101" s="1497"/>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sheetData>
  <sheetProtection algorithmName="SHA-512" hashValue="675KjpUqoW8Ycu0TaVCul3qFzqZ+ZmX5DEsc6jnkgkthCV35vRjlkoKFTSbaoxKR8pBpIBWlkulMHDi2HnCdbg==" saltValue="35zc41vSC2Yc31r4t5w3XA==" spinCount="100000" sheet="1" objects="1" scenarios="1" selectLockedCells="1" selectUnlockedCells="1"/>
  <mergeCells count="121">
    <mergeCell ref="D17:F17"/>
    <mergeCell ref="D18:F18"/>
    <mergeCell ref="B20:Q20"/>
    <mergeCell ref="C21:Q21"/>
    <mergeCell ref="C22:Q22"/>
    <mergeCell ref="C23:Q23"/>
    <mergeCell ref="C2:F2"/>
    <mergeCell ref="C3:F3"/>
    <mergeCell ref="C4:F4"/>
    <mergeCell ref="D7:F7"/>
    <mergeCell ref="D8:F16"/>
    <mergeCell ref="E34:Q34"/>
    <mergeCell ref="E35:Q35"/>
    <mergeCell ref="E36:Q36"/>
    <mergeCell ref="E37:Q37"/>
    <mergeCell ref="C41:M41"/>
    <mergeCell ref="P41:Q41"/>
    <mergeCell ref="D25:Q25"/>
    <mergeCell ref="D26:Q26"/>
    <mergeCell ref="D27:Q27"/>
    <mergeCell ref="D28:Q28"/>
    <mergeCell ref="E32:Q32"/>
    <mergeCell ref="E33:Q33"/>
    <mergeCell ref="D29:Q29"/>
    <mergeCell ref="D30:Q30"/>
    <mergeCell ref="C45:M45"/>
    <mergeCell ref="P45:Q45"/>
    <mergeCell ref="C47:M47"/>
    <mergeCell ref="P47:Q47"/>
    <mergeCell ref="C48:M48"/>
    <mergeCell ref="P48:Q48"/>
    <mergeCell ref="C42:M42"/>
    <mergeCell ref="P42:Q42"/>
    <mergeCell ref="C43:M43"/>
    <mergeCell ref="P43:Q43"/>
    <mergeCell ref="C44:M44"/>
    <mergeCell ref="P44:Q44"/>
    <mergeCell ref="C53:M53"/>
    <mergeCell ref="P53:Q53"/>
    <mergeCell ref="C54:M54"/>
    <mergeCell ref="P54:Q54"/>
    <mergeCell ref="C55:M55"/>
    <mergeCell ref="P55:Q55"/>
    <mergeCell ref="C49:M49"/>
    <mergeCell ref="P49:Q49"/>
    <mergeCell ref="C50:M50"/>
    <mergeCell ref="P50:Q50"/>
    <mergeCell ref="C51:M51"/>
    <mergeCell ref="P51:Q51"/>
    <mergeCell ref="D62:E62"/>
    <mergeCell ref="J62:Q62"/>
    <mergeCell ref="D63:E63"/>
    <mergeCell ref="J63:Q63"/>
    <mergeCell ref="D64:E64"/>
    <mergeCell ref="J64:Q64"/>
    <mergeCell ref="C56:M56"/>
    <mergeCell ref="P56:Q56"/>
    <mergeCell ref="C57:M57"/>
    <mergeCell ref="P57:Q57"/>
    <mergeCell ref="D61:E61"/>
    <mergeCell ref="J61:Q61"/>
    <mergeCell ref="D68:E68"/>
    <mergeCell ref="J68:Q68"/>
    <mergeCell ref="D69:E69"/>
    <mergeCell ref="J69:Q69"/>
    <mergeCell ref="D70:E70"/>
    <mergeCell ref="J70:Q70"/>
    <mergeCell ref="D65:E65"/>
    <mergeCell ref="J65:Q65"/>
    <mergeCell ref="D66:E66"/>
    <mergeCell ref="J66:Q66"/>
    <mergeCell ref="D67:E67"/>
    <mergeCell ref="J67:Q67"/>
    <mergeCell ref="D74:E74"/>
    <mergeCell ref="J74:Q74"/>
    <mergeCell ref="D75:E75"/>
    <mergeCell ref="J75:Q75"/>
    <mergeCell ref="D76:E76"/>
    <mergeCell ref="J76:Q76"/>
    <mergeCell ref="D71:E71"/>
    <mergeCell ref="J71:Q71"/>
    <mergeCell ref="D72:E72"/>
    <mergeCell ref="J72:Q72"/>
    <mergeCell ref="D73:E73"/>
    <mergeCell ref="J73:Q73"/>
    <mergeCell ref="F87:Q87"/>
    <mergeCell ref="F88:Q88"/>
    <mergeCell ref="F89:Q89"/>
    <mergeCell ref="F90:Q90"/>
    <mergeCell ref="E94:N94"/>
    <mergeCell ref="O94:Q96"/>
    <mergeCell ref="F80:Q80"/>
    <mergeCell ref="F81:Q81"/>
    <mergeCell ref="F82:Q82"/>
    <mergeCell ref="F83:Q83"/>
    <mergeCell ref="F84:Q84"/>
    <mergeCell ref="F85:Q85"/>
    <mergeCell ref="O113:Q113"/>
    <mergeCell ref="O114:Q114"/>
    <mergeCell ref="O115:Q115"/>
    <mergeCell ref="O116:Q116"/>
    <mergeCell ref="C5:F5"/>
    <mergeCell ref="O107:Q107"/>
    <mergeCell ref="O108:Q108"/>
    <mergeCell ref="O109:Q109"/>
    <mergeCell ref="O110:Q110"/>
    <mergeCell ref="O111:Q111"/>
    <mergeCell ref="O112:Q112"/>
    <mergeCell ref="O101:Q101"/>
    <mergeCell ref="O102:Q102"/>
    <mergeCell ref="O103:Q103"/>
    <mergeCell ref="O104:Q104"/>
    <mergeCell ref="O105:Q105"/>
    <mergeCell ref="O106:Q106"/>
    <mergeCell ref="B95:D95"/>
    <mergeCell ref="C96:D96"/>
    <mergeCell ref="O97:Q97"/>
    <mergeCell ref="O98:Q98"/>
    <mergeCell ref="O99:Q99"/>
    <mergeCell ref="O100:Q100"/>
    <mergeCell ref="F86:Q86"/>
  </mergeCells>
  <conditionalFormatting sqref="H71">
    <cfRule type="expression" dxfId="2066" priority="40">
      <formula>IF(OR(#REF!="L",#REF!="C"),TRUE,FALSE)</formula>
    </cfRule>
  </conditionalFormatting>
  <conditionalFormatting sqref="H65">
    <cfRule type="expression" dxfId="2065" priority="38">
      <formula>IF(OR(#REF!="L",#REF!="C"),TRUE,FALSE)</formula>
    </cfRule>
  </conditionalFormatting>
  <conditionalFormatting sqref="H64">
    <cfRule type="expression" dxfId="2064" priority="39">
      <formula>IF(OR(#REF!="L",#REF!="C"),TRUE,FALSE)</formula>
    </cfRule>
  </conditionalFormatting>
  <conditionalFormatting sqref="H66">
    <cfRule type="expression" dxfId="2063" priority="37">
      <formula>IF(OR(#REF!="L",#REF!="C"),TRUE,FALSE)</formula>
    </cfRule>
  </conditionalFormatting>
  <conditionalFormatting sqref="H67">
    <cfRule type="expression" dxfId="2062" priority="36">
      <formula>IF(OR(#REF!="L",#REF!="C"),TRUE,FALSE)</formula>
    </cfRule>
  </conditionalFormatting>
  <conditionalFormatting sqref="H68">
    <cfRule type="expression" dxfId="2061" priority="35">
      <formula>IF(OR(#REF!="L",#REF!="C"),TRUE,FALSE)</formula>
    </cfRule>
  </conditionalFormatting>
  <conditionalFormatting sqref="H69">
    <cfRule type="expression" dxfId="2060" priority="34">
      <formula>IF(OR(#REF!="L",#REF!="C"),TRUE,FALSE)</formula>
    </cfRule>
  </conditionalFormatting>
  <conditionalFormatting sqref="H70">
    <cfRule type="expression" dxfId="2059" priority="33">
      <formula>IF(OR(#REF!="L",#REF!="C"),TRUE,FALSE)</formula>
    </cfRule>
  </conditionalFormatting>
  <conditionalFormatting sqref="F109:F116 G102:G116 H104:H116">
    <cfRule type="expression" dxfId="2058" priority="32">
      <formula>IF(OR(#REF!="L",#REF!="C"),TRUE,FALSE)</formula>
    </cfRule>
  </conditionalFormatting>
  <conditionalFormatting sqref="E110:E116">
    <cfRule type="expression" dxfId="2057" priority="31">
      <formula>IF(OR(#REF!="L",#REF!="C"),TRUE,FALSE)</formula>
    </cfRule>
  </conditionalFormatting>
  <conditionalFormatting sqref="E107">
    <cfRule type="expression" dxfId="2056" priority="30">
      <formula>IF(OR(#REF!="L",#REF!="C"),TRUE,FALSE)</formula>
    </cfRule>
  </conditionalFormatting>
  <conditionalFormatting sqref="E108">
    <cfRule type="expression" dxfId="2055" priority="29">
      <formula>IF(OR(#REF!="L",#REF!="C"),TRUE,FALSE)</formula>
    </cfRule>
  </conditionalFormatting>
  <conditionalFormatting sqref="E109">
    <cfRule type="expression" dxfId="2054" priority="28">
      <formula>IF(OR(#REF!="L",#REF!="C"),TRUE,FALSE)</formula>
    </cfRule>
  </conditionalFormatting>
  <conditionalFormatting sqref="E106">
    <cfRule type="expression" dxfId="2053" priority="27">
      <formula>IF(OR(#REF!="L",#REF!="C"),TRUE,FALSE)</formula>
    </cfRule>
  </conditionalFormatting>
  <conditionalFormatting sqref="E95 G95 I95 K95 M95">
    <cfRule type="duplicateValues" dxfId="2052" priority="26"/>
  </conditionalFormatting>
  <conditionalFormatting sqref="M104:M116">
    <cfRule type="expression" dxfId="2051" priority="16">
      <formula>IF(OR(#REF!="L",#REF!="C"),TRUE,FALSE)</formula>
    </cfRule>
  </conditionalFormatting>
  <conditionalFormatting sqref="F102:F106">
    <cfRule type="expression" dxfId="2050" priority="25">
      <formula>IF(OR(#REF!="L",#REF!="C"),TRUE,FALSE)</formula>
    </cfRule>
  </conditionalFormatting>
  <conditionalFormatting sqref="I102:I103">
    <cfRule type="expression" dxfId="2049" priority="23">
      <formula>IF(OR(#REF!="L",#REF!="C"),TRUE,FALSE)</formula>
    </cfRule>
  </conditionalFormatting>
  <conditionalFormatting sqref="N102:N103">
    <cfRule type="expression" dxfId="2048" priority="13">
      <formula>IF(OR(#REF!="L",#REF!="C"),TRUE,FALSE)</formula>
    </cfRule>
  </conditionalFormatting>
  <conditionalFormatting sqref="I104:I116">
    <cfRule type="expression" dxfId="2047" priority="24">
      <formula>IF(OR(#REF!="L",#REF!="C"),TRUE,FALSE)</formula>
    </cfRule>
  </conditionalFormatting>
  <conditionalFormatting sqref="J102:J103">
    <cfRule type="expression" dxfId="2046" priority="21">
      <formula>IF(OR(#REF!="L",#REF!="C"),TRUE,FALSE)</formula>
    </cfRule>
  </conditionalFormatting>
  <conditionalFormatting sqref="J104:J116">
    <cfRule type="expression" dxfId="2045" priority="22">
      <formula>IF(OR(#REF!="L",#REF!="C"),TRUE,FALSE)</formula>
    </cfRule>
  </conditionalFormatting>
  <conditionalFormatting sqref="K102:K103">
    <cfRule type="expression" dxfId="2044" priority="19">
      <formula>IF(OR(#REF!="L",#REF!="C"),TRUE,FALSE)</formula>
    </cfRule>
  </conditionalFormatting>
  <conditionalFormatting sqref="K104:K116">
    <cfRule type="expression" dxfId="2043" priority="20">
      <formula>IF(OR(#REF!="L",#REF!="C"),TRUE,FALSE)</formula>
    </cfRule>
  </conditionalFormatting>
  <conditionalFormatting sqref="L102:L103">
    <cfRule type="expression" dxfId="2042" priority="17">
      <formula>IF(OR(#REF!="L",#REF!="C"),TRUE,FALSE)</formula>
    </cfRule>
  </conditionalFormatting>
  <conditionalFormatting sqref="L104:L116">
    <cfRule type="expression" dxfId="2041" priority="18">
      <formula>IF(OR(#REF!="L",#REF!="C"),TRUE,FALSE)</formula>
    </cfRule>
  </conditionalFormatting>
  <conditionalFormatting sqref="M102:M103">
    <cfRule type="expression" dxfId="2040" priority="15">
      <formula>IF(OR(#REF!="L",#REF!="C"),TRUE,FALSE)</formula>
    </cfRule>
  </conditionalFormatting>
  <conditionalFormatting sqref="N104:N116">
    <cfRule type="expression" dxfId="2039" priority="14">
      <formula>IF(OR(#REF!="L",#REF!="C"),TRUE,FALSE)</formula>
    </cfRule>
  </conditionalFormatting>
  <conditionalFormatting sqref="O104:O116">
    <cfRule type="expression" dxfId="2038" priority="11">
      <formula>IF(OR(#REF!="L",#REF!="C"),TRUE,FALSE)</formula>
    </cfRule>
  </conditionalFormatting>
  <conditionalFormatting sqref="O102:O103">
    <cfRule type="expression" dxfId="2037" priority="10">
      <formula>IF(OR(#REF!="L",#REF!="C"),TRUE,FALSE)</formula>
    </cfRule>
  </conditionalFormatting>
  <conditionalFormatting sqref="E96:N96">
    <cfRule type="duplicateValues" dxfId="2036" priority="9"/>
  </conditionalFormatting>
  <conditionalFormatting sqref="H72">
    <cfRule type="expression" dxfId="2035" priority="7">
      <formula>IF(OR(#REF!="L",#REF!="C"),TRUE,FALSE)</formula>
    </cfRule>
  </conditionalFormatting>
  <conditionalFormatting sqref="H73">
    <cfRule type="expression" dxfId="2034" priority="6">
      <formula>IF(OR(#REF!="L",#REF!="C"),TRUE,FALSE)</formula>
    </cfRule>
  </conditionalFormatting>
  <conditionalFormatting sqref="H74">
    <cfRule type="expression" dxfId="2033" priority="5">
      <formula>IF(OR(#REF!="L",#REF!="C"),TRUE,FALSE)</formula>
    </cfRule>
  </conditionalFormatting>
  <conditionalFormatting sqref="H75">
    <cfRule type="expression" dxfId="2032" priority="4">
      <formula>IF(OR(#REF!="L",#REF!="C"),TRUE,FALSE)</formula>
    </cfRule>
  </conditionalFormatting>
  <conditionalFormatting sqref="H76">
    <cfRule type="expression" dxfId="2031" priority="3">
      <formula>IF(OR(#REF!="L",#REF!="C"),TRUE,FALSE)</formula>
    </cfRule>
  </conditionalFormatting>
  <conditionalFormatting sqref="H63">
    <cfRule type="expression" dxfId="2030" priority="2">
      <formula>IF(OR(#REF!="L",#REF!="C"),TRUE,FALSE)</formula>
    </cfRule>
  </conditionalFormatting>
  <conditionalFormatting sqref="H62">
    <cfRule type="expression" dxfId="2029" priority="1">
      <formula>IF(OR(#REF!="L",#REF!="C"),TRUE,FALSE)</formula>
    </cfRule>
  </conditionalFormatting>
  <dataValidations count="6">
    <dataValidation type="list" allowBlank="1" showInputMessage="1" showErrorMessage="1" sqref="C4" xr:uid="{8AD68AFC-D2BA-4FD4-84A4-F7D28EED7277}">
      <formula1>"COM,RES"</formula1>
    </dataValidation>
    <dataValidation type="list" allowBlank="1" showInputMessage="1" showErrorMessage="1" sqref="C9" xr:uid="{985B5773-E89C-470C-9245-E99AFC727B79}">
      <formula1>INDIRECT("MeasureTypeList[Index]")</formula1>
    </dataValidation>
    <dataValidation type="list" allowBlank="1" showInputMessage="1" showErrorMessage="1" sqref="C26" xr:uid="{E5E19C3D-BE77-4466-885C-564209E3B59C}">
      <formula1>INDIRECT("RegionList[Index]")</formula1>
    </dataValidation>
    <dataValidation type="list" allowBlank="1" showInputMessage="1" showErrorMessage="1" sqref="C27" xr:uid="{B4958E91-45B4-461D-81E8-160CDB69DCFF}">
      <formula1>INDIRECT("ReplacementTypeList[Index]")</formula1>
    </dataValidation>
    <dataValidation type="list" allowBlank="1" showInputMessage="1" showErrorMessage="1" sqref="C28" xr:uid="{846C651C-121C-4BDF-9797-51C98F01F076}">
      <formula1>INDIRECT("BuildingType[Building]")</formula1>
    </dataValidation>
    <dataValidation type="list" allowBlank="1" showInputMessage="1" showErrorMessage="1" sqref="C29 C30" xr:uid="{87A08620-2EE2-44C6-90ED-61C63DD81F33}">
      <formula1>INDIRECT("FuelTypeList[Index]")</formula1>
    </dataValidation>
  </dataValidations>
  <hyperlinks>
    <hyperlink ref="F83" r:id="rId1" xr:uid="{8B778B30-B920-41F6-BF60-822BA94AD496}"/>
    <hyperlink ref="F85" r:id="rId2" xr:uid="{256689BA-0BB0-460E-8CD3-2D1C935ECDD9}"/>
    <hyperlink ref="F84" r:id="rId3" xr:uid="{909F7FB3-C426-460B-9362-7C7FC2446094}"/>
    <hyperlink ref="F82" r:id="rId4" xr:uid="{BBDEA0C2-1752-4583-A71C-7C5F05559F0B}"/>
  </hyperlinks>
  <pageMargins left="0.7" right="0.7" top="0.75" bottom="0.75" header="0.3" footer="0.3"/>
  <pageSetup orientation="portrait" r:id="rId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08D53-71AD-4265-9473-8E5A0A3F1804}">
  <sheetPr codeName="Sheet15"/>
  <dimension ref="A2:R140"/>
  <sheetViews>
    <sheetView topLeftCell="A4" workbookViewId="0"/>
  </sheetViews>
  <sheetFormatPr defaultColWidth="9.08984375" defaultRowHeight="18.75" customHeight="1" x14ac:dyDescent="0.3"/>
  <cols>
    <col min="1" max="1" width="2.36328125" style="488" customWidth="1"/>
    <col min="2" max="2" width="44.36328125" style="488" bestFit="1" customWidth="1"/>
    <col min="3" max="3" width="32.26953125" style="488" customWidth="1"/>
    <col min="4" max="4" width="21.6328125" style="488" customWidth="1"/>
    <col min="5" max="5" width="15" style="488" customWidth="1"/>
    <col min="6" max="6" width="15.6328125" style="488" customWidth="1"/>
    <col min="7" max="7" width="19.6328125" style="488" customWidth="1"/>
    <col min="8" max="8" width="16"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C-R-007</v>
      </c>
      <c r="D3" s="1367"/>
      <c r="E3" s="1367"/>
      <c r="F3" s="1367"/>
    </row>
    <row r="4" spans="1:18" ht="18.75" customHeight="1" x14ac:dyDescent="0.3">
      <c r="B4" s="490" t="s">
        <v>11</v>
      </c>
      <c r="C4" s="1367" t="str" cm="1">
        <f t="array" ref="C4">_xlfn.SWITCH(LEFT(C8,1),"R","Residential","C","Commercial","ERROR")</f>
        <v>Commercial</v>
      </c>
      <c r="D4" s="1367"/>
      <c r="E4" s="1367"/>
      <c r="F4" s="1367"/>
    </row>
    <row r="5" spans="1:18" ht="19.5" customHeight="1" x14ac:dyDescent="0.3">
      <c r="B5" s="490" t="s">
        <v>408</v>
      </c>
      <c r="C5" s="1530" t="s">
        <v>293</v>
      </c>
      <c r="D5" s="1531"/>
      <c r="E5" s="1531"/>
      <c r="F5" s="1532"/>
      <c r="R5" s="488"/>
    </row>
    <row r="6" spans="1:18" ht="18.75" customHeight="1" x14ac:dyDescent="0.3">
      <c r="A6" s="573"/>
    </row>
    <row r="7" spans="1:18" ht="18.75" customHeight="1" x14ac:dyDescent="0.3">
      <c r="B7" s="1193" t="s">
        <v>409</v>
      </c>
      <c r="C7" s="1192" t="s">
        <v>406</v>
      </c>
      <c r="D7" s="1363" t="s">
        <v>410</v>
      </c>
      <c r="E7" s="1363"/>
      <c r="F7" s="1363"/>
      <c r="R7" s="488"/>
    </row>
    <row r="8" spans="1:18" ht="18.75" customHeight="1" x14ac:dyDescent="0.3">
      <c r="B8" s="490" t="s">
        <v>411</v>
      </c>
      <c r="C8" s="1218" t="s">
        <v>131</v>
      </c>
      <c r="D8" s="1957"/>
      <c r="E8" s="1957"/>
      <c r="F8" s="1957"/>
      <c r="R8" s="488"/>
    </row>
    <row r="9" spans="1:18" ht="18.75" customHeight="1" x14ac:dyDescent="0.3">
      <c r="B9" s="490" t="s">
        <v>49</v>
      </c>
      <c r="C9" s="1218" t="s">
        <v>1640</v>
      </c>
      <c r="D9" s="1957"/>
      <c r="E9" s="1957"/>
      <c r="F9" s="1957"/>
      <c r="R9" s="488"/>
    </row>
    <row r="10" spans="1:18" ht="18.75" customHeight="1" x14ac:dyDescent="0.3">
      <c r="B10" s="490" t="s">
        <v>412</v>
      </c>
      <c r="C10" s="1218"/>
      <c r="D10" s="1957"/>
      <c r="E10" s="1957"/>
      <c r="F10" s="1957"/>
      <c r="R10" s="488"/>
    </row>
    <row r="11" spans="1:18" ht="18.75" customHeight="1" x14ac:dyDescent="0.3">
      <c r="B11" s="490" t="s">
        <v>413</v>
      </c>
      <c r="C11" s="1218"/>
      <c r="D11" s="1957"/>
      <c r="E11" s="1957"/>
      <c r="F11" s="1957"/>
      <c r="R11" s="488"/>
    </row>
    <row r="12" spans="1:18" ht="18.75" customHeight="1" x14ac:dyDescent="0.3">
      <c r="B12" s="490" t="s">
        <v>414</v>
      </c>
      <c r="C12" s="665"/>
      <c r="D12" s="1957"/>
      <c r="E12" s="1957"/>
      <c r="F12" s="1957"/>
      <c r="R12" s="488"/>
    </row>
    <row r="13" spans="1:18" ht="18.75" customHeight="1" x14ac:dyDescent="0.3">
      <c r="B13" s="494" t="s">
        <v>415</v>
      </c>
      <c r="C13" s="658">
        <f>N43</f>
        <v>128.5</v>
      </c>
      <c r="D13" s="1957"/>
      <c r="E13" s="1957"/>
      <c r="F13" s="1957"/>
      <c r="R13" s="488"/>
    </row>
    <row r="14" spans="1:18" ht="18.75" customHeight="1" x14ac:dyDescent="0.3">
      <c r="B14" s="494" t="s">
        <v>416</v>
      </c>
      <c r="C14" s="658">
        <f>N42</f>
        <v>0</v>
      </c>
      <c r="D14" s="1957"/>
      <c r="E14" s="1957"/>
      <c r="F14" s="1957"/>
      <c r="R14" s="488"/>
    </row>
    <row r="15" spans="1:18" ht="18.75" customHeight="1" x14ac:dyDescent="0.3">
      <c r="B15" s="494" t="s">
        <v>417</v>
      </c>
      <c r="C15" s="658">
        <f>N44</f>
        <v>0</v>
      </c>
      <c r="D15" s="1957"/>
      <c r="E15" s="1957"/>
      <c r="F15" s="1957"/>
      <c r="R15" s="488"/>
    </row>
    <row r="16" spans="1:18" ht="18.75" customHeight="1" x14ac:dyDescent="0.3">
      <c r="B16" s="494" t="s">
        <v>418</v>
      </c>
      <c r="C16" s="659">
        <f>C37</f>
        <v>0</v>
      </c>
      <c r="D16" s="1957"/>
      <c r="E16" s="1957"/>
      <c r="F16" s="1957"/>
      <c r="R16" s="488"/>
    </row>
    <row r="17" spans="2:18" ht="18.75" customHeight="1" x14ac:dyDescent="0.3">
      <c r="B17" s="490" t="s">
        <v>48</v>
      </c>
      <c r="C17" s="1218" t="s">
        <v>1647</v>
      </c>
      <c r="D17" s="1363" t="s">
        <v>419</v>
      </c>
      <c r="E17" s="1363"/>
      <c r="F17" s="1363"/>
      <c r="R17" s="488"/>
    </row>
    <row r="18" spans="2:18" ht="18.75" customHeight="1" x14ac:dyDescent="0.3">
      <c r="B18" s="490" t="s">
        <v>420</v>
      </c>
      <c r="C18" s="666">
        <v>4</v>
      </c>
      <c r="D18" s="1513" t="s">
        <v>1750</v>
      </c>
      <c r="E18" s="1513"/>
      <c r="F18" s="1513"/>
      <c r="R18" s="488"/>
    </row>
    <row r="19" spans="2:18" ht="18.75" customHeight="1" x14ac:dyDescent="0.3">
      <c r="B19" s="613"/>
      <c r="C19" s="614"/>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18.75" customHeight="1" x14ac:dyDescent="0.3">
      <c r="B21" s="499" t="s">
        <v>422</v>
      </c>
      <c r="C21" s="1536" t="s">
        <v>294</v>
      </c>
      <c r="D21" s="1536"/>
      <c r="E21" s="1536"/>
      <c r="F21" s="1536"/>
      <c r="G21" s="1536"/>
      <c r="H21" s="1536"/>
      <c r="I21" s="1536"/>
      <c r="J21" s="1536"/>
      <c r="K21" s="1536"/>
      <c r="L21" s="1536"/>
      <c r="M21" s="1536"/>
      <c r="N21" s="1536"/>
      <c r="O21" s="1536"/>
      <c r="P21" s="1536"/>
      <c r="Q21" s="1536"/>
      <c r="R21" s="488"/>
    </row>
    <row r="22" spans="2:18" ht="18.75" customHeight="1" x14ac:dyDescent="0.3">
      <c r="B22" s="500" t="s">
        <v>423</v>
      </c>
      <c r="C22" s="1536" t="s">
        <v>295</v>
      </c>
      <c r="D22" s="1536"/>
      <c r="E22" s="1536"/>
      <c r="F22" s="1536"/>
      <c r="G22" s="1536"/>
      <c r="H22" s="1536"/>
      <c r="I22" s="1536"/>
      <c r="J22" s="1536"/>
      <c r="K22" s="1536"/>
      <c r="L22" s="1536"/>
      <c r="M22" s="1536"/>
      <c r="N22" s="1536"/>
      <c r="O22" s="1536"/>
      <c r="P22" s="1536"/>
      <c r="Q22" s="1536"/>
      <c r="R22" s="488"/>
    </row>
    <row r="23" spans="2:18" ht="18.75" customHeight="1"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512"/>
      <c r="F33" s="1512"/>
      <c r="G33" s="1512"/>
      <c r="H33" s="1512"/>
      <c r="I33" s="1512"/>
      <c r="J33" s="1512"/>
      <c r="K33" s="1512"/>
      <c r="L33" s="1512"/>
      <c r="M33" s="1512"/>
      <c r="N33" s="1512"/>
      <c r="O33" s="1512"/>
      <c r="P33" s="1512"/>
      <c r="Q33" s="1512"/>
      <c r="R33" s="488"/>
    </row>
    <row r="34" spans="2:18" ht="18.75" customHeight="1" x14ac:dyDescent="0.3">
      <c r="B34" s="494" t="s">
        <v>431</v>
      </c>
      <c r="C34" s="542"/>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504">
        <f>SUM(C33:C34)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504">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128.5</v>
      </c>
      <c r="O43" s="1243" t="s">
        <v>443</v>
      </c>
      <c r="P43" s="1511" t="s">
        <v>1649</v>
      </c>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1650</v>
      </c>
      <c r="D49" s="1505"/>
      <c r="E49" s="1505"/>
      <c r="F49" s="1505"/>
      <c r="G49" s="1505"/>
      <c r="H49" s="1505"/>
      <c r="I49" s="1505"/>
      <c r="J49" s="1505"/>
      <c r="K49" s="1505"/>
      <c r="L49" s="1505"/>
      <c r="M49" s="1506"/>
      <c r="N49" s="592">
        <f>H64*H65</f>
        <v>128.5</v>
      </c>
      <c r="O49" s="1243" t="s">
        <v>443</v>
      </c>
      <c r="P49" s="1511" t="s">
        <v>1649</v>
      </c>
      <c r="Q49" s="1511"/>
      <c r="R49" s="488"/>
    </row>
    <row r="50" spans="2:18" ht="18.75" customHeight="1" x14ac:dyDescent="0.3">
      <c r="B50" s="582" t="s">
        <v>456</v>
      </c>
      <c r="C50" s="1504" t="s">
        <v>457</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467</v>
      </c>
      <c r="D56" s="1505"/>
      <c r="E56" s="1505"/>
      <c r="F56" s="1505"/>
      <c r="G56" s="1505"/>
      <c r="H56" s="1505"/>
      <c r="I56" s="1505"/>
      <c r="J56" s="1505"/>
      <c r="K56" s="1505"/>
      <c r="L56" s="1505"/>
      <c r="M56" s="1506"/>
      <c r="N56" s="594"/>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1188" t="s">
        <v>406</v>
      </c>
      <c r="I61" s="1188" t="s">
        <v>428</v>
      </c>
      <c r="J61" s="1396" t="s">
        <v>476</v>
      </c>
      <c r="K61" s="1397"/>
      <c r="L61" s="1397"/>
      <c r="M61" s="1397"/>
      <c r="N61" s="1397"/>
      <c r="O61" s="1397"/>
      <c r="P61" s="1397"/>
      <c r="Q61" s="1398"/>
    </row>
    <row r="62" spans="2:18" ht="26" x14ac:dyDescent="0.3">
      <c r="B62" s="533">
        <v>1</v>
      </c>
      <c r="C62" s="546" t="s">
        <v>1651</v>
      </c>
      <c r="D62" s="1539" t="s">
        <v>1652</v>
      </c>
      <c r="E62" s="1539"/>
      <c r="F62" s="1217"/>
      <c r="G62" s="1217"/>
      <c r="H62" s="609" t="s">
        <v>1668</v>
      </c>
      <c r="I62" s="1217" t="s">
        <v>597</v>
      </c>
      <c r="J62" s="1468" t="s">
        <v>1751</v>
      </c>
      <c r="K62" s="1478"/>
      <c r="L62" s="1478"/>
      <c r="M62" s="1478"/>
      <c r="N62" s="1478"/>
      <c r="O62" s="1478"/>
      <c r="P62" s="1478"/>
      <c r="Q62" s="1469"/>
      <c r="R62" s="488"/>
    </row>
    <row r="63" spans="2:18" ht="13" x14ac:dyDescent="0.3">
      <c r="B63" s="535">
        <v>2</v>
      </c>
      <c r="C63" s="551" t="s">
        <v>1752</v>
      </c>
      <c r="D63" s="1543" t="s">
        <v>1655</v>
      </c>
      <c r="E63" s="1543"/>
      <c r="F63" s="552"/>
      <c r="G63" s="552"/>
      <c r="H63" s="1037">
        <v>1</v>
      </c>
      <c r="I63" s="552" t="s">
        <v>909</v>
      </c>
      <c r="J63" s="1482" t="s">
        <v>1753</v>
      </c>
      <c r="K63" s="1484"/>
      <c r="L63" s="1484"/>
      <c r="M63" s="1484"/>
      <c r="N63" s="1484"/>
      <c r="O63" s="1484"/>
      <c r="P63" s="1484"/>
      <c r="Q63" s="1483"/>
      <c r="R63" s="488"/>
    </row>
    <row r="64" spans="2:18" ht="43.15" customHeight="1" x14ac:dyDescent="0.3">
      <c r="B64" s="533">
        <v>3</v>
      </c>
      <c r="C64" s="546" t="s">
        <v>1657</v>
      </c>
      <c r="D64" s="1539" t="s">
        <v>1658</v>
      </c>
      <c r="E64" s="1539"/>
      <c r="F64" s="609" t="str">
        <f>H62</f>
        <v>No prexisting curtain</v>
      </c>
      <c r="G64" s="1217" t="s">
        <v>1659</v>
      </c>
      <c r="H64" s="645" cm="1">
        <f t="array" ref="H64">IFERROR(_xlfn.IFS($F$64=$D$97,INDEX($C$96:$N$116,MATCH($C$28,$C$96:$C$116,0),MATCH($G$64,$C$96:$N$96,)),$F$64=$D$121,INDEX($C$120:$N$140,MATCH($C$28,$C$120:$C$140,0),MATCH($G$64,$C$120:$N$120,0))),"Value does not exist for Building Type")</f>
        <v>128.5</v>
      </c>
      <c r="I64" s="1217" t="s">
        <v>1660</v>
      </c>
      <c r="J64" s="1468" t="s">
        <v>1751</v>
      </c>
      <c r="K64" s="1478"/>
      <c r="L64" s="1478"/>
      <c r="M64" s="1478"/>
      <c r="N64" s="1478"/>
      <c r="O64" s="1478"/>
      <c r="P64" s="1478"/>
      <c r="Q64" s="1469"/>
      <c r="R64" s="488"/>
    </row>
    <row r="65" spans="2:18" ht="30" customHeight="1" x14ac:dyDescent="0.3">
      <c r="B65" s="533">
        <v>4</v>
      </c>
      <c r="C65" s="546" t="s">
        <v>1661</v>
      </c>
      <c r="D65" s="1539" t="s">
        <v>1662</v>
      </c>
      <c r="E65" s="1539"/>
      <c r="F65" s="609" t="str">
        <f>H62</f>
        <v>No prexisting curtain</v>
      </c>
      <c r="G65" s="1217" t="str">
        <f>C65</f>
        <v>DoorwayArea</v>
      </c>
      <c r="H65" s="645">
        <f>_xlfn.IFS($H$63&lt;&gt;"",$H$63,$H$63="",_xlfn.IFS($F$65=$D$97,INDEX($C$96:$N$116,MATCH($F$65,$C$96:$C$116,0),MATCH($G$65,$C$96:$N$96,0)),$F$65=$D$121,INDEX($C$120:$N$140,MATCH($C$28,$C$120:$C$140,0),MATCH($G$65,$C$120:$N$120,0))))</f>
        <v>1</v>
      </c>
      <c r="I65" s="1217" t="s">
        <v>909</v>
      </c>
      <c r="J65" s="1468" t="s">
        <v>1754</v>
      </c>
      <c r="K65" s="1478"/>
      <c r="L65" s="1478"/>
      <c r="M65" s="1478"/>
      <c r="N65" s="1478"/>
      <c r="O65" s="1478"/>
      <c r="P65" s="1478"/>
      <c r="Q65" s="1469"/>
      <c r="R65" s="488"/>
    </row>
    <row r="66" spans="2:18" ht="13" x14ac:dyDescent="0.3">
      <c r="B66" s="533">
        <v>5</v>
      </c>
      <c r="C66" s="546"/>
      <c r="D66" s="1539"/>
      <c r="E66" s="1539"/>
      <c r="F66" s="1217"/>
      <c r="G66" s="1217"/>
      <c r="H66" s="609"/>
      <c r="I66" s="1217"/>
      <c r="J66" s="1468"/>
      <c r="K66" s="1478"/>
      <c r="L66" s="1478"/>
      <c r="M66" s="1478"/>
      <c r="N66" s="1478"/>
      <c r="O66" s="1478"/>
      <c r="P66" s="1478"/>
      <c r="Q66" s="1469"/>
      <c r="R66" s="488"/>
    </row>
    <row r="67" spans="2:18" ht="13" x14ac:dyDescent="0.3">
      <c r="B67" s="533">
        <v>6</v>
      </c>
      <c r="C67" s="546"/>
      <c r="D67" s="1539"/>
      <c r="E67" s="1539"/>
      <c r="F67" s="1217"/>
      <c r="G67" s="1217"/>
      <c r="H67" s="765"/>
      <c r="I67" s="1217"/>
      <c r="J67" s="1507"/>
      <c r="K67" s="1514"/>
      <c r="L67" s="1514"/>
      <c r="M67" s="1514"/>
      <c r="N67" s="1514"/>
      <c r="O67" s="1514"/>
      <c r="P67" s="1514"/>
      <c r="Q67" s="1515"/>
      <c r="R67" s="488"/>
    </row>
    <row r="68" spans="2:18" ht="13" x14ac:dyDescent="0.3">
      <c r="B68" s="533">
        <v>7</v>
      </c>
      <c r="C68" s="546"/>
      <c r="D68" s="1539"/>
      <c r="E68" s="1539"/>
      <c r="F68" s="1217"/>
      <c r="G68" s="1217"/>
      <c r="H68" s="609"/>
      <c r="I68" s="1217"/>
      <c r="J68" s="1507"/>
      <c r="K68" s="1514"/>
      <c r="L68" s="1514"/>
      <c r="M68" s="1514"/>
      <c r="N68" s="1514"/>
      <c r="O68" s="1514"/>
      <c r="P68" s="1514"/>
      <c r="Q68" s="1515"/>
      <c r="R68" s="488"/>
    </row>
    <row r="69" spans="2:18" ht="13" x14ac:dyDescent="0.3">
      <c r="B69" s="533">
        <v>8</v>
      </c>
      <c r="C69" s="546"/>
      <c r="D69" s="1539"/>
      <c r="E69" s="1539"/>
      <c r="F69" s="1217"/>
      <c r="G69" s="1217"/>
      <c r="H69" s="1217"/>
      <c r="I69" s="1217"/>
      <c r="J69" s="1507"/>
      <c r="K69" s="1514"/>
      <c r="L69" s="1514"/>
      <c r="M69" s="1514"/>
      <c r="N69" s="1514"/>
      <c r="O69" s="1514"/>
      <c r="P69" s="1514"/>
      <c r="Q69" s="1515"/>
      <c r="R69" s="488"/>
    </row>
    <row r="70" spans="2:18" ht="13" x14ac:dyDescent="0.3">
      <c r="B70" s="533">
        <v>9</v>
      </c>
      <c r="C70" s="546"/>
      <c r="D70" s="1539"/>
      <c r="E70" s="1539"/>
      <c r="F70" s="1217"/>
      <c r="G70" s="1217"/>
      <c r="H70" s="1217"/>
      <c r="I70" s="1217"/>
      <c r="J70" s="1507"/>
      <c r="K70" s="1514"/>
      <c r="L70" s="1514"/>
      <c r="M70" s="1514"/>
      <c r="N70" s="1514"/>
      <c r="O70" s="1514"/>
      <c r="P70" s="1514"/>
      <c r="Q70" s="1515"/>
      <c r="R70" s="488"/>
    </row>
    <row r="71" spans="2:18" ht="13" x14ac:dyDescent="0.3">
      <c r="B71" s="533">
        <v>10</v>
      </c>
      <c r="C71" s="546"/>
      <c r="D71" s="1539"/>
      <c r="E71" s="1539"/>
      <c r="F71" s="1217"/>
      <c r="G71" s="1217"/>
      <c r="H71" s="571"/>
      <c r="I71" s="1217"/>
      <c r="J71" s="1507"/>
      <c r="K71" s="1514"/>
      <c r="L71" s="1514"/>
      <c r="M71" s="1514"/>
      <c r="N71" s="1514"/>
      <c r="O71" s="1514"/>
      <c r="P71" s="1514"/>
      <c r="Q71" s="1515"/>
      <c r="R71" s="488"/>
    </row>
    <row r="72" spans="2:18" ht="13" x14ac:dyDescent="0.3">
      <c r="B72" s="533">
        <v>11</v>
      </c>
      <c r="C72" s="546"/>
      <c r="D72" s="1539"/>
      <c r="E72" s="1539"/>
      <c r="F72" s="1217"/>
      <c r="G72" s="1217"/>
      <c r="H72" s="571"/>
      <c r="I72" s="1217"/>
      <c r="J72" s="1507"/>
      <c r="K72" s="1514"/>
      <c r="L72" s="1514"/>
      <c r="M72" s="1514"/>
      <c r="N72" s="1514"/>
      <c r="O72" s="1514"/>
      <c r="P72" s="1514"/>
      <c r="Q72" s="1515"/>
      <c r="R72" s="488"/>
    </row>
    <row r="73" spans="2:18" ht="13" x14ac:dyDescent="0.3">
      <c r="B73" s="533">
        <v>12</v>
      </c>
      <c r="C73" s="546"/>
      <c r="D73" s="1539"/>
      <c r="E73" s="1539"/>
      <c r="F73" s="1217"/>
      <c r="G73" s="1217"/>
      <c r="H73" s="571"/>
      <c r="I73" s="1217"/>
      <c r="J73" s="1507"/>
      <c r="K73" s="1514"/>
      <c r="L73" s="1514"/>
      <c r="M73" s="1514"/>
      <c r="N73" s="1514"/>
      <c r="O73" s="1514"/>
      <c r="P73" s="1514"/>
      <c r="Q73" s="1515"/>
      <c r="R73" s="488"/>
    </row>
    <row r="74" spans="2:18" ht="13" x14ac:dyDescent="0.3">
      <c r="B74" s="533">
        <v>13</v>
      </c>
      <c r="C74" s="546"/>
      <c r="D74" s="1539"/>
      <c r="E74" s="1539"/>
      <c r="F74" s="1217"/>
      <c r="G74" s="1217"/>
      <c r="H74" s="571"/>
      <c r="I74" s="1217"/>
      <c r="J74" s="1507"/>
      <c r="K74" s="1514"/>
      <c r="L74" s="1514"/>
      <c r="M74" s="1514"/>
      <c r="N74" s="1514"/>
      <c r="O74" s="1514"/>
      <c r="P74" s="1514"/>
      <c r="Q74" s="1515"/>
      <c r="R74" s="488"/>
    </row>
    <row r="75" spans="2:18" ht="13" x14ac:dyDescent="0.3">
      <c r="B75" s="533">
        <v>14</v>
      </c>
      <c r="C75" s="546"/>
      <c r="D75" s="1539"/>
      <c r="E75" s="1539"/>
      <c r="F75" s="1217"/>
      <c r="G75" s="1217"/>
      <c r="H75" s="571"/>
      <c r="I75" s="1217"/>
      <c r="J75" s="1507"/>
      <c r="K75" s="1514"/>
      <c r="L75" s="1514"/>
      <c r="M75" s="1514"/>
      <c r="N75" s="1514"/>
      <c r="O75" s="1514"/>
      <c r="P75" s="1514"/>
      <c r="Q75" s="1515"/>
      <c r="R75" s="488"/>
    </row>
    <row r="76" spans="2:18" ht="13" x14ac:dyDescent="0.3">
      <c r="B76" s="533">
        <v>15</v>
      </c>
      <c r="C76" s="546"/>
      <c r="D76" s="1539"/>
      <c r="E76" s="1539"/>
      <c r="F76" s="1217"/>
      <c r="G76" s="1217"/>
      <c r="H76" s="571"/>
      <c r="I76" s="1217"/>
      <c r="J76" s="1507"/>
      <c r="K76" s="1514"/>
      <c r="L76" s="1514"/>
      <c r="M76" s="1514"/>
      <c r="N76" s="1514"/>
      <c r="O76" s="1514"/>
      <c r="P76" s="1514"/>
      <c r="Q76" s="1515"/>
      <c r="R76" s="488"/>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182"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182"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c r="R85" s="488"/>
    </row>
    <row r="86" spans="2:18" ht="13" x14ac:dyDescent="0.3">
      <c r="B86" s="533">
        <v>6</v>
      </c>
      <c r="C86" s="563"/>
      <c r="D86" s="564"/>
      <c r="E86" s="1182"/>
      <c r="F86" s="1489"/>
      <c r="G86" s="1490"/>
      <c r="H86" s="1490"/>
      <c r="I86" s="1490"/>
      <c r="J86" s="1490"/>
      <c r="K86" s="1490"/>
      <c r="L86" s="1490"/>
      <c r="M86" s="1490"/>
      <c r="N86" s="1490"/>
      <c r="O86" s="1490"/>
      <c r="P86" s="1490"/>
      <c r="Q86" s="1491"/>
      <c r="R86" s="488"/>
    </row>
    <row r="87" spans="2:18" ht="13" x14ac:dyDescent="0.3">
      <c r="B87" s="533">
        <v>7</v>
      </c>
      <c r="C87" s="563"/>
      <c r="D87" s="1233"/>
      <c r="E87" s="1182"/>
      <c r="F87" s="1489"/>
      <c r="G87" s="1490"/>
      <c r="H87" s="1490"/>
      <c r="I87" s="1490"/>
      <c r="J87" s="1490"/>
      <c r="K87" s="1490"/>
      <c r="L87" s="1490"/>
      <c r="M87" s="1490"/>
      <c r="N87" s="1490"/>
      <c r="O87" s="1490"/>
      <c r="P87" s="1490"/>
      <c r="Q87" s="1491"/>
      <c r="R87" s="488"/>
    </row>
    <row r="88" spans="2:18" ht="13" x14ac:dyDescent="0.3">
      <c r="B88" s="533">
        <v>8</v>
      </c>
      <c r="C88" s="563"/>
      <c r="D88" s="564"/>
      <c r="E88" s="1182"/>
      <c r="F88" s="1489"/>
      <c r="G88" s="1490"/>
      <c r="H88" s="1490"/>
      <c r="I88" s="1490"/>
      <c r="J88" s="1490"/>
      <c r="K88" s="1490"/>
      <c r="L88" s="1490"/>
      <c r="M88" s="1490"/>
      <c r="N88" s="1490"/>
      <c r="O88" s="1490"/>
      <c r="P88" s="1490"/>
      <c r="Q88" s="1491"/>
      <c r="R88" s="488"/>
    </row>
    <row r="89" spans="2:18" ht="13" x14ac:dyDescent="0.3">
      <c r="B89" s="533">
        <v>9</v>
      </c>
      <c r="C89" s="563"/>
      <c r="D89" s="1233"/>
      <c r="E89" s="1182"/>
      <c r="F89" s="1489"/>
      <c r="G89" s="1490"/>
      <c r="H89" s="1490"/>
      <c r="I89" s="1490"/>
      <c r="J89" s="1490"/>
      <c r="K89" s="1490"/>
      <c r="L89" s="1490"/>
      <c r="M89" s="1490"/>
      <c r="N89" s="1490"/>
      <c r="O89" s="1490"/>
      <c r="P89" s="1490"/>
      <c r="Q89" s="1491"/>
      <c r="R89" s="488"/>
    </row>
    <row r="90" spans="2:18" ht="13" x14ac:dyDescent="0.3">
      <c r="B90" s="533">
        <v>10</v>
      </c>
      <c r="C90" s="563"/>
      <c r="D90" s="564"/>
      <c r="E90" s="1182"/>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37.5" customHeight="1" x14ac:dyDescent="0.3">
      <c r="B95" s="1498" t="s">
        <v>1664</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08"/>
      <c r="Q95" s="1409"/>
      <c r="R95" s="488"/>
    </row>
    <row r="96" spans="2:18" ht="25.5" customHeight="1" x14ac:dyDescent="0.3">
      <c r="B96" s="1188" t="s">
        <v>478</v>
      </c>
      <c r="C96" s="1402" t="s">
        <v>505</v>
      </c>
      <c r="D96" s="1431"/>
      <c r="E96" s="565" t="s">
        <v>1659</v>
      </c>
      <c r="F96" s="565" t="s">
        <v>1661</v>
      </c>
      <c r="G96" s="565"/>
      <c r="H96" s="565"/>
      <c r="I96" s="565"/>
      <c r="J96" s="565"/>
      <c r="K96" s="565"/>
      <c r="L96" s="565"/>
      <c r="M96" s="565"/>
      <c r="N96" s="566"/>
      <c r="O96" s="1410"/>
      <c r="P96" s="1411"/>
      <c r="Q96" s="1412"/>
      <c r="R96" s="488"/>
    </row>
    <row r="97" spans="2:18" ht="15" customHeight="1" x14ac:dyDescent="0.3">
      <c r="B97" s="533">
        <v>1</v>
      </c>
      <c r="C97" s="546" t="s">
        <v>1755</v>
      </c>
      <c r="D97" s="1184" t="s">
        <v>1653</v>
      </c>
      <c r="E97" s="1038">
        <v>37</v>
      </c>
      <c r="F97" s="1190">
        <v>35</v>
      </c>
      <c r="G97" s="1190"/>
      <c r="H97" s="1190"/>
      <c r="I97" s="568"/>
      <c r="J97" s="568"/>
      <c r="K97" s="568"/>
      <c r="L97" s="568"/>
      <c r="M97" s="568"/>
      <c r="N97" s="568"/>
      <c r="O97" s="1501" t="s">
        <v>1649</v>
      </c>
      <c r="P97" s="1502"/>
      <c r="Q97" s="1503"/>
      <c r="R97" s="488"/>
    </row>
    <row r="98" spans="2:18" ht="15" customHeight="1" x14ac:dyDescent="0.3">
      <c r="B98" s="533">
        <v>2</v>
      </c>
      <c r="C98" s="546" t="s">
        <v>1756</v>
      </c>
      <c r="D98" s="1184" t="s">
        <v>1653</v>
      </c>
      <c r="E98" s="1038">
        <v>119</v>
      </c>
      <c r="F98" s="1190">
        <v>35</v>
      </c>
      <c r="G98" s="1190"/>
      <c r="H98" s="1190"/>
      <c r="I98" s="568"/>
      <c r="J98" s="568"/>
      <c r="K98" s="568"/>
      <c r="L98" s="568"/>
      <c r="M98" s="568"/>
      <c r="N98" s="568"/>
      <c r="O98" s="1501" t="s">
        <v>1649</v>
      </c>
      <c r="P98" s="1502"/>
      <c r="Q98" s="1503"/>
      <c r="R98" s="488"/>
    </row>
    <row r="99" spans="2:18" ht="15" customHeight="1" x14ac:dyDescent="0.3">
      <c r="B99" s="533">
        <v>3</v>
      </c>
      <c r="C99" s="546" t="s">
        <v>1666</v>
      </c>
      <c r="D99" s="1184" t="s">
        <v>1653</v>
      </c>
      <c r="E99" s="1190">
        <v>8</v>
      </c>
      <c r="F99" s="1190">
        <v>21</v>
      </c>
      <c r="G99" s="1190"/>
      <c r="H99" s="1190"/>
      <c r="I99" s="568"/>
      <c r="J99" s="568"/>
      <c r="K99" s="568"/>
      <c r="L99" s="568"/>
      <c r="M99" s="568"/>
      <c r="N99" s="568"/>
      <c r="O99" s="1495" t="s">
        <v>1649</v>
      </c>
      <c r="P99" s="1496"/>
      <c r="Q99" s="1497"/>
      <c r="R99" s="488"/>
    </row>
    <row r="100" spans="2:18" ht="15" customHeight="1" x14ac:dyDescent="0.3">
      <c r="B100" s="533">
        <v>4</v>
      </c>
      <c r="C100" s="546" t="s">
        <v>1757</v>
      </c>
      <c r="D100" s="1184" t="s">
        <v>1653</v>
      </c>
      <c r="E100" s="1190">
        <v>8</v>
      </c>
      <c r="F100" s="1190">
        <v>21</v>
      </c>
      <c r="G100" s="1190"/>
      <c r="H100" s="1190"/>
      <c r="I100" s="568"/>
      <c r="J100" s="568"/>
      <c r="K100" s="568"/>
      <c r="L100" s="568"/>
      <c r="M100" s="568"/>
      <c r="N100" s="568"/>
      <c r="O100" s="1495" t="s">
        <v>1649</v>
      </c>
      <c r="P100" s="1496"/>
      <c r="Q100" s="1497"/>
      <c r="R100" s="488"/>
    </row>
    <row r="101" spans="2:18" ht="13" x14ac:dyDescent="0.3">
      <c r="B101" s="533">
        <v>5</v>
      </c>
      <c r="C101" s="546" t="s">
        <v>32</v>
      </c>
      <c r="D101" s="1184" t="s">
        <v>1653</v>
      </c>
      <c r="E101" s="1190">
        <f>AVERAGE(E97:E100)</f>
        <v>43</v>
      </c>
      <c r="F101" s="1190">
        <f>AVERAGE(F97:F100)</f>
        <v>28</v>
      </c>
      <c r="G101" s="1190"/>
      <c r="H101" s="1190"/>
      <c r="I101" s="568"/>
      <c r="J101" s="568"/>
      <c r="K101" s="568"/>
      <c r="L101" s="568"/>
      <c r="M101" s="568"/>
      <c r="N101" s="568"/>
      <c r="O101" s="1495"/>
      <c r="P101" s="1496"/>
      <c r="Q101" s="1497"/>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row r="117" spans="2:18" ht="18.75" customHeight="1" x14ac:dyDescent="0.3">
      <c r="R117" s="488"/>
    </row>
    <row r="118" spans="2:18" ht="18.75" customHeight="1" x14ac:dyDescent="0.3">
      <c r="B118" s="523" t="s">
        <v>493</v>
      </c>
      <c r="E118" s="1402" t="s">
        <v>494</v>
      </c>
      <c r="F118" s="1403"/>
      <c r="G118" s="1403"/>
      <c r="H118" s="1403"/>
      <c r="I118" s="1403"/>
      <c r="J118" s="1403"/>
      <c r="K118" s="1403"/>
      <c r="L118" s="1403"/>
      <c r="M118" s="1403"/>
      <c r="N118" s="1403"/>
      <c r="O118" s="1404" t="s">
        <v>476</v>
      </c>
      <c r="P118" s="1405"/>
      <c r="Q118" s="1406"/>
      <c r="R118" s="488"/>
    </row>
    <row r="119" spans="2:18" ht="37.5" customHeight="1" x14ac:dyDescent="0.3">
      <c r="B119" s="1673" t="s">
        <v>1667</v>
      </c>
      <c r="C119" s="1674"/>
      <c r="D119" s="1675"/>
      <c r="E119" s="524" t="s">
        <v>495</v>
      </c>
      <c r="F119" s="524" t="s">
        <v>496</v>
      </c>
      <c r="G119" s="524" t="s">
        <v>497</v>
      </c>
      <c r="H119" s="524" t="s">
        <v>498</v>
      </c>
      <c r="I119" s="524" t="s">
        <v>499</v>
      </c>
      <c r="J119" s="524" t="s">
        <v>500</v>
      </c>
      <c r="K119" s="524" t="s">
        <v>501</v>
      </c>
      <c r="L119" s="524" t="s">
        <v>502</v>
      </c>
      <c r="M119" s="524" t="s">
        <v>503</v>
      </c>
      <c r="N119" s="1180" t="s">
        <v>504</v>
      </c>
      <c r="O119" s="1407"/>
      <c r="P119" s="1408"/>
      <c r="Q119" s="1409"/>
      <c r="R119" s="488"/>
    </row>
    <row r="120" spans="2:18" ht="25.5" customHeight="1" x14ac:dyDescent="0.3">
      <c r="B120" s="1188" t="s">
        <v>478</v>
      </c>
      <c r="C120" s="1402" t="s">
        <v>505</v>
      </c>
      <c r="D120" s="1431"/>
      <c r="E120" s="525" t="s">
        <v>1659</v>
      </c>
      <c r="F120" s="525" t="s">
        <v>1661</v>
      </c>
      <c r="G120" s="525"/>
      <c r="H120" s="525"/>
      <c r="I120" s="525"/>
      <c r="J120" s="525"/>
      <c r="K120" s="525"/>
      <c r="L120" s="525"/>
      <c r="M120" s="525"/>
      <c r="N120" s="1214"/>
      <c r="O120" s="1410"/>
      <c r="P120" s="1411"/>
      <c r="Q120" s="1412"/>
      <c r="R120" s="488"/>
    </row>
    <row r="121" spans="2:18" ht="30" customHeight="1" x14ac:dyDescent="0.3">
      <c r="B121" s="1240">
        <v>1</v>
      </c>
      <c r="C121" s="515" t="s">
        <v>1755</v>
      </c>
      <c r="D121" s="600" t="s">
        <v>1668</v>
      </c>
      <c r="E121" s="1036">
        <v>108</v>
      </c>
      <c r="F121" s="1239">
        <v>35</v>
      </c>
      <c r="G121" s="1239"/>
      <c r="H121" s="1239"/>
      <c r="I121" s="527"/>
      <c r="J121" s="527"/>
      <c r="K121" s="527"/>
      <c r="L121" s="527"/>
      <c r="M121" s="527"/>
      <c r="N121" s="527"/>
      <c r="O121" s="1432" t="s">
        <v>1649</v>
      </c>
      <c r="P121" s="1433"/>
      <c r="Q121" s="1434"/>
      <c r="R121" s="488"/>
    </row>
    <row r="122" spans="2:18" ht="30" customHeight="1" x14ac:dyDescent="0.3">
      <c r="B122" s="1240">
        <v>2</v>
      </c>
      <c r="C122" s="515" t="s">
        <v>1756</v>
      </c>
      <c r="D122" s="600" t="s">
        <v>1668</v>
      </c>
      <c r="E122" s="1036">
        <v>349</v>
      </c>
      <c r="F122" s="1239">
        <v>35</v>
      </c>
      <c r="G122" s="1239"/>
      <c r="H122" s="1239"/>
      <c r="I122" s="527"/>
      <c r="J122" s="527"/>
      <c r="K122" s="527"/>
      <c r="L122" s="527"/>
      <c r="M122" s="527"/>
      <c r="N122" s="527"/>
      <c r="O122" s="1432" t="s">
        <v>1649</v>
      </c>
      <c r="P122" s="1433"/>
      <c r="Q122" s="1434"/>
      <c r="R122" s="488"/>
    </row>
    <row r="123" spans="2:18" ht="30" customHeight="1" x14ac:dyDescent="0.3">
      <c r="B123" s="1240">
        <v>3</v>
      </c>
      <c r="C123" s="515" t="s">
        <v>1666</v>
      </c>
      <c r="D123" s="600" t="s">
        <v>1668</v>
      </c>
      <c r="E123" s="1239">
        <v>27</v>
      </c>
      <c r="F123" s="1239">
        <v>21</v>
      </c>
      <c r="G123" s="1239"/>
      <c r="H123" s="1239"/>
      <c r="I123" s="527"/>
      <c r="J123" s="527"/>
      <c r="K123" s="527"/>
      <c r="L123" s="527"/>
      <c r="M123" s="527"/>
      <c r="N123" s="527"/>
      <c r="O123" s="1422" t="s">
        <v>1649</v>
      </c>
      <c r="P123" s="1423"/>
      <c r="Q123" s="1424"/>
      <c r="R123" s="488"/>
    </row>
    <row r="124" spans="2:18" ht="30" customHeight="1" x14ac:dyDescent="0.3">
      <c r="B124" s="1240">
        <v>4</v>
      </c>
      <c r="C124" s="515" t="s">
        <v>1757</v>
      </c>
      <c r="D124" s="600" t="s">
        <v>1668</v>
      </c>
      <c r="E124" s="1239">
        <v>30</v>
      </c>
      <c r="F124" s="1239">
        <v>21</v>
      </c>
      <c r="G124" s="1239"/>
      <c r="H124" s="1239"/>
      <c r="I124" s="527"/>
      <c r="J124" s="527"/>
      <c r="K124" s="527"/>
      <c r="L124" s="527"/>
      <c r="M124" s="527"/>
      <c r="N124" s="527"/>
      <c r="O124" s="1422" t="s">
        <v>1649</v>
      </c>
      <c r="P124" s="1423"/>
      <c r="Q124" s="1424"/>
      <c r="R124" s="488"/>
    </row>
    <row r="125" spans="2:18" ht="13" x14ac:dyDescent="0.3">
      <c r="B125" s="1240">
        <v>5</v>
      </c>
      <c r="C125" s="515" t="s">
        <v>32</v>
      </c>
      <c r="D125" s="600" t="s">
        <v>1668</v>
      </c>
      <c r="E125" s="1239">
        <f>AVERAGE(E121:E124)</f>
        <v>128.5</v>
      </c>
      <c r="F125" s="1239">
        <f>AVERAGE(F121:F124)</f>
        <v>28</v>
      </c>
      <c r="G125" s="1239"/>
      <c r="H125" s="1239"/>
      <c r="I125" s="527"/>
      <c r="J125" s="527"/>
      <c r="K125" s="527"/>
      <c r="L125" s="527"/>
      <c r="M125" s="527"/>
      <c r="N125" s="527"/>
      <c r="O125" s="1422"/>
      <c r="P125" s="1423"/>
      <c r="Q125" s="1424"/>
      <c r="R125" s="488"/>
    </row>
    <row r="126" spans="2:18" ht="13" x14ac:dyDescent="0.3">
      <c r="B126" s="1240">
        <v>6</v>
      </c>
      <c r="C126" s="515"/>
      <c r="D126" s="1189"/>
      <c r="E126" s="1239"/>
      <c r="F126" s="619"/>
      <c r="G126" s="1239"/>
      <c r="H126" s="1239"/>
      <c r="I126" s="528"/>
      <c r="J126" s="528"/>
      <c r="K126" s="528"/>
      <c r="L126" s="528"/>
      <c r="M126" s="528"/>
      <c r="N126" s="528"/>
      <c r="O126" s="1425"/>
      <c r="P126" s="1426"/>
      <c r="Q126" s="1427"/>
      <c r="R126" s="488"/>
    </row>
    <row r="127" spans="2:18" ht="13" x14ac:dyDescent="0.3">
      <c r="B127" s="1240">
        <v>7</v>
      </c>
      <c r="C127" s="515"/>
      <c r="D127" s="1189"/>
      <c r="E127" s="1239"/>
      <c r="F127" s="528"/>
      <c r="G127" s="528"/>
      <c r="H127" s="1239"/>
      <c r="I127" s="528"/>
      <c r="J127" s="528"/>
      <c r="K127" s="528"/>
      <c r="L127" s="528"/>
      <c r="M127" s="528"/>
      <c r="N127" s="528"/>
      <c r="O127" s="1425"/>
      <c r="P127" s="1426"/>
      <c r="Q127" s="1427"/>
      <c r="R127" s="488"/>
    </row>
    <row r="128" spans="2:18" ht="13" x14ac:dyDescent="0.3">
      <c r="B128" s="1240">
        <v>8</v>
      </c>
      <c r="C128" s="515"/>
      <c r="D128" s="1189"/>
      <c r="E128" s="1239"/>
      <c r="F128" s="528"/>
      <c r="G128" s="528"/>
      <c r="H128" s="528"/>
      <c r="I128" s="528"/>
      <c r="J128" s="528"/>
      <c r="K128" s="528"/>
      <c r="L128" s="528"/>
      <c r="M128" s="528"/>
      <c r="N128" s="528"/>
      <c r="O128" s="1425"/>
      <c r="P128" s="1426"/>
      <c r="Q128" s="1427"/>
      <c r="R128" s="488"/>
    </row>
    <row r="129" spans="2:18" ht="13" x14ac:dyDescent="0.3">
      <c r="B129" s="1240">
        <v>9</v>
      </c>
      <c r="C129" s="515"/>
      <c r="D129" s="1189"/>
      <c r="E129" s="1239"/>
      <c r="F129" s="1240"/>
      <c r="G129" s="1240"/>
      <c r="H129" s="1240"/>
      <c r="I129" s="528"/>
      <c r="J129" s="528"/>
      <c r="K129" s="528"/>
      <c r="L129" s="528"/>
      <c r="M129" s="528"/>
      <c r="N129" s="528"/>
      <c r="O129" s="1425"/>
      <c r="P129" s="1426"/>
      <c r="Q129" s="1427"/>
      <c r="R129" s="488"/>
    </row>
    <row r="130" spans="2:18" ht="13" x14ac:dyDescent="0.3">
      <c r="B130" s="1240">
        <v>10</v>
      </c>
      <c r="C130" s="515"/>
      <c r="D130" s="1189"/>
      <c r="E130" s="1240"/>
      <c r="F130" s="1240"/>
      <c r="G130" s="1240"/>
      <c r="H130" s="1240"/>
      <c r="I130" s="528"/>
      <c r="J130" s="528"/>
      <c r="K130" s="528"/>
      <c r="L130" s="528"/>
      <c r="M130" s="528"/>
      <c r="N130" s="528"/>
      <c r="O130" s="1425"/>
      <c r="P130" s="1426"/>
      <c r="Q130" s="1427"/>
      <c r="R130" s="488"/>
    </row>
    <row r="131" spans="2:18" ht="13" x14ac:dyDescent="0.3">
      <c r="B131" s="1240">
        <v>11</v>
      </c>
      <c r="C131" s="515"/>
      <c r="D131" s="1189"/>
      <c r="E131" s="529"/>
      <c r="F131" s="1239"/>
      <c r="G131" s="529"/>
      <c r="H131" s="529"/>
      <c r="I131" s="528"/>
      <c r="J131" s="528"/>
      <c r="K131" s="528"/>
      <c r="L131" s="528"/>
      <c r="M131" s="528"/>
      <c r="N131" s="528"/>
      <c r="O131" s="1425"/>
      <c r="P131" s="1426"/>
      <c r="Q131" s="1427"/>
      <c r="R131" s="488"/>
    </row>
    <row r="132" spans="2:18" ht="13" x14ac:dyDescent="0.3">
      <c r="B132" s="1240">
        <v>12</v>
      </c>
      <c r="C132" s="515"/>
      <c r="D132" s="1189"/>
      <c r="E132" s="1240"/>
      <c r="F132" s="1239"/>
      <c r="G132" s="1240"/>
      <c r="H132" s="1240"/>
      <c r="I132" s="528"/>
      <c r="J132" s="528"/>
      <c r="K132" s="528"/>
      <c r="L132" s="528"/>
      <c r="M132" s="528"/>
      <c r="N132" s="528"/>
      <c r="O132" s="1425"/>
      <c r="P132" s="1426"/>
      <c r="Q132" s="1427"/>
      <c r="R132" s="488"/>
    </row>
    <row r="133" spans="2:18" ht="13" x14ac:dyDescent="0.3">
      <c r="B133" s="1240">
        <v>13</v>
      </c>
      <c r="C133" s="515"/>
      <c r="D133" s="1189"/>
      <c r="E133" s="1240"/>
      <c r="F133" s="1240"/>
      <c r="G133" s="1240"/>
      <c r="H133" s="1240"/>
      <c r="I133" s="528"/>
      <c r="J133" s="528"/>
      <c r="K133" s="528"/>
      <c r="L133" s="528"/>
      <c r="M133" s="528"/>
      <c r="N133" s="528"/>
      <c r="O133" s="1425"/>
      <c r="P133" s="1426"/>
      <c r="Q133" s="1427"/>
      <c r="R133" s="488"/>
    </row>
    <row r="134" spans="2:18" ht="13" x14ac:dyDescent="0.3">
      <c r="B134" s="1240">
        <v>14</v>
      </c>
      <c r="C134" s="515"/>
      <c r="D134" s="1189"/>
      <c r="E134" s="530"/>
      <c r="F134" s="530"/>
      <c r="G134" s="530"/>
      <c r="H134" s="530"/>
      <c r="I134" s="528"/>
      <c r="J134" s="528"/>
      <c r="K134" s="528"/>
      <c r="L134" s="528"/>
      <c r="M134" s="528"/>
      <c r="N134" s="528"/>
      <c r="O134" s="1425"/>
      <c r="P134" s="1426"/>
      <c r="Q134" s="1427"/>
      <c r="R134" s="488"/>
    </row>
    <row r="135" spans="2:18" ht="13" x14ac:dyDescent="0.3">
      <c r="B135" s="1240">
        <v>15</v>
      </c>
      <c r="C135" s="515"/>
      <c r="D135" s="1189"/>
      <c r="E135" s="530"/>
      <c r="F135" s="530"/>
      <c r="G135" s="530"/>
      <c r="H135" s="530"/>
      <c r="I135" s="528"/>
      <c r="J135" s="528"/>
      <c r="K135" s="528"/>
      <c r="L135" s="528"/>
      <c r="M135" s="528"/>
      <c r="N135" s="528"/>
      <c r="O135" s="1425"/>
      <c r="P135" s="1426"/>
      <c r="Q135" s="1427"/>
      <c r="R135" s="488"/>
    </row>
    <row r="136" spans="2:18" ht="13" x14ac:dyDescent="0.3">
      <c r="B136" s="1240">
        <v>16</v>
      </c>
      <c r="C136" s="515"/>
      <c r="D136" s="1189"/>
      <c r="E136" s="530"/>
      <c r="F136" s="530"/>
      <c r="G136" s="530"/>
      <c r="H136" s="530"/>
      <c r="I136" s="528"/>
      <c r="J136" s="528"/>
      <c r="K136" s="528"/>
      <c r="L136" s="528"/>
      <c r="M136" s="528"/>
      <c r="N136" s="528"/>
      <c r="O136" s="1425"/>
      <c r="P136" s="1426"/>
      <c r="Q136" s="1427"/>
      <c r="R136" s="488"/>
    </row>
    <row r="137" spans="2:18" ht="13" x14ac:dyDescent="0.3">
      <c r="B137" s="1240">
        <v>17</v>
      </c>
      <c r="C137" s="515"/>
      <c r="D137" s="1189"/>
      <c r="E137" s="530"/>
      <c r="F137" s="530"/>
      <c r="G137" s="530"/>
      <c r="H137" s="530"/>
      <c r="I137" s="528"/>
      <c r="J137" s="528"/>
      <c r="K137" s="528"/>
      <c r="L137" s="528"/>
      <c r="M137" s="528"/>
      <c r="N137" s="528"/>
      <c r="O137" s="1425"/>
      <c r="P137" s="1426"/>
      <c r="Q137" s="1427"/>
      <c r="R137" s="488"/>
    </row>
    <row r="138" spans="2:18" ht="13" x14ac:dyDescent="0.3">
      <c r="B138" s="1240">
        <v>18</v>
      </c>
      <c r="C138" s="515"/>
      <c r="D138" s="1189"/>
      <c r="E138" s="530"/>
      <c r="F138" s="530"/>
      <c r="G138" s="530"/>
      <c r="H138" s="530"/>
      <c r="I138" s="528"/>
      <c r="J138" s="528"/>
      <c r="K138" s="528"/>
      <c r="L138" s="528"/>
      <c r="M138" s="528"/>
      <c r="N138" s="528"/>
      <c r="O138" s="1425"/>
      <c r="P138" s="1426"/>
      <c r="Q138" s="1427"/>
      <c r="R138" s="488"/>
    </row>
    <row r="139" spans="2:18" ht="13" x14ac:dyDescent="0.3">
      <c r="B139" s="1240">
        <v>19</v>
      </c>
      <c r="C139" s="515"/>
      <c r="D139" s="1189"/>
      <c r="E139" s="530"/>
      <c r="F139" s="530"/>
      <c r="G139" s="530"/>
      <c r="H139" s="530"/>
      <c r="I139" s="528"/>
      <c r="J139" s="528"/>
      <c r="K139" s="528"/>
      <c r="L139" s="528"/>
      <c r="M139" s="528"/>
      <c r="N139" s="528"/>
      <c r="O139" s="1425"/>
      <c r="P139" s="1426"/>
      <c r="Q139" s="1427"/>
      <c r="R139" s="488"/>
    </row>
    <row r="140" spans="2:18" ht="13" x14ac:dyDescent="0.3">
      <c r="B140" s="1240">
        <v>20</v>
      </c>
      <c r="C140" s="515"/>
      <c r="D140" s="1189"/>
      <c r="E140" s="530"/>
      <c r="F140" s="530"/>
      <c r="G140" s="530"/>
      <c r="H140" s="530"/>
      <c r="I140" s="528"/>
      <c r="J140" s="528"/>
      <c r="K140" s="528"/>
      <c r="L140" s="528"/>
      <c r="M140" s="528"/>
      <c r="N140" s="528"/>
      <c r="O140" s="1425"/>
      <c r="P140" s="1426"/>
      <c r="Q140" s="1427"/>
      <c r="R140" s="488"/>
    </row>
  </sheetData>
  <sheetProtection algorithmName="SHA-512" hashValue="SBNKhpaOqPKg//peEiec+FQBDeGk5q+siCpNDgAe1u43yt6ESMHQWeN5L4Px/glsWtBLpWu/h/xPKphvo2l8mQ==" saltValue="hd9XXr7FVZ6dpcQG8mXUvA==" spinCount="100000" sheet="1" objects="1" scenarios="1" selectLockedCells="1" selectUnlockedCells="1"/>
  <mergeCells count="145">
    <mergeCell ref="C2:F2"/>
    <mergeCell ref="C3:F3"/>
    <mergeCell ref="C4:F4"/>
    <mergeCell ref="C5:F5"/>
    <mergeCell ref="D7:F7"/>
    <mergeCell ref="D8:F16"/>
    <mergeCell ref="D25:Q25"/>
    <mergeCell ref="D26:Q26"/>
    <mergeCell ref="D27:Q27"/>
    <mergeCell ref="D28:Q28"/>
    <mergeCell ref="E32:Q32"/>
    <mergeCell ref="E33:Q33"/>
    <mergeCell ref="D17:F17"/>
    <mergeCell ref="D18:F18"/>
    <mergeCell ref="B20:Q20"/>
    <mergeCell ref="C21:Q21"/>
    <mergeCell ref="C22:Q22"/>
    <mergeCell ref="C23:Q23"/>
    <mergeCell ref="D29:Q29"/>
    <mergeCell ref="D30:Q30"/>
    <mergeCell ref="C42:M42"/>
    <mergeCell ref="P42:Q42"/>
    <mergeCell ref="C43:M43"/>
    <mergeCell ref="P43:Q43"/>
    <mergeCell ref="C44:M44"/>
    <mergeCell ref="P44:Q44"/>
    <mergeCell ref="E34:Q34"/>
    <mergeCell ref="E35:Q35"/>
    <mergeCell ref="E36:Q36"/>
    <mergeCell ref="E37:Q37"/>
    <mergeCell ref="C41:M41"/>
    <mergeCell ref="P41:Q41"/>
    <mergeCell ref="C49:M49"/>
    <mergeCell ref="P49:Q49"/>
    <mergeCell ref="C50:M50"/>
    <mergeCell ref="P50:Q50"/>
    <mergeCell ref="C51:M51"/>
    <mergeCell ref="P51:Q51"/>
    <mergeCell ref="C45:M45"/>
    <mergeCell ref="P45:Q45"/>
    <mergeCell ref="C47:M47"/>
    <mergeCell ref="P47:Q47"/>
    <mergeCell ref="C48:M48"/>
    <mergeCell ref="P48:Q48"/>
    <mergeCell ref="C56:M56"/>
    <mergeCell ref="P56:Q56"/>
    <mergeCell ref="C57:M57"/>
    <mergeCell ref="P57:Q57"/>
    <mergeCell ref="D61:E61"/>
    <mergeCell ref="J61:Q61"/>
    <mergeCell ref="C53:M53"/>
    <mergeCell ref="P53:Q53"/>
    <mergeCell ref="C54:M54"/>
    <mergeCell ref="P54:Q54"/>
    <mergeCell ref="C55:M55"/>
    <mergeCell ref="P55:Q55"/>
    <mergeCell ref="D68:E68"/>
    <mergeCell ref="J68:Q68"/>
    <mergeCell ref="D69:E69"/>
    <mergeCell ref="J69:Q69"/>
    <mergeCell ref="D70:E70"/>
    <mergeCell ref="J70:Q70"/>
    <mergeCell ref="D62:E62"/>
    <mergeCell ref="J62:Q62"/>
    <mergeCell ref="D66:E66"/>
    <mergeCell ref="J66:Q66"/>
    <mergeCell ref="D67:E67"/>
    <mergeCell ref="J67:Q67"/>
    <mergeCell ref="D64:E64"/>
    <mergeCell ref="J64:Q64"/>
    <mergeCell ref="D63:E63"/>
    <mergeCell ref="J63:Q63"/>
    <mergeCell ref="D65:E65"/>
    <mergeCell ref="J65:Q65"/>
    <mergeCell ref="D71:E71"/>
    <mergeCell ref="J71:Q71"/>
    <mergeCell ref="D72:E72"/>
    <mergeCell ref="J72:Q72"/>
    <mergeCell ref="D73:E73"/>
    <mergeCell ref="J73:Q73"/>
    <mergeCell ref="D74:E74"/>
    <mergeCell ref="J74:Q74"/>
    <mergeCell ref="D75:E75"/>
    <mergeCell ref="J75:Q75"/>
    <mergeCell ref="D76:E76"/>
    <mergeCell ref="J76:Q76"/>
    <mergeCell ref="F86:Q86"/>
    <mergeCell ref="F87:Q87"/>
    <mergeCell ref="F88:Q88"/>
    <mergeCell ref="F89:Q89"/>
    <mergeCell ref="F90:Q90"/>
    <mergeCell ref="E94:N94"/>
    <mergeCell ref="O94:Q96"/>
    <mergeCell ref="F80:Q80"/>
    <mergeCell ref="F81:Q81"/>
    <mergeCell ref="F82:Q82"/>
    <mergeCell ref="F83:Q83"/>
    <mergeCell ref="F84:Q84"/>
    <mergeCell ref="F85:Q85"/>
    <mergeCell ref="O99:Q99"/>
    <mergeCell ref="O103:Q103"/>
    <mergeCell ref="O100:Q100"/>
    <mergeCell ref="O104:Q104"/>
    <mergeCell ref="O105:Q105"/>
    <mergeCell ref="O106:Q106"/>
    <mergeCell ref="B95:D95"/>
    <mergeCell ref="C96:D96"/>
    <mergeCell ref="O97:Q97"/>
    <mergeCell ref="O101:Q101"/>
    <mergeCell ref="O98:Q98"/>
    <mergeCell ref="O102:Q102"/>
    <mergeCell ref="O113:Q113"/>
    <mergeCell ref="O114:Q114"/>
    <mergeCell ref="O115:Q115"/>
    <mergeCell ref="O116:Q116"/>
    <mergeCell ref="O107:Q107"/>
    <mergeCell ref="O108:Q108"/>
    <mergeCell ref="O109:Q109"/>
    <mergeCell ref="O110:Q110"/>
    <mergeCell ref="O111:Q111"/>
    <mergeCell ref="O112:Q112"/>
    <mergeCell ref="E118:N118"/>
    <mergeCell ref="O118:Q120"/>
    <mergeCell ref="B119:D119"/>
    <mergeCell ref="C120:D120"/>
    <mergeCell ref="O121:Q121"/>
    <mergeCell ref="O122:Q122"/>
    <mergeCell ref="O123:Q123"/>
    <mergeCell ref="O124:Q124"/>
    <mergeCell ref="O125:Q125"/>
    <mergeCell ref="O135:Q135"/>
    <mergeCell ref="O136:Q136"/>
    <mergeCell ref="O137:Q137"/>
    <mergeCell ref="O138:Q138"/>
    <mergeCell ref="O139:Q139"/>
    <mergeCell ref="O140:Q140"/>
    <mergeCell ref="O126:Q126"/>
    <mergeCell ref="O127:Q127"/>
    <mergeCell ref="O128:Q128"/>
    <mergeCell ref="O129:Q129"/>
    <mergeCell ref="O130:Q130"/>
    <mergeCell ref="O131:Q131"/>
    <mergeCell ref="O132:Q132"/>
    <mergeCell ref="O133:Q133"/>
    <mergeCell ref="O134:Q134"/>
  </mergeCells>
  <phoneticPr fontId="22" type="noConversion"/>
  <conditionalFormatting sqref="H71:H76">
    <cfRule type="expression" dxfId="2028" priority="166">
      <formula>IF(OR(#REF!="L",#REF!="C"),TRUE,FALSE)</formula>
    </cfRule>
  </conditionalFormatting>
  <conditionalFormatting sqref="H62">
    <cfRule type="expression" dxfId="2027" priority="164">
      <formula>IF(OR(#REF!="L",#REF!="C"),TRUE,FALSE)</formula>
    </cfRule>
  </conditionalFormatting>
  <conditionalFormatting sqref="H67">
    <cfRule type="expression" dxfId="2026" priority="162">
      <formula>IF(OR(#REF!="L",#REF!="C"),TRUE,FALSE)</formula>
    </cfRule>
  </conditionalFormatting>
  <conditionalFormatting sqref="H66">
    <cfRule type="expression" dxfId="2025" priority="163">
      <formula>IF(OR(#REF!="L",#REF!="C"),TRUE,FALSE)</formula>
    </cfRule>
  </conditionalFormatting>
  <conditionalFormatting sqref="H68">
    <cfRule type="expression" dxfId="2024" priority="161">
      <formula>IF(OR(#REF!="L",#REF!="C"),TRUE,FALSE)</formula>
    </cfRule>
  </conditionalFormatting>
  <conditionalFormatting sqref="H69">
    <cfRule type="expression" dxfId="2023" priority="160">
      <formula>IF(OR(#REF!="L",#REF!="C"),TRUE,FALSE)</formula>
    </cfRule>
  </conditionalFormatting>
  <conditionalFormatting sqref="H70">
    <cfRule type="expression" dxfId="2022" priority="159">
      <formula>IF(OR(#REF!="L",#REF!="C"),TRUE,FALSE)</formula>
    </cfRule>
  </conditionalFormatting>
  <conditionalFormatting sqref="H63">
    <cfRule type="expression" dxfId="2021" priority="138">
      <formula>IF(OR(#REF!="L",#REF!="C"),TRUE,FALSE)</formula>
    </cfRule>
  </conditionalFormatting>
  <conditionalFormatting sqref="C63:C64">
    <cfRule type="duplicateValues" dxfId="2020" priority="292"/>
  </conditionalFormatting>
  <conditionalFormatting sqref="H65">
    <cfRule type="expression" dxfId="2019" priority="118">
      <formula>IF(OR(#REF!="L",#REF!="C"),TRUE,FALSE)</formula>
    </cfRule>
  </conditionalFormatting>
  <conditionalFormatting sqref="C65">
    <cfRule type="duplicateValues" dxfId="2018" priority="119"/>
  </conditionalFormatting>
  <conditionalFormatting sqref="H64">
    <cfRule type="expression" dxfId="2017" priority="117">
      <formula>IF(OR(#REF!="L",#REF!="C"),TRUE,FALSE)</formula>
    </cfRule>
  </conditionalFormatting>
  <conditionalFormatting sqref="F109:F116 G102:G116 H104:H116">
    <cfRule type="expression" dxfId="2016" priority="46">
      <formula>IF(OR(#REF!="L",#REF!="C"),TRUE,FALSE)</formula>
    </cfRule>
  </conditionalFormatting>
  <conditionalFormatting sqref="E110:E116">
    <cfRule type="expression" dxfId="2015" priority="45">
      <formula>IF(OR(#REF!="L",#REF!="C"),TRUE,FALSE)</formula>
    </cfRule>
  </conditionalFormatting>
  <conditionalFormatting sqref="E107">
    <cfRule type="expression" dxfId="2014" priority="44">
      <formula>IF(OR(#REF!="L",#REF!="C"),TRUE,FALSE)</formula>
    </cfRule>
  </conditionalFormatting>
  <conditionalFormatting sqref="E108">
    <cfRule type="expression" dxfId="2013" priority="43">
      <formula>IF(OR(#REF!="L",#REF!="C"),TRUE,FALSE)</formula>
    </cfRule>
  </conditionalFormatting>
  <conditionalFormatting sqref="E109">
    <cfRule type="expression" dxfId="2012" priority="42">
      <formula>IF(OR(#REF!="L",#REF!="C"),TRUE,FALSE)</formula>
    </cfRule>
  </conditionalFormatting>
  <conditionalFormatting sqref="E106">
    <cfRule type="expression" dxfId="2011" priority="41">
      <formula>IF(OR(#REF!="L",#REF!="C"),TRUE,FALSE)</formula>
    </cfRule>
  </conditionalFormatting>
  <conditionalFormatting sqref="E95 G95 I95 K95 M95">
    <cfRule type="duplicateValues" dxfId="2010" priority="40"/>
  </conditionalFormatting>
  <conditionalFormatting sqref="M104:M116">
    <cfRule type="expression" dxfId="2009" priority="30">
      <formula>IF(OR(#REF!="L",#REF!="C"),TRUE,FALSE)</formula>
    </cfRule>
  </conditionalFormatting>
  <conditionalFormatting sqref="F102:F106">
    <cfRule type="expression" dxfId="2008" priority="39">
      <formula>IF(OR(#REF!="L",#REF!="C"),TRUE,FALSE)</formula>
    </cfRule>
  </conditionalFormatting>
  <conditionalFormatting sqref="I102:I103">
    <cfRule type="expression" dxfId="2007" priority="37">
      <formula>IF(OR(#REF!="L",#REF!="C"),TRUE,FALSE)</formula>
    </cfRule>
  </conditionalFormatting>
  <conditionalFormatting sqref="N102:N103">
    <cfRule type="expression" dxfId="2006" priority="27">
      <formula>IF(OR(#REF!="L",#REF!="C"),TRUE,FALSE)</formula>
    </cfRule>
  </conditionalFormatting>
  <conditionalFormatting sqref="I104:I116">
    <cfRule type="expression" dxfId="2005" priority="38">
      <formula>IF(OR(#REF!="L",#REF!="C"),TRUE,FALSE)</formula>
    </cfRule>
  </conditionalFormatting>
  <conditionalFormatting sqref="J102:J103">
    <cfRule type="expression" dxfId="2004" priority="35">
      <formula>IF(OR(#REF!="L",#REF!="C"),TRUE,FALSE)</formula>
    </cfRule>
  </conditionalFormatting>
  <conditionalFormatting sqref="J104:J116">
    <cfRule type="expression" dxfId="2003" priority="36">
      <formula>IF(OR(#REF!="L",#REF!="C"),TRUE,FALSE)</formula>
    </cfRule>
  </conditionalFormatting>
  <conditionalFormatting sqref="K102:K103">
    <cfRule type="expression" dxfId="2002" priority="33">
      <formula>IF(OR(#REF!="L",#REF!="C"),TRUE,FALSE)</formula>
    </cfRule>
  </conditionalFormatting>
  <conditionalFormatting sqref="K104:K116">
    <cfRule type="expression" dxfId="2001" priority="34">
      <formula>IF(OR(#REF!="L",#REF!="C"),TRUE,FALSE)</formula>
    </cfRule>
  </conditionalFormatting>
  <conditionalFormatting sqref="L102:L103">
    <cfRule type="expression" dxfId="2000" priority="31">
      <formula>IF(OR(#REF!="L",#REF!="C"),TRUE,FALSE)</formula>
    </cfRule>
  </conditionalFormatting>
  <conditionalFormatting sqref="L104:L116">
    <cfRule type="expression" dxfId="1999" priority="32">
      <formula>IF(OR(#REF!="L",#REF!="C"),TRUE,FALSE)</formula>
    </cfRule>
  </conditionalFormatting>
  <conditionalFormatting sqref="M102:M103">
    <cfRule type="expression" dxfId="1998" priority="29">
      <formula>IF(OR(#REF!="L",#REF!="C"),TRUE,FALSE)</formula>
    </cfRule>
  </conditionalFormatting>
  <conditionalFormatting sqref="N104:N116">
    <cfRule type="expression" dxfId="1997" priority="28">
      <formula>IF(OR(#REF!="L",#REF!="C"),TRUE,FALSE)</formula>
    </cfRule>
  </conditionalFormatting>
  <conditionalFormatting sqref="O104:O116">
    <cfRule type="expression" dxfId="1996" priority="26">
      <formula>IF(OR(#REF!="L",#REF!="C"),TRUE,FALSE)</formula>
    </cfRule>
  </conditionalFormatting>
  <conditionalFormatting sqref="O102:O103">
    <cfRule type="expression" dxfId="1995" priority="25">
      <formula>IF(OR(#REF!="L",#REF!="C"),TRUE,FALSE)</formula>
    </cfRule>
  </conditionalFormatting>
  <conditionalFormatting sqref="E96:N96">
    <cfRule type="duplicateValues" dxfId="1994" priority="24"/>
  </conditionalFormatting>
  <conditionalFormatting sqref="F133:F140 G126:G140 H128:H140">
    <cfRule type="expression" dxfId="1993" priority="23">
      <formula>IF(OR(#REF!="L",#REF!="C"),TRUE,FALSE)</formula>
    </cfRule>
  </conditionalFormatting>
  <conditionalFormatting sqref="E134:E140">
    <cfRule type="expression" dxfId="1992" priority="22">
      <formula>IF(OR(#REF!="L",#REF!="C"),TRUE,FALSE)</formula>
    </cfRule>
  </conditionalFormatting>
  <conditionalFormatting sqref="E131">
    <cfRule type="expression" dxfId="1991" priority="21">
      <formula>IF(OR(#REF!="L",#REF!="C"),TRUE,FALSE)</formula>
    </cfRule>
  </conditionalFormatting>
  <conditionalFormatting sqref="E132">
    <cfRule type="expression" dxfId="1990" priority="20">
      <formula>IF(OR(#REF!="L",#REF!="C"),TRUE,FALSE)</formula>
    </cfRule>
  </conditionalFormatting>
  <conditionalFormatting sqref="E133">
    <cfRule type="expression" dxfId="1989" priority="19">
      <formula>IF(OR(#REF!="L",#REF!="C"),TRUE,FALSE)</formula>
    </cfRule>
  </conditionalFormatting>
  <conditionalFormatting sqref="E130">
    <cfRule type="expression" dxfId="1988" priority="18">
      <formula>IF(OR(#REF!="L",#REF!="C"),TRUE,FALSE)</formula>
    </cfRule>
  </conditionalFormatting>
  <conditionalFormatting sqref="E119 G119 I119 K119 M119">
    <cfRule type="duplicateValues" dxfId="1987" priority="17"/>
  </conditionalFormatting>
  <conditionalFormatting sqref="M128:M140">
    <cfRule type="expression" dxfId="1986" priority="7">
      <formula>IF(OR(#REF!="L",#REF!="C"),TRUE,FALSE)</formula>
    </cfRule>
  </conditionalFormatting>
  <conditionalFormatting sqref="F126:F130">
    <cfRule type="expression" dxfId="1985" priority="16">
      <formula>IF(OR(#REF!="L",#REF!="C"),TRUE,FALSE)</formula>
    </cfRule>
  </conditionalFormatting>
  <conditionalFormatting sqref="I126:I127">
    <cfRule type="expression" dxfId="1984" priority="14">
      <formula>IF(OR(#REF!="L",#REF!="C"),TRUE,FALSE)</formula>
    </cfRule>
  </conditionalFormatting>
  <conditionalFormatting sqref="N126:N127">
    <cfRule type="expression" dxfId="1983" priority="4">
      <formula>IF(OR(#REF!="L",#REF!="C"),TRUE,FALSE)</formula>
    </cfRule>
  </conditionalFormatting>
  <conditionalFormatting sqref="I128:I140">
    <cfRule type="expression" dxfId="1982" priority="15">
      <formula>IF(OR(#REF!="L",#REF!="C"),TRUE,FALSE)</formula>
    </cfRule>
  </conditionalFormatting>
  <conditionalFormatting sqref="J126:J127">
    <cfRule type="expression" dxfId="1981" priority="12">
      <formula>IF(OR(#REF!="L",#REF!="C"),TRUE,FALSE)</formula>
    </cfRule>
  </conditionalFormatting>
  <conditionalFormatting sqref="J128:J140">
    <cfRule type="expression" dxfId="1980" priority="13">
      <formula>IF(OR(#REF!="L",#REF!="C"),TRUE,FALSE)</formula>
    </cfRule>
  </conditionalFormatting>
  <conditionalFormatting sqref="K126:K127">
    <cfRule type="expression" dxfId="1979" priority="10">
      <formula>IF(OR(#REF!="L",#REF!="C"),TRUE,FALSE)</formula>
    </cfRule>
  </conditionalFormatting>
  <conditionalFormatting sqref="K128:K140">
    <cfRule type="expression" dxfId="1978" priority="11">
      <formula>IF(OR(#REF!="L",#REF!="C"),TRUE,FALSE)</formula>
    </cfRule>
  </conditionalFormatting>
  <conditionalFormatting sqref="L126:L127">
    <cfRule type="expression" dxfId="1977" priority="8">
      <formula>IF(OR(#REF!="L",#REF!="C"),TRUE,FALSE)</formula>
    </cfRule>
  </conditionalFormatting>
  <conditionalFormatting sqref="L128:L140">
    <cfRule type="expression" dxfId="1976" priority="9">
      <formula>IF(OR(#REF!="L",#REF!="C"),TRUE,FALSE)</formula>
    </cfRule>
  </conditionalFormatting>
  <conditionalFormatting sqref="M126:M127">
    <cfRule type="expression" dxfId="1975" priority="6">
      <formula>IF(OR(#REF!="L",#REF!="C"),TRUE,FALSE)</formula>
    </cfRule>
  </conditionalFormatting>
  <conditionalFormatting sqref="N128:N140">
    <cfRule type="expression" dxfId="1974" priority="5">
      <formula>IF(OR(#REF!="L",#REF!="C"),TRUE,FALSE)</formula>
    </cfRule>
  </conditionalFormatting>
  <conditionalFormatting sqref="O128:O140">
    <cfRule type="expression" dxfId="1973" priority="3">
      <formula>IF(OR(#REF!="L",#REF!="C"),TRUE,FALSE)</formula>
    </cfRule>
  </conditionalFormatting>
  <conditionalFormatting sqref="O126:O127">
    <cfRule type="expression" dxfId="1972" priority="2">
      <formula>IF(OR(#REF!="L",#REF!="C"),TRUE,FALSE)</formula>
    </cfRule>
  </conditionalFormatting>
  <conditionalFormatting sqref="E120:N120">
    <cfRule type="duplicateValues" dxfId="1971" priority="1"/>
  </conditionalFormatting>
  <dataValidations count="6">
    <dataValidation type="list" allowBlank="1" showInputMessage="1" showErrorMessage="1" sqref="C4" xr:uid="{5245555C-5A94-46B5-8ECB-7926A66E83AB}">
      <formula1>"COM,RES"</formula1>
    </dataValidation>
    <dataValidation type="list" allowBlank="1" showInputMessage="1" showErrorMessage="1" sqref="C9" xr:uid="{9F8862FB-369C-4A7A-811C-A0CCC3579648}">
      <formula1>INDIRECT("MeasureTypeList[Index]")</formula1>
    </dataValidation>
    <dataValidation type="list" allowBlank="1" showInputMessage="1" showErrorMessage="1" sqref="C26" xr:uid="{ACC207D8-556D-4073-936D-108B302E072A}">
      <formula1>INDIRECT("RegionList[Index]")</formula1>
    </dataValidation>
    <dataValidation type="list" allowBlank="1" showInputMessage="1" showErrorMessage="1" sqref="C27" xr:uid="{8F3F64F7-F463-4725-B1CC-E77E76638802}">
      <formula1>INDIRECT("ReplacementTypeList[Index]")</formula1>
    </dataValidation>
    <dataValidation type="list" allowBlank="1" showInputMessage="1" showErrorMessage="1" sqref="C28" xr:uid="{755E186F-ABD4-44CE-A421-F5EF3EDE72DA}">
      <formula1>INDIRECT("BuildingType[Building]")</formula1>
    </dataValidation>
    <dataValidation type="list" allowBlank="1" showInputMessage="1" showErrorMessage="1" sqref="C29:C30" xr:uid="{5D1C738D-2362-43D9-8100-5ECE109127AB}">
      <formula1>INDIRECT("FuelTypeList[Index]")</formula1>
    </dataValidation>
  </dataValidations>
  <hyperlinks>
    <hyperlink ref="F83" r:id="rId1" xr:uid="{2C81E141-D295-4DD7-91E7-C258924DC875}"/>
    <hyperlink ref="F85" r:id="rId2" xr:uid="{85BB1ACF-ED0C-4999-A2D7-CC3EA3B485F1}"/>
    <hyperlink ref="F84" r:id="rId3" xr:uid="{7F90D337-A95D-4C47-B0F7-D49B46D85579}"/>
    <hyperlink ref="F82" r:id="rId4" xr:uid="{7AC49C50-B053-4920-9C5D-01BBEA64DFE8}"/>
  </hyperlinks>
  <pageMargins left="0.7" right="0.7" top="0.75" bottom="0.75" header="0.3" footer="0.3"/>
  <pageSetup orientation="portrait" r:id="rId5"/>
  <extLst>
    <ext xmlns:x14="http://schemas.microsoft.com/office/spreadsheetml/2009/9/main" uri="{CCE6A557-97BC-4b89-ADB6-D9C93CAAB3DF}">
      <x14:dataValidations xmlns:xm="http://schemas.microsoft.com/office/excel/2006/main" count="1">
        <x14:dataValidation type="list" allowBlank="1" showInputMessage="1" showErrorMessage="1" xr:uid="{600848C4-8693-4EEB-B9E0-B64BE2D398C4}">
          <x14:formula1>
            <xm:f>Validation!$B$114:$B$115</xm:f>
          </x14:formula1>
          <xm:sqref>H62</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3E332-B614-4344-A913-5D3D564DD2F6}">
  <sheetPr codeName="Sheet16"/>
  <dimension ref="A2:R116"/>
  <sheetViews>
    <sheetView workbookViewId="0">
      <selection activeCell="H62" sqref="H62"/>
    </sheetView>
  </sheetViews>
  <sheetFormatPr defaultColWidth="9.08984375" defaultRowHeight="18.75" customHeight="1" x14ac:dyDescent="0.3"/>
  <cols>
    <col min="1" max="1" width="2.36328125" style="488" customWidth="1"/>
    <col min="2" max="2" width="44.36328125" style="488" bestFit="1" customWidth="1"/>
    <col min="3" max="3" width="22.08984375" style="488" customWidth="1"/>
    <col min="4" max="4" width="21.6328125" style="488" customWidth="1"/>
    <col min="5" max="5" width="15" style="488" customWidth="1"/>
    <col min="6" max="6" width="15.6328125" style="488" customWidth="1"/>
    <col min="7" max="7" width="19.6328125" style="488" customWidth="1"/>
    <col min="8" max="8" width="16" style="488" customWidth="1"/>
    <col min="9" max="9" width="16.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C-R-008</v>
      </c>
      <c r="D3" s="1367"/>
      <c r="E3" s="1367"/>
      <c r="F3" s="1367"/>
    </row>
    <row r="4" spans="1:18" ht="18.75" customHeight="1" x14ac:dyDescent="0.3">
      <c r="B4" s="490" t="s">
        <v>11</v>
      </c>
      <c r="C4" s="1367" t="str" cm="1">
        <f t="array" ref="C4">_xlfn.SWITCH(LEFT(C8,1),"R","Residential","C","Commercial","ERROR")</f>
        <v>Commercial</v>
      </c>
      <c r="D4" s="1367"/>
      <c r="E4" s="1367"/>
      <c r="F4" s="1367"/>
    </row>
    <row r="5" spans="1:18" ht="19.5" customHeight="1" x14ac:dyDescent="0.3">
      <c r="B5" s="490" t="s">
        <v>408</v>
      </c>
      <c r="C5" s="1530" t="s">
        <v>296</v>
      </c>
      <c r="D5" s="1531"/>
      <c r="E5" s="1531"/>
      <c r="F5" s="1532"/>
      <c r="R5" s="488"/>
    </row>
    <row r="6" spans="1:18" ht="18.75" customHeight="1" x14ac:dyDescent="0.3">
      <c r="A6" s="573"/>
    </row>
    <row r="7" spans="1:18" ht="18.75" customHeight="1" x14ac:dyDescent="0.3">
      <c r="B7" s="1193" t="s">
        <v>409</v>
      </c>
      <c r="C7" s="1192" t="s">
        <v>406</v>
      </c>
      <c r="D7" s="1363" t="s">
        <v>410</v>
      </c>
      <c r="E7" s="1363"/>
      <c r="F7" s="1363"/>
      <c r="R7" s="488"/>
    </row>
    <row r="8" spans="1:18" ht="18.75" customHeight="1" x14ac:dyDescent="0.3">
      <c r="B8" s="490" t="s">
        <v>411</v>
      </c>
      <c r="C8" s="1218" t="s">
        <v>132</v>
      </c>
      <c r="D8" s="1457"/>
      <c r="E8" s="1457"/>
      <c r="F8" s="1457"/>
      <c r="R8" s="488"/>
    </row>
    <row r="9" spans="1:18" ht="18.75" customHeight="1" x14ac:dyDescent="0.3">
      <c r="B9" s="490" t="s">
        <v>49</v>
      </c>
      <c r="C9" s="1218" t="s">
        <v>1758</v>
      </c>
      <c r="D9" s="1457"/>
      <c r="E9" s="1457"/>
      <c r="F9" s="1457"/>
      <c r="R9" s="488"/>
    </row>
    <row r="10" spans="1:18" ht="18.75" customHeight="1" x14ac:dyDescent="0.3">
      <c r="B10" s="490" t="s">
        <v>412</v>
      </c>
      <c r="C10" s="1218"/>
      <c r="D10" s="1457"/>
      <c r="E10" s="1457"/>
      <c r="F10" s="1457"/>
      <c r="R10" s="488"/>
    </row>
    <row r="11" spans="1:18" ht="18.75" customHeight="1" x14ac:dyDescent="0.3">
      <c r="B11" s="490" t="s">
        <v>413</v>
      </c>
      <c r="C11" s="1218"/>
      <c r="D11" s="1457"/>
      <c r="E11" s="1457"/>
      <c r="F11" s="1457"/>
      <c r="R11" s="488"/>
    </row>
    <row r="12" spans="1:18" ht="18.75" customHeight="1" x14ac:dyDescent="0.3">
      <c r="B12" s="490" t="s">
        <v>414</v>
      </c>
      <c r="C12" s="665"/>
      <c r="D12" s="1457"/>
      <c r="E12" s="1457"/>
      <c r="F12" s="1457"/>
      <c r="R12" s="488"/>
    </row>
    <row r="13" spans="1:18" ht="18.75" customHeight="1" x14ac:dyDescent="0.3">
      <c r="B13" s="494" t="s">
        <v>415</v>
      </c>
      <c r="C13" s="658">
        <f>N43</f>
        <v>3444</v>
      </c>
      <c r="D13" s="1457"/>
      <c r="E13" s="1457"/>
      <c r="F13" s="1457"/>
      <c r="R13" s="488"/>
    </row>
    <row r="14" spans="1:18" ht="18.75" customHeight="1" x14ac:dyDescent="0.3">
      <c r="B14" s="494" t="s">
        <v>416</v>
      </c>
      <c r="C14" s="658">
        <f>N42</f>
        <v>0</v>
      </c>
      <c r="D14" s="1457"/>
      <c r="E14" s="1457"/>
      <c r="F14" s="1457"/>
      <c r="R14" s="488"/>
    </row>
    <row r="15" spans="1:18" ht="18.75" customHeight="1" x14ac:dyDescent="0.3">
      <c r="B15" s="494" t="s">
        <v>417</v>
      </c>
      <c r="C15" s="658">
        <f>N44</f>
        <v>0</v>
      </c>
      <c r="D15" s="1457"/>
      <c r="E15" s="1457"/>
      <c r="F15" s="1457"/>
      <c r="R15" s="488"/>
    </row>
    <row r="16" spans="1:18" ht="18.75" customHeight="1" x14ac:dyDescent="0.3">
      <c r="B16" s="494" t="s">
        <v>418</v>
      </c>
      <c r="C16" s="659">
        <f>C37</f>
        <v>0</v>
      </c>
      <c r="D16" s="1457"/>
      <c r="E16" s="1457"/>
      <c r="F16" s="1457"/>
      <c r="R16" s="488"/>
    </row>
    <row r="17" spans="2:18" ht="32.25" customHeight="1" x14ac:dyDescent="0.3">
      <c r="B17" s="490" t="s">
        <v>48</v>
      </c>
      <c r="C17" s="1218" t="s">
        <v>1424</v>
      </c>
      <c r="D17" s="1363" t="s">
        <v>419</v>
      </c>
      <c r="E17" s="1363"/>
      <c r="F17" s="1363"/>
      <c r="R17" s="488"/>
    </row>
    <row r="18" spans="2:18" ht="18.75" customHeight="1" x14ac:dyDescent="0.3">
      <c r="B18" s="490" t="s">
        <v>420</v>
      </c>
      <c r="C18" s="666">
        <v>13</v>
      </c>
      <c r="D18" s="1513" t="s">
        <v>1759</v>
      </c>
      <c r="E18" s="1513"/>
      <c r="F18" s="1513"/>
      <c r="R18" s="488"/>
    </row>
    <row r="19" spans="2:18" ht="18.75" customHeight="1" x14ac:dyDescent="0.3">
      <c r="B19" s="613"/>
      <c r="C19" s="614"/>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32.25" customHeight="1" x14ac:dyDescent="0.3">
      <c r="B21" s="499" t="s">
        <v>422</v>
      </c>
      <c r="C21" s="1546" t="s">
        <v>297</v>
      </c>
      <c r="D21" s="1546"/>
      <c r="E21" s="1546"/>
      <c r="F21" s="1546"/>
      <c r="G21" s="1546"/>
      <c r="H21" s="1546"/>
      <c r="I21" s="1546"/>
      <c r="J21" s="1546"/>
      <c r="K21" s="1546"/>
      <c r="L21" s="1546"/>
      <c r="M21" s="1546"/>
      <c r="N21" s="1546"/>
      <c r="O21" s="1546"/>
      <c r="P21" s="1546"/>
      <c r="Q21" s="1546"/>
      <c r="R21" s="488"/>
    </row>
    <row r="22" spans="2:18" ht="27.75" customHeight="1" x14ac:dyDescent="0.3">
      <c r="B22" s="500" t="s">
        <v>423</v>
      </c>
      <c r="C22" s="1536" t="s">
        <v>298</v>
      </c>
      <c r="D22" s="1536"/>
      <c r="E22" s="1536"/>
      <c r="F22" s="1536"/>
      <c r="G22" s="1536"/>
      <c r="H22" s="1536"/>
      <c r="I22" s="1536"/>
      <c r="J22" s="1536"/>
      <c r="K22" s="1536"/>
      <c r="L22" s="1536"/>
      <c r="M22" s="1536"/>
      <c r="N22" s="1536"/>
      <c r="O22" s="1536"/>
      <c r="P22" s="1536"/>
      <c r="Q22" s="1536"/>
      <c r="R22" s="488"/>
    </row>
    <row r="23" spans="2:18" ht="36.75" customHeight="1"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512"/>
      <c r="F33" s="1512"/>
      <c r="G33" s="1512"/>
      <c r="H33" s="1512"/>
      <c r="I33" s="1512"/>
      <c r="J33" s="1512"/>
      <c r="K33" s="1512"/>
      <c r="L33" s="1512"/>
      <c r="M33" s="1512"/>
      <c r="N33" s="1512"/>
      <c r="O33" s="1512"/>
      <c r="P33" s="1512"/>
      <c r="Q33" s="1512"/>
      <c r="R33" s="488"/>
    </row>
    <row r="34" spans="2:18" ht="18.75" customHeight="1" x14ac:dyDescent="0.3">
      <c r="B34" s="494" t="s">
        <v>431</v>
      </c>
      <c r="C34" s="542"/>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504">
        <f>SUM(C33:C34)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504">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3444</v>
      </c>
      <c r="O43" s="1243" t="s">
        <v>443</v>
      </c>
      <c r="P43" s="1511" t="s">
        <v>1760</v>
      </c>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1761</v>
      </c>
      <c r="D49" s="1505"/>
      <c r="E49" s="1505"/>
      <c r="F49" s="1505"/>
      <c r="G49" s="1505"/>
      <c r="H49" s="1505"/>
      <c r="I49" s="1505"/>
      <c r="J49" s="1505"/>
      <c r="K49" s="1505"/>
      <c r="L49" s="1505"/>
      <c r="M49" s="1506"/>
      <c r="N49" s="591">
        <f>H62</f>
        <v>3444</v>
      </c>
      <c r="O49" s="1243" t="s">
        <v>443</v>
      </c>
      <c r="P49" s="1511" t="s">
        <v>1762</v>
      </c>
      <c r="Q49" s="1511"/>
      <c r="R49" s="488"/>
    </row>
    <row r="50" spans="2:18" ht="18.75" customHeight="1" x14ac:dyDescent="0.3">
      <c r="B50" s="582" t="s">
        <v>456</v>
      </c>
      <c r="C50" s="1504" t="s">
        <v>457</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467</v>
      </c>
      <c r="D56" s="1505"/>
      <c r="E56" s="1505"/>
      <c r="F56" s="1505"/>
      <c r="G56" s="1505"/>
      <c r="H56" s="1505"/>
      <c r="I56" s="1505"/>
      <c r="J56" s="1505"/>
      <c r="K56" s="1505"/>
      <c r="L56" s="1505"/>
      <c r="M56" s="1506"/>
      <c r="N56" s="594"/>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1188" t="s">
        <v>406</v>
      </c>
      <c r="I61" s="1188" t="s">
        <v>428</v>
      </c>
      <c r="J61" s="1396" t="s">
        <v>476</v>
      </c>
      <c r="K61" s="1397"/>
      <c r="L61" s="1397"/>
      <c r="M61" s="1397"/>
      <c r="N61" s="1397"/>
      <c r="O61" s="1397"/>
      <c r="P61" s="1397"/>
      <c r="Q61" s="1398"/>
    </row>
    <row r="62" spans="2:18" ht="13" x14ac:dyDescent="0.3">
      <c r="B62" s="534">
        <v>1</v>
      </c>
      <c r="C62" s="546" t="s">
        <v>1763</v>
      </c>
      <c r="D62" s="1468" t="s">
        <v>1764</v>
      </c>
      <c r="E62" s="1469"/>
      <c r="F62" s="609" t="str" cm="1">
        <f t="array" ref="F62">IFERROR(_xlfn.IFS(AND((1/15)&gt;=H63,((1/20)&lt;=H63)),C97,AND((1/3)&gt;H63,H63&gt;=(1/15)),C98,AND((1/2)&gt;H63,H63&gt;=(1/3)),C99,AND((3/4)&gt;H63,H63&gt;=(1/2)),C100,(H63&gt;=(3/4)),C101),"")</f>
        <v>3/4HP</v>
      </c>
      <c r="G62" s="1217" t="s">
        <v>1765</v>
      </c>
      <c r="H62" s="645">
        <f>INDEX($C$96:$N$116,MATCH(F62,$C$96:$C$116,0),MATCH(G62,$C$96:$N$96,0))</f>
        <v>3444</v>
      </c>
      <c r="I62" s="1217" t="s">
        <v>443</v>
      </c>
      <c r="J62" s="1468" t="s">
        <v>1766</v>
      </c>
      <c r="K62" s="1478"/>
      <c r="L62" s="1478"/>
      <c r="M62" s="1478"/>
      <c r="N62" s="1478"/>
      <c r="O62" s="1478"/>
      <c r="P62" s="1478"/>
      <c r="Q62" s="1469"/>
      <c r="R62" s="488"/>
    </row>
    <row r="63" spans="2:18" ht="30" customHeight="1" x14ac:dyDescent="0.3">
      <c r="B63" s="535">
        <v>2</v>
      </c>
      <c r="C63" s="551" t="s">
        <v>1767</v>
      </c>
      <c r="D63" s="1543" t="s">
        <v>1768</v>
      </c>
      <c r="E63" s="1543"/>
      <c r="F63" s="1041"/>
      <c r="G63" s="552"/>
      <c r="H63" s="1037">
        <v>1</v>
      </c>
      <c r="I63" s="552" t="s">
        <v>1431</v>
      </c>
      <c r="J63" s="1482" t="s">
        <v>1019</v>
      </c>
      <c r="K63" s="1544"/>
      <c r="L63" s="1544"/>
      <c r="M63" s="1544"/>
      <c r="N63" s="1544"/>
      <c r="O63" s="1544"/>
      <c r="P63" s="1544"/>
      <c r="Q63" s="1545"/>
      <c r="R63" s="488"/>
    </row>
    <row r="64" spans="2:18" ht="13" x14ac:dyDescent="0.3">
      <c r="B64" s="534">
        <v>3</v>
      </c>
      <c r="C64" s="546"/>
      <c r="D64" s="1539"/>
      <c r="E64" s="1539"/>
      <c r="F64" s="1217"/>
      <c r="G64" s="1217"/>
      <c r="H64" s="609"/>
      <c r="I64" s="1217"/>
      <c r="J64" s="1468"/>
      <c r="K64" s="1478"/>
      <c r="L64" s="1478"/>
      <c r="M64" s="1478"/>
      <c r="N64" s="1478"/>
      <c r="O64" s="1478"/>
      <c r="P64" s="1478"/>
      <c r="Q64" s="1469"/>
      <c r="R64" s="488"/>
    </row>
    <row r="65" spans="2:18" ht="13" x14ac:dyDescent="0.3">
      <c r="B65" s="534">
        <v>4</v>
      </c>
      <c r="C65" s="546"/>
      <c r="D65" s="1539"/>
      <c r="E65" s="1539"/>
      <c r="F65" s="1217"/>
      <c r="G65" s="1217"/>
      <c r="H65" s="765"/>
      <c r="I65" s="1217"/>
      <c r="J65" s="1507"/>
      <c r="K65" s="1514"/>
      <c r="L65" s="1514"/>
      <c r="M65" s="1514"/>
      <c r="N65" s="1514"/>
      <c r="O65" s="1514"/>
      <c r="P65" s="1514"/>
      <c r="Q65" s="1515"/>
      <c r="R65" s="488"/>
    </row>
    <row r="66" spans="2:18" ht="13" x14ac:dyDescent="0.3">
      <c r="B66" s="533">
        <v>5</v>
      </c>
      <c r="C66" s="546"/>
      <c r="D66" s="1539"/>
      <c r="E66" s="1539"/>
      <c r="F66" s="1217"/>
      <c r="G66" s="1217"/>
      <c r="H66" s="609"/>
      <c r="I66" s="1217"/>
      <c r="J66" s="1468"/>
      <c r="K66" s="1478"/>
      <c r="L66" s="1478"/>
      <c r="M66" s="1478"/>
      <c r="N66" s="1478"/>
      <c r="O66" s="1478"/>
      <c r="P66" s="1478"/>
      <c r="Q66" s="1469"/>
      <c r="R66" s="488"/>
    </row>
    <row r="67" spans="2:18" ht="13" x14ac:dyDescent="0.3">
      <c r="B67" s="533">
        <v>6</v>
      </c>
      <c r="C67" s="546"/>
      <c r="D67" s="1539"/>
      <c r="E67" s="1539"/>
      <c r="F67" s="1217"/>
      <c r="G67" s="1217"/>
      <c r="H67" s="765"/>
      <c r="I67" s="1217"/>
      <c r="J67" s="1507"/>
      <c r="K67" s="1514"/>
      <c r="L67" s="1514"/>
      <c r="M67" s="1514"/>
      <c r="N67" s="1514"/>
      <c r="O67" s="1514"/>
      <c r="P67" s="1514"/>
      <c r="Q67" s="1515"/>
      <c r="R67" s="488"/>
    </row>
    <row r="68" spans="2:18" ht="13" x14ac:dyDescent="0.3">
      <c r="B68" s="533">
        <v>7</v>
      </c>
      <c r="C68" s="546"/>
      <c r="D68" s="1539"/>
      <c r="E68" s="1539"/>
      <c r="F68" s="1217"/>
      <c r="G68" s="1217"/>
      <c r="H68" s="609"/>
      <c r="I68" s="1217"/>
      <c r="J68" s="1507"/>
      <c r="K68" s="1514"/>
      <c r="L68" s="1514"/>
      <c r="M68" s="1514"/>
      <c r="N68" s="1514"/>
      <c r="O68" s="1514"/>
      <c r="P68" s="1514"/>
      <c r="Q68" s="1515"/>
      <c r="R68" s="488"/>
    </row>
    <row r="69" spans="2:18" ht="13" x14ac:dyDescent="0.3">
      <c r="B69" s="533">
        <v>8</v>
      </c>
      <c r="C69" s="546"/>
      <c r="D69" s="1539"/>
      <c r="E69" s="1539"/>
      <c r="F69" s="1217"/>
      <c r="G69" s="1217"/>
      <c r="H69" s="1217"/>
      <c r="I69" s="1217"/>
      <c r="J69" s="1507"/>
      <c r="K69" s="1514"/>
      <c r="L69" s="1514"/>
      <c r="M69" s="1514"/>
      <c r="N69" s="1514"/>
      <c r="O69" s="1514"/>
      <c r="P69" s="1514"/>
      <c r="Q69" s="1515"/>
      <c r="R69" s="488"/>
    </row>
    <row r="70" spans="2:18" ht="13" x14ac:dyDescent="0.3">
      <c r="B70" s="533">
        <v>9</v>
      </c>
      <c r="C70" s="546"/>
      <c r="D70" s="1539"/>
      <c r="E70" s="1539"/>
      <c r="F70" s="1217"/>
      <c r="G70" s="1217"/>
      <c r="H70" s="1217"/>
      <c r="I70" s="1217"/>
      <c r="J70" s="1507"/>
      <c r="K70" s="1514"/>
      <c r="L70" s="1514"/>
      <c r="M70" s="1514"/>
      <c r="N70" s="1514"/>
      <c r="O70" s="1514"/>
      <c r="P70" s="1514"/>
      <c r="Q70" s="1515"/>
      <c r="R70" s="488"/>
    </row>
    <row r="71" spans="2:18" ht="13" x14ac:dyDescent="0.3">
      <c r="B71" s="533">
        <v>10</v>
      </c>
      <c r="C71" s="546"/>
      <c r="D71" s="1539"/>
      <c r="E71" s="1539"/>
      <c r="F71" s="1217"/>
      <c r="G71" s="1217"/>
      <c r="H71" s="571"/>
      <c r="I71" s="1217"/>
      <c r="J71" s="1507"/>
      <c r="K71" s="1514"/>
      <c r="L71" s="1514"/>
      <c r="M71" s="1514"/>
      <c r="N71" s="1514"/>
      <c r="O71" s="1514"/>
      <c r="P71" s="1514"/>
      <c r="Q71" s="1515"/>
      <c r="R71" s="488"/>
    </row>
    <row r="72" spans="2:18" s="491" customFormat="1" ht="13" x14ac:dyDescent="0.3">
      <c r="B72" s="536">
        <v>11</v>
      </c>
      <c r="C72" s="555"/>
      <c r="D72" s="1437"/>
      <c r="E72" s="1438"/>
      <c r="F72" s="556"/>
      <c r="G72" s="557"/>
      <c r="H72" s="556"/>
      <c r="I72" s="557"/>
      <c r="J72" s="1437"/>
      <c r="K72" s="1448"/>
      <c r="L72" s="1448"/>
      <c r="M72" s="1448"/>
      <c r="N72" s="1448"/>
      <c r="O72" s="1448"/>
      <c r="P72" s="1448"/>
      <c r="Q72" s="1438"/>
    </row>
    <row r="73" spans="2:18" s="491" customFormat="1" ht="13" x14ac:dyDescent="0.3">
      <c r="B73" s="536">
        <v>12</v>
      </c>
      <c r="C73" s="555"/>
      <c r="D73" s="1437"/>
      <c r="E73" s="1438"/>
      <c r="F73" s="556"/>
      <c r="G73" s="557"/>
      <c r="H73" s="558"/>
      <c r="I73" s="557"/>
      <c r="J73" s="1472"/>
      <c r="K73" s="1473"/>
      <c r="L73" s="1473"/>
      <c r="M73" s="1473"/>
      <c r="N73" s="1473"/>
      <c r="O73" s="1473"/>
      <c r="P73" s="1473"/>
      <c r="Q73" s="1474"/>
    </row>
    <row r="74" spans="2:18" s="491" customFormat="1" ht="13" x14ac:dyDescent="0.3">
      <c r="B74" s="536">
        <v>13</v>
      </c>
      <c r="C74" s="555"/>
      <c r="D74" s="1437"/>
      <c r="E74" s="1438"/>
      <c r="F74" s="556"/>
      <c r="G74" s="557"/>
      <c r="H74" s="556"/>
      <c r="I74" s="557"/>
      <c r="J74" s="1472"/>
      <c r="K74" s="1473"/>
      <c r="L74" s="1473"/>
      <c r="M74" s="1473"/>
      <c r="N74" s="1473"/>
      <c r="O74" s="1473"/>
      <c r="P74" s="1473"/>
      <c r="Q74" s="1474"/>
    </row>
    <row r="75" spans="2:18" s="489" customFormat="1" ht="13.15" customHeight="1" x14ac:dyDescent="0.3">
      <c r="B75" s="536">
        <v>14</v>
      </c>
      <c r="C75" s="555"/>
      <c r="D75" s="1437"/>
      <c r="E75" s="1438"/>
      <c r="F75" s="556"/>
      <c r="G75" s="557"/>
      <c r="H75" s="556"/>
      <c r="I75" s="557"/>
      <c r="J75" s="1472"/>
      <c r="K75" s="1473"/>
      <c r="L75" s="1473"/>
      <c r="M75" s="1473"/>
      <c r="N75" s="1473"/>
      <c r="O75" s="1473"/>
      <c r="P75" s="1473"/>
      <c r="Q75" s="1474"/>
    </row>
    <row r="76" spans="2:18" s="489" customFormat="1" ht="13" x14ac:dyDescent="0.3">
      <c r="B76" s="536">
        <v>15</v>
      </c>
      <c r="C76" s="555"/>
      <c r="D76" s="1437"/>
      <c r="E76" s="1438"/>
      <c r="F76" s="556"/>
      <c r="G76" s="557"/>
      <c r="H76" s="559"/>
      <c r="I76" s="557"/>
      <c r="J76" s="1472"/>
      <c r="K76" s="1473"/>
      <c r="L76" s="1473"/>
      <c r="M76" s="1473"/>
      <c r="N76" s="1473"/>
      <c r="O76" s="1473"/>
      <c r="P76" s="1473"/>
      <c r="Q76" s="1474"/>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182"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182"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c r="R85" s="488"/>
    </row>
    <row r="86" spans="2:18" ht="13" x14ac:dyDescent="0.3">
      <c r="B86" s="533">
        <v>6</v>
      </c>
      <c r="C86" s="563"/>
      <c r="D86" s="564"/>
      <c r="E86" s="1182"/>
      <c r="F86" s="1489"/>
      <c r="G86" s="1490"/>
      <c r="H86" s="1490"/>
      <c r="I86" s="1490"/>
      <c r="J86" s="1490"/>
      <c r="K86" s="1490"/>
      <c r="L86" s="1490"/>
      <c r="M86" s="1490"/>
      <c r="N86" s="1490"/>
      <c r="O86" s="1490"/>
      <c r="P86" s="1490"/>
      <c r="Q86" s="1491"/>
      <c r="R86" s="488"/>
    </row>
    <row r="87" spans="2:18" ht="13" x14ac:dyDescent="0.3">
      <c r="B87" s="533">
        <v>7</v>
      </c>
      <c r="C87" s="563"/>
      <c r="D87" s="1233"/>
      <c r="E87" s="1182"/>
      <c r="F87" s="1489"/>
      <c r="G87" s="1490"/>
      <c r="H87" s="1490"/>
      <c r="I87" s="1490"/>
      <c r="J87" s="1490"/>
      <c r="K87" s="1490"/>
      <c r="L87" s="1490"/>
      <c r="M87" s="1490"/>
      <c r="N87" s="1490"/>
      <c r="O87" s="1490"/>
      <c r="P87" s="1490"/>
      <c r="Q87" s="1491"/>
      <c r="R87" s="488"/>
    </row>
    <row r="88" spans="2:18" ht="13" x14ac:dyDescent="0.3">
      <c r="B88" s="533">
        <v>8</v>
      </c>
      <c r="C88" s="563"/>
      <c r="D88" s="564"/>
      <c r="E88" s="1182"/>
      <c r="F88" s="1489"/>
      <c r="G88" s="1490"/>
      <c r="H88" s="1490"/>
      <c r="I88" s="1490"/>
      <c r="J88" s="1490"/>
      <c r="K88" s="1490"/>
      <c r="L88" s="1490"/>
      <c r="M88" s="1490"/>
      <c r="N88" s="1490"/>
      <c r="O88" s="1490"/>
      <c r="P88" s="1490"/>
      <c r="Q88" s="1491"/>
      <c r="R88" s="488"/>
    </row>
    <row r="89" spans="2:18" ht="13" x14ac:dyDescent="0.3">
      <c r="B89" s="533">
        <v>9</v>
      </c>
      <c r="C89" s="563"/>
      <c r="D89" s="1233"/>
      <c r="E89" s="1182"/>
      <c r="F89" s="1489"/>
      <c r="G89" s="1490"/>
      <c r="H89" s="1490"/>
      <c r="I89" s="1490"/>
      <c r="J89" s="1490"/>
      <c r="K89" s="1490"/>
      <c r="L89" s="1490"/>
      <c r="M89" s="1490"/>
      <c r="N89" s="1490"/>
      <c r="O89" s="1490"/>
      <c r="P89" s="1490"/>
      <c r="Q89" s="1491"/>
      <c r="R89" s="488"/>
    </row>
    <row r="90" spans="2:18" ht="13" x14ac:dyDescent="0.3">
      <c r="B90" s="533">
        <v>10</v>
      </c>
      <c r="C90" s="563"/>
      <c r="D90" s="564"/>
      <c r="E90" s="1182"/>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37.5" customHeight="1" x14ac:dyDescent="0.3">
      <c r="B95" s="1498" t="s">
        <v>1769</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08"/>
      <c r="Q95" s="1409"/>
      <c r="R95" s="488"/>
    </row>
    <row r="96" spans="2:18" ht="25.5" customHeight="1" x14ac:dyDescent="0.3">
      <c r="B96" s="1188" t="s">
        <v>478</v>
      </c>
      <c r="C96" s="1402" t="s">
        <v>505</v>
      </c>
      <c r="D96" s="1431"/>
      <c r="E96" s="565" t="s">
        <v>1765</v>
      </c>
      <c r="F96" s="565"/>
      <c r="G96" s="565"/>
      <c r="H96" s="565"/>
      <c r="I96" s="565"/>
      <c r="J96" s="565"/>
      <c r="K96" s="565"/>
      <c r="L96" s="565"/>
      <c r="M96" s="565"/>
      <c r="N96" s="566"/>
      <c r="O96" s="1410"/>
      <c r="P96" s="1411"/>
      <c r="Q96" s="1412"/>
      <c r="R96" s="488"/>
    </row>
    <row r="97" spans="2:18" ht="13" x14ac:dyDescent="0.3">
      <c r="B97" s="533">
        <v>1</v>
      </c>
      <c r="C97" s="546" t="s">
        <v>1770</v>
      </c>
      <c r="D97" s="1184">
        <f>1/20</f>
        <v>0.05</v>
      </c>
      <c r="E97" s="567">
        <v>315</v>
      </c>
      <c r="F97" s="546"/>
      <c r="G97" s="567"/>
      <c r="H97" s="1190"/>
      <c r="I97" s="568"/>
      <c r="J97" s="568"/>
      <c r="K97" s="568"/>
      <c r="L97" s="568"/>
      <c r="M97" s="568"/>
      <c r="N97" s="568"/>
      <c r="O97" s="1501"/>
      <c r="P97" s="1502"/>
      <c r="Q97" s="1503"/>
      <c r="R97" s="488"/>
    </row>
    <row r="98" spans="2:18" ht="13" x14ac:dyDescent="0.3">
      <c r="B98" s="533">
        <v>2</v>
      </c>
      <c r="C98" s="546" t="s">
        <v>1771</v>
      </c>
      <c r="D98" s="1184">
        <f>1/5</f>
        <v>0.2</v>
      </c>
      <c r="E98" s="567">
        <v>920</v>
      </c>
      <c r="F98" s="546"/>
      <c r="G98" s="567"/>
      <c r="H98" s="1190"/>
      <c r="I98" s="568"/>
      <c r="J98" s="568"/>
      <c r="K98" s="568"/>
      <c r="L98" s="568"/>
      <c r="M98" s="568"/>
      <c r="N98" s="568"/>
      <c r="O98" s="1501"/>
      <c r="P98" s="1502"/>
      <c r="Q98" s="1503"/>
      <c r="R98" s="488"/>
    </row>
    <row r="99" spans="2:18" ht="13" x14ac:dyDescent="0.3">
      <c r="B99" s="533">
        <v>3</v>
      </c>
      <c r="C99" s="546" t="s">
        <v>1772</v>
      </c>
      <c r="D99" s="1184">
        <f>1/3</f>
        <v>0.33333333333333331</v>
      </c>
      <c r="E99" s="567">
        <v>1524</v>
      </c>
      <c r="F99" s="546"/>
      <c r="G99" s="567"/>
      <c r="H99" s="1190"/>
      <c r="I99" s="568"/>
      <c r="J99" s="568"/>
      <c r="K99" s="568"/>
      <c r="L99" s="568"/>
      <c r="M99" s="568"/>
      <c r="N99" s="568"/>
      <c r="O99" s="1495"/>
      <c r="P99" s="1496"/>
      <c r="Q99" s="1497"/>
      <c r="R99" s="488"/>
    </row>
    <row r="100" spans="2:18" ht="13" x14ac:dyDescent="0.3">
      <c r="B100" s="533">
        <v>4</v>
      </c>
      <c r="C100" s="546" t="s">
        <v>1773</v>
      </c>
      <c r="D100" s="1184">
        <v>0.5</v>
      </c>
      <c r="E100" s="567">
        <v>2283</v>
      </c>
      <c r="F100" s="546"/>
      <c r="G100" s="567"/>
      <c r="H100" s="1190"/>
      <c r="I100" s="568"/>
      <c r="J100" s="568"/>
      <c r="K100" s="568"/>
      <c r="L100" s="568"/>
      <c r="M100" s="568"/>
      <c r="N100" s="568"/>
      <c r="O100" s="1495"/>
      <c r="P100" s="1496"/>
      <c r="Q100" s="1497"/>
      <c r="R100" s="488"/>
    </row>
    <row r="101" spans="2:18" ht="13" x14ac:dyDescent="0.3">
      <c r="B101" s="533">
        <v>5</v>
      </c>
      <c r="C101" s="546" t="s">
        <v>1774</v>
      </c>
      <c r="D101" s="570">
        <v>0.75</v>
      </c>
      <c r="E101" s="567">
        <v>3444</v>
      </c>
      <c r="F101" s="546"/>
      <c r="G101" s="567"/>
      <c r="H101" s="1190"/>
      <c r="I101" s="568"/>
      <c r="J101" s="568"/>
      <c r="K101" s="568"/>
      <c r="L101" s="568"/>
      <c r="M101" s="568"/>
      <c r="N101" s="568"/>
      <c r="O101" s="1495"/>
      <c r="P101" s="1496"/>
      <c r="Q101" s="1497"/>
      <c r="R101" s="488"/>
    </row>
    <row r="102" spans="2:18" ht="13" x14ac:dyDescent="0.3">
      <c r="B102" s="533">
        <v>6</v>
      </c>
      <c r="C102" s="546"/>
      <c r="D102" s="1184"/>
      <c r="E102" s="567"/>
      <c r="F102" s="546"/>
      <c r="G102" s="567"/>
      <c r="H102" s="1190"/>
      <c r="I102" s="569"/>
      <c r="J102" s="569"/>
      <c r="K102" s="569"/>
      <c r="L102" s="569"/>
      <c r="M102" s="569"/>
      <c r="N102" s="569"/>
      <c r="O102" s="1492"/>
      <c r="P102" s="1493"/>
      <c r="Q102" s="1494"/>
      <c r="R102" s="488"/>
    </row>
    <row r="103" spans="2:18" ht="13" x14ac:dyDescent="0.3">
      <c r="B103" s="533">
        <v>7</v>
      </c>
      <c r="C103" s="546"/>
      <c r="D103" s="570"/>
      <c r="E103" s="567"/>
      <c r="F103" s="567"/>
      <c r="G103" s="567"/>
      <c r="H103" s="1190"/>
      <c r="I103" s="569"/>
      <c r="J103" s="569"/>
      <c r="K103" s="569"/>
      <c r="L103" s="569"/>
      <c r="M103" s="569"/>
      <c r="N103" s="569"/>
      <c r="O103" s="1492"/>
      <c r="P103" s="1493"/>
      <c r="Q103" s="1494"/>
      <c r="R103" s="488"/>
    </row>
    <row r="104" spans="2:18" ht="13" x14ac:dyDescent="0.3">
      <c r="B104" s="533">
        <v>8</v>
      </c>
      <c r="C104" s="546"/>
      <c r="D104" s="570"/>
      <c r="E104" s="567"/>
      <c r="F104" s="567"/>
      <c r="G104" s="567"/>
      <c r="H104" s="569"/>
      <c r="I104" s="569"/>
      <c r="J104" s="569"/>
      <c r="K104" s="569"/>
      <c r="L104" s="569"/>
      <c r="M104" s="569"/>
      <c r="N104" s="569"/>
      <c r="O104" s="1492"/>
      <c r="P104" s="1493"/>
      <c r="Q104" s="1494"/>
      <c r="R104" s="488"/>
    </row>
    <row r="105" spans="2:18" ht="13" x14ac:dyDescent="0.3">
      <c r="B105" s="533">
        <v>9</v>
      </c>
      <c r="C105" s="546"/>
      <c r="D105" s="570"/>
      <c r="E105" s="567"/>
      <c r="F105" s="567"/>
      <c r="G105" s="567"/>
      <c r="H105" s="1217"/>
      <c r="I105" s="569"/>
      <c r="J105" s="569"/>
      <c r="K105" s="569"/>
      <c r="L105" s="569"/>
      <c r="M105" s="569"/>
      <c r="N105" s="569"/>
      <c r="O105" s="1492"/>
      <c r="P105" s="1493"/>
      <c r="Q105" s="1494"/>
      <c r="R105" s="488"/>
    </row>
    <row r="106" spans="2:18" ht="13" x14ac:dyDescent="0.3">
      <c r="B106" s="533">
        <v>10</v>
      </c>
      <c r="C106" s="546"/>
      <c r="D106" s="570"/>
      <c r="E106" s="567"/>
      <c r="F106" s="567"/>
      <c r="G106" s="567"/>
      <c r="H106" s="1217"/>
      <c r="I106" s="569"/>
      <c r="J106" s="569"/>
      <c r="K106" s="569"/>
      <c r="L106" s="569"/>
      <c r="M106" s="569"/>
      <c r="N106" s="569"/>
      <c r="O106" s="1492"/>
      <c r="P106" s="1493"/>
      <c r="Q106" s="1494"/>
      <c r="R106" s="488"/>
    </row>
    <row r="107" spans="2:18" ht="13" x14ac:dyDescent="0.3">
      <c r="B107" s="533">
        <v>11</v>
      </c>
      <c r="C107" s="546"/>
      <c r="D107" s="570"/>
      <c r="E107" s="567"/>
      <c r="F107" s="567"/>
      <c r="G107" s="567"/>
      <c r="H107" s="571"/>
      <c r="I107" s="569"/>
      <c r="J107" s="569"/>
      <c r="K107" s="569"/>
      <c r="L107" s="569"/>
      <c r="M107" s="569"/>
      <c r="N107" s="569"/>
      <c r="O107" s="1492"/>
      <c r="P107" s="1493"/>
      <c r="Q107" s="1494"/>
      <c r="R107" s="488"/>
    </row>
    <row r="108" spans="2:18" ht="13" x14ac:dyDescent="0.3">
      <c r="B108" s="533">
        <v>12</v>
      </c>
      <c r="C108" s="546"/>
      <c r="D108" s="570"/>
      <c r="E108" s="567"/>
      <c r="F108" s="567"/>
      <c r="G108" s="567"/>
      <c r="H108" s="1217"/>
      <c r="I108" s="569"/>
      <c r="J108" s="569"/>
      <c r="K108" s="569"/>
      <c r="L108" s="569"/>
      <c r="M108" s="569"/>
      <c r="N108" s="569"/>
      <c r="O108" s="1492"/>
      <c r="P108" s="1493"/>
      <c r="Q108" s="1494"/>
      <c r="R108" s="488"/>
    </row>
    <row r="109" spans="2:18" ht="13" x14ac:dyDescent="0.3">
      <c r="B109" s="533">
        <v>13</v>
      </c>
      <c r="C109" s="546"/>
      <c r="D109" s="570"/>
      <c r="E109" s="567"/>
      <c r="F109" s="567"/>
      <c r="G109" s="567"/>
      <c r="H109" s="1217"/>
      <c r="I109" s="569"/>
      <c r="J109" s="569"/>
      <c r="K109" s="569"/>
      <c r="L109" s="569"/>
      <c r="M109" s="569"/>
      <c r="N109" s="569"/>
      <c r="O109" s="1492"/>
      <c r="P109" s="1493"/>
      <c r="Q109" s="1494"/>
      <c r="R109" s="488"/>
    </row>
    <row r="110" spans="2:18" ht="13" x14ac:dyDescent="0.3">
      <c r="B110" s="533">
        <v>14</v>
      </c>
      <c r="C110" s="546"/>
      <c r="D110" s="570"/>
      <c r="E110" s="567"/>
      <c r="F110" s="567"/>
      <c r="G110" s="567"/>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sheetData>
  <sheetProtection algorithmName="SHA-512" hashValue="S03SyWM/lRmO+GhubF0ujACDMhqH0f8HxslO2E4v2IVPfV9U7/eVIK+RZ7YaVpD98XtOC7ea1SYNFmQj5rMCrQ==" saltValue="Q6W9dHuucTKbex9CKppkwQ==" spinCount="100000" sheet="1" objects="1" scenarios="1" selectLockedCells="1" selectUnlockedCells="1"/>
  <mergeCells count="121">
    <mergeCell ref="D17:F17"/>
    <mergeCell ref="D18:F18"/>
    <mergeCell ref="B20:Q20"/>
    <mergeCell ref="C21:Q21"/>
    <mergeCell ref="C22:Q22"/>
    <mergeCell ref="C23:Q23"/>
    <mergeCell ref="C2:F2"/>
    <mergeCell ref="C3:F3"/>
    <mergeCell ref="C4:F4"/>
    <mergeCell ref="C5:F5"/>
    <mergeCell ref="D7:F7"/>
    <mergeCell ref="D8:F16"/>
    <mergeCell ref="E34:Q34"/>
    <mergeCell ref="E35:Q35"/>
    <mergeCell ref="E36:Q36"/>
    <mergeCell ref="E37:Q37"/>
    <mergeCell ref="C41:M41"/>
    <mergeCell ref="P41:Q41"/>
    <mergeCell ref="D25:Q25"/>
    <mergeCell ref="D26:Q26"/>
    <mergeCell ref="D27:Q27"/>
    <mergeCell ref="D28:Q28"/>
    <mergeCell ref="E32:Q32"/>
    <mergeCell ref="E33:Q33"/>
    <mergeCell ref="D29:Q29"/>
    <mergeCell ref="D30:Q30"/>
    <mergeCell ref="C45:M45"/>
    <mergeCell ref="P45:Q45"/>
    <mergeCell ref="C47:M47"/>
    <mergeCell ref="P47:Q47"/>
    <mergeCell ref="C48:M48"/>
    <mergeCell ref="P48:Q48"/>
    <mergeCell ref="C42:M42"/>
    <mergeCell ref="P42:Q42"/>
    <mergeCell ref="C43:M43"/>
    <mergeCell ref="P43:Q43"/>
    <mergeCell ref="C44:M44"/>
    <mergeCell ref="P44:Q44"/>
    <mergeCell ref="P53:Q53"/>
    <mergeCell ref="C54:M54"/>
    <mergeCell ref="P54:Q54"/>
    <mergeCell ref="C55:M55"/>
    <mergeCell ref="P55:Q55"/>
    <mergeCell ref="C49:M49"/>
    <mergeCell ref="P49:Q49"/>
    <mergeCell ref="C50:M50"/>
    <mergeCell ref="P50:Q50"/>
    <mergeCell ref="C51:M51"/>
    <mergeCell ref="P51:Q51"/>
    <mergeCell ref="C53:M53"/>
    <mergeCell ref="D62:E62"/>
    <mergeCell ref="J62:Q62"/>
    <mergeCell ref="D65:E65"/>
    <mergeCell ref="J65:Q65"/>
    <mergeCell ref="C56:M56"/>
    <mergeCell ref="P56:Q56"/>
    <mergeCell ref="C57:M57"/>
    <mergeCell ref="P57:Q57"/>
    <mergeCell ref="D61:E61"/>
    <mergeCell ref="J61:Q61"/>
    <mergeCell ref="D68:E68"/>
    <mergeCell ref="J68:Q68"/>
    <mergeCell ref="D69:E69"/>
    <mergeCell ref="J69:Q69"/>
    <mergeCell ref="D70:E70"/>
    <mergeCell ref="J70:Q70"/>
    <mergeCell ref="D63:E63"/>
    <mergeCell ref="J63:Q63"/>
    <mergeCell ref="D66:E66"/>
    <mergeCell ref="J66:Q66"/>
    <mergeCell ref="D67:E67"/>
    <mergeCell ref="J67:Q67"/>
    <mergeCell ref="D64:E64"/>
    <mergeCell ref="J64:Q64"/>
    <mergeCell ref="D74:E74"/>
    <mergeCell ref="J74:Q74"/>
    <mergeCell ref="D75:E75"/>
    <mergeCell ref="J75:Q75"/>
    <mergeCell ref="D76:E76"/>
    <mergeCell ref="J76:Q76"/>
    <mergeCell ref="D71:E71"/>
    <mergeCell ref="J71:Q71"/>
    <mergeCell ref="D72:E72"/>
    <mergeCell ref="J72:Q72"/>
    <mergeCell ref="D73:E73"/>
    <mergeCell ref="J73:Q73"/>
    <mergeCell ref="C96:D96"/>
    <mergeCell ref="O97:Q97"/>
    <mergeCell ref="O98:Q98"/>
    <mergeCell ref="O99:Q99"/>
    <mergeCell ref="O100:Q100"/>
    <mergeCell ref="F86:Q86"/>
    <mergeCell ref="F87:Q87"/>
    <mergeCell ref="F88:Q88"/>
    <mergeCell ref="F89:Q89"/>
    <mergeCell ref="F90:Q90"/>
    <mergeCell ref="E94:N94"/>
    <mergeCell ref="O94:Q96"/>
    <mergeCell ref="B95:D95"/>
    <mergeCell ref="O113:Q113"/>
    <mergeCell ref="O114:Q114"/>
    <mergeCell ref="O115:Q115"/>
    <mergeCell ref="O116:Q116"/>
    <mergeCell ref="O107:Q107"/>
    <mergeCell ref="O108:Q108"/>
    <mergeCell ref="O109:Q109"/>
    <mergeCell ref="O110:Q110"/>
    <mergeCell ref="O111:Q111"/>
    <mergeCell ref="O112:Q112"/>
    <mergeCell ref="O101:Q101"/>
    <mergeCell ref="O102:Q102"/>
    <mergeCell ref="O103:Q103"/>
    <mergeCell ref="O104:Q104"/>
    <mergeCell ref="O105:Q105"/>
    <mergeCell ref="O106:Q106"/>
    <mergeCell ref="F80:Q80"/>
    <mergeCell ref="F81:Q81"/>
    <mergeCell ref="F82:Q82"/>
    <mergeCell ref="F83:Q83"/>
    <mergeCell ref="F84:Q84"/>
    <mergeCell ref="F85:Q85"/>
  </mergeCells>
  <conditionalFormatting sqref="H71 G103:G116 E97:E116">
    <cfRule type="expression" dxfId="1970" priority="48">
      <formula>IF(OR(#REF!="L",#REF!="C"),TRUE,FALSE)</formula>
    </cfRule>
  </conditionalFormatting>
  <conditionalFormatting sqref="H64">
    <cfRule type="expression" dxfId="1969" priority="47">
      <formula>IF(OR(#REF!="L",#REF!="C"),TRUE,FALSE)</formula>
    </cfRule>
  </conditionalFormatting>
  <conditionalFormatting sqref="H67">
    <cfRule type="expression" dxfId="1968" priority="45">
      <formula>IF(OR(#REF!="L",#REF!="C"),TRUE,FALSE)</formula>
    </cfRule>
  </conditionalFormatting>
  <conditionalFormatting sqref="H66">
    <cfRule type="expression" dxfId="1967" priority="46">
      <formula>IF(OR(#REF!="L",#REF!="C"),TRUE,FALSE)</formula>
    </cfRule>
  </conditionalFormatting>
  <conditionalFormatting sqref="H68">
    <cfRule type="expression" dxfId="1966" priority="44">
      <formula>IF(OR(#REF!="L",#REF!="C"),TRUE,FALSE)</formula>
    </cfRule>
  </conditionalFormatting>
  <conditionalFormatting sqref="H69">
    <cfRule type="expression" dxfId="1965" priority="43">
      <formula>IF(OR(#REF!="L",#REF!="C"),TRUE,FALSE)</formula>
    </cfRule>
  </conditionalFormatting>
  <conditionalFormatting sqref="H70">
    <cfRule type="expression" dxfId="1964" priority="42">
      <formula>IF(OR(#REF!="L",#REF!="C"),TRUE,FALSE)</formula>
    </cfRule>
  </conditionalFormatting>
  <conditionalFormatting sqref="H104:H116 F108:F116">
    <cfRule type="expression" dxfId="1963" priority="41">
      <formula>IF(OR(#REF!="L",#REF!="C"),TRUE,FALSE)</formula>
    </cfRule>
  </conditionalFormatting>
  <conditionalFormatting sqref="E107">
    <cfRule type="expression" dxfId="1962" priority="39">
      <formula>IF(OR(#REF!="L",#REF!="C"),TRUE,FALSE)</formula>
    </cfRule>
  </conditionalFormatting>
  <conditionalFormatting sqref="E108">
    <cfRule type="expression" dxfId="1961" priority="38">
      <formula>IF(OR(#REF!="L",#REF!="C"),TRUE,FALSE)</formula>
    </cfRule>
  </conditionalFormatting>
  <conditionalFormatting sqref="E109">
    <cfRule type="expression" dxfId="1960" priority="37">
      <formula>IF(OR(#REF!="L",#REF!="C"),TRUE,FALSE)</formula>
    </cfRule>
  </conditionalFormatting>
  <conditionalFormatting sqref="E106">
    <cfRule type="expression" dxfId="1959" priority="36">
      <formula>IF(OR(#REF!="L",#REF!="C"),TRUE,FALSE)</formula>
    </cfRule>
  </conditionalFormatting>
  <conditionalFormatting sqref="E95 G95 I95 K95 M95">
    <cfRule type="duplicateValues" dxfId="1958" priority="35"/>
  </conditionalFormatting>
  <conditionalFormatting sqref="M104:M116">
    <cfRule type="expression" dxfId="1957" priority="25">
      <formula>IF(OR(#REF!="L",#REF!="C"),TRUE,FALSE)</formula>
    </cfRule>
  </conditionalFormatting>
  <conditionalFormatting sqref="F103:F106">
    <cfRule type="expression" dxfId="1956" priority="34">
      <formula>IF(OR(#REF!="L",#REF!="C"),TRUE,FALSE)</formula>
    </cfRule>
  </conditionalFormatting>
  <conditionalFormatting sqref="I102:I103">
    <cfRule type="expression" dxfId="1955" priority="32">
      <formula>IF(OR(#REF!="L",#REF!="C"),TRUE,FALSE)</formula>
    </cfRule>
  </conditionalFormatting>
  <conditionalFormatting sqref="N102:N103">
    <cfRule type="expression" dxfId="1954" priority="22">
      <formula>IF(OR(#REF!="L",#REF!="C"),TRUE,FALSE)</formula>
    </cfRule>
  </conditionalFormatting>
  <conditionalFormatting sqref="I104:I116">
    <cfRule type="expression" dxfId="1953" priority="33">
      <formula>IF(OR(#REF!="L",#REF!="C"),TRUE,FALSE)</formula>
    </cfRule>
  </conditionalFormatting>
  <conditionalFormatting sqref="J102:J103">
    <cfRule type="expression" dxfId="1952" priority="30">
      <formula>IF(OR(#REF!="L",#REF!="C"),TRUE,FALSE)</formula>
    </cfRule>
  </conditionalFormatting>
  <conditionalFormatting sqref="J104:J116">
    <cfRule type="expression" dxfId="1951" priority="31">
      <formula>IF(OR(#REF!="L",#REF!="C"),TRUE,FALSE)</formula>
    </cfRule>
  </conditionalFormatting>
  <conditionalFormatting sqref="K102:K103">
    <cfRule type="expression" dxfId="1950" priority="28">
      <formula>IF(OR(#REF!="L",#REF!="C"),TRUE,FALSE)</formula>
    </cfRule>
  </conditionalFormatting>
  <conditionalFormatting sqref="K104:K116">
    <cfRule type="expression" dxfId="1949" priority="29">
      <formula>IF(OR(#REF!="L",#REF!="C"),TRUE,FALSE)</formula>
    </cfRule>
  </conditionalFormatting>
  <conditionalFormatting sqref="L102:L103">
    <cfRule type="expression" dxfId="1948" priority="26">
      <formula>IF(OR(#REF!="L",#REF!="C"),TRUE,FALSE)</formula>
    </cfRule>
  </conditionalFormatting>
  <conditionalFormatting sqref="L104:L116">
    <cfRule type="expression" dxfId="1947" priority="27">
      <formula>IF(OR(#REF!="L",#REF!="C"),TRUE,FALSE)</formula>
    </cfRule>
  </conditionalFormatting>
  <conditionalFormatting sqref="M102:M103">
    <cfRule type="expression" dxfId="1946" priority="24">
      <formula>IF(OR(#REF!="L",#REF!="C"),TRUE,FALSE)</formula>
    </cfRule>
  </conditionalFormatting>
  <conditionalFormatting sqref="N104:N116">
    <cfRule type="expression" dxfId="1945" priority="23">
      <formula>IF(OR(#REF!="L",#REF!="C"),TRUE,FALSE)</formula>
    </cfRule>
  </conditionalFormatting>
  <conditionalFormatting sqref="H62">
    <cfRule type="expression" dxfId="1944" priority="21">
      <formula>IF(OR(#REF!="L",#REF!="C"),TRUE,FALSE)</formula>
    </cfRule>
  </conditionalFormatting>
  <conditionalFormatting sqref="O102:O103">
    <cfRule type="expression" dxfId="1943" priority="19">
      <formula>IF(OR(#REF!="L",#REF!="C"),TRUE,FALSE)</formula>
    </cfRule>
  </conditionalFormatting>
  <conditionalFormatting sqref="O104:O116">
    <cfRule type="expression" dxfId="1942" priority="20">
      <formula>IF(OR(#REF!="L",#REF!="C"),TRUE,FALSE)</formula>
    </cfRule>
  </conditionalFormatting>
  <conditionalFormatting sqref="E96:N96">
    <cfRule type="duplicateValues" dxfId="1941" priority="18"/>
  </conditionalFormatting>
  <conditionalFormatting sqref="H72 E100:E106">
    <cfRule type="expression" dxfId="1940" priority="17">
      <formula>IF(OR(#REF!="L",#REF!="C"),TRUE,FALSE)</formula>
    </cfRule>
  </conditionalFormatting>
  <conditionalFormatting sqref="H73">
    <cfRule type="expression" dxfId="1939" priority="16">
      <formula>IF(OR(#REF!="L",#REF!="C"),TRUE,FALSE)</formula>
    </cfRule>
  </conditionalFormatting>
  <conditionalFormatting sqref="H74">
    <cfRule type="expression" dxfId="1938" priority="15">
      <formula>IF(OR(#REF!="L",#REF!="C"),TRUE,FALSE)</formula>
    </cfRule>
  </conditionalFormatting>
  <conditionalFormatting sqref="H75">
    <cfRule type="expression" dxfId="1937" priority="14">
      <formula>IF(OR(#REF!="L",#REF!="C"),TRUE,FALSE)</formula>
    </cfRule>
  </conditionalFormatting>
  <conditionalFormatting sqref="H76">
    <cfRule type="expression" dxfId="1936" priority="13">
      <formula>IF(OR(#REF!="L",#REF!="C"),TRUE,FALSE)</formula>
    </cfRule>
  </conditionalFormatting>
  <conditionalFormatting sqref="E106">
    <cfRule type="expression" dxfId="1935" priority="12">
      <formula>IF(OR(#REF!="L",#REF!="C"),TRUE,FALSE)</formula>
    </cfRule>
  </conditionalFormatting>
  <conditionalFormatting sqref="E107">
    <cfRule type="expression" dxfId="1934" priority="11">
      <formula>IF(OR(#REF!="L",#REF!="C"),TRUE,FALSE)</formula>
    </cfRule>
  </conditionalFormatting>
  <conditionalFormatting sqref="E108">
    <cfRule type="expression" dxfId="1933" priority="10">
      <formula>IF(OR(#REF!="L",#REF!="C"),TRUE,FALSE)</formula>
    </cfRule>
  </conditionalFormatting>
  <conditionalFormatting sqref="E105">
    <cfRule type="expression" dxfId="1932" priority="9">
      <formula>IF(OR(#REF!="L",#REF!="C"),TRUE,FALSE)</formula>
    </cfRule>
  </conditionalFormatting>
  <conditionalFormatting sqref="F103:F110">
    <cfRule type="expression" dxfId="1931" priority="8">
      <formula>IF(OR(#REF!="L",#REF!="C"),TRUE,FALSE)</formula>
    </cfRule>
  </conditionalFormatting>
  <conditionalFormatting sqref="E108:E110">
    <cfRule type="expression" dxfId="1930" priority="7">
      <formula>IF(OR(#REF!="L",#REF!="C"),TRUE,FALSE)</formula>
    </cfRule>
  </conditionalFormatting>
  <conditionalFormatting sqref="C62">
    <cfRule type="duplicateValues" dxfId="1929" priority="49"/>
  </conditionalFormatting>
  <conditionalFormatting sqref="E96:F96">
    <cfRule type="duplicateValues" dxfId="1928" priority="5"/>
  </conditionalFormatting>
  <conditionalFormatting sqref="H63">
    <cfRule type="expression" dxfId="1927" priority="3">
      <formula>IF(OR(#REF!="L",#REF!="C"),TRUE,FALSE)</formula>
    </cfRule>
  </conditionalFormatting>
  <conditionalFormatting sqref="C63">
    <cfRule type="duplicateValues" dxfId="1926" priority="4"/>
  </conditionalFormatting>
  <conditionalFormatting sqref="H65">
    <cfRule type="expression" dxfId="1925" priority="1">
      <formula>IF(OR(#REF!="L",#REF!="C"),TRUE,FALSE)</formula>
    </cfRule>
  </conditionalFormatting>
  <dataValidations count="7">
    <dataValidation type="list" allowBlank="1" showInputMessage="1" showErrorMessage="1" sqref="C4" xr:uid="{4E505591-28F6-491B-8998-61F681234F67}">
      <formula1>"COM,RES"</formula1>
    </dataValidation>
    <dataValidation type="list" allowBlank="1" showInputMessage="1" showErrorMessage="1" sqref="H64" xr:uid="{D58EA0B5-B32B-4D36-9481-68F19BBB2204}">
      <formula1>$C$97:$C$116</formula1>
    </dataValidation>
    <dataValidation type="list" allowBlank="1" showInputMessage="1" showErrorMessage="1" sqref="C9" xr:uid="{6DD82E45-A023-4C83-97FC-67F439927967}">
      <formula1>INDIRECT("MeasureTypeList[Index]")</formula1>
    </dataValidation>
    <dataValidation type="list" allowBlank="1" showInputMessage="1" showErrorMessage="1" sqref="C26" xr:uid="{AADD1C03-5056-4B11-A1D7-5EDCE0B42F1A}">
      <formula1>INDIRECT("RegionList[Index]")</formula1>
    </dataValidation>
    <dataValidation type="list" allowBlank="1" showInputMessage="1" showErrorMessage="1" sqref="C27" xr:uid="{D0A2073D-DBA8-4948-BF56-491185318C1F}">
      <formula1>INDIRECT("ReplacementTypeList[Index]")</formula1>
    </dataValidation>
    <dataValidation type="list" allowBlank="1" showInputMessage="1" showErrorMessage="1" sqref="C28" xr:uid="{0A5CE220-BB95-49F0-A918-F312CECC72BC}">
      <formula1>INDIRECT("BuildingType[Building]")</formula1>
    </dataValidation>
    <dataValidation type="list" allowBlank="1" showInputMessage="1" showErrorMessage="1" sqref="C29 C30" xr:uid="{06ECDD51-8091-4041-80DE-86C446D0BF80}">
      <formula1>INDIRECT("FuelTypeList[Index]")</formula1>
    </dataValidation>
  </dataValidations>
  <hyperlinks>
    <hyperlink ref="F83" r:id="rId1" xr:uid="{B8287AD5-CDF9-4106-8003-56EDE6B2BF6B}"/>
    <hyperlink ref="F85" r:id="rId2" xr:uid="{74EC7881-360F-40B9-ADF4-4154520B960A}"/>
    <hyperlink ref="F84" r:id="rId3" xr:uid="{C7A2C992-5D3D-46A0-B6D2-CBE7BCF5E118}"/>
    <hyperlink ref="F82" r:id="rId4" xr:uid="{D7AA44E7-9077-4866-8495-C7E1184FE455}"/>
  </hyperlinks>
  <pageMargins left="0.7" right="0.7" top="0.75" bottom="0.75" header="0.3" footer="0.3"/>
  <pageSetup orientation="portrait" r:id="rId5"/>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44C32-B8FA-4EFB-8DC1-619B8250FC39}">
  <sheetPr codeName="Sheet53"/>
  <dimension ref="A2:R164"/>
  <sheetViews>
    <sheetView topLeftCell="A28" workbookViewId="0"/>
  </sheetViews>
  <sheetFormatPr defaultColWidth="9.08984375" defaultRowHeight="18.75" customHeight="1" x14ac:dyDescent="0.3"/>
  <cols>
    <col min="1" max="1" width="2.36328125" style="488" customWidth="1"/>
    <col min="2" max="2" width="33.26953125" style="488" customWidth="1"/>
    <col min="3" max="3" width="24.36328125" style="488" customWidth="1"/>
    <col min="4" max="4" width="21.6328125" style="488" customWidth="1"/>
    <col min="5" max="5" width="15" style="488" customWidth="1"/>
    <col min="6" max="6" width="15.6328125" style="488" customWidth="1"/>
    <col min="7" max="7" width="19.6328125" style="488" customWidth="1"/>
    <col min="8" max="8" width="16" style="488" customWidth="1"/>
    <col min="9" max="10" width="17.6328125" style="488" customWidth="1"/>
    <col min="11" max="12" width="9.08984375" style="488"/>
    <col min="13" max="13" width="11" style="488" customWidth="1"/>
    <col min="14" max="14" width="12.36328125" style="488" customWidth="1"/>
    <col min="15" max="15" width="10.6328125" style="488" customWidth="1"/>
    <col min="16" max="16" width="17" style="488" customWidth="1"/>
    <col min="17" max="17" width="15.81640625" style="488" customWidth="1"/>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C-R-009</v>
      </c>
      <c r="D3" s="1367"/>
      <c r="E3" s="1367"/>
      <c r="F3" s="1367"/>
    </row>
    <row r="4" spans="1:18" ht="18.75" customHeight="1" x14ac:dyDescent="0.3">
      <c r="B4" s="490" t="s">
        <v>11</v>
      </c>
      <c r="C4" s="1367" t="str" cm="1">
        <f t="array" ref="C4">_xlfn.SWITCH(LEFT(C8,1),"R","Residential","C","Commercial","ERROR")</f>
        <v>Commercial</v>
      </c>
      <c r="D4" s="1367"/>
      <c r="E4" s="1367"/>
      <c r="F4" s="1367"/>
    </row>
    <row r="5" spans="1:18" ht="19.5" customHeight="1" x14ac:dyDescent="0.3">
      <c r="B5" s="490" t="s">
        <v>408</v>
      </c>
      <c r="C5" s="1530" t="s">
        <v>299</v>
      </c>
      <c r="D5" s="1531"/>
      <c r="E5" s="1531"/>
      <c r="F5" s="1532"/>
      <c r="R5" s="488"/>
    </row>
    <row r="6" spans="1:18" ht="18.75" customHeight="1" x14ac:dyDescent="0.3">
      <c r="A6" s="573"/>
    </row>
    <row r="7" spans="1:18" ht="18.75" customHeight="1" x14ac:dyDescent="0.3">
      <c r="B7" s="1193" t="s">
        <v>409</v>
      </c>
      <c r="C7" s="1192" t="s">
        <v>406</v>
      </c>
      <c r="D7" s="2009" t="s">
        <v>410</v>
      </c>
      <c r="E7" s="2010"/>
      <c r="F7" s="2011"/>
      <c r="R7" s="488"/>
    </row>
    <row r="8" spans="1:18" ht="18.75" customHeight="1" x14ac:dyDescent="0.3">
      <c r="B8" s="490" t="s">
        <v>411</v>
      </c>
      <c r="C8" s="1218" t="s">
        <v>134</v>
      </c>
      <c r="D8" s="1957"/>
      <c r="E8" s="1957"/>
      <c r="F8" s="1957"/>
      <c r="R8" s="488"/>
    </row>
    <row r="9" spans="1:18" ht="33.75" customHeight="1" x14ac:dyDescent="0.3">
      <c r="B9" s="490" t="s">
        <v>49</v>
      </c>
      <c r="C9" s="1218" t="s">
        <v>1691</v>
      </c>
      <c r="D9" s="1957"/>
      <c r="E9" s="1957"/>
      <c r="F9" s="1957"/>
      <c r="R9" s="488"/>
    </row>
    <row r="10" spans="1:18" ht="18.75" customHeight="1" x14ac:dyDescent="0.3">
      <c r="B10" s="490" t="s">
        <v>412</v>
      </c>
      <c r="C10" s="1218"/>
      <c r="D10" s="1957"/>
      <c r="E10" s="1957"/>
      <c r="F10" s="1957"/>
      <c r="R10" s="488"/>
    </row>
    <row r="11" spans="1:18" ht="18.75" customHeight="1" x14ac:dyDescent="0.3">
      <c r="B11" s="490" t="s">
        <v>413</v>
      </c>
      <c r="C11" s="1218"/>
      <c r="D11" s="1957"/>
      <c r="E11" s="1957"/>
      <c r="F11" s="1957"/>
      <c r="R11" s="488"/>
    </row>
    <row r="12" spans="1:18" ht="18.75" customHeight="1" x14ac:dyDescent="0.3">
      <c r="B12" s="490" t="s">
        <v>414</v>
      </c>
      <c r="C12" s="665"/>
      <c r="D12" s="1957"/>
      <c r="E12" s="1957"/>
      <c r="F12" s="1957"/>
      <c r="R12" s="488"/>
    </row>
    <row r="13" spans="1:18" ht="18.75" customHeight="1" x14ac:dyDescent="0.3">
      <c r="B13" s="494" t="s">
        <v>415</v>
      </c>
      <c r="C13" s="1044">
        <f>N43</f>
        <v>357.01725199999998</v>
      </c>
      <c r="D13" s="1957"/>
      <c r="E13" s="1957"/>
      <c r="F13" s="1957"/>
      <c r="R13" s="488"/>
    </row>
    <row r="14" spans="1:18" ht="18.75" customHeight="1" x14ac:dyDescent="0.3">
      <c r="B14" s="494" t="s">
        <v>416</v>
      </c>
      <c r="C14" s="658">
        <f>N42</f>
        <v>0</v>
      </c>
      <c r="D14" s="1957"/>
      <c r="E14" s="1957"/>
      <c r="F14" s="1957"/>
      <c r="R14" s="488"/>
    </row>
    <row r="15" spans="1:18" ht="18.75" customHeight="1" x14ac:dyDescent="0.3">
      <c r="B15" s="494" t="s">
        <v>417</v>
      </c>
      <c r="C15" s="658">
        <f>N44</f>
        <v>0</v>
      </c>
      <c r="D15" s="1957"/>
      <c r="E15" s="1957"/>
      <c r="F15" s="1957"/>
      <c r="R15" s="488"/>
    </row>
    <row r="16" spans="1:18" ht="18.75" customHeight="1" x14ac:dyDescent="0.3">
      <c r="B16" s="494" t="s">
        <v>418</v>
      </c>
      <c r="C16" s="659">
        <f>C37</f>
        <v>0</v>
      </c>
      <c r="D16" s="1957"/>
      <c r="E16" s="1957"/>
      <c r="F16" s="1957"/>
      <c r="R16" s="488"/>
    </row>
    <row r="17" spans="2:18" ht="18.75" customHeight="1" x14ac:dyDescent="0.3">
      <c r="B17" s="490" t="s">
        <v>48</v>
      </c>
      <c r="C17" s="1218" t="s">
        <v>1692</v>
      </c>
      <c r="D17" s="2009" t="s">
        <v>419</v>
      </c>
      <c r="E17" s="2010"/>
      <c r="F17" s="2011"/>
      <c r="R17" s="488"/>
    </row>
    <row r="18" spans="2:18" ht="33" customHeight="1" x14ac:dyDescent="0.3">
      <c r="B18" s="490" t="s">
        <v>420</v>
      </c>
      <c r="C18" s="666">
        <v>10</v>
      </c>
      <c r="D18" s="1513" t="s">
        <v>1693</v>
      </c>
      <c r="E18" s="1513"/>
      <c r="F18" s="1513"/>
      <c r="R18" s="488"/>
    </row>
    <row r="19" spans="2:18" ht="18.75" customHeight="1" x14ac:dyDescent="0.3">
      <c r="B19" s="613"/>
      <c r="C19" s="614"/>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32.25" customHeight="1" x14ac:dyDescent="0.3">
      <c r="B21" s="499" t="s">
        <v>422</v>
      </c>
      <c r="C21" s="1546" t="s">
        <v>300</v>
      </c>
      <c r="D21" s="1546"/>
      <c r="E21" s="1546"/>
      <c r="F21" s="1546"/>
      <c r="G21" s="1546"/>
      <c r="H21" s="1546"/>
      <c r="I21" s="1546"/>
      <c r="J21" s="1546"/>
      <c r="K21" s="1546"/>
      <c r="L21" s="1546"/>
      <c r="M21" s="1546"/>
      <c r="N21" s="1546"/>
      <c r="O21" s="1546"/>
      <c r="P21" s="1546"/>
      <c r="Q21" s="1546"/>
    </row>
    <row r="22" spans="2:18" ht="69" customHeight="1" x14ac:dyDescent="0.3">
      <c r="B22" s="500" t="s">
        <v>423</v>
      </c>
      <c r="C22" s="1536" t="s">
        <v>286</v>
      </c>
      <c r="D22" s="1536"/>
      <c r="E22" s="1536"/>
      <c r="F22" s="1536"/>
      <c r="G22" s="1536"/>
      <c r="H22" s="1536"/>
      <c r="I22" s="1536"/>
      <c r="J22" s="1536"/>
      <c r="K22" s="1536"/>
      <c r="L22" s="1536"/>
      <c r="M22" s="1536"/>
      <c r="N22" s="1536"/>
      <c r="O22" s="1536"/>
      <c r="P22" s="1536"/>
      <c r="Q22" s="1536"/>
    </row>
    <row r="23" spans="2:18" ht="32.25" customHeight="1" x14ac:dyDescent="0.3">
      <c r="B23" s="500" t="s">
        <v>424</v>
      </c>
      <c r="C23" s="1536"/>
      <c r="D23" s="1536"/>
      <c r="E23" s="1536"/>
      <c r="F23" s="1536"/>
      <c r="G23" s="1536"/>
      <c r="H23" s="1536"/>
      <c r="I23" s="1536"/>
      <c r="J23" s="1536"/>
      <c r="K23" s="1536"/>
      <c r="L23" s="1536"/>
      <c r="M23" s="1536"/>
      <c r="N23" s="1536"/>
      <c r="O23" s="1536"/>
      <c r="P23" s="1536"/>
      <c r="Q23" s="1536"/>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512"/>
      <c r="F33" s="1512"/>
      <c r="G33" s="1512"/>
      <c r="H33" s="1512"/>
      <c r="I33" s="1512"/>
      <c r="J33" s="1512"/>
      <c r="K33" s="1512"/>
      <c r="L33" s="1512"/>
      <c r="M33" s="1512"/>
      <c r="N33" s="1512"/>
      <c r="O33" s="1512"/>
      <c r="P33" s="1512"/>
      <c r="Q33" s="1512"/>
      <c r="R33" s="488"/>
    </row>
    <row r="34" spans="2:18" ht="18.75" customHeight="1" x14ac:dyDescent="0.3">
      <c r="B34" s="494" t="s">
        <v>431</v>
      </c>
      <c r="C34" s="542"/>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504">
        <f>SUM(C33:C34)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504">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4">
        <f>N49+N55</f>
        <v>357.01725199999998</v>
      </c>
      <c r="O43" s="1243" t="s">
        <v>443</v>
      </c>
      <c r="P43" s="1511" t="s">
        <v>1693</v>
      </c>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v>
      </c>
      <c r="O44" s="1243" t="s">
        <v>446</v>
      </c>
      <c r="P44" s="1511" t="s">
        <v>1693</v>
      </c>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1694</v>
      </c>
      <c r="D49" s="1505"/>
      <c r="E49" s="1505"/>
      <c r="F49" s="1505"/>
      <c r="G49" s="1505"/>
      <c r="H49" s="1505"/>
      <c r="I49" s="1505"/>
      <c r="J49" s="1505"/>
      <c r="K49" s="1505"/>
      <c r="L49" s="1505"/>
      <c r="M49" s="1506"/>
      <c r="N49" s="591">
        <f>H62*H66</f>
        <v>357.01725199999998</v>
      </c>
      <c r="O49" s="1243" t="s">
        <v>443</v>
      </c>
      <c r="P49" s="1511"/>
      <c r="Q49" s="1511"/>
      <c r="R49" s="488"/>
    </row>
    <row r="50" spans="2:18" ht="18.75" customHeight="1" x14ac:dyDescent="0.3">
      <c r="B50" s="582" t="s">
        <v>456</v>
      </c>
      <c r="C50" s="1504" t="s">
        <v>457</v>
      </c>
      <c r="D50" s="1505"/>
      <c r="E50" s="1505"/>
      <c r="F50" s="1505"/>
      <c r="G50" s="1505"/>
      <c r="H50" s="1505"/>
      <c r="I50" s="1505"/>
      <c r="J50" s="1505"/>
      <c r="K50" s="1505"/>
      <c r="L50" s="1505"/>
      <c r="M50" s="1506"/>
      <c r="N50" s="591"/>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467</v>
      </c>
      <c r="D56" s="1505"/>
      <c r="E56" s="1505"/>
      <c r="F56" s="1505"/>
      <c r="G56" s="1505"/>
      <c r="H56" s="1505"/>
      <c r="I56" s="1505"/>
      <c r="J56" s="1505"/>
      <c r="K56" s="1505"/>
      <c r="L56" s="1505"/>
      <c r="M56" s="1506"/>
      <c r="N56" s="594"/>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1188" t="s">
        <v>406</v>
      </c>
      <c r="I61" s="1188" t="s">
        <v>428</v>
      </c>
      <c r="J61" s="1396" t="s">
        <v>476</v>
      </c>
      <c r="K61" s="1397"/>
      <c r="L61" s="1397"/>
      <c r="M61" s="1397"/>
      <c r="N61" s="1397"/>
      <c r="O61" s="1397"/>
      <c r="P61" s="1397"/>
      <c r="Q61" s="1398"/>
    </row>
    <row r="62" spans="2:18" ht="46.5" customHeight="1" x14ac:dyDescent="0.3">
      <c r="B62" s="533">
        <v>1</v>
      </c>
      <c r="C62" s="546" t="s">
        <v>1695</v>
      </c>
      <c r="D62" s="1539" t="s">
        <v>1696</v>
      </c>
      <c r="E62" s="1539"/>
      <c r="F62" s="645" t="str">
        <f>IF(COUNTIF($C$145:$C$164,C28)&gt;0,C28,"Other")</f>
        <v>Other</v>
      </c>
      <c r="G62" s="1217" t="str">
        <f>H63&amp;" Motor Savings"</f>
        <v>38-50 Watt Motor Savings</v>
      </c>
      <c r="H62" s="572">
        <f>INDEX($C$144:$N$164,MATCH(F62,$C$144:$C$164,0),MATCH(G62,$C$144:$N$144,0))</f>
        <v>357.01725199999998</v>
      </c>
      <c r="I62" s="1217" t="s">
        <v>1697</v>
      </c>
      <c r="J62" s="1468" t="s">
        <v>1698</v>
      </c>
      <c r="K62" s="1478"/>
      <c r="L62" s="1478"/>
      <c r="M62" s="1478"/>
      <c r="N62" s="1478"/>
      <c r="O62" s="1478"/>
      <c r="P62" s="1478"/>
      <c r="Q62" s="1469"/>
      <c r="R62" s="488"/>
    </row>
    <row r="63" spans="2:18" ht="13" x14ac:dyDescent="0.3">
      <c r="B63" s="535">
        <v>2</v>
      </c>
      <c r="C63" s="551" t="s">
        <v>1699</v>
      </c>
      <c r="D63" s="1543" t="s">
        <v>1700</v>
      </c>
      <c r="E63" s="1543"/>
      <c r="F63" s="1041" t="str">
        <f>$C$28</f>
        <v>Other</v>
      </c>
      <c r="G63" s="552" t="str">
        <f>C63</f>
        <v>MotorSize</v>
      </c>
      <c r="H63" s="1037" t="s">
        <v>1775</v>
      </c>
      <c r="I63" s="552" t="s">
        <v>597</v>
      </c>
      <c r="J63" s="1482" t="s">
        <v>1776</v>
      </c>
      <c r="K63" s="1544"/>
      <c r="L63" s="1544"/>
      <c r="M63" s="1544"/>
      <c r="N63" s="1544"/>
      <c r="O63" s="1544"/>
      <c r="P63" s="1544"/>
      <c r="Q63" s="1545"/>
      <c r="R63" s="488"/>
    </row>
    <row r="64" spans="2:18" ht="13" x14ac:dyDescent="0.3">
      <c r="B64" s="533">
        <v>3</v>
      </c>
      <c r="C64" s="546" t="s">
        <v>1703</v>
      </c>
      <c r="D64" s="1539" t="s">
        <v>1704</v>
      </c>
      <c r="E64" s="1539"/>
      <c r="F64" s="609"/>
      <c r="G64" s="1217"/>
      <c r="H64" s="645" t="s">
        <v>923</v>
      </c>
      <c r="I64" s="1238" t="s">
        <v>597</v>
      </c>
      <c r="J64" s="1468" t="s">
        <v>1693</v>
      </c>
      <c r="K64" s="1478"/>
      <c r="L64" s="1478"/>
      <c r="M64" s="1478"/>
      <c r="N64" s="1478"/>
      <c r="O64" s="1478"/>
      <c r="P64" s="1478"/>
      <c r="Q64" s="1469"/>
      <c r="R64" s="488"/>
    </row>
    <row r="65" spans="2:18" ht="13" x14ac:dyDescent="0.3">
      <c r="B65" s="533">
        <v>4</v>
      </c>
      <c r="C65" s="549" t="s">
        <v>1705</v>
      </c>
      <c r="D65" s="1556" t="s">
        <v>1706</v>
      </c>
      <c r="E65" s="1556"/>
      <c r="F65" s="762"/>
      <c r="G65" s="1238"/>
      <c r="H65" s="1045" t="s">
        <v>923</v>
      </c>
      <c r="I65" s="1238" t="s">
        <v>597</v>
      </c>
      <c r="J65" s="1468" t="s">
        <v>1693</v>
      </c>
      <c r="K65" s="1478"/>
      <c r="L65" s="1478"/>
      <c r="M65" s="1478"/>
      <c r="N65" s="1478"/>
      <c r="O65" s="1478"/>
      <c r="P65" s="1478"/>
      <c r="Q65" s="1469"/>
      <c r="R65" s="488"/>
    </row>
    <row r="66" spans="2:18" ht="13" x14ac:dyDescent="0.3">
      <c r="B66" s="535">
        <v>5</v>
      </c>
      <c r="C66" s="551" t="s">
        <v>1707</v>
      </c>
      <c r="D66" s="1543" t="s">
        <v>1708</v>
      </c>
      <c r="E66" s="1543"/>
      <c r="F66" s="1041"/>
      <c r="G66" s="552"/>
      <c r="H66" s="1037">
        <v>1</v>
      </c>
      <c r="I66" s="552" t="s">
        <v>1405</v>
      </c>
      <c r="J66" s="1482" t="s">
        <v>1709</v>
      </c>
      <c r="K66" s="1544"/>
      <c r="L66" s="1544"/>
      <c r="M66" s="1544"/>
      <c r="N66" s="1544"/>
      <c r="O66" s="1544"/>
      <c r="P66" s="1544"/>
      <c r="Q66" s="1545"/>
      <c r="R66" s="488"/>
    </row>
    <row r="67" spans="2:18" ht="41.25" customHeight="1" x14ac:dyDescent="0.3">
      <c r="B67" s="533">
        <v>6</v>
      </c>
      <c r="C67" s="546" t="s">
        <v>1710</v>
      </c>
      <c r="D67" s="1539" t="s">
        <v>1711</v>
      </c>
      <c r="E67" s="1539"/>
      <c r="F67" s="609" t="str">
        <f>H65</f>
        <v>Unkown</v>
      </c>
      <c r="G67" s="1217" t="str">
        <f>H64</f>
        <v>Unkown</v>
      </c>
      <c r="H67" s="645">
        <f>IF(H63="9-12 Watt",INDEX($C$96:$N$116,MATCH(F67,$C$96:$C$116,0),MATCH(G67,$B$96:$M$96,0)),INDEX($C$120:$N$140,MATCH(F67,$C$120:$C$140,0),MATCH(G67,$B$120:$M$120,0)))</f>
        <v>0</v>
      </c>
      <c r="I67" s="1217" t="s">
        <v>1697</v>
      </c>
      <c r="J67" s="1468" t="s">
        <v>1693</v>
      </c>
      <c r="K67" s="1478"/>
      <c r="L67" s="1478"/>
      <c r="M67" s="1478"/>
      <c r="N67" s="1478"/>
      <c r="O67" s="1478"/>
      <c r="P67" s="1478"/>
      <c r="Q67" s="1469"/>
      <c r="R67" s="488"/>
    </row>
    <row r="68" spans="2:18" ht="13" x14ac:dyDescent="0.3">
      <c r="B68" s="533">
        <v>7</v>
      </c>
      <c r="C68" s="546"/>
      <c r="D68" s="1539"/>
      <c r="E68" s="1539"/>
      <c r="F68" s="609"/>
      <c r="G68" s="1217"/>
      <c r="H68" s="645"/>
      <c r="I68" s="1217"/>
      <c r="J68" s="1468"/>
      <c r="K68" s="1478"/>
      <c r="L68" s="1478"/>
      <c r="M68" s="1478"/>
      <c r="N68" s="1478"/>
      <c r="O68" s="1478"/>
      <c r="P68" s="1478"/>
      <c r="Q68" s="1469"/>
      <c r="R68" s="488"/>
    </row>
    <row r="69" spans="2:18" ht="13" x14ac:dyDescent="0.3">
      <c r="B69" s="533">
        <v>8</v>
      </c>
      <c r="C69" s="546"/>
      <c r="D69" s="1539"/>
      <c r="E69" s="1539"/>
      <c r="F69" s="609"/>
      <c r="G69" s="1217"/>
      <c r="H69" s="645"/>
      <c r="I69" s="1217"/>
      <c r="J69" s="1468"/>
      <c r="K69" s="1478"/>
      <c r="L69" s="1478"/>
      <c r="M69" s="1478"/>
      <c r="N69" s="1478"/>
      <c r="O69" s="1478"/>
      <c r="P69" s="1478"/>
      <c r="Q69" s="1469"/>
      <c r="R69" s="488"/>
    </row>
    <row r="70" spans="2:18" ht="14.5" customHeight="1" x14ac:dyDescent="0.3">
      <c r="B70" s="533">
        <v>9</v>
      </c>
      <c r="C70" s="546"/>
      <c r="D70" s="1539"/>
      <c r="E70" s="1539"/>
      <c r="F70" s="609"/>
      <c r="G70" s="1217"/>
      <c r="H70" s="645"/>
      <c r="I70" s="1217"/>
      <c r="J70" s="1468"/>
      <c r="K70" s="1478"/>
      <c r="L70" s="1478"/>
      <c r="M70" s="1478"/>
      <c r="N70" s="1478"/>
      <c r="O70" s="1478"/>
      <c r="P70" s="1478"/>
      <c r="Q70" s="1469"/>
      <c r="R70" s="488"/>
    </row>
    <row r="71" spans="2:18" ht="15" customHeight="1" x14ac:dyDescent="0.3">
      <c r="B71" s="533">
        <v>10</v>
      </c>
      <c r="C71" s="546"/>
      <c r="D71" s="1539"/>
      <c r="E71" s="1539"/>
      <c r="F71" s="609"/>
      <c r="G71" s="1217"/>
      <c r="H71" s="645"/>
      <c r="I71" s="1217"/>
      <c r="J71" s="1468"/>
      <c r="K71" s="1478"/>
      <c r="L71" s="1478"/>
      <c r="M71" s="1478"/>
      <c r="N71" s="1478"/>
      <c r="O71" s="1478"/>
      <c r="P71" s="1478"/>
      <c r="Q71" s="1469"/>
      <c r="R71" s="488"/>
    </row>
    <row r="72" spans="2:18" ht="15" customHeight="1" x14ac:dyDescent="0.3">
      <c r="B72" s="533">
        <v>11</v>
      </c>
      <c r="C72" s="546"/>
      <c r="D72" s="1539"/>
      <c r="E72" s="1539"/>
      <c r="F72" s="609"/>
      <c r="G72" s="1217"/>
      <c r="H72" s="645"/>
      <c r="I72" s="1217"/>
      <c r="J72" s="1468"/>
      <c r="K72" s="1478"/>
      <c r="L72" s="1478"/>
      <c r="M72" s="1478"/>
      <c r="N72" s="1478"/>
      <c r="O72" s="1478"/>
      <c r="P72" s="1478"/>
      <c r="Q72" s="1469"/>
      <c r="R72" s="488"/>
    </row>
    <row r="73" spans="2:18" ht="15" customHeight="1" x14ac:dyDescent="0.3">
      <c r="B73" s="533">
        <v>12</v>
      </c>
      <c r="C73" s="546"/>
      <c r="D73" s="1539"/>
      <c r="E73" s="1539"/>
      <c r="F73" s="609"/>
      <c r="G73" s="1217"/>
      <c r="H73" s="645"/>
      <c r="I73" s="1217"/>
      <c r="J73" s="1468"/>
      <c r="K73" s="1478"/>
      <c r="L73" s="1478"/>
      <c r="M73" s="1478"/>
      <c r="N73" s="1478"/>
      <c r="O73" s="1478"/>
      <c r="P73" s="1478"/>
      <c r="Q73" s="1469"/>
      <c r="R73" s="488"/>
    </row>
    <row r="74" spans="2:18" ht="15" customHeight="1" x14ac:dyDescent="0.3">
      <c r="B74" s="533">
        <v>13</v>
      </c>
      <c r="C74" s="546"/>
      <c r="D74" s="1539"/>
      <c r="E74" s="1539"/>
      <c r="F74" s="609"/>
      <c r="G74" s="1217"/>
      <c r="H74" s="645"/>
      <c r="I74" s="1217"/>
      <c r="J74" s="1468"/>
      <c r="K74" s="1478"/>
      <c r="L74" s="1478"/>
      <c r="M74" s="1478"/>
      <c r="N74" s="1478"/>
      <c r="O74" s="1478"/>
      <c r="P74" s="1478"/>
      <c r="Q74" s="1469"/>
      <c r="R74" s="488"/>
    </row>
    <row r="75" spans="2:18" ht="15" customHeight="1" x14ac:dyDescent="0.3">
      <c r="B75" s="533">
        <v>14</v>
      </c>
      <c r="C75" s="546"/>
      <c r="D75" s="1539"/>
      <c r="E75" s="1539"/>
      <c r="F75" s="645"/>
      <c r="G75" s="1217"/>
      <c r="H75" s="645"/>
      <c r="I75" s="1217"/>
      <c r="J75" s="1468"/>
      <c r="K75" s="1478"/>
      <c r="L75" s="1478"/>
      <c r="M75" s="1478"/>
      <c r="N75" s="1478"/>
      <c r="O75" s="1478"/>
      <c r="P75" s="1478"/>
      <c r="Q75" s="1469"/>
      <c r="R75" s="488"/>
    </row>
    <row r="76" spans="2:18" ht="13" x14ac:dyDescent="0.3">
      <c r="B76" s="533">
        <v>15</v>
      </c>
      <c r="C76" s="546"/>
      <c r="D76" s="1539"/>
      <c r="E76" s="1539"/>
      <c r="F76" s="609"/>
      <c r="G76" s="1217"/>
      <c r="H76" s="645"/>
      <c r="I76" s="1217"/>
      <c r="J76" s="1468"/>
      <c r="K76" s="1478"/>
      <c r="L76" s="1478"/>
      <c r="M76" s="1478"/>
      <c r="N76" s="1478"/>
      <c r="O76" s="1478"/>
      <c r="P76" s="1478"/>
      <c r="Q76" s="1469"/>
      <c r="R76" s="488"/>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182"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182"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c r="R85" s="488"/>
    </row>
    <row r="86" spans="2:18" ht="13" x14ac:dyDescent="0.3">
      <c r="B86" s="533">
        <v>6</v>
      </c>
      <c r="C86" s="563"/>
      <c r="D86" s="564"/>
      <c r="E86" s="1182"/>
      <c r="F86" s="1489"/>
      <c r="G86" s="1490"/>
      <c r="H86" s="1490"/>
      <c r="I86" s="1490"/>
      <c r="J86" s="1490"/>
      <c r="K86" s="1490"/>
      <c r="L86" s="1490"/>
      <c r="M86" s="1490"/>
      <c r="N86" s="1490"/>
      <c r="O86" s="1490"/>
      <c r="P86" s="1490"/>
      <c r="Q86" s="1491"/>
      <c r="R86" s="488"/>
    </row>
    <row r="87" spans="2:18" ht="13" x14ac:dyDescent="0.3">
      <c r="B87" s="533">
        <v>7</v>
      </c>
      <c r="C87" s="563"/>
      <c r="D87" s="1233"/>
      <c r="E87" s="1182"/>
      <c r="F87" s="1489"/>
      <c r="G87" s="1490"/>
      <c r="H87" s="1490"/>
      <c r="I87" s="1490"/>
      <c r="J87" s="1490"/>
      <c r="K87" s="1490"/>
      <c r="L87" s="1490"/>
      <c r="M87" s="1490"/>
      <c r="N87" s="1490"/>
      <c r="O87" s="1490"/>
      <c r="P87" s="1490"/>
      <c r="Q87" s="1491"/>
      <c r="R87" s="488"/>
    </row>
    <row r="88" spans="2:18" ht="13" x14ac:dyDescent="0.3">
      <c r="B88" s="533">
        <v>8</v>
      </c>
      <c r="C88" s="563"/>
      <c r="D88" s="564"/>
      <c r="E88" s="1182"/>
      <c r="F88" s="1489"/>
      <c r="G88" s="1490"/>
      <c r="H88" s="1490"/>
      <c r="I88" s="1490"/>
      <c r="J88" s="1490"/>
      <c r="K88" s="1490"/>
      <c r="L88" s="1490"/>
      <c r="M88" s="1490"/>
      <c r="N88" s="1490"/>
      <c r="O88" s="1490"/>
      <c r="P88" s="1490"/>
      <c r="Q88" s="1491"/>
      <c r="R88" s="488"/>
    </row>
    <row r="89" spans="2:18" ht="13" x14ac:dyDescent="0.3">
      <c r="B89" s="533">
        <v>9</v>
      </c>
      <c r="C89" s="563"/>
      <c r="D89" s="1233"/>
      <c r="E89" s="1182"/>
      <c r="F89" s="1489"/>
      <c r="G89" s="1490"/>
      <c r="H89" s="1490"/>
      <c r="I89" s="1490"/>
      <c r="J89" s="1490"/>
      <c r="K89" s="1490"/>
      <c r="L89" s="1490"/>
      <c r="M89" s="1490"/>
      <c r="N89" s="1490"/>
      <c r="O89" s="1490"/>
      <c r="P89" s="1490"/>
      <c r="Q89" s="1491"/>
      <c r="R89" s="488"/>
    </row>
    <row r="90" spans="2:18" ht="13" x14ac:dyDescent="0.3">
      <c r="B90" s="533">
        <v>10</v>
      </c>
      <c r="C90" s="563"/>
      <c r="D90" s="564"/>
      <c r="E90" s="1182"/>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37.5" customHeight="1" x14ac:dyDescent="0.3">
      <c r="B95" s="1498" t="s">
        <v>1712</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08"/>
      <c r="Q95" s="1409"/>
      <c r="R95" s="488"/>
    </row>
    <row r="96" spans="2:18" ht="25.5" customHeight="1" x14ac:dyDescent="0.3">
      <c r="B96" s="1188" t="s">
        <v>478</v>
      </c>
      <c r="C96" s="1402" t="s">
        <v>505</v>
      </c>
      <c r="D96" s="1431"/>
      <c r="E96" s="565" t="s">
        <v>1713</v>
      </c>
      <c r="F96" s="565" t="s">
        <v>1714</v>
      </c>
      <c r="G96" s="565" t="s">
        <v>923</v>
      </c>
      <c r="H96" s="565"/>
      <c r="I96" s="565"/>
      <c r="J96" s="565"/>
      <c r="K96" s="565"/>
      <c r="L96" s="565"/>
      <c r="M96" s="565"/>
      <c r="N96" s="566"/>
      <c r="O96" s="1410"/>
      <c r="P96" s="1411"/>
      <c r="Q96" s="1412"/>
      <c r="R96" s="488"/>
    </row>
    <row r="97" spans="2:18" ht="45" customHeight="1" x14ac:dyDescent="0.3">
      <c r="B97" s="533">
        <v>1</v>
      </c>
      <c r="C97" s="546" t="s">
        <v>1715</v>
      </c>
      <c r="D97" s="546" t="s">
        <v>1716</v>
      </c>
      <c r="E97" s="567">
        <v>509.9</v>
      </c>
      <c r="F97" s="567">
        <v>412.1</v>
      </c>
      <c r="G97" s="567"/>
      <c r="H97" s="1190"/>
      <c r="I97" s="568"/>
      <c r="J97" s="568"/>
      <c r="K97" s="568"/>
      <c r="L97" s="568"/>
      <c r="M97" s="568"/>
      <c r="N97" s="568"/>
      <c r="O97" s="1495" t="s">
        <v>1693</v>
      </c>
      <c r="P97" s="1496"/>
      <c r="Q97" s="1497"/>
      <c r="R97" s="488"/>
    </row>
    <row r="98" spans="2:18" ht="13" x14ac:dyDescent="0.3">
      <c r="B98" s="533">
        <v>2</v>
      </c>
      <c r="C98" s="546" t="s">
        <v>1717</v>
      </c>
      <c r="D98" s="546" t="s">
        <v>1718</v>
      </c>
      <c r="E98" s="567">
        <v>94.1</v>
      </c>
      <c r="F98" s="567">
        <v>76</v>
      </c>
      <c r="G98" s="567"/>
      <c r="H98" s="1190"/>
      <c r="I98" s="568"/>
      <c r="J98" s="568"/>
      <c r="K98" s="568"/>
      <c r="L98" s="568"/>
      <c r="M98" s="568"/>
      <c r="N98" s="568"/>
      <c r="O98" s="1495" t="s">
        <v>1693</v>
      </c>
      <c r="P98" s="1496"/>
      <c r="Q98" s="1497"/>
      <c r="R98" s="488"/>
    </row>
    <row r="99" spans="2:18" ht="13" x14ac:dyDescent="0.3">
      <c r="B99" s="533">
        <v>3</v>
      </c>
      <c r="C99" s="546" t="s">
        <v>1719</v>
      </c>
      <c r="D99" s="546" t="s">
        <v>1719</v>
      </c>
      <c r="E99" s="567">
        <v>0</v>
      </c>
      <c r="F99" s="567">
        <v>0</v>
      </c>
      <c r="G99" s="567"/>
      <c r="H99" s="1190"/>
      <c r="I99" s="568"/>
      <c r="J99" s="568"/>
      <c r="K99" s="568"/>
      <c r="L99" s="568"/>
      <c r="M99" s="568"/>
      <c r="N99" s="568"/>
      <c r="O99" s="1495"/>
      <c r="P99" s="1496"/>
      <c r="Q99" s="1497"/>
      <c r="R99" s="488"/>
    </row>
    <row r="100" spans="2:18" ht="13" x14ac:dyDescent="0.3">
      <c r="B100" s="533">
        <v>4</v>
      </c>
      <c r="C100" s="546" t="s">
        <v>923</v>
      </c>
      <c r="D100" s="546"/>
      <c r="E100" s="618"/>
      <c r="F100" s="567"/>
      <c r="G100" s="567"/>
      <c r="H100" s="1190"/>
      <c r="I100" s="568"/>
      <c r="J100" s="568"/>
      <c r="K100" s="568"/>
      <c r="L100" s="568"/>
      <c r="M100" s="568"/>
      <c r="N100" s="568"/>
      <c r="O100" s="1495"/>
      <c r="P100" s="1496"/>
      <c r="Q100" s="1497"/>
      <c r="R100" s="488"/>
    </row>
    <row r="101" spans="2:18" ht="13" x14ac:dyDescent="0.3">
      <c r="B101" s="533">
        <v>5</v>
      </c>
      <c r="C101" s="546"/>
      <c r="D101" s="546"/>
      <c r="E101" s="567"/>
      <c r="F101" s="567"/>
      <c r="G101" s="567"/>
      <c r="H101" s="1190"/>
      <c r="I101" s="568"/>
      <c r="J101" s="568"/>
      <c r="K101" s="568"/>
      <c r="L101" s="568"/>
      <c r="M101" s="568"/>
      <c r="N101" s="568"/>
      <c r="O101" s="1495"/>
      <c r="P101" s="1496"/>
      <c r="Q101" s="1497"/>
      <c r="R101" s="488"/>
    </row>
    <row r="102" spans="2:18" ht="13" x14ac:dyDescent="0.3">
      <c r="B102" s="533">
        <v>6</v>
      </c>
      <c r="C102" s="546"/>
      <c r="D102" s="546"/>
      <c r="E102" s="567"/>
      <c r="F102" s="567"/>
      <c r="G102" s="567"/>
      <c r="H102" s="1190"/>
      <c r="I102" s="569"/>
      <c r="J102" s="569"/>
      <c r="K102" s="569"/>
      <c r="L102" s="569"/>
      <c r="M102" s="569"/>
      <c r="N102" s="569"/>
      <c r="O102" s="1495"/>
      <c r="P102" s="1496"/>
      <c r="Q102" s="1497"/>
      <c r="R102" s="488"/>
    </row>
    <row r="103" spans="2:18" ht="13" x14ac:dyDescent="0.3">
      <c r="B103" s="533">
        <v>7</v>
      </c>
      <c r="C103" s="546"/>
      <c r="D103" s="546"/>
      <c r="E103" s="567"/>
      <c r="F103" s="567"/>
      <c r="G103" s="567"/>
      <c r="H103" s="1190"/>
      <c r="I103" s="569"/>
      <c r="J103" s="569"/>
      <c r="K103" s="569"/>
      <c r="L103" s="569"/>
      <c r="M103" s="569"/>
      <c r="N103" s="569"/>
      <c r="O103" s="1495"/>
      <c r="P103" s="1496"/>
      <c r="Q103" s="1497"/>
      <c r="R103" s="488"/>
    </row>
    <row r="104" spans="2:18" ht="13" x14ac:dyDescent="0.3">
      <c r="B104" s="533">
        <v>8</v>
      </c>
      <c r="C104" s="546"/>
      <c r="D104" s="546"/>
      <c r="E104" s="567"/>
      <c r="F104" s="567"/>
      <c r="G104" s="567"/>
      <c r="H104" s="569"/>
      <c r="I104" s="569"/>
      <c r="J104" s="569"/>
      <c r="K104" s="569"/>
      <c r="L104" s="569"/>
      <c r="M104" s="569"/>
      <c r="N104" s="569"/>
      <c r="O104" s="1495"/>
      <c r="P104" s="1496"/>
      <c r="Q104" s="1497"/>
      <c r="R104" s="488"/>
    </row>
    <row r="105" spans="2:18" ht="13" x14ac:dyDescent="0.3">
      <c r="B105" s="533">
        <v>9</v>
      </c>
      <c r="C105" s="546"/>
      <c r="D105" s="546"/>
      <c r="E105" s="567"/>
      <c r="F105" s="567"/>
      <c r="G105" s="567"/>
      <c r="H105" s="1217"/>
      <c r="I105" s="569"/>
      <c r="J105" s="569"/>
      <c r="K105" s="569"/>
      <c r="L105" s="569"/>
      <c r="M105" s="569"/>
      <c r="N105" s="569"/>
      <c r="O105" s="1492"/>
      <c r="P105" s="1493"/>
      <c r="Q105" s="1494"/>
      <c r="R105" s="488"/>
    </row>
    <row r="106" spans="2:18" ht="13" x14ac:dyDescent="0.3">
      <c r="B106" s="533">
        <v>10</v>
      </c>
      <c r="C106" s="546"/>
      <c r="D106" s="546"/>
      <c r="E106" s="567"/>
      <c r="F106" s="567"/>
      <c r="G106" s="567"/>
      <c r="H106" s="1217"/>
      <c r="I106" s="569"/>
      <c r="J106" s="569"/>
      <c r="K106" s="569"/>
      <c r="L106" s="569"/>
      <c r="M106" s="569"/>
      <c r="N106" s="569"/>
      <c r="O106" s="1492"/>
      <c r="P106" s="1493"/>
      <c r="Q106" s="1494"/>
      <c r="R106" s="488"/>
    </row>
    <row r="107" spans="2:18" ht="13" x14ac:dyDescent="0.3">
      <c r="B107" s="533">
        <v>11</v>
      </c>
      <c r="C107" s="546"/>
      <c r="D107" s="546"/>
      <c r="E107" s="618"/>
      <c r="F107" s="567"/>
      <c r="G107" s="567"/>
      <c r="H107" s="571"/>
      <c r="I107" s="569"/>
      <c r="J107" s="569"/>
      <c r="K107" s="569"/>
      <c r="L107" s="569"/>
      <c r="M107" s="569"/>
      <c r="N107" s="569"/>
      <c r="O107" s="1492"/>
      <c r="P107" s="1493"/>
      <c r="Q107" s="1494"/>
      <c r="R107" s="488"/>
    </row>
    <row r="108" spans="2:18" ht="13" x14ac:dyDescent="0.3">
      <c r="B108" s="533">
        <v>12</v>
      </c>
      <c r="C108" s="546"/>
      <c r="D108" s="546"/>
      <c r="E108" s="567"/>
      <c r="F108" s="567"/>
      <c r="G108" s="567"/>
      <c r="H108" s="1217"/>
      <c r="I108" s="569"/>
      <c r="J108" s="569"/>
      <c r="K108" s="569"/>
      <c r="L108" s="569"/>
      <c r="M108" s="569"/>
      <c r="N108" s="569"/>
      <c r="O108" s="1492"/>
      <c r="P108" s="1493"/>
      <c r="Q108" s="1494"/>
      <c r="R108" s="488"/>
    </row>
    <row r="109" spans="2:18" ht="13" x14ac:dyDescent="0.3">
      <c r="B109" s="533">
        <v>13</v>
      </c>
      <c r="C109" s="546"/>
      <c r="D109" s="546"/>
      <c r="E109" s="567"/>
      <c r="F109" s="567"/>
      <c r="G109" s="567"/>
      <c r="H109" s="1217"/>
      <c r="I109" s="569"/>
      <c r="J109" s="569"/>
      <c r="K109" s="569"/>
      <c r="L109" s="569"/>
      <c r="M109" s="569"/>
      <c r="N109" s="569"/>
      <c r="O109" s="1492"/>
      <c r="P109" s="1493"/>
      <c r="Q109" s="1494"/>
      <c r="R109" s="488"/>
    </row>
    <row r="110" spans="2:18" ht="13" x14ac:dyDescent="0.3">
      <c r="B110" s="533">
        <v>14</v>
      </c>
      <c r="C110" s="546"/>
      <c r="D110" s="546"/>
      <c r="E110" s="567"/>
      <c r="F110" s="567"/>
      <c r="G110" s="567"/>
      <c r="H110" s="572"/>
      <c r="I110" s="569"/>
      <c r="J110" s="569"/>
      <c r="K110" s="569"/>
      <c r="L110" s="569"/>
      <c r="M110" s="569"/>
      <c r="N110" s="569"/>
      <c r="O110" s="1492"/>
      <c r="P110" s="1493"/>
      <c r="Q110" s="1494"/>
      <c r="R110" s="488"/>
    </row>
    <row r="111" spans="2:18" ht="13" x14ac:dyDescent="0.3">
      <c r="B111" s="533">
        <v>15</v>
      </c>
      <c r="C111" s="546"/>
      <c r="D111" s="546"/>
      <c r="E111" s="572"/>
      <c r="F111" s="572"/>
      <c r="G111" s="572"/>
      <c r="H111" s="572"/>
      <c r="I111" s="569"/>
      <c r="J111" s="569"/>
      <c r="K111" s="569"/>
      <c r="L111" s="569"/>
      <c r="M111" s="569"/>
      <c r="N111" s="569"/>
      <c r="O111" s="1492"/>
      <c r="P111" s="1493"/>
      <c r="Q111" s="1494"/>
      <c r="R111" s="488"/>
    </row>
    <row r="112" spans="2:18" ht="13" x14ac:dyDescent="0.3">
      <c r="B112" s="533">
        <v>16</v>
      </c>
      <c r="C112" s="546"/>
      <c r="D112" s="546"/>
      <c r="E112" s="572"/>
      <c r="F112" s="572"/>
      <c r="G112" s="572"/>
      <c r="H112" s="572"/>
      <c r="I112" s="569"/>
      <c r="J112" s="569"/>
      <c r="K112" s="569"/>
      <c r="L112" s="569"/>
      <c r="M112" s="569"/>
      <c r="N112" s="569"/>
      <c r="O112" s="1492"/>
      <c r="P112" s="1493"/>
      <c r="Q112" s="1494"/>
      <c r="R112" s="488"/>
    </row>
    <row r="113" spans="2:18" ht="13" x14ac:dyDescent="0.3">
      <c r="B113" s="533">
        <v>17</v>
      </c>
      <c r="C113" s="546"/>
      <c r="D113" s="546"/>
      <c r="E113" s="572"/>
      <c r="F113" s="572"/>
      <c r="G113" s="572"/>
      <c r="H113" s="572"/>
      <c r="I113" s="569"/>
      <c r="J113" s="569"/>
      <c r="K113" s="569"/>
      <c r="L113" s="569"/>
      <c r="M113" s="569"/>
      <c r="N113" s="569"/>
      <c r="O113" s="1492"/>
      <c r="P113" s="1493"/>
      <c r="Q113" s="1494"/>
      <c r="R113" s="488"/>
    </row>
    <row r="114" spans="2:18" ht="13" x14ac:dyDescent="0.3">
      <c r="B114" s="533">
        <v>18</v>
      </c>
      <c r="C114" s="546"/>
      <c r="D114" s="546"/>
      <c r="E114" s="572"/>
      <c r="F114" s="572"/>
      <c r="G114" s="572"/>
      <c r="H114" s="572"/>
      <c r="I114" s="569"/>
      <c r="J114" s="569"/>
      <c r="K114" s="569"/>
      <c r="L114" s="569"/>
      <c r="M114" s="569"/>
      <c r="N114" s="569"/>
      <c r="O114" s="1492"/>
      <c r="P114" s="1493"/>
      <c r="Q114" s="1494"/>
      <c r="R114" s="488"/>
    </row>
    <row r="115" spans="2:18" ht="13" x14ac:dyDescent="0.3">
      <c r="B115" s="533">
        <v>19</v>
      </c>
      <c r="C115" s="546"/>
      <c r="D115" s="546"/>
      <c r="E115" s="572"/>
      <c r="F115" s="572"/>
      <c r="G115" s="572"/>
      <c r="H115" s="572"/>
      <c r="I115" s="569"/>
      <c r="J115" s="569"/>
      <c r="K115" s="569"/>
      <c r="L115" s="569"/>
      <c r="M115" s="569"/>
      <c r="N115" s="569"/>
      <c r="O115" s="1492"/>
      <c r="P115" s="1493"/>
      <c r="Q115" s="1494"/>
      <c r="R115" s="488"/>
    </row>
    <row r="116" spans="2:18" ht="13" x14ac:dyDescent="0.3">
      <c r="B116" s="533">
        <v>20</v>
      </c>
      <c r="C116" s="546"/>
      <c r="D116" s="546"/>
      <c r="E116" s="572"/>
      <c r="F116" s="572"/>
      <c r="G116" s="572"/>
      <c r="H116" s="572"/>
      <c r="I116" s="569"/>
      <c r="J116" s="569"/>
      <c r="K116" s="569"/>
      <c r="L116" s="569"/>
      <c r="M116" s="569"/>
      <c r="N116" s="569"/>
      <c r="O116" s="1492"/>
      <c r="P116" s="1493"/>
      <c r="Q116" s="1494"/>
      <c r="R116" s="488"/>
    </row>
    <row r="117" spans="2:18" ht="18.75" customHeight="1" x14ac:dyDescent="0.3">
      <c r="R117" s="488"/>
    </row>
    <row r="118" spans="2:18" ht="18.75" customHeight="1" x14ac:dyDescent="0.3">
      <c r="B118" s="702" t="s">
        <v>493</v>
      </c>
      <c r="E118" s="1662" t="s">
        <v>494</v>
      </c>
      <c r="F118" s="1663"/>
      <c r="G118" s="1663"/>
      <c r="H118" s="1663"/>
      <c r="I118" s="1663"/>
      <c r="J118" s="1663"/>
      <c r="K118" s="1663"/>
      <c r="L118" s="1663"/>
      <c r="M118" s="1663"/>
      <c r="N118" s="1663"/>
      <c r="O118" s="1664" t="s">
        <v>476</v>
      </c>
      <c r="P118" s="1665"/>
      <c r="Q118" s="1666"/>
      <c r="R118" s="488"/>
    </row>
    <row r="119" spans="2:18" ht="37.5" customHeight="1" x14ac:dyDescent="0.3">
      <c r="B119" s="1673" t="s">
        <v>1720</v>
      </c>
      <c r="C119" s="1674"/>
      <c r="D119" s="1675"/>
      <c r="E119" s="703" t="s">
        <v>495</v>
      </c>
      <c r="F119" s="703" t="s">
        <v>496</v>
      </c>
      <c r="G119" s="703" t="s">
        <v>497</v>
      </c>
      <c r="H119" s="703" t="s">
        <v>498</v>
      </c>
      <c r="I119" s="703" t="s">
        <v>499</v>
      </c>
      <c r="J119" s="703" t="s">
        <v>500</v>
      </c>
      <c r="K119" s="703" t="s">
        <v>501</v>
      </c>
      <c r="L119" s="703" t="s">
        <v>502</v>
      </c>
      <c r="M119" s="703" t="s">
        <v>503</v>
      </c>
      <c r="N119" s="1213" t="s">
        <v>504</v>
      </c>
      <c r="O119" s="1667"/>
      <c r="P119" s="1702"/>
      <c r="Q119" s="1669"/>
      <c r="R119" s="488"/>
    </row>
    <row r="120" spans="2:18" ht="25.5" customHeight="1" x14ac:dyDescent="0.3">
      <c r="B120" s="704" t="s">
        <v>478</v>
      </c>
      <c r="C120" s="1662" t="s">
        <v>505</v>
      </c>
      <c r="D120" s="1676"/>
      <c r="E120" s="525" t="s">
        <v>1713</v>
      </c>
      <c r="F120" s="525" t="s">
        <v>1714</v>
      </c>
      <c r="G120" s="525" t="s">
        <v>923</v>
      </c>
      <c r="H120" s="525"/>
      <c r="I120" s="525"/>
      <c r="J120" s="525"/>
      <c r="K120" s="525"/>
      <c r="L120" s="525"/>
      <c r="M120" s="525"/>
      <c r="N120" s="1214"/>
      <c r="O120" s="1670"/>
      <c r="P120" s="1671"/>
      <c r="Q120" s="1672"/>
      <c r="R120" s="488"/>
    </row>
    <row r="121" spans="2:18" ht="45" customHeight="1" x14ac:dyDescent="0.3">
      <c r="B121" s="1240">
        <v>1</v>
      </c>
      <c r="C121" s="515" t="s">
        <v>1715</v>
      </c>
      <c r="D121" s="515" t="s">
        <v>1716</v>
      </c>
      <c r="E121" s="526">
        <v>1262.682</v>
      </c>
      <c r="F121" s="526">
        <v>1020.364</v>
      </c>
      <c r="G121" s="526"/>
      <c r="H121" s="1239"/>
      <c r="I121" s="527"/>
      <c r="J121" s="527"/>
      <c r="K121" s="527"/>
      <c r="L121" s="527"/>
      <c r="M121" s="527"/>
      <c r="N121" s="527"/>
      <c r="O121" s="1422" t="s">
        <v>1693</v>
      </c>
      <c r="P121" s="1423"/>
      <c r="Q121" s="1424"/>
      <c r="R121" s="488"/>
    </row>
    <row r="122" spans="2:18" ht="13" x14ac:dyDescent="0.3">
      <c r="B122" s="1240">
        <v>2</v>
      </c>
      <c r="C122" s="515" t="s">
        <v>1719</v>
      </c>
      <c r="D122" s="515" t="s">
        <v>1721</v>
      </c>
      <c r="E122" s="526">
        <v>365.75299999999999</v>
      </c>
      <c r="F122" s="526">
        <v>295.56200000000001</v>
      </c>
      <c r="G122" s="526"/>
      <c r="H122" s="1239"/>
      <c r="I122" s="527"/>
      <c r="J122" s="527"/>
      <c r="K122" s="527"/>
      <c r="L122" s="527"/>
      <c r="M122" s="527"/>
      <c r="N122" s="527"/>
      <c r="O122" s="1422" t="s">
        <v>1693</v>
      </c>
      <c r="P122" s="1423"/>
      <c r="Q122" s="1424"/>
      <c r="R122" s="488"/>
    </row>
    <row r="123" spans="2:18" ht="13" x14ac:dyDescent="0.3">
      <c r="B123" s="1240">
        <v>3</v>
      </c>
      <c r="C123" s="515" t="s">
        <v>1717</v>
      </c>
      <c r="D123" s="515"/>
      <c r="E123" s="526"/>
      <c r="F123" s="526"/>
      <c r="G123" s="526"/>
      <c r="H123" s="1240"/>
      <c r="I123" s="528"/>
      <c r="J123" s="527"/>
      <c r="K123" s="527"/>
      <c r="L123" s="527"/>
      <c r="M123" s="527"/>
      <c r="N123" s="527"/>
      <c r="O123" s="1422" t="s">
        <v>1693</v>
      </c>
      <c r="P123" s="1423"/>
      <c r="Q123" s="1424"/>
      <c r="R123" s="488"/>
    </row>
    <row r="124" spans="2:18" ht="13" x14ac:dyDescent="0.3">
      <c r="B124" s="1240">
        <v>4</v>
      </c>
      <c r="C124" s="515" t="s">
        <v>923</v>
      </c>
      <c r="D124" s="515"/>
      <c r="E124" s="526"/>
      <c r="F124" s="526"/>
      <c r="G124" s="526"/>
      <c r="H124" s="1240"/>
      <c r="I124" s="528"/>
      <c r="J124" s="527"/>
      <c r="K124" s="527"/>
      <c r="L124" s="527"/>
      <c r="M124" s="527"/>
      <c r="N124" s="527"/>
      <c r="O124" s="1422" t="s">
        <v>1693</v>
      </c>
      <c r="P124" s="1423"/>
      <c r="Q124" s="1424"/>
      <c r="R124" s="488"/>
    </row>
    <row r="125" spans="2:18" ht="13" x14ac:dyDescent="0.3">
      <c r="B125" s="1240">
        <v>5</v>
      </c>
      <c r="C125" s="515"/>
      <c r="D125" s="515"/>
      <c r="E125" s="526"/>
      <c r="F125" s="526"/>
      <c r="G125" s="526"/>
      <c r="H125" s="1240"/>
      <c r="I125" s="528"/>
      <c r="J125" s="527"/>
      <c r="K125" s="527"/>
      <c r="L125" s="527"/>
      <c r="M125" s="527"/>
      <c r="N125" s="527"/>
      <c r="O125" s="1422" t="s">
        <v>1693</v>
      </c>
      <c r="P125" s="1423"/>
      <c r="Q125" s="1424"/>
      <c r="R125" s="488"/>
    </row>
    <row r="126" spans="2:18" ht="13" x14ac:dyDescent="0.3">
      <c r="B126" s="1240">
        <v>6</v>
      </c>
      <c r="C126" s="515"/>
      <c r="D126" s="515"/>
      <c r="E126" s="526"/>
      <c r="F126" s="526"/>
      <c r="G126" s="526"/>
      <c r="H126" s="1240"/>
      <c r="I126" s="528"/>
      <c r="J126" s="528"/>
      <c r="K126" s="528"/>
      <c r="L126" s="528"/>
      <c r="M126" s="528"/>
      <c r="N126" s="528"/>
      <c r="O126" s="1422" t="s">
        <v>1693</v>
      </c>
      <c r="P126" s="1423"/>
      <c r="Q126" s="1424"/>
      <c r="R126" s="488"/>
    </row>
    <row r="127" spans="2:18" ht="13" x14ac:dyDescent="0.3">
      <c r="B127" s="1240">
        <v>7</v>
      </c>
      <c r="C127" s="515"/>
      <c r="D127" s="515"/>
      <c r="E127" s="526"/>
      <c r="F127" s="526"/>
      <c r="G127" s="526"/>
      <c r="H127" s="1240"/>
      <c r="I127" s="528"/>
      <c r="J127" s="528"/>
      <c r="K127" s="528"/>
      <c r="L127" s="528"/>
      <c r="M127" s="528"/>
      <c r="N127" s="528"/>
      <c r="O127" s="1422" t="s">
        <v>1693</v>
      </c>
      <c r="P127" s="1423"/>
      <c r="Q127" s="1424"/>
      <c r="R127" s="488"/>
    </row>
    <row r="128" spans="2:18" ht="13" x14ac:dyDescent="0.3">
      <c r="B128" s="1240">
        <v>8</v>
      </c>
      <c r="C128" s="515"/>
      <c r="D128" s="515"/>
      <c r="E128" s="526"/>
      <c r="F128" s="526"/>
      <c r="G128" s="526"/>
      <c r="H128" s="1240"/>
      <c r="I128" s="528"/>
      <c r="J128" s="528"/>
      <c r="K128" s="528"/>
      <c r="L128" s="528"/>
      <c r="M128" s="528"/>
      <c r="N128" s="528"/>
      <c r="O128" s="1422" t="s">
        <v>1693</v>
      </c>
      <c r="P128" s="1423"/>
      <c r="Q128" s="1424"/>
      <c r="R128" s="488"/>
    </row>
    <row r="129" spans="2:18" ht="13" x14ac:dyDescent="0.3">
      <c r="B129" s="1240">
        <v>9</v>
      </c>
      <c r="C129" s="515"/>
      <c r="D129" s="515"/>
      <c r="E129" s="526"/>
      <c r="F129" s="526"/>
      <c r="G129" s="526"/>
      <c r="H129" s="1240"/>
      <c r="I129" s="528"/>
      <c r="J129" s="528"/>
      <c r="K129" s="528"/>
      <c r="L129" s="528"/>
      <c r="M129" s="528"/>
      <c r="N129" s="528"/>
      <c r="O129" s="1425"/>
      <c r="P129" s="1426"/>
      <c r="Q129" s="1427"/>
      <c r="R129" s="488"/>
    </row>
    <row r="130" spans="2:18" ht="13" x14ac:dyDescent="0.3">
      <c r="B130" s="1240">
        <v>10</v>
      </c>
      <c r="C130" s="515"/>
      <c r="D130" s="515"/>
      <c r="E130" s="526"/>
      <c r="F130" s="526"/>
      <c r="G130" s="526"/>
      <c r="H130" s="1240"/>
      <c r="I130" s="528"/>
      <c r="J130" s="528"/>
      <c r="K130" s="528"/>
      <c r="L130" s="528"/>
      <c r="M130" s="528"/>
      <c r="N130" s="528"/>
      <c r="O130" s="1425"/>
      <c r="P130" s="1426"/>
      <c r="Q130" s="1427"/>
      <c r="R130" s="488"/>
    </row>
    <row r="131" spans="2:18" ht="13" x14ac:dyDescent="0.3">
      <c r="B131" s="1240">
        <v>11</v>
      </c>
      <c r="C131" s="515"/>
      <c r="D131" s="515"/>
      <c r="F131" s="526"/>
      <c r="G131" s="526"/>
      <c r="H131" s="529"/>
      <c r="I131" s="528"/>
      <c r="J131" s="528"/>
      <c r="K131" s="528"/>
      <c r="L131" s="528"/>
      <c r="M131" s="528"/>
      <c r="N131" s="528"/>
      <c r="O131" s="1425"/>
      <c r="P131" s="1426"/>
      <c r="Q131" s="1427"/>
      <c r="R131" s="488"/>
    </row>
    <row r="132" spans="2:18" ht="13" x14ac:dyDescent="0.3">
      <c r="B132" s="1240">
        <v>12</v>
      </c>
      <c r="C132" s="515"/>
      <c r="D132" s="515"/>
      <c r="E132" s="526"/>
      <c r="F132" s="526"/>
      <c r="G132" s="526"/>
      <c r="H132" s="1240"/>
      <c r="I132" s="528"/>
      <c r="J132" s="528"/>
      <c r="K132" s="528"/>
      <c r="L132" s="528"/>
      <c r="M132" s="528"/>
      <c r="N132" s="528"/>
      <c r="O132" s="1425"/>
      <c r="P132" s="1426"/>
      <c r="Q132" s="1427"/>
      <c r="R132" s="488"/>
    </row>
    <row r="133" spans="2:18" ht="13" x14ac:dyDescent="0.3">
      <c r="B133" s="1240">
        <v>13</v>
      </c>
      <c r="C133" s="515"/>
      <c r="D133" s="515"/>
      <c r="E133" s="526"/>
      <c r="F133" s="526"/>
      <c r="G133" s="526"/>
      <c r="H133" s="1240"/>
      <c r="I133" s="528"/>
      <c r="J133" s="528"/>
      <c r="K133" s="528"/>
      <c r="L133" s="528"/>
      <c r="M133" s="528"/>
      <c r="N133" s="528"/>
      <c r="O133" s="1425"/>
      <c r="P133" s="1426"/>
      <c r="Q133" s="1427"/>
      <c r="R133" s="488"/>
    </row>
    <row r="134" spans="2:18" ht="13" x14ac:dyDescent="0.3">
      <c r="B134" s="1240">
        <v>14</v>
      </c>
      <c r="C134" s="515"/>
      <c r="D134" s="515"/>
      <c r="E134" s="526"/>
      <c r="F134" s="526"/>
      <c r="G134" s="526"/>
      <c r="H134" s="530"/>
      <c r="I134" s="528"/>
      <c r="J134" s="528"/>
      <c r="K134" s="528"/>
      <c r="L134" s="528"/>
      <c r="M134" s="528"/>
      <c r="N134" s="528"/>
      <c r="O134" s="1425"/>
      <c r="P134" s="1426"/>
      <c r="Q134" s="1427"/>
      <c r="R134" s="488"/>
    </row>
    <row r="135" spans="2:18" ht="13" x14ac:dyDescent="0.3">
      <c r="B135" s="1240">
        <v>15</v>
      </c>
      <c r="C135" s="515"/>
      <c r="D135" s="515"/>
      <c r="E135" s="530"/>
      <c r="F135" s="530"/>
      <c r="G135" s="530"/>
      <c r="H135" s="530"/>
      <c r="I135" s="528"/>
      <c r="J135" s="528"/>
      <c r="K135" s="528"/>
      <c r="L135" s="528"/>
      <c r="M135" s="528"/>
      <c r="N135" s="528"/>
      <c r="O135" s="1425"/>
      <c r="P135" s="1426"/>
      <c r="Q135" s="1427"/>
      <c r="R135" s="488"/>
    </row>
    <row r="136" spans="2:18" ht="13" x14ac:dyDescent="0.3">
      <c r="B136" s="1240">
        <v>16</v>
      </c>
      <c r="C136" s="515"/>
      <c r="D136" s="515"/>
      <c r="E136" s="530"/>
      <c r="F136" s="530"/>
      <c r="G136" s="530"/>
      <c r="H136" s="530"/>
      <c r="I136" s="528"/>
      <c r="J136" s="528"/>
      <c r="K136" s="528"/>
      <c r="L136" s="528"/>
      <c r="M136" s="528"/>
      <c r="N136" s="528"/>
      <c r="O136" s="1425"/>
      <c r="P136" s="1426"/>
      <c r="Q136" s="1427"/>
      <c r="R136" s="488"/>
    </row>
    <row r="137" spans="2:18" ht="13" x14ac:dyDescent="0.3">
      <c r="B137" s="1240">
        <v>17</v>
      </c>
      <c r="C137" s="515"/>
      <c r="D137" s="515"/>
      <c r="E137" s="530"/>
      <c r="F137" s="530"/>
      <c r="G137" s="530"/>
      <c r="H137" s="530"/>
      <c r="I137" s="528"/>
      <c r="J137" s="528"/>
      <c r="K137" s="528"/>
      <c r="L137" s="528"/>
      <c r="M137" s="528"/>
      <c r="N137" s="528"/>
      <c r="O137" s="1425"/>
      <c r="P137" s="1426"/>
      <c r="Q137" s="1427"/>
      <c r="R137" s="488"/>
    </row>
    <row r="138" spans="2:18" ht="13" x14ac:dyDescent="0.3">
      <c r="B138" s="1240">
        <v>18</v>
      </c>
      <c r="C138" s="515"/>
      <c r="D138" s="515"/>
      <c r="E138" s="530"/>
      <c r="F138" s="530"/>
      <c r="G138" s="530"/>
      <c r="H138" s="530"/>
      <c r="I138" s="528"/>
      <c r="J138" s="528"/>
      <c r="K138" s="528"/>
      <c r="L138" s="528"/>
      <c r="M138" s="528"/>
      <c r="N138" s="528"/>
      <c r="O138" s="1425"/>
      <c r="P138" s="1426"/>
      <c r="Q138" s="1427"/>
      <c r="R138" s="488"/>
    </row>
    <row r="139" spans="2:18" ht="13" x14ac:dyDescent="0.3">
      <c r="B139" s="1240">
        <v>19</v>
      </c>
      <c r="C139" s="515"/>
      <c r="D139" s="515"/>
      <c r="E139" s="530"/>
      <c r="F139" s="530"/>
      <c r="G139" s="530"/>
      <c r="H139" s="530"/>
      <c r="I139" s="528"/>
      <c r="J139" s="528"/>
      <c r="K139" s="528"/>
      <c r="L139" s="528"/>
      <c r="M139" s="528"/>
      <c r="N139" s="528"/>
      <c r="O139" s="1425"/>
      <c r="P139" s="1426"/>
      <c r="Q139" s="1427"/>
      <c r="R139" s="488"/>
    </row>
    <row r="140" spans="2:18" ht="13" x14ac:dyDescent="0.3">
      <c r="B140" s="1240">
        <v>20</v>
      </c>
      <c r="C140" s="515"/>
      <c r="D140" s="515"/>
      <c r="E140" s="530"/>
      <c r="F140" s="530"/>
      <c r="G140" s="530"/>
      <c r="H140" s="530"/>
      <c r="I140" s="528"/>
      <c r="J140" s="528"/>
      <c r="K140" s="528"/>
      <c r="L140" s="528"/>
      <c r="M140" s="528"/>
      <c r="N140" s="528"/>
      <c r="O140" s="1425"/>
      <c r="P140" s="1426"/>
      <c r="Q140" s="1427"/>
      <c r="R140" s="488"/>
    </row>
    <row r="142" spans="2:18" ht="18.75" customHeight="1" x14ac:dyDescent="0.3">
      <c r="B142" s="702" t="s">
        <v>493</v>
      </c>
      <c r="E142" s="1662" t="s">
        <v>494</v>
      </c>
      <c r="F142" s="1663"/>
      <c r="G142" s="1663"/>
      <c r="H142" s="1663"/>
      <c r="I142" s="1663"/>
      <c r="J142" s="1663"/>
      <c r="K142" s="1663"/>
      <c r="L142" s="1663"/>
      <c r="M142" s="1663"/>
      <c r="N142" s="1663"/>
      <c r="O142" s="1664" t="s">
        <v>476</v>
      </c>
      <c r="P142" s="1665"/>
      <c r="Q142" s="1666"/>
    </row>
    <row r="143" spans="2:18" ht="18.75" customHeight="1" x14ac:dyDescent="0.3">
      <c r="B143" s="1673" t="s">
        <v>1722</v>
      </c>
      <c r="C143" s="1674"/>
      <c r="D143" s="1675"/>
      <c r="E143" s="703" t="s">
        <v>495</v>
      </c>
      <c r="F143" s="703" t="s">
        <v>496</v>
      </c>
      <c r="G143" s="703" t="s">
        <v>497</v>
      </c>
      <c r="H143" s="703" t="s">
        <v>498</v>
      </c>
      <c r="I143" s="703" t="s">
        <v>499</v>
      </c>
      <c r="J143" s="703" t="s">
        <v>500</v>
      </c>
      <c r="K143" s="703" t="s">
        <v>501</v>
      </c>
      <c r="L143" s="703" t="s">
        <v>502</v>
      </c>
      <c r="M143" s="703" t="s">
        <v>503</v>
      </c>
      <c r="N143" s="1213" t="s">
        <v>504</v>
      </c>
      <c r="O143" s="1667"/>
      <c r="P143" s="1702"/>
      <c r="Q143" s="1669"/>
    </row>
    <row r="144" spans="2:18" ht="44.25" customHeight="1" x14ac:dyDescent="0.3">
      <c r="B144" s="704" t="s">
        <v>478</v>
      </c>
      <c r="C144" s="1662" t="s">
        <v>505</v>
      </c>
      <c r="D144" s="1676"/>
      <c r="E144" s="525" t="s">
        <v>1723</v>
      </c>
      <c r="F144" s="525" t="s">
        <v>1724</v>
      </c>
      <c r="G144" s="525" t="s">
        <v>1725</v>
      </c>
      <c r="H144" s="525" t="s">
        <v>1726</v>
      </c>
      <c r="I144" s="525" t="s">
        <v>1727</v>
      </c>
      <c r="J144" s="525" t="s">
        <v>1728</v>
      </c>
      <c r="K144" s="525"/>
      <c r="L144" s="525"/>
      <c r="M144" s="525"/>
      <c r="N144" s="525"/>
      <c r="O144" s="1670"/>
      <c r="P144" s="1671"/>
      <c r="Q144" s="1672"/>
    </row>
    <row r="145" spans="2:17" s="489" customFormat="1" ht="13" x14ac:dyDescent="0.3">
      <c r="B145" s="1240">
        <v>1</v>
      </c>
      <c r="C145" s="600" t="s">
        <v>1373</v>
      </c>
      <c r="D145" s="600" t="s">
        <v>1729</v>
      </c>
      <c r="E145" s="516">
        <v>0.7</v>
      </c>
      <c r="F145" s="516">
        <v>0.3</v>
      </c>
      <c r="G145" s="516">
        <v>0.32</v>
      </c>
      <c r="H145" s="516">
        <v>0.68</v>
      </c>
      <c r="I145" s="528">
        <f>G145*(E145*$E$97+F145*$E$98)+H145*(E145*$F$97+F145*$F$98)</f>
        <v>334.91480000000001</v>
      </c>
      <c r="J145" s="528">
        <f>G145*(95%*$E$122+5%*$E$121)+H145*(95%*$F$122+5%*$F$121)</f>
        <v>357.01725199999998</v>
      </c>
      <c r="K145" s="707"/>
      <c r="L145" s="528"/>
      <c r="M145" s="528"/>
      <c r="N145" s="528"/>
      <c r="O145" s="1425"/>
      <c r="P145" s="1426"/>
      <c r="Q145" s="1427"/>
    </row>
    <row r="146" spans="2:17" s="489" customFormat="1" ht="13" x14ac:dyDescent="0.3">
      <c r="B146" s="1240">
        <v>2</v>
      </c>
      <c r="C146" s="600" t="s">
        <v>1666</v>
      </c>
      <c r="D146" s="600" t="s">
        <v>1730</v>
      </c>
      <c r="E146" s="516">
        <v>0.85</v>
      </c>
      <c r="F146" s="516">
        <v>0.15</v>
      </c>
      <c r="G146" s="516">
        <v>0.32</v>
      </c>
      <c r="H146" s="516">
        <v>0.68</v>
      </c>
      <c r="I146" s="528">
        <f>G146*(E146*$E$97+F146*$E$98)+H146*(E146*$F$97+F146*$F$98)</f>
        <v>389.15539999999999</v>
      </c>
      <c r="J146" s="528">
        <f>G146*(95%*$E$122+5%*$E$121)+H146*(95%*$F$122+5%*$F$121)</f>
        <v>357.01725199999998</v>
      </c>
      <c r="K146" s="706"/>
      <c r="L146" s="528"/>
      <c r="M146" s="528"/>
      <c r="N146" s="528"/>
      <c r="O146" s="1425"/>
      <c r="P146" s="1426"/>
      <c r="Q146" s="1427"/>
    </row>
    <row r="147" spans="2:17" s="489" customFormat="1" ht="13" x14ac:dyDescent="0.3">
      <c r="B147" s="1240">
        <v>3</v>
      </c>
      <c r="C147" s="600" t="s">
        <v>1372</v>
      </c>
      <c r="D147" s="600" t="s">
        <v>1731</v>
      </c>
      <c r="E147" s="516">
        <v>0.6</v>
      </c>
      <c r="F147" s="516">
        <v>0.4</v>
      </c>
      <c r="G147" s="516">
        <v>0.32</v>
      </c>
      <c r="H147" s="516">
        <v>0.68</v>
      </c>
      <c r="I147" s="528">
        <f>G147*(E147*$E$97+F147*$E$98)+H147*(E147*$F$97+F147*$F$98)</f>
        <v>298.75439999999998</v>
      </c>
      <c r="J147" s="528">
        <f>G147*(95%*$E$122+5%*$E$121)+H147*(95%*$F$122+5%*$F$121)</f>
        <v>357.01725199999998</v>
      </c>
      <c r="K147" s="706"/>
      <c r="L147" s="528"/>
      <c r="M147" s="528"/>
      <c r="N147" s="528"/>
      <c r="O147" s="1425"/>
      <c r="P147" s="1426"/>
      <c r="Q147" s="1427"/>
    </row>
    <row r="148" spans="2:17" s="489" customFormat="1" ht="13" x14ac:dyDescent="0.3">
      <c r="B148" s="1240">
        <v>4</v>
      </c>
      <c r="C148" s="600" t="s">
        <v>1374</v>
      </c>
      <c r="D148" s="600" t="s">
        <v>1729</v>
      </c>
      <c r="E148" s="516">
        <v>0.7</v>
      </c>
      <c r="F148" s="516">
        <v>0.3</v>
      </c>
      <c r="G148" s="516">
        <v>0.32</v>
      </c>
      <c r="H148" s="516">
        <v>0.68</v>
      </c>
      <c r="I148" s="528">
        <f>G148*(E148*$E$97+F148*$E$98)+H148*(E148*$F$97+F148*$F$98)</f>
        <v>334.91480000000001</v>
      </c>
      <c r="J148" s="528">
        <f>G148*(95%*$E$122+5%*$E$121)+H148*(95%*$F$122+5%*$F$121)</f>
        <v>357.01725199999998</v>
      </c>
      <c r="K148" s="706"/>
      <c r="L148" s="528"/>
      <c r="M148" s="528"/>
      <c r="N148" s="528"/>
      <c r="O148" s="1425"/>
      <c r="P148" s="1426"/>
      <c r="Q148" s="1427"/>
    </row>
    <row r="149" spans="2:17" s="489" customFormat="1" ht="31.5" customHeight="1" x14ac:dyDescent="0.3">
      <c r="B149" s="1240">
        <v>5</v>
      </c>
      <c r="C149" s="600" t="s">
        <v>32</v>
      </c>
      <c r="D149" s="600"/>
      <c r="E149" s="516">
        <f>AVERAGE(E145:E148)</f>
        <v>0.71249999999999991</v>
      </c>
      <c r="F149" s="516">
        <f>AVERAGE(F145:F148)</f>
        <v>0.28749999999999998</v>
      </c>
      <c r="G149" s="516">
        <f>AVERAGE(G145:G148)</f>
        <v>0.32</v>
      </c>
      <c r="H149" s="516">
        <f>AVERAGE(H145:H148)</f>
        <v>0.68</v>
      </c>
      <c r="I149" s="528">
        <f>G149*(E149*$E$97+F149*$E$98)+H149*(E149*$F$97+F149*$F$98)</f>
        <v>339.43484999999998</v>
      </c>
      <c r="J149" s="528">
        <f>G149*(95%*$E$122+5%*$E$121)+H149*(95%*$F$122+5%*$F$121)</f>
        <v>357.01725199999998</v>
      </c>
      <c r="K149" s="706"/>
      <c r="L149" s="528"/>
      <c r="M149" s="528"/>
      <c r="N149" s="528"/>
      <c r="O149" s="1425"/>
      <c r="P149" s="1426"/>
      <c r="Q149" s="1427"/>
    </row>
    <row r="150" spans="2:17" s="489" customFormat="1" ht="31.5" customHeight="1" x14ac:dyDescent="0.3">
      <c r="B150" s="1240">
        <v>6</v>
      </c>
      <c r="C150" s="600"/>
      <c r="D150" s="600"/>
      <c r="E150" s="516"/>
      <c r="F150" s="516"/>
      <c r="G150" s="516"/>
      <c r="H150" s="516"/>
      <c r="I150" s="528"/>
      <c r="J150" s="528"/>
      <c r="K150" s="706"/>
      <c r="L150" s="528"/>
      <c r="M150" s="528"/>
      <c r="N150" s="528"/>
      <c r="O150" s="1425"/>
      <c r="P150" s="1426"/>
      <c r="Q150" s="1427"/>
    </row>
    <row r="151" spans="2:17" s="489" customFormat="1" ht="31.5" customHeight="1" x14ac:dyDescent="0.3">
      <c r="B151" s="1240">
        <v>7</v>
      </c>
      <c r="C151" s="600"/>
      <c r="D151" s="600"/>
      <c r="E151" s="516"/>
      <c r="F151" s="516"/>
      <c r="G151" s="516"/>
      <c r="H151" s="516"/>
      <c r="I151" s="528"/>
      <c r="J151" s="528"/>
      <c r="K151" s="706"/>
      <c r="L151" s="528"/>
      <c r="M151" s="528"/>
      <c r="N151" s="528"/>
      <c r="O151" s="1425"/>
      <c r="P151" s="1426"/>
      <c r="Q151" s="1427"/>
    </row>
    <row r="152" spans="2:17" s="489" customFormat="1" ht="18.75" customHeight="1" x14ac:dyDescent="0.3">
      <c r="B152" s="1240">
        <v>8</v>
      </c>
      <c r="C152" s="600"/>
      <c r="D152" s="600"/>
      <c r="E152" s="706"/>
      <c r="F152" s="706"/>
      <c r="G152" s="706"/>
      <c r="H152" s="706"/>
      <c r="I152" s="527"/>
      <c r="J152" s="527"/>
      <c r="K152" s="527"/>
      <c r="L152" s="527"/>
      <c r="M152" s="527"/>
      <c r="N152" s="527"/>
      <c r="O152" s="1432"/>
      <c r="P152" s="1433"/>
      <c r="Q152" s="1434"/>
    </row>
    <row r="153" spans="2:17" s="489" customFormat="1" ht="18.75" customHeight="1" x14ac:dyDescent="0.3">
      <c r="B153" s="1240">
        <v>9</v>
      </c>
      <c r="C153" s="600"/>
      <c r="D153" s="600"/>
      <c r="E153" s="706"/>
      <c r="F153" s="706"/>
      <c r="G153" s="706"/>
      <c r="H153" s="706"/>
      <c r="I153" s="527"/>
      <c r="J153" s="527"/>
      <c r="K153" s="527"/>
      <c r="L153" s="527"/>
      <c r="M153" s="527"/>
      <c r="N153" s="527"/>
      <c r="O153" s="1432"/>
      <c r="P153" s="1433"/>
      <c r="Q153" s="1434"/>
    </row>
    <row r="154" spans="2:17" s="489" customFormat="1" ht="18.75" customHeight="1" x14ac:dyDescent="0.3">
      <c r="B154" s="1240">
        <v>10</v>
      </c>
      <c r="C154" s="600"/>
      <c r="D154" s="600"/>
      <c r="E154" s="706"/>
      <c r="F154" s="706"/>
      <c r="G154" s="706"/>
      <c r="H154" s="706"/>
      <c r="I154" s="527"/>
      <c r="J154" s="527"/>
      <c r="K154" s="527"/>
      <c r="L154" s="527"/>
      <c r="M154" s="527"/>
      <c r="N154" s="527"/>
      <c r="O154" s="1422"/>
      <c r="P154" s="1423"/>
      <c r="Q154" s="1424"/>
    </row>
    <row r="155" spans="2:17" s="489" customFormat="1" ht="18.75" customHeight="1" x14ac:dyDescent="0.3">
      <c r="B155" s="1240">
        <v>11</v>
      </c>
      <c r="C155" s="600"/>
      <c r="D155" s="600"/>
      <c r="E155" s="706"/>
      <c r="F155" s="706"/>
      <c r="G155" s="706"/>
      <c r="H155" s="706"/>
      <c r="I155" s="527"/>
      <c r="J155" s="527"/>
      <c r="K155" s="527"/>
      <c r="L155" s="527"/>
      <c r="M155" s="527"/>
      <c r="N155" s="527"/>
      <c r="O155" s="1422"/>
      <c r="P155" s="1423"/>
      <c r="Q155" s="1424"/>
    </row>
    <row r="156" spans="2:17" s="489" customFormat="1" ht="18.75" customHeight="1" x14ac:dyDescent="0.3">
      <c r="B156" s="1240">
        <v>12</v>
      </c>
      <c r="C156" s="600"/>
      <c r="D156" s="600"/>
      <c r="E156" s="706"/>
      <c r="F156" s="706"/>
      <c r="G156" s="706"/>
      <c r="H156" s="706"/>
      <c r="I156" s="527"/>
      <c r="J156" s="527"/>
      <c r="K156" s="527"/>
      <c r="L156" s="527"/>
      <c r="M156" s="527"/>
      <c r="N156" s="527"/>
      <c r="O156" s="1422"/>
      <c r="P156" s="1423"/>
      <c r="Q156" s="1424"/>
    </row>
    <row r="157" spans="2:17" s="489" customFormat="1" ht="18.75" customHeight="1" x14ac:dyDescent="0.3">
      <c r="B157" s="1240">
        <v>13</v>
      </c>
      <c r="C157" s="600"/>
      <c r="D157" s="600"/>
      <c r="E157" s="706"/>
      <c r="F157" s="706"/>
      <c r="G157" s="706"/>
      <c r="H157" s="706"/>
      <c r="I157" s="528"/>
      <c r="J157" s="528"/>
      <c r="K157" s="528"/>
      <c r="L157" s="528"/>
      <c r="M157" s="528"/>
      <c r="N157" s="528"/>
      <c r="O157" s="1425"/>
      <c r="P157" s="1426"/>
      <c r="Q157" s="1427"/>
    </row>
    <row r="158" spans="2:17" s="489" customFormat="1" ht="18.75" customHeight="1" x14ac:dyDescent="0.3">
      <c r="B158" s="1240">
        <v>14</v>
      </c>
      <c r="C158" s="600"/>
      <c r="D158" s="600"/>
      <c r="E158" s="526"/>
      <c r="F158" s="526"/>
      <c r="G158" s="526"/>
      <c r="H158" s="1240"/>
      <c r="I158" s="528"/>
      <c r="J158" s="528"/>
      <c r="K158" s="528"/>
      <c r="L158" s="528"/>
      <c r="M158" s="528"/>
      <c r="N158" s="528"/>
      <c r="O158" s="1425"/>
      <c r="P158" s="1426"/>
      <c r="Q158" s="1427"/>
    </row>
    <row r="159" spans="2:17" s="489" customFormat="1" ht="18.75" customHeight="1" x14ac:dyDescent="0.3">
      <c r="B159" s="1240">
        <v>15</v>
      </c>
      <c r="C159" s="600"/>
      <c r="D159" s="600"/>
      <c r="E159" s="530"/>
      <c r="F159" s="530"/>
      <c r="G159" s="530"/>
      <c r="H159" s="530"/>
      <c r="I159" s="528"/>
      <c r="J159" s="528"/>
      <c r="K159" s="528"/>
      <c r="L159" s="528"/>
      <c r="M159" s="528"/>
      <c r="N159" s="528"/>
      <c r="O159" s="1425"/>
      <c r="P159" s="1426"/>
      <c r="Q159" s="1427"/>
    </row>
    <row r="160" spans="2:17" s="489" customFormat="1" ht="18.75" customHeight="1" x14ac:dyDescent="0.3">
      <c r="B160" s="1240">
        <v>16</v>
      </c>
      <c r="C160" s="600"/>
      <c r="D160" s="600"/>
      <c r="E160" s="530"/>
      <c r="F160" s="530"/>
      <c r="G160" s="530"/>
      <c r="H160" s="530"/>
      <c r="I160" s="528"/>
      <c r="J160" s="528"/>
      <c r="K160" s="528"/>
      <c r="L160" s="528"/>
      <c r="M160" s="528"/>
      <c r="N160" s="528"/>
      <c r="O160" s="1425"/>
      <c r="P160" s="1426"/>
      <c r="Q160" s="1427"/>
    </row>
    <row r="161" spans="2:17" s="489" customFormat="1" ht="18.75" customHeight="1" x14ac:dyDescent="0.3">
      <c r="B161" s="1240">
        <v>17</v>
      </c>
      <c r="C161" s="600"/>
      <c r="D161" s="600"/>
      <c r="E161" s="530"/>
      <c r="F161" s="530"/>
      <c r="G161" s="530"/>
      <c r="H161" s="530"/>
      <c r="I161" s="528"/>
      <c r="J161" s="528"/>
      <c r="K161" s="528"/>
      <c r="L161" s="528"/>
      <c r="M161" s="528"/>
      <c r="N161" s="528"/>
      <c r="O161" s="1425"/>
      <c r="P161" s="1426"/>
      <c r="Q161" s="1427"/>
    </row>
    <row r="162" spans="2:17" s="489" customFormat="1" ht="18.75" customHeight="1" x14ac:dyDescent="0.3">
      <c r="B162" s="1240">
        <v>18</v>
      </c>
      <c r="C162" s="600"/>
      <c r="D162" s="600"/>
      <c r="E162" s="530"/>
      <c r="F162" s="530"/>
      <c r="G162" s="530"/>
      <c r="H162" s="530"/>
      <c r="I162" s="528"/>
      <c r="J162" s="528"/>
      <c r="K162" s="528"/>
      <c r="L162" s="528"/>
      <c r="M162" s="528"/>
      <c r="N162" s="528"/>
      <c r="O162" s="1425"/>
      <c r="P162" s="1426"/>
      <c r="Q162" s="1427"/>
    </row>
    <row r="163" spans="2:17" s="489" customFormat="1" ht="18.75" customHeight="1" x14ac:dyDescent="0.3">
      <c r="B163" s="1240">
        <v>19</v>
      </c>
      <c r="C163" s="600"/>
      <c r="D163" s="600"/>
      <c r="E163" s="530"/>
      <c r="F163" s="530"/>
      <c r="G163" s="530"/>
      <c r="H163" s="530"/>
      <c r="I163" s="528"/>
      <c r="J163" s="528"/>
      <c r="K163" s="528"/>
      <c r="L163" s="528"/>
      <c r="M163" s="528"/>
      <c r="N163" s="528"/>
      <c r="O163" s="1425"/>
      <c r="P163" s="1426"/>
      <c r="Q163" s="1427"/>
    </row>
    <row r="164" spans="2:17" s="489" customFormat="1" ht="18.75" customHeight="1" x14ac:dyDescent="0.3">
      <c r="B164" s="1240">
        <v>20</v>
      </c>
      <c r="C164" s="600"/>
      <c r="D164" s="600"/>
      <c r="E164" s="530"/>
      <c r="F164" s="530"/>
      <c r="G164" s="530"/>
      <c r="H164" s="530"/>
      <c r="I164" s="528"/>
      <c r="J164" s="528"/>
      <c r="K164" s="528"/>
      <c r="L164" s="528"/>
      <c r="M164" s="528"/>
      <c r="N164" s="528"/>
      <c r="O164" s="1425"/>
      <c r="P164" s="1426"/>
      <c r="Q164" s="1427"/>
    </row>
  </sheetData>
  <sheetProtection algorithmName="SHA-512" hashValue="IyAzcVVHCMKKYZ1HBD7oYhVmLuxQrKnE2V9O8hqevOZULTof0EkIijpCVGypwehIzvl9WoYQxFFPiHpv9C4kDg==" saltValue="iR8rZJvDOK2UJCaecSnlBg==" spinCount="100000" sheet="1" objects="1" scenarios="1" selectLockedCells="1" selectUnlockedCells="1"/>
  <mergeCells count="169">
    <mergeCell ref="O164:Q164"/>
    <mergeCell ref="O158:Q158"/>
    <mergeCell ref="O159:Q159"/>
    <mergeCell ref="O160:Q160"/>
    <mergeCell ref="O161:Q161"/>
    <mergeCell ref="O162:Q162"/>
    <mergeCell ref="O163:Q163"/>
    <mergeCell ref="O152:Q152"/>
    <mergeCell ref="O153:Q153"/>
    <mergeCell ref="O154:Q154"/>
    <mergeCell ref="O155:Q155"/>
    <mergeCell ref="O156:Q156"/>
    <mergeCell ref="O157:Q157"/>
    <mergeCell ref="O146:Q146"/>
    <mergeCell ref="O147:Q147"/>
    <mergeCell ref="O148:Q148"/>
    <mergeCell ref="O149:Q149"/>
    <mergeCell ref="O150:Q150"/>
    <mergeCell ref="O151:Q151"/>
    <mergeCell ref="O140:Q140"/>
    <mergeCell ref="E142:N142"/>
    <mergeCell ref="O142:Q144"/>
    <mergeCell ref="B143:D143"/>
    <mergeCell ref="C144:D144"/>
    <mergeCell ref="O145:Q145"/>
    <mergeCell ref="O134:Q134"/>
    <mergeCell ref="O135:Q135"/>
    <mergeCell ref="O136:Q136"/>
    <mergeCell ref="O137:Q137"/>
    <mergeCell ref="O138:Q138"/>
    <mergeCell ref="O139:Q139"/>
    <mergeCell ref="O128:Q128"/>
    <mergeCell ref="O129:Q129"/>
    <mergeCell ref="O130:Q130"/>
    <mergeCell ref="O131:Q131"/>
    <mergeCell ref="O132:Q132"/>
    <mergeCell ref="O133:Q133"/>
    <mergeCell ref="O122:Q122"/>
    <mergeCell ref="O123:Q123"/>
    <mergeCell ref="O124:Q124"/>
    <mergeCell ref="O125:Q125"/>
    <mergeCell ref="O126:Q126"/>
    <mergeCell ref="O127:Q127"/>
    <mergeCell ref="O116:Q116"/>
    <mergeCell ref="E118:N118"/>
    <mergeCell ref="O118:Q120"/>
    <mergeCell ref="B119:D119"/>
    <mergeCell ref="C120:D120"/>
    <mergeCell ref="O121:Q121"/>
    <mergeCell ref="O110:Q110"/>
    <mergeCell ref="O111:Q111"/>
    <mergeCell ref="O112:Q112"/>
    <mergeCell ref="O113:Q113"/>
    <mergeCell ref="O114:Q114"/>
    <mergeCell ref="O115:Q115"/>
    <mergeCell ref="O104:Q104"/>
    <mergeCell ref="O105:Q105"/>
    <mergeCell ref="O106:Q106"/>
    <mergeCell ref="O107:Q107"/>
    <mergeCell ref="O108:Q108"/>
    <mergeCell ref="O109:Q109"/>
    <mergeCell ref="O98:Q98"/>
    <mergeCell ref="O99:Q99"/>
    <mergeCell ref="O100:Q100"/>
    <mergeCell ref="O101:Q101"/>
    <mergeCell ref="O102:Q102"/>
    <mergeCell ref="O103:Q103"/>
    <mergeCell ref="F90:Q90"/>
    <mergeCell ref="E94:N94"/>
    <mergeCell ref="O94:Q96"/>
    <mergeCell ref="B95:D95"/>
    <mergeCell ref="C96:D96"/>
    <mergeCell ref="O97:Q97"/>
    <mergeCell ref="F84:Q84"/>
    <mergeCell ref="F85:Q85"/>
    <mergeCell ref="F86:Q86"/>
    <mergeCell ref="F87:Q87"/>
    <mergeCell ref="F88:Q88"/>
    <mergeCell ref="F89:Q89"/>
    <mergeCell ref="D76:E76"/>
    <mergeCell ref="J76:Q76"/>
    <mergeCell ref="F80:Q80"/>
    <mergeCell ref="F81:Q81"/>
    <mergeCell ref="F82:Q82"/>
    <mergeCell ref="F83:Q83"/>
    <mergeCell ref="D73:E73"/>
    <mergeCell ref="J73:Q73"/>
    <mergeCell ref="D74:E74"/>
    <mergeCell ref="J74:Q74"/>
    <mergeCell ref="D75:E75"/>
    <mergeCell ref="J75:Q75"/>
    <mergeCell ref="D70:E70"/>
    <mergeCell ref="J70:Q70"/>
    <mergeCell ref="D71:E71"/>
    <mergeCell ref="J71:Q71"/>
    <mergeCell ref="D72:E72"/>
    <mergeCell ref="J72:Q72"/>
    <mergeCell ref="D67:E67"/>
    <mergeCell ref="J67:Q67"/>
    <mergeCell ref="D68:E68"/>
    <mergeCell ref="J68:Q68"/>
    <mergeCell ref="D69:E69"/>
    <mergeCell ref="J69:Q69"/>
    <mergeCell ref="D64:E64"/>
    <mergeCell ref="J64:Q64"/>
    <mergeCell ref="D65:E65"/>
    <mergeCell ref="J65:Q65"/>
    <mergeCell ref="D66:E66"/>
    <mergeCell ref="J66:Q66"/>
    <mergeCell ref="D61:E61"/>
    <mergeCell ref="J61:Q61"/>
    <mergeCell ref="D62:E62"/>
    <mergeCell ref="J62:Q62"/>
    <mergeCell ref="D63:E63"/>
    <mergeCell ref="J63:Q63"/>
    <mergeCell ref="C55:M55"/>
    <mergeCell ref="P55:Q55"/>
    <mergeCell ref="C56:M56"/>
    <mergeCell ref="P56:Q56"/>
    <mergeCell ref="C57:M57"/>
    <mergeCell ref="P57:Q57"/>
    <mergeCell ref="C51:M51"/>
    <mergeCell ref="P51:Q51"/>
    <mergeCell ref="C53:M53"/>
    <mergeCell ref="P53:Q53"/>
    <mergeCell ref="C54:M54"/>
    <mergeCell ref="P54:Q54"/>
    <mergeCell ref="C48:M48"/>
    <mergeCell ref="P48:Q48"/>
    <mergeCell ref="C49:M49"/>
    <mergeCell ref="P49:Q49"/>
    <mergeCell ref="C50:M50"/>
    <mergeCell ref="P50:Q50"/>
    <mergeCell ref="C44:M44"/>
    <mergeCell ref="P44:Q44"/>
    <mergeCell ref="C45:M45"/>
    <mergeCell ref="P45:Q45"/>
    <mergeCell ref="C47:M47"/>
    <mergeCell ref="P47:Q47"/>
    <mergeCell ref="C41:M41"/>
    <mergeCell ref="P41:Q41"/>
    <mergeCell ref="C42:M42"/>
    <mergeCell ref="P42:Q42"/>
    <mergeCell ref="C43:M43"/>
    <mergeCell ref="P43:Q43"/>
    <mergeCell ref="E32:Q32"/>
    <mergeCell ref="E33:Q33"/>
    <mergeCell ref="E34:Q34"/>
    <mergeCell ref="E35:Q35"/>
    <mergeCell ref="E36:Q36"/>
    <mergeCell ref="E37:Q37"/>
    <mergeCell ref="D28:Q28"/>
    <mergeCell ref="D29:Q29"/>
    <mergeCell ref="D30:Q30"/>
    <mergeCell ref="D17:F17"/>
    <mergeCell ref="D18:F18"/>
    <mergeCell ref="B20:Q20"/>
    <mergeCell ref="C21:Q21"/>
    <mergeCell ref="C22:Q22"/>
    <mergeCell ref="C23:Q23"/>
    <mergeCell ref="C2:F2"/>
    <mergeCell ref="C3:F3"/>
    <mergeCell ref="C4:F4"/>
    <mergeCell ref="C5:F5"/>
    <mergeCell ref="D7:F7"/>
    <mergeCell ref="D8:F16"/>
    <mergeCell ref="D25:Q25"/>
    <mergeCell ref="D26:Q26"/>
    <mergeCell ref="D27:Q27"/>
  </mergeCells>
  <conditionalFormatting sqref="G103:G116 E108:E116 E97:F97 E101:E106 E121:F122">
    <cfRule type="expression" dxfId="1924" priority="101">
      <formula>IF(OR(#REF!="L",#REF!="C"),TRUE,FALSE)</formula>
    </cfRule>
  </conditionalFormatting>
  <conditionalFormatting sqref="H104:H116 F108:F116">
    <cfRule type="expression" dxfId="1923" priority="100">
      <formula>IF(OR(#REF!="L",#REF!="C"),TRUE,FALSE)</formula>
    </cfRule>
  </conditionalFormatting>
  <conditionalFormatting sqref="E106">
    <cfRule type="expression" dxfId="1922" priority="99">
      <formula>IF(OR(#REF!="L",#REF!="C"),TRUE,FALSE)</formula>
    </cfRule>
  </conditionalFormatting>
  <conditionalFormatting sqref="E108">
    <cfRule type="expression" dxfId="1921" priority="98">
      <formula>IF(OR(#REF!="L",#REF!="C"),TRUE,FALSE)</formula>
    </cfRule>
  </conditionalFormatting>
  <conditionalFormatting sqref="E109">
    <cfRule type="expression" dxfId="1920" priority="97">
      <formula>IF(OR(#REF!="L",#REF!="C"),TRUE,FALSE)</formula>
    </cfRule>
  </conditionalFormatting>
  <conditionalFormatting sqref="E95 G95 I95 K95 M95">
    <cfRule type="duplicateValues" dxfId="1919" priority="96"/>
  </conditionalFormatting>
  <conditionalFormatting sqref="M104:M116 H65:H76 F121:F122">
    <cfRule type="expression" dxfId="1918" priority="86">
      <formula>IF(OR(#REF!="L",#REF!="C"),TRUE,FALSE)</formula>
    </cfRule>
  </conditionalFormatting>
  <conditionalFormatting sqref="F101:F106">
    <cfRule type="expression" dxfId="1917" priority="95">
      <formula>IF(OR(#REF!="L",#REF!="C"),TRUE,FALSE)</formula>
    </cfRule>
  </conditionalFormatting>
  <conditionalFormatting sqref="I102:I103">
    <cfRule type="expression" dxfId="1916" priority="93">
      <formula>IF(OR(#REF!="L",#REF!="C"),TRUE,FALSE)</formula>
    </cfRule>
  </conditionalFormatting>
  <conditionalFormatting sqref="N102:N103">
    <cfRule type="expression" dxfId="1915" priority="83">
      <formula>IF(OR(#REF!="L",#REF!="C"),TRUE,FALSE)</formula>
    </cfRule>
  </conditionalFormatting>
  <conditionalFormatting sqref="I104:I116">
    <cfRule type="expression" dxfId="1914" priority="94">
      <formula>IF(OR(#REF!="L",#REF!="C"),TRUE,FALSE)</formula>
    </cfRule>
  </conditionalFormatting>
  <conditionalFormatting sqref="J102:J103">
    <cfRule type="expression" dxfId="1913" priority="91">
      <formula>IF(OR(#REF!="L",#REF!="C"),TRUE,FALSE)</formula>
    </cfRule>
  </conditionalFormatting>
  <conditionalFormatting sqref="J104:J116">
    <cfRule type="expression" dxfId="1912" priority="92">
      <formula>IF(OR(#REF!="L",#REF!="C"),TRUE,FALSE)</formula>
    </cfRule>
  </conditionalFormatting>
  <conditionalFormatting sqref="K102:K103">
    <cfRule type="expression" dxfId="1911" priority="89">
      <formula>IF(OR(#REF!="L",#REF!="C"),TRUE,FALSE)</formula>
    </cfRule>
  </conditionalFormatting>
  <conditionalFormatting sqref="K104:K116">
    <cfRule type="expression" dxfId="1910" priority="90">
      <formula>IF(OR(#REF!="L",#REF!="C"),TRUE,FALSE)</formula>
    </cfRule>
  </conditionalFormatting>
  <conditionalFormatting sqref="L102:L103">
    <cfRule type="expression" dxfId="1909" priority="87">
      <formula>IF(OR(#REF!="L",#REF!="C"),TRUE,FALSE)</formula>
    </cfRule>
  </conditionalFormatting>
  <conditionalFormatting sqref="L104:L116">
    <cfRule type="expression" dxfId="1908" priority="88">
      <formula>IF(OR(#REF!="L",#REF!="C"),TRUE,FALSE)</formula>
    </cfRule>
  </conditionalFormatting>
  <conditionalFormatting sqref="M102:M103">
    <cfRule type="expression" dxfId="1907" priority="85">
      <formula>IF(OR(#REF!="L",#REF!="C"),TRUE,FALSE)</formula>
    </cfRule>
  </conditionalFormatting>
  <conditionalFormatting sqref="N104:N116">
    <cfRule type="expression" dxfId="1906" priority="84">
      <formula>IF(OR(#REF!="L",#REF!="C"),TRUE,FALSE)</formula>
    </cfRule>
  </conditionalFormatting>
  <conditionalFormatting sqref="O105:O116">
    <cfRule type="expression" dxfId="1905" priority="82">
      <formula>IF(OR(#REF!="L",#REF!="C"),TRUE,FALSE)</formula>
    </cfRule>
  </conditionalFormatting>
  <conditionalFormatting sqref="E96:N96">
    <cfRule type="duplicateValues" dxfId="1904" priority="81"/>
  </conditionalFormatting>
  <conditionalFormatting sqref="E106 F131:F134 E121:F122">
    <cfRule type="expression" dxfId="1903" priority="80">
      <formula>IF(OR(#REF!="L",#REF!="C"),TRUE,FALSE)</formula>
    </cfRule>
  </conditionalFormatting>
  <conditionalFormatting sqref="E108">
    <cfRule type="expression" dxfId="1902" priority="79">
      <formula>IF(OR(#REF!="L",#REF!="C"),TRUE,FALSE)</formula>
    </cfRule>
  </conditionalFormatting>
  <conditionalFormatting sqref="E105">
    <cfRule type="expression" dxfId="1901" priority="78">
      <formula>IF(OR(#REF!="L",#REF!="C"),TRUE,FALSE)</formula>
    </cfRule>
  </conditionalFormatting>
  <conditionalFormatting sqref="F103:F110">
    <cfRule type="expression" dxfId="1900" priority="77">
      <formula>IF(OR(#REF!="L",#REF!="C"),TRUE,FALSE)</formula>
    </cfRule>
  </conditionalFormatting>
  <conditionalFormatting sqref="E108:E110">
    <cfRule type="expression" dxfId="1899" priority="76">
      <formula>IF(OR(#REF!="L",#REF!="C"),TRUE,FALSE)</formula>
    </cfRule>
  </conditionalFormatting>
  <conditionalFormatting sqref="E101:E106">
    <cfRule type="expression" dxfId="1898" priority="75">
      <formula>IF(OR(#REF!="L",#REF!="C"),TRUE,FALSE)</formula>
    </cfRule>
  </conditionalFormatting>
  <conditionalFormatting sqref="E96:F96">
    <cfRule type="duplicateValues" dxfId="1897" priority="74"/>
  </conditionalFormatting>
  <conditionalFormatting sqref="E149:E150 E152:E157 E158:H164 E151:F151">
    <cfRule type="expression" dxfId="1896" priority="73">
      <formula>IF(OR(#REF!="L",#REF!="C"),TRUE,FALSE)</formula>
    </cfRule>
  </conditionalFormatting>
  <conditionalFormatting sqref="E145:F145">
    <cfRule type="expression" dxfId="1895" priority="72">
      <formula>IF(OR(#REF!="L",#REF!="C"),TRUE,FALSE)</formula>
    </cfRule>
  </conditionalFormatting>
  <conditionalFormatting sqref="E158">
    <cfRule type="expression" dxfId="1894" priority="71">
      <formula>IF(OR(#REF!="L",#REF!="C"),TRUE,FALSE)</formula>
    </cfRule>
  </conditionalFormatting>
  <conditionalFormatting sqref="E143 G143 I143 K143 M143">
    <cfRule type="duplicateValues" dxfId="1893" priority="70"/>
  </conditionalFormatting>
  <conditionalFormatting sqref="E158:F158 E151:F151 I157:O164 L145:O151 I145:J147 I150:J151">
    <cfRule type="expression" dxfId="1892" priority="68">
      <formula>IF(OR(#REF!="L",#REF!="C"),TRUE,FALSE)</formula>
    </cfRule>
  </conditionalFormatting>
  <conditionalFormatting sqref="F150">
    <cfRule type="expression" dxfId="1891" priority="69">
      <formula>IF(OR(#REF!="L",#REF!="C"),TRUE,FALSE)</formula>
    </cfRule>
  </conditionalFormatting>
  <conditionalFormatting sqref="E150 E145:F145">
    <cfRule type="expression" dxfId="1890" priority="67">
      <formula>IF(OR(#REF!="L",#REF!="C"),TRUE,FALSE)</formula>
    </cfRule>
  </conditionalFormatting>
  <conditionalFormatting sqref="E144:F144 L144:N144 I144:J144">
    <cfRule type="duplicateValues" dxfId="1889" priority="102"/>
  </conditionalFormatting>
  <conditionalFormatting sqref="E151">
    <cfRule type="expression" dxfId="1888" priority="66">
      <formula>IF(OR(#REF!="L",#REF!="C"),TRUE,FALSE)</formula>
    </cfRule>
  </conditionalFormatting>
  <conditionalFormatting sqref="E146">
    <cfRule type="expression" dxfId="1887" priority="65">
      <formula>IF(OR(#REF!="L",#REF!="C"),TRUE,FALSE)</formula>
    </cfRule>
  </conditionalFormatting>
  <conditionalFormatting sqref="E147">
    <cfRule type="expression" dxfId="1886" priority="64">
      <formula>IF(OR(#REF!="L",#REF!="C"),TRUE,FALSE)</formula>
    </cfRule>
  </conditionalFormatting>
  <conditionalFormatting sqref="C65:C76">
    <cfRule type="duplicateValues" dxfId="1885" priority="103"/>
  </conditionalFormatting>
  <conditionalFormatting sqref="G131:G140 E132:E140">
    <cfRule type="expression" dxfId="1884" priority="63">
      <formula>IF(OR(#REF!="L",#REF!="C"),TRUE,FALSE)</formula>
    </cfRule>
  </conditionalFormatting>
  <conditionalFormatting sqref="H131:H140 F132:F140">
    <cfRule type="expression" dxfId="1883" priority="62">
      <formula>IF(OR(#REF!="L",#REF!="C"),TRUE,FALSE)</formula>
    </cfRule>
  </conditionalFormatting>
  <conditionalFormatting sqref="E132">
    <cfRule type="expression" dxfId="1882" priority="61">
      <formula>IF(OR(#REF!="L",#REF!="C"),TRUE,FALSE)</formula>
    </cfRule>
  </conditionalFormatting>
  <conditionalFormatting sqref="E133">
    <cfRule type="expression" dxfId="1881" priority="60">
      <formula>IF(OR(#REF!="L",#REF!="C"),TRUE,FALSE)</formula>
    </cfRule>
  </conditionalFormatting>
  <conditionalFormatting sqref="E119 G119 I119 K119 M119">
    <cfRule type="duplicateValues" dxfId="1880" priority="59"/>
  </conditionalFormatting>
  <conditionalFormatting sqref="M128:M140">
    <cfRule type="expression" dxfId="1879" priority="51">
      <formula>IF(OR(#REF!="L",#REF!="C"),TRUE,FALSE)</formula>
    </cfRule>
  </conditionalFormatting>
  <conditionalFormatting sqref="N126:N127">
    <cfRule type="expression" dxfId="1878" priority="48">
      <formula>IF(OR(#REF!="L",#REF!="C"),TRUE,FALSE)</formula>
    </cfRule>
  </conditionalFormatting>
  <conditionalFormatting sqref="I131:I140">
    <cfRule type="expression" dxfId="1877" priority="58">
      <formula>IF(OR(#REF!="L",#REF!="C"),TRUE,FALSE)</formula>
    </cfRule>
  </conditionalFormatting>
  <conditionalFormatting sqref="J126:J127">
    <cfRule type="expression" dxfId="1876" priority="56">
      <formula>IF(OR(#REF!="L",#REF!="C"),TRUE,FALSE)</formula>
    </cfRule>
  </conditionalFormatting>
  <conditionalFormatting sqref="J128:J140">
    <cfRule type="expression" dxfId="1875" priority="57">
      <formula>IF(OR(#REF!="L",#REF!="C"),TRUE,FALSE)</formula>
    </cfRule>
  </conditionalFormatting>
  <conditionalFormatting sqref="K126:K127">
    <cfRule type="expression" dxfId="1874" priority="54">
      <formula>IF(OR(#REF!="L",#REF!="C"),TRUE,FALSE)</formula>
    </cfRule>
  </conditionalFormatting>
  <conditionalFormatting sqref="K128:K140">
    <cfRule type="expression" dxfId="1873" priority="55">
      <formula>IF(OR(#REF!="L",#REF!="C"),TRUE,FALSE)</formula>
    </cfRule>
  </conditionalFormatting>
  <conditionalFormatting sqref="L126:L127">
    <cfRule type="expression" dxfId="1872" priority="52">
      <formula>IF(OR(#REF!="L",#REF!="C"),TRUE,FALSE)</formula>
    </cfRule>
  </conditionalFormatting>
  <conditionalFormatting sqref="L128:L140">
    <cfRule type="expression" dxfId="1871" priority="53">
      <formula>IF(OR(#REF!="L",#REF!="C"),TRUE,FALSE)</formula>
    </cfRule>
  </conditionalFormatting>
  <conditionalFormatting sqref="M126:M127">
    <cfRule type="expression" dxfId="1870" priority="50">
      <formula>IF(OR(#REF!="L",#REF!="C"),TRUE,FALSE)</formula>
    </cfRule>
  </conditionalFormatting>
  <conditionalFormatting sqref="N128:N140">
    <cfRule type="expression" dxfId="1869" priority="49">
      <formula>IF(OR(#REF!="L",#REF!="C"),TRUE,FALSE)</formula>
    </cfRule>
  </conditionalFormatting>
  <conditionalFormatting sqref="O129:O140">
    <cfRule type="expression" dxfId="1868" priority="47">
      <formula>IF(OR(#REF!="L",#REF!="C"),TRUE,FALSE)</formula>
    </cfRule>
  </conditionalFormatting>
  <conditionalFormatting sqref="G120:N120">
    <cfRule type="duplicateValues" dxfId="1867" priority="46"/>
  </conditionalFormatting>
  <conditionalFormatting sqref="E132">
    <cfRule type="expression" dxfId="1866" priority="45">
      <formula>IF(OR(#REF!="L",#REF!="C"),TRUE,FALSE)</formula>
    </cfRule>
  </conditionalFormatting>
  <conditionalFormatting sqref="E132:E134">
    <cfRule type="expression" dxfId="1865" priority="44">
      <formula>IF(OR(#REF!="L",#REF!="C"),TRUE,FALSE)</formula>
    </cfRule>
  </conditionalFormatting>
  <conditionalFormatting sqref="E98:F98">
    <cfRule type="expression" dxfId="1864" priority="43">
      <formula>IF(OR(#REF!="L",#REF!="C"),TRUE,FALSE)</formula>
    </cfRule>
  </conditionalFormatting>
  <conditionalFormatting sqref="F123:F130">
    <cfRule type="expression" dxfId="1863" priority="42">
      <formula>IF(OR(#REF!="L",#REF!="C"),TRUE,FALSE)</formula>
    </cfRule>
  </conditionalFormatting>
  <conditionalFormatting sqref="G123:G130 E123:E130">
    <cfRule type="expression" dxfId="1862" priority="41">
      <formula>IF(OR(#REF!="L",#REF!="C"),TRUE,FALSE)</formula>
    </cfRule>
  </conditionalFormatting>
  <conditionalFormatting sqref="H123:H130 F123:F130">
    <cfRule type="expression" dxfId="1861" priority="40">
      <formula>IF(OR(#REF!="L",#REF!="C"),TRUE,FALSE)</formula>
    </cfRule>
  </conditionalFormatting>
  <conditionalFormatting sqref="E123:E130">
    <cfRule type="expression" dxfId="1860" priority="39">
      <formula>IF(OR(#REF!="L",#REF!="C"),TRUE,FALSE)</formula>
    </cfRule>
  </conditionalFormatting>
  <conditionalFormatting sqref="I123:I130">
    <cfRule type="expression" dxfId="1859" priority="38">
      <formula>IF(OR(#REF!="L",#REF!="C"),TRUE,FALSE)</formula>
    </cfRule>
  </conditionalFormatting>
  <conditionalFormatting sqref="E123:E130">
    <cfRule type="expression" dxfId="1858" priority="37">
      <formula>IF(OR(#REF!="L",#REF!="C"),TRUE,FALSE)</formula>
    </cfRule>
  </conditionalFormatting>
  <conditionalFormatting sqref="E123:E130">
    <cfRule type="expression" dxfId="1857" priority="36">
      <formula>IF(OR(#REF!="L",#REF!="C"),TRUE,FALSE)</formula>
    </cfRule>
  </conditionalFormatting>
  <conditionalFormatting sqref="K151">
    <cfRule type="expression" dxfId="1856" priority="34">
      <formula>IF(OR(#REF!="L",#REF!="C"),TRUE,FALSE)</formula>
    </cfRule>
  </conditionalFormatting>
  <conditionalFormatting sqref="K145">
    <cfRule type="expression" dxfId="1855" priority="33">
      <formula>IF(OR(#REF!="L",#REF!="C"),TRUE,FALSE)</formula>
    </cfRule>
  </conditionalFormatting>
  <conditionalFormatting sqref="K145">
    <cfRule type="expression" dxfId="1854" priority="32">
      <formula>IF(OR(#REF!="L",#REF!="C"),TRUE,FALSE)</formula>
    </cfRule>
  </conditionalFormatting>
  <conditionalFormatting sqref="K144">
    <cfRule type="duplicateValues" dxfId="1853" priority="35"/>
  </conditionalFormatting>
  <conditionalFormatting sqref="G151">
    <cfRule type="expression" dxfId="1852" priority="30">
      <formula>IF(OR(#REF!="L",#REF!="C"),TRUE,FALSE)</formula>
    </cfRule>
  </conditionalFormatting>
  <conditionalFormatting sqref="G145">
    <cfRule type="expression" dxfId="1851" priority="29">
      <formula>IF(OR(#REF!="L",#REF!="C"),TRUE,FALSE)</formula>
    </cfRule>
  </conditionalFormatting>
  <conditionalFormatting sqref="G145">
    <cfRule type="expression" dxfId="1850" priority="28">
      <formula>IF(OR(#REF!="L",#REF!="C"),TRUE,FALSE)</formula>
    </cfRule>
  </conditionalFormatting>
  <conditionalFormatting sqref="G144">
    <cfRule type="duplicateValues" dxfId="1849" priority="31"/>
  </conditionalFormatting>
  <conditionalFormatting sqref="H151">
    <cfRule type="expression" dxfId="1848" priority="26">
      <formula>IF(OR(#REF!="L",#REF!="C"),TRUE,FALSE)</formula>
    </cfRule>
  </conditionalFormatting>
  <conditionalFormatting sqref="H145">
    <cfRule type="expression" dxfId="1847" priority="25">
      <formula>IF(OR(#REF!="L",#REF!="C"),TRUE,FALSE)</formula>
    </cfRule>
  </conditionalFormatting>
  <conditionalFormatting sqref="H145">
    <cfRule type="expression" dxfId="1846" priority="24">
      <formula>IF(OR(#REF!="L",#REF!="C"),TRUE,FALSE)</formula>
    </cfRule>
  </conditionalFormatting>
  <conditionalFormatting sqref="H144">
    <cfRule type="duplicateValues" dxfId="1845" priority="27"/>
  </conditionalFormatting>
  <conditionalFormatting sqref="E147">
    <cfRule type="expression" dxfId="1844" priority="23">
      <formula>IF(OR(#REF!="L",#REF!="C"),TRUE,FALSE)</formula>
    </cfRule>
  </conditionalFormatting>
  <conditionalFormatting sqref="E145">
    <cfRule type="expression" dxfId="1843" priority="22">
      <formula>IF(OR(#REF!="L",#REF!="C"),TRUE,FALSE)</formula>
    </cfRule>
  </conditionalFormatting>
  <conditionalFormatting sqref="E146">
    <cfRule type="expression" dxfId="1842" priority="21">
      <formula>IF(OR(#REF!="L",#REF!="C"),TRUE,FALSE)</formula>
    </cfRule>
  </conditionalFormatting>
  <conditionalFormatting sqref="E148:F148">
    <cfRule type="expression" dxfId="1841" priority="20">
      <formula>IF(OR(#REF!="L",#REF!="C"),TRUE,FALSE)</formula>
    </cfRule>
  </conditionalFormatting>
  <conditionalFormatting sqref="E148:F148 I148:J148">
    <cfRule type="expression" dxfId="1840" priority="19">
      <formula>IF(OR(#REF!="L",#REF!="C"),TRUE,FALSE)</formula>
    </cfRule>
  </conditionalFormatting>
  <conditionalFormatting sqref="E148">
    <cfRule type="expression" dxfId="1839" priority="18">
      <formula>IF(OR(#REF!="L",#REF!="C"),TRUE,FALSE)</formula>
    </cfRule>
  </conditionalFormatting>
  <conditionalFormatting sqref="G148">
    <cfRule type="expression" dxfId="1838" priority="17">
      <formula>IF(OR(#REF!="L",#REF!="C"),TRUE,FALSE)</formula>
    </cfRule>
  </conditionalFormatting>
  <conditionalFormatting sqref="H148">
    <cfRule type="expression" dxfId="1837" priority="16">
      <formula>IF(OR(#REF!="L",#REF!="C"),TRUE,FALSE)</formula>
    </cfRule>
  </conditionalFormatting>
  <conditionalFormatting sqref="F149">
    <cfRule type="expression" dxfId="1836" priority="15">
      <formula>IF(OR(#REF!="L",#REF!="C"),TRUE,FALSE)</formula>
    </cfRule>
  </conditionalFormatting>
  <conditionalFormatting sqref="G149">
    <cfRule type="expression" dxfId="1835" priority="14">
      <formula>IF(OR(#REF!="L",#REF!="C"),TRUE,FALSE)</formula>
    </cfRule>
  </conditionalFormatting>
  <conditionalFormatting sqref="H149">
    <cfRule type="expression" dxfId="1834" priority="13">
      <formula>IF(OR(#REF!="L",#REF!="C"),TRUE,FALSE)</formula>
    </cfRule>
  </conditionalFormatting>
  <conditionalFormatting sqref="I149:J149">
    <cfRule type="expression" dxfId="1833" priority="12">
      <formula>IF(OR(#REF!="L",#REF!="C"),TRUE,FALSE)</formula>
    </cfRule>
  </conditionalFormatting>
  <conditionalFormatting sqref="H62">
    <cfRule type="expression" dxfId="1832" priority="10">
      <formula>IF(OR(#REF!="L",#REF!="C"),TRUE,FALSE)</formula>
    </cfRule>
  </conditionalFormatting>
  <conditionalFormatting sqref="C62">
    <cfRule type="duplicateValues" dxfId="1831" priority="11"/>
  </conditionalFormatting>
  <conditionalFormatting sqref="H63">
    <cfRule type="expression" dxfId="1830" priority="8">
      <formula>IF(OR(#REF!="L",#REF!="C"),TRUE,FALSE)</formula>
    </cfRule>
  </conditionalFormatting>
  <conditionalFormatting sqref="C63">
    <cfRule type="duplicateValues" dxfId="1829" priority="9"/>
  </conditionalFormatting>
  <conditionalFormatting sqref="H64">
    <cfRule type="expression" dxfId="1828" priority="6">
      <formula>IF(OR(#REF!="L",#REF!="C"),TRUE,FALSE)</formula>
    </cfRule>
  </conditionalFormatting>
  <conditionalFormatting sqref="C64">
    <cfRule type="duplicateValues" dxfId="1827" priority="7"/>
  </conditionalFormatting>
  <conditionalFormatting sqref="E120:F120">
    <cfRule type="duplicateValues" dxfId="1826" priority="5"/>
  </conditionalFormatting>
  <conditionalFormatting sqref="E120:F120">
    <cfRule type="duplicateValues" dxfId="1825" priority="4"/>
  </conditionalFormatting>
  <conditionalFormatting sqref="E99:F99">
    <cfRule type="expression" dxfId="1824" priority="3">
      <formula>IF(OR(#REF!="L",#REF!="C"),TRUE,FALSE)</formula>
    </cfRule>
  </conditionalFormatting>
  <conditionalFormatting sqref="F99">
    <cfRule type="expression" dxfId="1823" priority="2">
      <formula>IF(OR(#REF!="L",#REF!="C"),TRUE,FALSE)</formula>
    </cfRule>
  </conditionalFormatting>
  <conditionalFormatting sqref="E99:F99">
    <cfRule type="expression" dxfId="1822" priority="1">
      <formula>IF(OR(#REF!="L",#REF!="C"),TRUE,FALSE)</formula>
    </cfRule>
  </conditionalFormatting>
  <dataValidations count="9">
    <dataValidation type="list" allowBlank="1" showInputMessage="1" showErrorMessage="1" sqref="H64" xr:uid="{A0A59713-3741-4311-A26F-6A841FDECE60}">
      <formula1>$E$96:$N$96</formula1>
    </dataValidation>
    <dataValidation type="list" allowBlank="1" showInputMessage="1" showErrorMessage="1" sqref="H65" xr:uid="{3AFAB734-4548-44A8-B4FE-12F9C903CC25}">
      <formula1>$C$97:$C$116</formula1>
    </dataValidation>
    <dataValidation type="list" allowBlank="1" showInputMessage="1" showErrorMessage="1" sqref="H63" xr:uid="{5DAF06E0-6B33-4850-937C-92988F4456A3}">
      <formula1>"9-12 Watt, 38-50 Watt"</formula1>
    </dataValidation>
    <dataValidation type="list" allowBlank="1" showInputMessage="1" showErrorMessage="1" sqref="C4" xr:uid="{179AE8F0-597C-4002-BEE3-87886B151E09}">
      <formula1>"COM,RES"</formula1>
    </dataValidation>
    <dataValidation type="list" allowBlank="1" showInputMessage="1" showErrorMessage="1" sqref="C9" xr:uid="{809F818C-77B3-42EC-98D1-2D6A5CA48E43}">
      <formula1>INDIRECT("MeasureTypeList[Index]")</formula1>
    </dataValidation>
    <dataValidation type="list" allowBlank="1" showInputMessage="1" showErrorMessage="1" sqref="C26" xr:uid="{E5AC727E-7854-4F78-9542-845D48B8D207}">
      <formula1>INDIRECT("RegionList[Index]")</formula1>
    </dataValidation>
    <dataValidation type="list" allowBlank="1" showInputMessage="1" showErrorMessage="1" sqref="C27" xr:uid="{83EA1C16-8C17-464E-A427-F144A3001B95}">
      <formula1>INDIRECT("ReplacementTypeList[Index]")</formula1>
    </dataValidation>
    <dataValidation type="list" allowBlank="1" showInputMessage="1" showErrorMessage="1" sqref="C28" xr:uid="{0BC6089B-0067-4561-B9DB-4634591CE086}">
      <formula1>INDIRECT("BuildingType[Building]")</formula1>
    </dataValidation>
    <dataValidation type="list" allowBlank="1" showInputMessage="1" showErrorMessage="1" sqref="C29 C30" xr:uid="{8634790D-FE1F-4123-AB0D-287AF95CCEAC}">
      <formula1>INDIRECT("FuelTypeList[Index]")</formula1>
    </dataValidation>
  </dataValidations>
  <hyperlinks>
    <hyperlink ref="F83" r:id="rId1" xr:uid="{FEB9F76E-5FF7-4426-8B05-42EB696CA181}"/>
    <hyperlink ref="F85" r:id="rId2" xr:uid="{62C46387-7E9D-4D6E-B85F-E5E2DBCD279C}"/>
    <hyperlink ref="F84" r:id="rId3" xr:uid="{6D0025B7-7837-43EF-8498-C6A079ADE5EB}"/>
    <hyperlink ref="F82" r:id="rId4" xr:uid="{E5085C58-0D84-4C3E-93CB-9BD30011102C}"/>
  </hyperlinks>
  <pageMargins left="0.7" right="0.7" top="0.75" bottom="0.75" header="0.3" footer="0.3"/>
  <pageSetup orientation="portrait" r:id="rId5"/>
  <legacyDrawing r:id="rId6"/>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36C7B-5227-4C03-8CDD-97B952862E27}">
  <sheetPr codeName="Sheet18"/>
  <dimension ref="A2:R140"/>
  <sheetViews>
    <sheetView workbookViewId="0">
      <selection activeCell="H71" sqref="H71"/>
    </sheetView>
  </sheetViews>
  <sheetFormatPr defaultColWidth="9.08984375" defaultRowHeight="18.75" customHeight="1" x14ac:dyDescent="0.3"/>
  <cols>
    <col min="1" max="1" width="2.36328125" style="488" customWidth="1"/>
    <col min="2" max="2" width="39.6328125" style="488" customWidth="1"/>
    <col min="3" max="3" width="27.81640625" style="488" customWidth="1"/>
    <col min="4" max="4" width="21.6328125" style="488" customWidth="1"/>
    <col min="5" max="5" width="15" style="488" customWidth="1"/>
    <col min="6" max="6" width="15.6328125" style="488" customWidth="1"/>
    <col min="7" max="7" width="19.6328125" style="488" customWidth="1"/>
    <col min="8" max="8" width="16" style="488" customWidth="1"/>
    <col min="9" max="9" width="10.36328125" style="488" customWidth="1"/>
    <col min="10" max="10" width="14.6328125" style="488" customWidth="1"/>
    <col min="11" max="12" width="9.08984375" style="488" bestFit="1"/>
    <col min="13" max="13" width="11" style="488" customWidth="1"/>
    <col min="14" max="14" width="12.36328125" style="488" customWidth="1"/>
    <col min="15" max="15" width="10.6328125" style="488" customWidth="1"/>
    <col min="16" max="17" width="9.08984375" style="488" bestFit="1"/>
    <col min="18" max="18" width="9.81640625" style="489" customWidth="1"/>
    <col min="19" max="19" width="9.08984375" style="488" bestFit="1"/>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C-R-010</v>
      </c>
      <c r="D3" s="1367"/>
      <c r="E3" s="1367"/>
      <c r="F3" s="1367"/>
    </row>
    <row r="4" spans="1:18" ht="18.75" customHeight="1" x14ac:dyDescent="0.3">
      <c r="B4" s="490" t="s">
        <v>11</v>
      </c>
      <c r="C4" s="1367" t="str" cm="1">
        <f t="array" ref="C4">_xlfn.SWITCH(LEFT(C8,1),"R","Residential","C","Commercial","ERROR")</f>
        <v>Commercial</v>
      </c>
      <c r="D4" s="1367"/>
      <c r="E4" s="1367"/>
      <c r="F4" s="1367"/>
    </row>
    <row r="5" spans="1:18" ht="19.5" customHeight="1" x14ac:dyDescent="0.3">
      <c r="B5" s="490" t="s">
        <v>408</v>
      </c>
      <c r="C5" s="1530" t="s">
        <v>301</v>
      </c>
      <c r="D5" s="1531"/>
      <c r="E5" s="1531"/>
      <c r="F5" s="1532"/>
      <c r="R5" s="488"/>
    </row>
    <row r="6" spans="1:18" ht="18.75" customHeight="1" x14ac:dyDescent="0.3">
      <c r="A6" s="573"/>
    </row>
    <row r="7" spans="1:18" ht="18.75" customHeight="1" x14ac:dyDescent="0.3">
      <c r="B7" s="1193" t="s">
        <v>409</v>
      </c>
      <c r="C7" s="1192" t="s">
        <v>406</v>
      </c>
      <c r="D7" s="1363" t="s">
        <v>410</v>
      </c>
      <c r="E7" s="1363"/>
      <c r="F7" s="1363"/>
      <c r="R7" s="488"/>
    </row>
    <row r="8" spans="1:18" ht="18.75" customHeight="1" x14ac:dyDescent="0.3">
      <c r="B8" s="490" t="s">
        <v>411</v>
      </c>
      <c r="C8" s="1218" t="s">
        <v>135</v>
      </c>
      <c r="D8" s="1793"/>
      <c r="E8" s="1793"/>
      <c r="F8" s="1793"/>
      <c r="R8" s="488"/>
    </row>
    <row r="9" spans="1:18" ht="36.75" customHeight="1" x14ac:dyDescent="0.3">
      <c r="B9" s="490" t="s">
        <v>49</v>
      </c>
      <c r="C9" s="1218" t="s">
        <v>1758</v>
      </c>
      <c r="D9" s="1793"/>
      <c r="E9" s="1793"/>
      <c r="F9" s="1793"/>
      <c r="R9" s="488"/>
    </row>
    <row r="10" spans="1:18" ht="18.75" customHeight="1" x14ac:dyDescent="0.3">
      <c r="B10" s="490" t="s">
        <v>412</v>
      </c>
      <c r="C10" s="1218"/>
      <c r="D10" s="1793"/>
      <c r="E10" s="1793"/>
      <c r="F10" s="1793"/>
      <c r="R10" s="488"/>
    </row>
    <row r="11" spans="1:18" ht="18.75" customHeight="1" x14ac:dyDescent="0.3">
      <c r="B11" s="490" t="s">
        <v>413</v>
      </c>
      <c r="C11" s="1218"/>
      <c r="D11" s="1793"/>
      <c r="E11" s="1793"/>
      <c r="F11" s="1793"/>
      <c r="R11" s="488"/>
    </row>
    <row r="12" spans="1:18" ht="18.75" customHeight="1" x14ac:dyDescent="0.3">
      <c r="B12" s="490" t="s">
        <v>414</v>
      </c>
      <c r="C12" s="665"/>
      <c r="D12" s="1793"/>
      <c r="E12" s="1793"/>
      <c r="F12" s="1793"/>
      <c r="R12" s="488"/>
    </row>
    <row r="13" spans="1:18" ht="18.75" customHeight="1" x14ac:dyDescent="0.3">
      <c r="B13" s="494" t="s">
        <v>415</v>
      </c>
      <c r="C13" s="658">
        <f>N43</f>
        <v>1407.9882039729982</v>
      </c>
      <c r="D13" s="1793"/>
      <c r="E13" s="1793"/>
      <c r="F13" s="1793"/>
      <c r="R13" s="488"/>
    </row>
    <row r="14" spans="1:18" ht="18.75" customHeight="1" x14ac:dyDescent="0.3">
      <c r="B14" s="494" t="s">
        <v>416</v>
      </c>
      <c r="C14" s="658">
        <f>N42</f>
        <v>0</v>
      </c>
      <c r="D14" s="1793"/>
      <c r="E14" s="1793"/>
      <c r="F14" s="1793"/>
      <c r="R14" s="488"/>
    </row>
    <row r="15" spans="1:18" ht="18.75" customHeight="1" x14ac:dyDescent="0.3">
      <c r="B15" s="494" t="s">
        <v>417</v>
      </c>
      <c r="C15" s="658">
        <f>N44</f>
        <v>0</v>
      </c>
      <c r="D15" s="1793"/>
      <c r="E15" s="1793"/>
      <c r="F15" s="1793"/>
      <c r="R15" s="488"/>
    </row>
    <row r="16" spans="1:18" ht="18.75" customHeight="1" x14ac:dyDescent="0.3">
      <c r="B16" s="494" t="s">
        <v>418</v>
      </c>
      <c r="C16" s="659">
        <f>C37</f>
        <v>0</v>
      </c>
      <c r="D16" s="1793"/>
      <c r="E16" s="1793"/>
      <c r="F16" s="1793"/>
      <c r="R16" s="488"/>
    </row>
    <row r="17" spans="2:18" ht="39" customHeight="1" x14ac:dyDescent="0.3">
      <c r="B17" s="490" t="s">
        <v>48</v>
      </c>
      <c r="C17" s="1218" t="s">
        <v>1777</v>
      </c>
      <c r="D17" s="1363" t="s">
        <v>419</v>
      </c>
      <c r="E17" s="1363"/>
      <c r="F17" s="1363"/>
      <c r="R17" s="488"/>
    </row>
    <row r="18" spans="2:18" ht="18.75" customHeight="1" x14ac:dyDescent="0.3">
      <c r="B18" s="490" t="s">
        <v>420</v>
      </c>
      <c r="C18" s="666">
        <v>15</v>
      </c>
      <c r="D18" s="1513" t="s">
        <v>1778</v>
      </c>
      <c r="E18" s="1513"/>
      <c r="F18" s="1513"/>
      <c r="R18" s="488"/>
    </row>
    <row r="19" spans="2:18" ht="18.75" customHeight="1" x14ac:dyDescent="0.3">
      <c r="B19" s="497"/>
      <c r="C19" s="576"/>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18.75" customHeight="1" x14ac:dyDescent="0.3">
      <c r="B21" s="499" t="s">
        <v>422</v>
      </c>
      <c r="C21" s="1546" t="s">
        <v>302</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36" t="s">
        <v>303</v>
      </c>
      <c r="D22" s="2012"/>
      <c r="E22" s="2012"/>
      <c r="F22" s="2012"/>
      <c r="G22" s="2012"/>
      <c r="H22" s="2012"/>
      <c r="I22" s="2012"/>
      <c r="J22" s="2012"/>
      <c r="K22" s="2012"/>
      <c r="L22" s="2012"/>
      <c r="M22" s="2012"/>
      <c r="N22" s="2012"/>
      <c r="O22" s="2012"/>
      <c r="P22" s="2012"/>
      <c r="Q22" s="2012"/>
      <c r="R22" s="488"/>
    </row>
    <row r="23" spans="2:18" ht="18.75" customHeight="1"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512"/>
      <c r="F33" s="1512"/>
      <c r="G33" s="1512"/>
      <c r="H33" s="1512"/>
      <c r="I33" s="1512"/>
      <c r="J33" s="1512"/>
      <c r="K33" s="1512"/>
      <c r="L33" s="1512"/>
      <c r="M33" s="1512"/>
      <c r="N33" s="1512"/>
      <c r="O33" s="1512"/>
      <c r="P33" s="1512"/>
      <c r="Q33" s="1512"/>
      <c r="R33" s="488"/>
    </row>
    <row r="34" spans="2:18" ht="18.75" customHeight="1" x14ac:dyDescent="0.3">
      <c r="B34" s="494" t="s">
        <v>431</v>
      </c>
      <c r="C34" s="542"/>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504">
        <f>SUM(C33:C34)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504">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1407.9882039729982</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37.5" customHeight="1" x14ac:dyDescent="0.3">
      <c r="B49" s="582" t="s">
        <v>454</v>
      </c>
      <c r="C49" s="1600" t="s">
        <v>1779</v>
      </c>
      <c r="D49" s="1505"/>
      <c r="E49" s="1505"/>
      <c r="F49" s="1505"/>
      <c r="G49" s="1505"/>
      <c r="H49" s="1505"/>
      <c r="I49" s="1505"/>
      <c r="J49" s="1505"/>
      <c r="K49" s="1505"/>
      <c r="L49" s="1505"/>
      <c r="M49" s="1506"/>
      <c r="N49" s="1047">
        <f xml:space="preserve"> H64*H66 - (H72*H71*H65) +
((H69*H63 - H70)*H65*H68*H73) * H62</f>
        <v>1407.9882039729982</v>
      </c>
      <c r="O49" s="1243" t="s">
        <v>443</v>
      </c>
      <c r="P49" s="1511">
        <f xml:space="preserve"> H64*H66 - (H72*H71*H65) +
((H69*H63 - H70)*H65*H68*H73) * H62</f>
        <v>1407.9882039729982</v>
      </c>
      <c r="Q49" s="1511"/>
      <c r="R49" s="488"/>
    </row>
    <row r="50" spans="2:18" ht="18.75" customHeight="1" x14ac:dyDescent="0.3">
      <c r="B50" s="582" t="s">
        <v>456</v>
      </c>
      <c r="C50" s="1504" t="s">
        <v>457</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467</v>
      </c>
      <c r="D56" s="1505"/>
      <c r="E56" s="1505"/>
      <c r="F56" s="1505"/>
      <c r="G56" s="1505"/>
      <c r="H56" s="1505"/>
      <c r="I56" s="1505"/>
      <c r="J56" s="1505"/>
      <c r="K56" s="1505"/>
      <c r="L56" s="1505"/>
      <c r="M56" s="1506"/>
      <c r="N56" s="594"/>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1188" t="s">
        <v>406</v>
      </c>
      <c r="I61" s="1188" t="s">
        <v>428</v>
      </c>
      <c r="J61" s="1396" t="s">
        <v>476</v>
      </c>
      <c r="K61" s="1397"/>
      <c r="L61" s="1397"/>
      <c r="M61" s="1397"/>
      <c r="N61" s="1397"/>
      <c r="O61" s="1397"/>
      <c r="P61" s="1397"/>
      <c r="Q61" s="1398"/>
    </row>
    <row r="62" spans="2:18" ht="33" customHeight="1" x14ac:dyDescent="0.3">
      <c r="B62" s="533">
        <v>1</v>
      </c>
      <c r="C62" s="546" t="s">
        <v>1780</v>
      </c>
      <c r="D62" s="1539" t="s">
        <v>1781</v>
      </c>
      <c r="E62" s="1539"/>
      <c r="F62" s="1217"/>
      <c r="G62" s="1217"/>
      <c r="H62" s="554">
        <v>1</v>
      </c>
      <c r="I62" s="1217" t="s">
        <v>519</v>
      </c>
      <c r="J62" s="1468" t="s">
        <v>1782</v>
      </c>
      <c r="K62" s="1478"/>
      <c r="L62" s="1478"/>
      <c r="M62" s="1478"/>
      <c r="N62" s="1478"/>
      <c r="O62" s="1478"/>
      <c r="P62" s="1478"/>
      <c r="Q62" s="1469"/>
      <c r="R62" s="488"/>
    </row>
    <row r="63" spans="2:18" ht="15" customHeight="1" x14ac:dyDescent="0.3">
      <c r="B63" s="534">
        <v>2</v>
      </c>
      <c r="C63" s="549" t="s">
        <v>1783</v>
      </c>
      <c r="D63" s="1556" t="s">
        <v>1784</v>
      </c>
      <c r="E63" s="1556"/>
      <c r="F63" s="1238"/>
      <c r="G63" s="1238"/>
      <c r="H63" s="688">
        <v>3</v>
      </c>
      <c r="I63" s="1238" t="s">
        <v>1405</v>
      </c>
      <c r="J63" s="1468" t="s">
        <v>1782</v>
      </c>
      <c r="K63" s="1478"/>
      <c r="L63" s="1478"/>
      <c r="M63" s="1478"/>
      <c r="N63" s="1478"/>
      <c r="O63" s="1478"/>
      <c r="P63" s="1478"/>
      <c r="Q63" s="1469"/>
      <c r="R63" s="488"/>
    </row>
    <row r="64" spans="2:18" ht="15" customHeight="1" x14ac:dyDescent="0.3">
      <c r="B64" s="535">
        <v>3</v>
      </c>
      <c r="C64" s="551" t="s">
        <v>1016</v>
      </c>
      <c r="D64" s="1543" t="s">
        <v>1785</v>
      </c>
      <c r="E64" s="1543"/>
      <c r="F64" s="552"/>
      <c r="G64" s="552"/>
      <c r="H64" s="597">
        <v>1</v>
      </c>
      <c r="I64" s="552" t="s">
        <v>1018</v>
      </c>
      <c r="J64" s="1482" t="s">
        <v>1019</v>
      </c>
      <c r="K64" s="1544"/>
      <c r="L64" s="1544"/>
      <c r="M64" s="1544"/>
      <c r="N64" s="1544"/>
      <c r="O64" s="1544"/>
      <c r="P64" s="1544"/>
      <c r="Q64" s="1545"/>
      <c r="R64" s="488"/>
    </row>
    <row r="65" spans="2:18" ht="35.25" customHeight="1" x14ac:dyDescent="0.3">
      <c r="B65" s="534">
        <v>4</v>
      </c>
      <c r="C65" s="549" t="s">
        <v>1050</v>
      </c>
      <c r="D65" s="1556" t="s">
        <v>1786</v>
      </c>
      <c r="E65" s="1556"/>
      <c r="F65" s="598"/>
      <c r="G65" s="1238"/>
      <c r="H65" s="688">
        <f>INDEX(RefrigerationEconomizerHours[],1,MATCH($C$26,RefrigerationEconomizerHours[#Headers],0))</f>
        <v>3639.5582486120275</v>
      </c>
      <c r="I65" s="1238" t="s">
        <v>532</v>
      </c>
      <c r="J65" s="1462" t="s">
        <v>1787</v>
      </c>
      <c r="K65" s="1464"/>
      <c r="L65" s="1464"/>
      <c r="M65" s="1464"/>
      <c r="N65" s="1464"/>
      <c r="O65" s="1464"/>
      <c r="P65" s="1464"/>
      <c r="Q65" s="1463"/>
      <c r="R65" s="488"/>
    </row>
    <row r="66" spans="2:18" ht="13" x14ac:dyDescent="0.3">
      <c r="B66" s="533">
        <v>5</v>
      </c>
      <c r="C66" s="546" t="s">
        <v>1788</v>
      </c>
      <c r="D66" s="1539" t="s">
        <v>1789</v>
      </c>
      <c r="E66" s="1539"/>
      <c r="F66" s="567" t="str">
        <f>H67</f>
        <v>Average</v>
      </c>
      <c r="G66" s="1217" t="s">
        <v>1695</v>
      </c>
      <c r="H66" s="567">
        <f>INDEX($C$120:$N$140,MATCH(F66,$C$120:$C$140,0),MATCH(G66,$C$120:$N$120,0))</f>
        <v>1138.3333333333333</v>
      </c>
      <c r="I66" s="1217" t="s">
        <v>1790</v>
      </c>
      <c r="J66" s="1468" t="s">
        <v>1791</v>
      </c>
      <c r="K66" s="1478"/>
      <c r="L66" s="1478"/>
      <c r="M66" s="1478"/>
      <c r="N66" s="1478"/>
      <c r="O66" s="1478"/>
      <c r="P66" s="1478"/>
      <c r="Q66" s="1469"/>
      <c r="R66" s="488"/>
    </row>
    <row r="67" spans="2:18" s="491" customFormat="1" ht="13" x14ac:dyDescent="0.3">
      <c r="B67" s="534">
        <v>6</v>
      </c>
      <c r="C67" s="555" t="s">
        <v>1792</v>
      </c>
      <c r="D67" s="1437" t="s">
        <v>1793</v>
      </c>
      <c r="E67" s="1438"/>
      <c r="F67" s="556"/>
      <c r="G67" s="557"/>
      <c r="H67" s="1048" t="s">
        <v>10</v>
      </c>
      <c r="I67" s="557" t="s">
        <v>597</v>
      </c>
      <c r="J67" s="1468" t="s">
        <v>1794</v>
      </c>
      <c r="K67" s="1478"/>
      <c r="L67" s="1478"/>
      <c r="M67" s="1478"/>
      <c r="N67" s="1478"/>
      <c r="O67" s="1478"/>
      <c r="P67" s="1478"/>
      <c r="Q67" s="1469"/>
    </row>
    <row r="68" spans="2:18" ht="26.25" customHeight="1" x14ac:dyDescent="0.3">
      <c r="B68" s="533">
        <v>7</v>
      </c>
      <c r="C68" s="546" t="s">
        <v>1795</v>
      </c>
      <c r="D68" s="1539" t="s">
        <v>1796</v>
      </c>
      <c r="E68" s="1539"/>
      <c r="F68" s="1217"/>
      <c r="G68" s="1217"/>
      <c r="H68" s="554">
        <v>0.5</v>
      </c>
      <c r="I68" s="1217" t="s">
        <v>519</v>
      </c>
      <c r="J68" s="1468" t="s">
        <v>1797</v>
      </c>
      <c r="K68" s="1478"/>
      <c r="L68" s="1478"/>
      <c r="M68" s="1478"/>
      <c r="N68" s="1478"/>
      <c r="O68" s="1478"/>
      <c r="P68" s="1478"/>
      <c r="Q68" s="1469"/>
      <c r="R68" s="488"/>
    </row>
    <row r="69" spans="2:18" ht="34.5" customHeight="1" x14ac:dyDescent="0.3">
      <c r="B69" s="534">
        <v>8</v>
      </c>
      <c r="C69" s="546" t="s">
        <v>1798</v>
      </c>
      <c r="D69" s="1539" t="s">
        <v>1799</v>
      </c>
      <c r="E69" s="1539"/>
      <c r="F69" s="1217"/>
      <c r="G69" s="1217"/>
      <c r="H69" s="1049">
        <v>0.123</v>
      </c>
      <c r="I69" s="1217" t="s">
        <v>440</v>
      </c>
      <c r="J69" s="1468" t="s">
        <v>1782</v>
      </c>
      <c r="K69" s="1478"/>
      <c r="L69" s="1478"/>
      <c r="M69" s="1478"/>
      <c r="N69" s="1478"/>
      <c r="O69" s="1478"/>
      <c r="P69" s="1478"/>
      <c r="Q69" s="1469"/>
      <c r="R69" s="488"/>
    </row>
    <row r="70" spans="2:18" ht="39" customHeight="1" x14ac:dyDescent="0.3">
      <c r="B70" s="533">
        <v>9</v>
      </c>
      <c r="C70" s="546" t="s">
        <v>1800</v>
      </c>
      <c r="D70" s="1539" t="s">
        <v>1801</v>
      </c>
      <c r="E70" s="1539"/>
      <c r="F70" s="1217"/>
      <c r="G70" s="1217"/>
      <c r="H70" s="1049">
        <v>3.5000000000000003E-2</v>
      </c>
      <c r="I70" s="1217" t="s">
        <v>440</v>
      </c>
      <c r="J70" s="1468" t="s">
        <v>1782</v>
      </c>
      <c r="K70" s="1478"/>
      <c r="L70" s="1478"/>
      <c r="M70" s="1478"/>
      <c r="N70" s="1478"/>
      <c r="O70" s="1478"/>
      <c r="P70" s="1478"/>
      <c r="Q70" s="1469"/>
      <c r="R70" s="488"/>
    </row>
    <row r="71" spans="2:18" ht="68.25" customHeight="1" x14ac:dyDescent="0.3">
      <c r="B71" s="534">
        <v>10</v>
      </c>
      <c r="C71" s="546" t="s">
        <v>1802</v>
      </c>
      <c r="D71" s="1539" t="s">
        <v>1803</v>
      </c>
      <c r="E71" s="1539"/>
      <c r="F71" s="1217"/>
      <c r="G71" s="1217"/>
      <c r="H71" s="554">
        <v>0.63</v>
      </c>
      <c r="I71" s="1217" t="s">
        <v>519</v>
      </c>
      <c r="J71" s="1468" t="s">
        <v>1782</v>
      </c>
      <c r="K71" s="1478"/>
      <c r="L71" s="1478"/>
      <c r="M71" s="1478"/>
      <c r="N71" s="1478"/>
      <c r="O71" s="1478"/>
      <c r="P71" s="1478"/>
      <c r="Q71" s="1469"/>
      <c r="R71" s="488"/>
    </row>
    <row r="72" spans="2:18" s="491" customFormat="1" ht="15" customHeight="1" x14ac:dyDescent="0.3">
      <c r="B72" s="533">
        <v>11</v>
      </c>
      <c r="C72" s="555" t="s">
        <v>1804</v>
      </c>
      <c r="D72" s="1437" t="s">
        <v>1805</v>
      </c>
      <c r="E72" s="1438"/>
      <c r="F72" s="556"/>
      <c r="G72" s="557"/>
      <c r="H72" s="1050">
        <v>0.22700000000000001</v>
      </c>
      <c r="I72" s="557" t="s">
        <v>440</v>
      </c>
      <c r="J72" s="1468" t="s">
        <v>1782</v>
      </c>
      <c r="K72" s="1478"/>
      <c r="L72" s="1478"/>
      <c r="M72" s="1478"/>
      <c r="N72" s="1478"/>
      <c r="O72" s="1478"/>
      <c r="P72" s="1478"/>
      <c r="Q72" s="1469"/>
    </row>
    <row r="73" spans="2:18" ht="51" customHeight="1" x14ac:dyDescent="0.3">
      <c r="B73" s="534">
        <v>12</v>
      </c>
      <c r="C73" s="546" t="s">
        <v>1806</v>
      </c>
      <c r="D73" s="1539" t="s">
        <v>1807</v>
      </c>
      <c r="E73" s="1539"/>
      <c r="F73" s="1217"/>
      <c r="G73" s="1217"/>
      <c r="H73" s="554">
        <v>1.3</v>
      </c>
      <c r="I73" s="1217" t="s">
        <v>519</v>
      </c>
      <c r="J73" s="1507" t="s">
        <v>1808</v>
      </c>
      <c r="K73" s="1514"/>
      <c r="L73" s="1514"/>
      <c r="M73" s="1514"/>
      <c r="N73" s="1514"/>
      <c r="O73" s="1514"/>
      <c r="P73" s="1514"/>
      <c r="Q73" s="1515"/>
      <c r="R73" s="488"/>
    </row>
    <row r="74" spans="2:18" s="491" customFormat="1" ht="13" x14ac:dyDescent="0.3">
      <c r="B74" s="533">
        <v>13</v>
      </c>
      <c r="C74" s="555"/>
      <c r="D74" s="1437"/>
      <c r="E74" s="1438"/>
      <c r="F74" s="556"/>
      <c r="G74" s="557"/>
      <c r="H74" s="1048"/>
      <c r="I74" s="557"/>
      <c r="J74" s="1472"/>
      <c r="K74" s="1473"/>
      <c r="L74" s="1473"/>
      <c r="M74" s="1473"/>
      <c r="N74" s="1473"/>
      <c r="O74" s="1473"/>
      <c r="P74" s="1473"/>
      <c r="Q74" s="1474"/>
    </row>
    <row r="75" spans="2:18" s="489" customFormat="1" ht="13.15" customHeight="1" x14ac:dyDescent="0.3">
      <c r="B75" s="534">
        <v>14</v>
      </c>
      <c r="C75" s="555"/>
      <c r="D75" s="1437"/>
      <c r="E75" s="1438"/>
      <c r="F75" s="556"/>
      <c r="G75" s="557"/>
      <c r="H75" s="1048"/>
      <c r="I75" s="557"/>
      <c r="J75" s="1472"/>
      <c r="K75" s="1473"/>
      <c r="L75" s="1473"/>
      <c r="M75" s="1473"/>
      <c r="N75" s="1473"/>
      <c r="O75" s="1473"/>
      <c r="P75" s="1473"/>
      <c r="Q75" s="1474"/>
    </row>
    <row r="76" spans="2:18" s="489" customFormat="1" ht="13" x14ac:dyDescent="0.3">
      <c r="B76" s="533">
        <v>15</v>
      </c>
      <c r="C76" s="555"/>
      <c r="D76" s="1437"/>
      <c r="E76" s="1438"/>
      <c r="F76" s="556"/>
      <c r="G76" s="557"/>
      <c r="H76" s="1051"/>
      <c r="I76" s="557"/>
      <c r="J76" s="1472"/>
      <c r="K76" s="1473"/>
      <c r="L76" s="1473"/>
      <c r="M76" s="1473"/>
      <c r="N76" s="1473"/>
      <c r="O76" s="1473"/>
      <c r="P76" s="1473"/>
      <c r="Q76" s="1474"/>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233"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233"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233"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233"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233" t="s">
        <v>491</v>
      </c>
      <c r="F85" s="1489" t="s">
        <v>485</v>
      </c>
      <c r="G85" s="1490"/>
      <c r="H85" s="1490"/>
      <c r="I85" s="1490"/>
      <c r="J85" s="1490"/>
      <c r="K85" s="1490"/>
      <c r="L85" s="1490"/>
      <c r="M85" s="1490"/>
      <c r="N85" s="1490"/>
      <c r="O85" s="1490"/>
      <c r="P85" s="1490"/>
      <c r="Q85" s="1491"/>
      <c r="R85" s="488"/>
    </row>
    <row r="86" spans="2:18" ht="13" x14ac:dyDescent="0.3">
      <c r="B86" s="533">
        <v>6</v>
      </c>
      <c r="C86" s="563"/>
      <c r="D86" s="564"/>
      <c r="E86" s="1233"/>
      <c r="F86" s="1489"/>
      <c r="G86" s="1490"/>
      <c r="H86" s="1490"/>
      <c r="I86" s="1490"/>
      <c r="J86" s="1490"/>
      <c r="K86" s="1490"/>
      <c r="L86" s="1490"/>
      <c r="M86" s="1490"/>
      <c r="N86" s="1490"/>
      <c r="O86" s="1490"/>
      <c r="P86" s="1490"/>
      <c r="Q86" s="1491"/>
      <c r="R86" s="488"/>
    </row>
    <row r="87" spans="2:18" ht="13" x14ac:dyDescent="0.3">
      <c r="B87" s="533">
        <v>7</v>
      </c>
      <c r="C87" s="563"/>
      <c r="D87" s="1233"/>
      <c r="E87" s="1233"/>
      <c r="F87" s="1489"/>
      <c r="G87" s="1490"/>
      <c r="H87" s="1490"/>
      <c r="I87" s="1490"/>
      <c r="J87" s="1490"/>
      <c r="K87" s="1490"/>
      <c r="L87" s="1490"/>
      <c r="M87" s="1490"/>
      <c r="N87" s="1490"/>
      <c r="O87" s="1490"/>
      <c r="P87" s="1490"/>
      <c r="Q87" s="1491"/>
      <c r="R87" s="488"/>
    </row>
    <row r="88" spans="2:18" ht="13" x14ac:dyDescent="0.3">
      <c r="B88" s="533">
        <v>8</v>
      </c>
      <c r="C88" s="563"/>
      <c r="D88" s="564"/>
      <c r="E88" s="1233"/>
      <c r="F88" s="1489"/>
      <c r="G88" s="1490"/>
      <c r="H88" s="1490"/>
      <c r="I88" s="1490"/>
      <c r="J88" s="1490"/>
      <c r="K88" s="1490"/>
      <c r="L88" s="1490"/>
      <c r="M88" s="1490"/>
      <c r="N88" s="1490"/>
      <c r="O88" s="1490"/>
      <c r="P88" s="1490"/>
      <c r="Q88" s="1491"/>
      <c r="R88" s="488"/>
    </row>
    <row r="89" spans="2:18" ht="13" x14ac:dyDescent="0.3">
      <c r="B89" s="533">
        <v>9</v>
      </c>
      <c r="C89" s="563"/>
      <c r="D89" s="1233"/>
      <c r="E89" s="1233"/>
      <c r="F89" s="1489"/>
      <c r="G89" s="1490"/>
      <c r="H89" s="1490"/>
      <c r="I89" s="1490"/>
      <c r="J89" s="1490"/>
      <c r="K89" s="1490"/>
      <c r="L89" s="1490"/>
      <c r="M89" s="1490"/>
      <c r="N89" s="1490"/>
      <c r="O89" s="1490"/>
      <c r="P89" s="1490"/>
      <c r="Q89" s="1491"/>
      <c r="R89" s="488"/>
    </row>
    <row r="90" spans="2:18" ht="13" x14ac:dyDescent="0.3">
      <c r="B90" s="533">
        <v>10</v>
      </c>
      <c r="C90" s="563"/>
      <c r="D90" s="564"/>
      <c r="E90" s="1233"/>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t="s">
        <v>1809</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c r="R95" s="488"/>
    </row>
    <row r="96" spans="2:18" ht="25.5" customHeight="1" x14ac:dyDescent="0.3">
      <c r="B96" s="1188" t="s">
        <v>478</v>
      </c>
      <c r="C96" s="1402" t="s">
        <v>505</v>
      </c>
      <c r="D96" s="1431"/>
      <c r="E96" s="565"/>
      <c r="F96" s="565"/>
      <c r="G96" s="565"/>
      <c r="H96" s="565"/>
      <c r="I96" s="565"/>
      <c r="J96" s="565"/>
      <c r="K96" s="565"/>
      <c r="L96" s="565"/>
      <c r="M96" s="565"/>
      <c r="N96" s="566"/>
      <c r="O96" s="1410"/>
      <c r="P96" s="1411"/>
      <c r="Q96" s="1412"/>
      <c r="R96" s="488"/>
    </row>
    <row r="97" spans="2:18" ht="13" x14ac:dyDescent="0.3">
      <c r="B97" s="533">
        <v>1</v>
      </c>
      <c r="C97" s="546" t="s">
        <v>1361</v>
      </c>
      <c r="D97" s="1184"/>
      <c r="E97" s="1190"/>
      <c r="F97" s="1190"/>
      <c r="G97" s="1190"/>
      <c r="H97" s="1190"/>
      <c r="I97" s="568"/>
      <c r="J97" s="568"/>
      <c r="K97" s="568"/>
      <c r="L97" s="568"/>
      <c r="M97" s="568"/>
      <c r="N97" s="568"/>
      <c r="O97" s="2013" t="s">
        <v>1810</v>
      </c>
      <c r="P97" s="2014"/>
      <c r="Q97" s="2015"/>
      <c r="R97" s="488"/>
    </row>
    <row r="98" spans="2:18" ht="13" x14ac:dyDescent="0.3">
      <c r="B98" s="533">
        <v>2</v>
      </c>
      <c r="C98" s="546" t="s">
        <v>1811</v>
      </c>
      <c r="D98" s="1184"/>
      <c r="E98" s="1190"/>
      <c r="F98" s="1190"/>
      <c r="G98" s="1190"/>
      <c r="H98" s="1190"/>
      <c r="I98" s="568"/>
      <c r="J98" s="568"/>
      <c r="K98" s="568"/>
      <c r="L98" s="568"/>
      <c r="M98" s="568"/>
      <c r="N98" s="568"/>
      <c r="O98" s="2013" t="s">
        <v>1810</v>
      </c>
      <c r="P98" s="2014"/>
      <c r="Q98" s="2015"/>
      <c r="R98" s="488"/>
    </row>
    <row r="99" spans="2:18" ht="13" x14ac:dyDescent="0.3">
      <c r="B99" s="533">
        <v>3</v>
      </c>
      <c r="C99" s="546" t="s">
        <v>1812</v>
      </c>
      <c r="D99" s="1184"/>
      <c r="E99" s="1190"/>
      <c r="F99" s="1190"/>
      <c r="G99" s="1190"/>
      <c r="H99" s="1190"/>
      <c r="I99" s="568"/>
      <c r="J99" s="568"/>
      <c r="K99" s="568"/>
      <c r="L99" s="568"/>
      <c r="M99" s="568"/>
      <c r="N99" s="568"/>
      <c r="O99" s="2013" t="s">
        <v>1810</v>
      </c>
      <c r="P99" s="2014"/>
      <c r="Q99" s="2015"/>
      <c r="R99" s="488"/>
    </row>
    <row r="100" spans="2:18" ht="13" x14ac:dyDescent="0.3">
      <c r="B100" s="533">
        <v>4</v>
      </c>
      <c r="C100" s="546" t="s">
        <v>1362</v>
      </c>
      <c r="D100" s="1184"/>
      <c r="E100" s="1190"/>
      <c r="F100" s="1190"/>
      <c r="G100" s="1190"/>
      <c r="H100" s="1190"/>
      <c r="I100" s="568"/>
      <c r="J100" s="568"/>
      <c r="K100" s="568"/>
      <c r="L100" s="568"/>
      <c r="M100" s="568"/>
      <c r="N100" s="568"/>
      <c r="O100" s="2013" t="s">
        <v>1810</v>
      </c>
      <c r="P100" s="2014"/>
      <c r="Q100" s="2015"/>
      <c r="R100" s="488"/>
    </row>
    <row r="101" spans="2:18" ht="13" x14ac:dyDescent="0.3">
      <c r="B101" s="533">
        <v>5</v>
      </c>
      <c r="C101" s="546" t="s">
        <v>1813</v>
      </c>
      <c r="D101" s="1184"/>
      <c r="E101" s="1190"/>
      <c r="F101" s="1190"/>
      <c r="G101" s="1190"/>
      <c r="H101" s="1190"/>
      <c r="I101" s="568"/>
      <c r="J101" s="568"/>
      <c r="K101" s="568"/>
      <c r="L101" s="568"/>
      <c r="M101" s="568"/>
      <c r="N101" s="568"/>
      <c r="O101" s="2013" t="s">
        <v>1810</v>
      </c>
      <c r="P101" s="2014"/>
      <c r="Q101" s="2015"/>
      <c r="R101" s="488"/>
    </row>
    <row r="102" spans="2:18" ht="13" x14ac:dyDescent="0.3">
      <c r="B102" s="533">
        <v>6</v>
      </c>
      <c r="C102" s="546" t="s">
        <v>1814</v>
      </c>
      <c r="D102" s="570"/>
      <c r="E102" s="622"/>
      <c r="F102" s="622"/>
      <c r="G102" s="1190"/>
      <c r="H102" s="1190"/>
      <c r="I102" s="569"/>
      <c r="J102" s="569"/>
      <c r="K102" s="569"/>
      <c r="L102" s="569"/>
      <c r="M102" s="569"/>
      <c r="N102" s="569"/>
      <c r="O102" s="2013" t="s">
        <v>1810</v>
      </c>
      <c r="P102" s="2014"/>
      <c r="Q102" s="2015"/>
      <c r="R102" s="488"/>
    </row>
    <row r="103" spans="2:18" ht="13" x14ac:dyDescent="0.3">
      <c r="B103" s="533">
        <v>7</v>
      </c>
      <c r="C103" s="546" t="s">
        <v>1815</v>
      </c>
      <c r="D103" s="570"/>
      <c r="E103" s="569"/>
      <c r="F103" s="569"/>
      <c r="G103" s="569"/>
      <c r="H103" s="1190"/>
      <c r="I103" s="569"/>
      <c r="J103" s="569"/>
      <c r="K103" s="569"/>
      <c r="L103" s="569"/>
      <c r="M103" s="569"/>
      <c r="N103" s="569"/>
      <c r="O103" s="2013" t="s">
        <v>1810</v>
      </c>
      <c r="P103" s="2014"/>
      <c r="Q103" s="2015"/>
      <c r="R103" s="488"/>
    </row>
    <row r="104" spans="2:18" ht="13" x14ac:dyDescent="0.3">
      <c r="B104" s="533">
        <v>8</v>
      </c>
      <c r="C104" s="546" t="s">
        <v>1816</v>
      </c>
      <c r="D104" s="570"/>
      <c r="E104" s="569"/>
      <c r="F104" s="569"/>
      <c r="G104" s="569"/>
      <c r="H104" s="569"/>
      <c r="I104" s="569"/>
      <c r="J104" s="569"/>
      <c r="K104" s="569"/>
      <c r="L104" s="569"/>
      <c r="M104" s="569"/>
      <c r="N104" s="569"/>
      <c r="O104" s="2013" t="s">
        <v>1810</v>
      </c>
      <c r="P104" s="2014"/>
      <c r="Q104" s="2015"/>
      <c r="R104" s="488"/>
    </row>
    <row r="105" spans="2:18" ht="13" x14ac:dyDescent="0.3">
      <c r="B105" s="533">
        <v>9</v>
      </c>
      <c r="C105" s="546" t="s">
        <v>1817</v>
      </c>
      <c r="D105" s="570"/>
      <c r="E105" s="1217"/>
      <c r="F105" s="1217"/>
      <c r="G105" s="1217"/>
      <c r="H105" s="1217"/>
      <c r="I105" s="569"/>
      <c r="J105" s="569"/>
      <c r="K105" s="569"/>
      <c r="L105" s="569"/>
      <c r="M105" s="569"/>
      <c r="N105" s="569"/>
      <c r="O105" s="2013" t="s">
        <v>1810</v>
      </c>
      <c r="P105" s="2014"/>
      <c r="Q105" s="2015"/>
      <c r="R105" s="488"/>
    </row>
    <row r="106" spans="2:18" ht="13" x14ac:dyDescent="0.3">
      <c r="B106" s="533">
        <v>10</v>
      </c>
      <c r="C106" s="546" t="s">
        <v>1818</v>
      </c>
      <c r="D106" s="570"/>
      <c r="E106" s="1217"/>
      <c r="F106" s="1217"/>
      <c r="G106" s="1217"/>
      <c r="H106" s="1217"/>
      <c r="I106" s="569"/>
      <c r="J106" s="569"/>
      <c r="K106" s="569"/>
      <c r="L106" s="569"/>
      <c r="M106" s="569"/>
      <c r="N106" s="569"/>
      <c r="O106" s="2013" t="s">
        <v>1810</v>
      </c>
      <c r="P106" s="2014"/>
      <c r="Q106" s="2015"/>
      <c r="R106" s="488"/>
    </row>
    <row r="107" spans="2:18" ht="13" x14ac:dyDescent="0.3">
      <c r="B107" s="533">
        <v>11</v>
      </c>
      <c r="C107" s="546" t="s">
        <v>1819</v>
      </c>
      <c r="D107" s="570"/>
      <c r="E107" s="1190"/>
      <c r="F107" s="1190"/>
      <c r="G107" s="571"/>
      <c r="H107" s="571"/>
      <c r="I107" s="569"/>
      <c r="J107" s="569"/>
      <c r="K107" s="569"/>
      <c r="L107" s="569"/>
      <c r="M107" s="569"/>
      <c r="N107" s="569"/>
      <c r="O107" s="2013" t="s">
        <v>1810</v>
      </c>
      <c r="P107" s="2014"/>
      <c r="Q107" s="2015"/>
      <c r="R107" s="488"/>
    </row>
    <row r="108" spans="2:18" ht="13" x14ac:dyDescent="0.3">
      <c r="B108" s="533">
        <v>12</v>
      </c>
      <c r="C108" s="549" t="s">
        <v>10</v>
      </c>
      <c r="D108" s="1042"/>
      <c r="E108" s="1043"/>
      <c r="F108" s="1043"/>
      <c r="G108" s="1238"/>
      <c r="H108" s="1238"/>
      <c r="I108" s="598"/>
      <c r="J108" s="598"/>
      <c r="K108" s="598"/>
      <c r="L108" s="598"/>
      <c r="M108" s="598"/>
      <c r="N108" s="598"/>
      <c r="O108" s="2013" t="s">
        <v>1810</v>
      </c>
      <c r="P108" s="2014"/>
      <c r="Q108" s="2015"/>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row r="118" spans="2:18" ht="18.75" customHeight="1" x14ac:dyDescent="0.3">
      <c r="B118" s="702" t="s">
        <v>493</v>
      </c>
      <c r="E118" s="1662" t="s">
        <v>494</v>
      </c>
      <c r="F118" s="1663"/>
      <c r="G118" s="1663"/>
      <c r="H118" s="1663"/>
      <c r="I118" s="1663"/>
      <c r="J118" s="1663"/>
      <c r="K118" s="1663"/>
      <c r="L118" s="1663"/>
      <c r="M118" s="1663"/>
      <c r="N118" s="1663"/>
      <c r="O118" s="1664" t="s">
        <v>476</v>
      </c>
      <c r="P118" s="1665"/>
      <c r="Q118" s="1666"/>
    </row>
    <row r="119" spans="2:18" ht="18.75" customHeight="1" x14ac:dyDescent="0.3">
      <c r="B119" s="1673" t="s">
        <v>1820</v>
      </c>
      <c r="C119" s="1674"/>
      <c r="D119" s="1675"/>
      <c r="E119" s="703" t="s">
        <v>495</v>
      </c>
      <c r="F119" s="703" t="s">
        <v>496</v>
      </c>
      <c r="G119" s="703" t="s">
        <v>497</v>
      </c>
      <c r="H119" s="703" t="s">
        <v>498</v>
      </c>
      <c r="I119" s="703" t="s">
        <v>499</v>
      </c>
      <c r="J119" s="703" t="s">
        <v>500</v>
      </c>
      <c r="K119" s="703" t="s">
        <v>501</v>
      </c>
      <c r="L119" s="703" t="s">
        <v>502</v>
      </c>
      <c r="M119" s="703" t="s">
        <v>503</v>
      </c>
      <c r="N119" s="1213" t="s">
        <v>504</v>
      </c>
      <c r="O119" s="1667"/>
      <c r="P119" s="1668"/>
      <c r="Q119" s="1669"/>
    </row>
    <row r="120" spans="2:18" ht="18.75" customHeight="1" x14ac:dyDescent="0.3">
      <c r="B120" s="704" t="s">
        <v>478</v>
      </c>
      <c r="C120" s="1662" t="s">
        <v>505</v>
      </c>
      <c r="D120" s="1676"/>
      <c r="E120" s="525" t="s">
        <v>1695</v>
      </c>
      <c r="F120" s="525"/>
      <c r="G120" s="525"/>
      <c r="H120" s="525"/>
      <c r="I120" s="525"/>
      <c r="J120" s="525"/>
      <c r="K120" s="525"/>
      <c r="L120" s="525"/>
      <c r="M120" s="525"/>
      <c r="N120" s="1214"/>
      <c r="O120" s="1670"/>
      <c r="P120" s="1671"/>
      <c r="Q120" s="1672"/>
    </row>
    <row r="121" spans="2:18" ht="18.75" customHeight="1" x14ac:dyDescent="0.3">
      <c r="B121" s="1240">
        <v>1</v>
      </c>
      <c r="C121" s="515" t="s">
        <v>1821</v>
      </c>
      <c r="D121" s="600"/>
      <c r="E121" s="526">
        <v>1256</v>
      </c>
      <c r="F121" s="1239"/>
      <c r="G121" s="1239"/>
      <c r="H121" s="1239"/>
      <c r="I121" s="527"/>
      <c r="J121" s="527"/>
      <c r="K121" s="527"/>
      <c r="L121" s="527"/>
      <c r="M121" s="527"/>
      <c r="N121" s="527"/>
      <c r="O121" s="1432" t="s">
        <v>1822</v>
      </c>
      <c r="P121" s="1433"/>
      <c r="Q121" s="1434"/>
    </row>
    <row r="122" spans="2:18" ht="18.75" customHeight="1" x14ac:dyDescent="0.3">
      <c r="B122" s="1240">
        <v>2</v>
      </c>
      <c r="C122" s="515" t="s">
        <v>1823</v>
      </c>
      <c r="D122" s="600"/>
      <c r="E122" s="526">
        <v>1108</v>
      </c>
      <c r="F122" s="1239"/>
      <c r="G122" s="1239"/>
      <c r="H122" s="1239"/>
      <c r="I122" s="527"/>
      <c r="J122" s="527"/>
      <c r="K122" s="527"/>
      <c r="L122" s="527"/>
      <c r="M122" s="527"/>
      <c r="N122" s="527"/>
      <c r="O122" s="1432" t="s">
        <v>1822</v>
      </c>
      <c r="P122" s="1433"/>
      <c r="Q122" s="1434"/>
    </row>
    <row r="123" spans="2:18" ht="18.75" customHeight="1" x14ac:dyDescent="0.3">
      <c r="B123" s="1240">
        <v>3</v>
      </c>
      <c r="C123" s="515" t="s">
        <v>1824</v>
      </c>
      <c r="D123" s="600"/>
      <c r="E123" s="526">
        <v>1051</v>
      </c>
      <c r="F123" s="1239"/>
      <c r="G123" s="1239"/>
      <c r="H123" s="1239"/>
      <c r="I123" s="527"/>
      <c r="J123" s="527"/>
      <c r="K123" s="527"/>
      <c r="L123" s="527"/>
      <c r="M123" s="527"/>
      <c r="N123" s="527"/>
      <c r="O123" s="1432" t="s">
        <v>1822</v>
      </c>
      <c r="P123" s="1433"/>
      <c r="Q123" s="1434"/>
    </row>
    <row r="124" spans="2:18" ht="18.75" customHeight="1" x14ac:dyDescent="0.3">
      <c r="B124" s="1240">
        <v>4</v>
      </c>
      <c r="C124" s="515" t="s">
        <v>10</v>
      </c>
      <c r="D124" s="600"/>
      <c r="E124" s="530">
        <f>AVERAGE(E121:E123)</f>
        <v>1138.3333333333333</v>
      </c>
      <c r="F124" s="1239"/>
      <c r="G124" s="1239"/>
      <c r="H124" s="1239"/>
      <c r="I124" s="527"/>
      <c r="J124" s="527"/>
      <c r="K124" s="527"/>
      <c r="L124" s="527"/>
      <c r="M124" s="527"/>
      <c r="N124" s="527"/>
      <c r="O124" s="1422"/>
      <c r="P124" s="1423"/>
      <c r="Q124" s="1424"/>
    </row>
    <row r="125" spans="2:18" ht="18.75" customHeight="1" x14ac:dyDescent="0.3">
      <c r="B125" s="1240">
        <v>5</v>
      </c>
      <c r="C125" s="515"/>
      <c r="D125" s="600"/>
      <c r="E125" s="1239"/>
      <c r="F125" s="1239"/>
      <c r="G125" s="1239"/>
      <c r="H125" s="1239"/>
      <c r="I125" s="527"/>
      <c r="J125" s="527"/>
      <c r="K125" s="527"/>
      <c r="L125" s="527"/>
      <c r="M125" s="527"/>
      <c r="N125" s="527"/>
      <c r="O125" s="1422"/>
      <c r="P125" s="1423"/>
      <c r="Q125" s="1424"/>
    </row>
    <row r="126" spans="2:18" ht="18.75" customHeight="1" x14ac:dyDescent="0.3">
      <c r="B126" s="1240">
        <v>6</v>
      </c>
      <c r="C126" s="515"/>
      <c r="D126" s="1189"/>
      <c r="E126" s="619"/>
      <c r="F126" s="619"/>
      <c r="G126" s="1239"/>
      <c r="H126" s="1239"/>
      <c r="I126" s="528"/>
      <c r="J126" s="528"/>
      <c r="K126" s="528"/>
      <c r="L126" s="528"/>
      <c r="M126" s="528"/>
      <c r="N126" s="528"/>
      <c r="O126" s="1425"/>
      <c r="P126" s="1426"/>
      <c r="Q126" s="1427"/>
    </row>
    <row r="127" spans="2:18" ht="18.75" customHeight="1" x14ac:dyDescent="0.3">
      <c r="B127" s="1240">
        <v>7</v>
      </c>
      <c r="C127" s="515"/>
      <c r="D127" s="1189"/>
      <c r="E127" s="528"/>
      <c r="F127" s="528"/>
      <c r="G127" s="528"/>
      <c r="H127" s="1239"/>
      <c r="I127" s="528"/>
      <c r="J127" s="528"/>
      <c r="K127" s="528"/>
      <c r="L127" s="528"/>
      <c r="M127" s="528"/>
      <c r="N127" s="528"/>
      <c r="O127" s="1425"/>
      <c r="P127" s="1426"/>
      <c r="Q127" s="1427"/>
    </row>
    <row r="128" spans="2:18" ht="18.75" customHeight="1" x14ac:dyDescent="0.3">
      <c r="B128" s="1240">
        <v>8</v>
      </c>
      <c r="C128" s="515"/>
      <c r="D128" s="1189"/>
      <c r="E128" s="528"/>
      <c r="F128" s="528"/>
      <c r="G128" s="528"/>
      <c r="H128" s="528"/>
      <c r="I128" s="528"/>
      <c r="J128" s="528"/>
      <c r="K128" s="528"/>
      <c r="L128" s="528"/>
      <c r="M128" s="528"/>
      <c r="N128" s="528"/>
      <c r="O128" s="1425"/>
      <c r="P128" s="1426"/>
      <c r="Q128" s="1427"/>
    </row>
    <row r="129" spans="2:17" ht="18.75" customHeight="1" x14ac:dyDescent="0.3">
      <c r="B129" s="1240">
        <v>9</v>
      </c>
      <c r="C129" s="515"/>
      <c r="D129" s="1189"/>
      <c r="E129" s="1240"/>
      <c r="F129" s="1240"/>
      <c r="G129" s="1240"/>
      <c r="H129" s="1240"/>
      <c r="I129" s="528"/>
      <c r="J129" s="528"/>
      <c r="K129" s="528"/>
      <c r="L129" s="528"/>
      <c r="M129" s="528"/>
      <c r="N129" s="528"/>
      <c r="O129" s="1425"/>
      <c r="P129" s="1426"/>
      <c r="Q129" s="1427"/>
    </row>
    <row r="130" spans="2:17" ht="18.75" customHeight="1" x14ac:dyDescent="0.3">
      <c r="B130" s="1240">
        <v>10</v>
      </c>
      <c r="C130" s="515"/>
      <c r="D130" s="1189"/>
      <c r="E130" s="1240"/>
      <c r="F130" s="1240"/>
      <c r="G130" s="1240"/>
      <c r="H130" s="1240"/>
      <c r="I130" s="528"/>
      <c r="J130" s="528"/>
      <c r="K130" s="528"/>
      <c r="L130" s="528"/>
      <c r="M130" s="528"/>
      <c r="N130" s="528"/>
      <c r="O130" s="1425"/>
      <c r="P130" s="1426"/>
      <c r="Q130" s="1427"/>
    </row>
    <row r="131" spans="2:17" ht="18.75" customHeight="1" x14ac:dyDescent="0.3">
      <c r="B131" s="1240">
        <v>11</v>
      </c>
      <c r="C131" s="515"/>
      <c r="D131" s="1189"/>
      <c r="E131" s="1239"/>
      <c r="F131" s="1239"/>
      <c r="G131" s="529"/>
      <c r="H131" s="529"/>
      <c r="I131" s="528"/>
      <c r="J131" s="528"/>
      <c r="K131" s="528"/>
      <c r="L131" s="528"/>
      <c r="M131" s="528"/>
      <c r="N131" s="528"/>
      <c r="O131" s="1425"/>
      <c r="P131" s="1426"/>
      <c r="Q131" s="1427"/>
    </row>
    <row r="132" spans="2:17" ht="18.75" customHeight="1" x14ac:dyDescent="0.3">
      <c r="B132" s="1240">
        <v>12</v>
      </c>
      <c r="C132" s="515"/>
      <c r="D132" s="1189"/>
      <c r="E132" s="1240"/>
      <c r="F132" s="1239"/>
      <c r="G132" s="1240"/>
      <c r="H132" s="1240"/>
      <c r="I132" s="528"/>
      <c r="J132" s="528"/>
      <c r="K132" s="528"/>
      <c r="L132" s="528"/>
      <c r="M132" s="528"/>
      <c r="N132" s="528"/>
      <c r="O132" s="1425"/>
      <c r="P132" s="1426"/>
      <c r="Q132" s="1427"/>
    </row>
    <row r="133" spans="2:17" ht="18.75" customHeight="1" x14ac:dyDescent="0.3">
      <c r="B133" s="1240">
        <v>13</v>
      </c>
      <c r="C133" s="515"/>
      <c r="D133" s="1189"/>
      <c r="E133" s="1240"/>
      <c r="F133" s="1240"/>
      <c r="G133" s="1240"/>
      <c r="H133" s="1240"/>
      <c r="I133" s="528"/>
      <c r="J133" s="528"/>
      <c r="K133" s="528"/>
      <c r="L133" s="528"/>
      <c r="M133" s="528"/>
      <c r="N133" s="528"/>
      <c r="O133" s="1425"/>
      <c r="P133" s="1426"/>
      <c r="Q133" s="1427"/>
    </row>
    <row r="134" spans="2:17" ht="18.75" customHeight="1" x14ac:dyDescent="0.3">
      <c r="B134" s="1240">
        <v>14</v>
      </c>
      <c r="C134" s="515"/>
      <c r="D134" s="1189"/>
      <c r="E134" s="530"/>
      <c r="F134" s="530"/>
      <c r="G134" s="530"/>
      <c r="H134" s="530"/>
      <c r="I134" s="528"/>
      <c r="J134" s="528"/>
      <c r="K134" s="528"/>
      <c r="L134" s="528"/>
      <c r="M134" s="528"/>
      <c r="N134" s="528"/>
      <c r="O134" s="1425"/>
      <c r="P134" s="1426"/>
      <c r="Q134" s="1427"/>
    </row>
    <row r="135" spans="2:17" ht="18.75" customHeight="1" x14ac:dyDescent="0.3">
      <c r="B135" s="1240">
        <v>15</v>
      </c>
      <c r="C135" s="515"/>
      <c r="D135" s="1189"/>
      <c r="E135" s="530"/>
      <c r="F135" s="530"/>
      <c r="G135" s="530"/>
      <c r="H135" s="530"/>
      <c r="I135" s="528"/>
      <c r="J135" s="528"/>
      <c r="K135" s="528"/>
      <c r="L135" s="528"/>
      <c r="M135" s="528"/>
      <c r="N135" s="528"/>
      <c r="O135" s="1425"/>
      <c r="P135" s="1426"/>
      <c r="Q135" s="1427"/>
    </row>
    <row r="136" spans="2:17" ht="18.75" customHeight="1" x14ac:dyDescent="0.3">
      <c r="B136" s="1240">
        <v>16</v>
      </c>
      <c r="C136" s="515"/>
      <c r="D136" s="1189"/>
      <c r="E136" s="530"/>
      <c r="F136" s="530"/>
      <c r="G136" s="530"/>
      <c r="H136" s="530"/>
      <c r="I136" s="528"/>
      <c r="J136" s="528"/>
      <c r="K136" s="528"/>
      <c r="L136" s="528"/>
      <c r="M136" s="528"/>
      <c r="N136" s="528"/>
      <c r="O136" s="1425"/>
      <c r="P136" s="1426"/>
      <c r="Q136" s="1427"/>
    </row>
    <row r="137" spans="2:17" ht="18.75" customHeight="1" x14ac:dyDescent="0.3">
      <c r="B137" s="1240">
        <v>17</v>
      </c>
      <c r="C137" s="515"/>
      <c r="D137" s="1189"/>
      <c r="E137" s="530"/>
      <c r="F137" s="530"/>
      <c r="G137" s="530"/>
      <c r="H137" s="530"/>
      <c r="I137" s="528"/>
      <c r="J137" s="528"/>
      <c r="K137" s="528"/>
      <c r="L137" s="528"/>
      <c r="M137" s="528"/>
      <c r="N137" s="528"/>
      <c r="O137" s="1425"/>
      <c r="P137" s="1426"/>
      <c r="Q137" s="1427"/>
    </row>
    <row r="138" spans="2:17" ht="18.75" customHeight="1" x14ac:dyDescent="0.3">
      <c r="B138" s="1240">
        <v>18</v>
      </c>
      <c r="C138" s="515"/>
      <c r="D138" s="1189"/>
      <c r="E138" s="530"/>
      <c r="F138" s="530"/>
      <c r="G138" s="530"/>
      <c r="H138" s="530"/>
      <c r="I138" s="528"/>
      <c r="J138" s="528"/>
      <c r="K138" s="528"/>
      <c r="L138" s="528"/>
      <c r="M138" s="528"/>
      <c r="N138" s="528"/>
      <c r="O138" s="1425"/>
      <c r="P138" s="1426"/>
      <c r="Q138" s="1427"/>
    </row>
    <row r="139" spans="2:17" ht="18.75" customHeight="1" x14ac:dyDescent="0.3">
      <c r="B139" s="1240">
        <v>19</v>
      </c>
      <c r="C139" s="515"/>
      <c r="D139" s="1189"/>
      <c r="E139" s="530"/>
      <c r="F139" s="530"/>
      <c r="G139" s="530"/>
      <c r="H139" s="530"/>
      <c r="I139" s="528"/>
      <c r="J139" s="528"/>
      <c r="K139" s="528"/>
      <c r="L139" s="528"/>
      <c r="M139" s="528"/>
      <c r="N139" s="528"/>
      <c r="O139" s="1425"/>
      <c r="P139" s="1426"/>
      <c r="Q139" s="1427"/>
    </row>
    <row r="140" spans="2:17" ht="18.75" customHeight="1" x14ac:dyDescent="0.3">
      <c r="B140" s="1240">
        <v>20</v>
      </c>
      <c r="C140" s="515"/>
      <c r="D140" s="1189"/>
      <c r="E140" s="530"/>
      <c r="F140" s="530"/>
      <c r="G140" s="530"/>
      <c r="H140" s="530"/>
      <c r="I140" s="528"/>
      <c r="J140" s="528"/>
      <c r="K140" s="528"/>
      <c r="L140" s="528"/>
      <c r="M140" s="528"/>
      <c r="N140" s="528"/>
      <c r="O140" s="1425"/>
      <c r="P140" s="1426"/>
      <c r="Q140" s="1427"/>
    </row>
  </sheetData>
  <sheetProtection algorithmName="SHA-512" hashValue="sCFCQ9riFeJGObrRwfiVOQO9t0Tw9M2qBWwHiKmZCDfAf/Sg2c5MU7wYT/19TW7adFW6rCfbP7h1tHXW8LkPFg==" saltValue="roJ/LDz0+Lu9nH2w0MmmPw==" spinCount="100000" sheet="1" objects="1" scenarios="1" selectLockedCells="1" selectUnlockedCells="1"/>
  <mergeCells count="145">
    <mergeCell ref="O137:Q137"/>
    <mergeCell ref="O138:Q138"/>
    <mergeCell ref="O139:Q139"/>
    <mergeCell ref="O140:Q140"/>
    <mergeCell ref="O131:Q131"/>
    <mergeCell ref="O132:Q132"/>
    <mergeCell ref="O133:Q133"/>
    <mergeCell ref="O134:Q134"/>
    <mergeCell ref="O135:Q135"/>
    <mergeCell ref="O136:Q136"/>
    <mergeCell ref="O125:Q125"/>
    <mergeCell ref="O126:Q126"/>
    <mergeCell ref="O127:Q127"/>
    <mergeCell ref="O128:Q128"/>
    <mergeCell ref="O129:Q129"/>
    <mergeCell ref="O130:Q130"/>
    <mergeCell ref="B119:D119"/>
    <mergeCell ref="C120:D120"/>
    <mergeCell ref="O121:Q121"/>
    <mergeCell ref="O122:Q122"/>
    <mergeCell ref="O123:Q123"/>
    <mergeCell ref="O124:Q124"/>
    <mergeCell ref="O113:Q113"/>
    <mergeCell ref="O114:Q114"/>
    <mergeCell ref="O115:Q115"/>
    <mergeCell ref="O116:Q116"/>
    <mergeCell ref="E118:N118"/>
    <mergeCell ref="O118:Q120"/>
    <mergeCell ref="O107:Q107"/>
    <mergeCell ref="O108:Q108"/>
    <mergeCell ref="O109:Q109"/>
    <mergeCell ref="O110:Q110"/>
    <mergeCell ref="O111:Q111"/>
    <mergeCell ref="O112:Q112"/>
    <mergeCell ref="O101:Q101"/>
    <mergeCell ref="O102:Q102"/>
    <mergeCell ref="O103:Q103"/>
    <mergeCell ref="O104:Q104"/>
    <mergeCell ref="O105:Q105"/>
    <mergeCell ref="O106:Q106"/>
    <mergeCell ref="B95:D95"/>
    <mergeCell ref="C96:D96"/>
    <mergeCell ref="O97:Q97"/>
    <mergeCell ref="O98:Q98"/>
    <mergeCell ref="O99:Q99"/>
    <mergeCell ref="O100:Q100"/>
    <mergeCell ref="F86:Q86"/>
    <mergeCell ref="F87:Q87"/>
    <mergeCell ref="F88:Q88"/>
    <mergeCell ref="F89:Q89"/>
    <mergeCell ref="F90:Q90"/>
    <mergeCell ref="E94:N94"/>
    <mergeCell ref="O94:Q96"/>
    <mergeCell ref="F80:Q80"/>
    <mergeCell ref="F81:Q81"/>
    <mergeCell ref="F82:Q82"/>
    <mergeCell ref="F83:Q83"/>
    <mergeCell ref="F84:Q84"/>
    <mergeCell ref="F85:Q85"/>
    <mergeCell ref="D75:E75"/>
    <mergeCell ref="J75:Q75"/>
    <mergeCell ref="D76:E76"/>
    <mergeCell ref="J76:Q76"/>
    <mergeCell ref="D73:E73"/>
    <mergeCell ref="J73:Q73"/>
    <mergeCell ref="D72:E72"/>
    <mergeCell ref="J72:Q72"/>
    <mergeCell ref="D74:E74"/>
    <mergeCell ref="J74:Q74"/>
    <mergeCell ref="D70:E70"/>
    <mergeCell ref="J70:Q70"/>
    <mergeCell ref="D63:E63"/>
    <mergeCell ref="J63:Q63"/>
    <mergeCell ref="D71:E71"/>
    <mergeCell ref="J71:Q71"/>
    <mergeCell ref="D65:E65"/>
    <mergeCell ref="J65:Q65"/>
    <mergeCell ref="D68:E68"/>
    <mergeCell ref="J68:Q68"/>
    <mergeCell ref="D69:E69"/>
    <mergeCell ref="J69:Q69"/>
    <mergeCell ref="D67:E67"/>
    <mergeCell ref="J67:Q67"/>
    <mergeCell ref="D62:E62"/>
    <mergeCell ref="J62:Q62"/>
    <mergeCell ref="D64:E64"/>
    <mergeCell ref="J64:Q64"/>
    <mergeCell ref="D66:E66"/>
    <mergeCell ref="J66:Q66"/>
    <mergeCell ref="C56:M56"/>
    <mergeCell ref="P56:Q56"/>
    <mergeCell ref="C57:M57"/>
    <mergeCell ref="P57:Q57"/>
    <mergeCell ref="D61:E61"/>
    <mergeCell ref="J61:Q61"/>
    <mergeCell ref="C53:M53"/>
    <mergeCell ref="P53:Q53"/>
    <mergeCell ref="C54:M54"/>
    <mergeCell ref="P54:Q54"/>
    <mergeCell ref="C55:M55"/>
    <mergeCell ref="P55:Q55"/>
    <mergeCell ref="C49:M49"/>
    <mergeCell ref="P49:Q49"/>
    <mergeCell ref="C50:M50"/>
    <mergeCell ref="P50:Q50"/>
    <mergeCell ref="C51:M51"/>
    <mergeCell ref="P51:Q51"/>
    <mergeCell ref="C45:M45"/>
    <mergeCell ref="P45:Q45"/>
    <mergeCell ref="C47:M47"/>
    <mergeCell ref="P47:Q47"/>
    <mergeCell ref="C48:M48"/>
    <mergeCell ref="P48:Q48"/>
    <mergeCell ref="C42:M42"/>
    <mergeCell ref="P42:Q42"/>
    <mergeCell ref="C43:M43"/>
    <mergeCell ref="P43:Q43"/>
    <mergeCell ref="C44:M44"/>
    <mergeCell ref="P44:Q44"/>
    <mergeCell ref="E34:Q34"/>
    <mergeCell ref="E35:Q35"/>
    <mergeCell ref="E36:Q36"/>
    <mergeCell ref="E37:Q37"/>
    <mergeCell ref="C41:M41"/>
    <mergeCell ref="P41:Q41"/>
    <mergeCell ref="D25:Q25"/>
    <mergeCell ref="D26:Q26"/>
    <mergeCell ref="D27:Q27"/>
    <mergeCell ref="D28:Q28"/>
    <mergeCell ref="E32:Q32"/>
    <mergeCell ref="E33:Q33"/>
    <mergeCell ref="D29:Q29"/>
    <mergeCell ref="D30:Q30"/>
    <mergeCell ref="D17:F17"/>
    <mergeCell ref="D18:F18"/>
    <mergeCell ref="B20:Q20"/>
    <mergeCell ref="C21:Q21"/>
    <mergeCell ref="C22:Q22"/>
    <mergeCell ref="C23:Q23"/>
    <mergeCell ref="C2:F2"/>
    <mergeCell ref="C3:F3"/>
    <mergeCell ref="C4:F4"/>
    <mergeCell ref="C5:F5"/>
    <mergeCell ref="D7:F7"/>
    <mergeCell ref="D8:F16"/>
  </mergeCells>
  <conditionalFormatting sqref="H65:H67">
    <cfRule type="expression" dxfId="1821" priority="63">
      <formula>IF(OR(#REF!="L",#REF!="C"),TRUE,FALSE)</formula>
    </cfRule>
  </conditionalFormatting>
  <conditionalFormatting sqref="H68">
    <cfRule type="expression" dxfId="1820" priority="60">
      <formula>IF(OR(#REF!="L",#REF!="C"),TRUE,FALSE)</formula>
    </cfRule>
  </conditionalFormatting>
  <conditionalFormatting sqref="H69">
    <cfRule type="expression" dxfId="1819" priority="59">
      <formula>IF(OR(#REF!="L",#REF!="C"),TRUE,FALSE)</formula>
    </cfRule>
  </conditionalFormatting>
  <conditionalFormatting sqref="H70">
    <cfRule type="expression" dxfId="1818" priority="58">
      <formula>IF(OR(#REF!="L",#REF!="C"),TRUE,FALSE)</formula>
    </cfRule>
  </conditionalFormatting>
  <conditionalFormatting sqref="H63">
    <cfRule type="expression" dxfId="1817" priority="57">
      <formula>IF(OR(#REF!="L",#REF!="C"),TRUE,FALSE)</formula>
    </cfRule>
  </conditionalFormatting>
  <conditionalFormatting sqref="H71:H72">
    <cfRule type="expression" dxfId="1816" priority="56">
      <formula>IF(OR(#REF!="L",#REF!="C"),TRUE,FALSE)</formula>
    </cfRule>
  </conditionalFormatting>
  <conditionalFormatting sqref="F109:F116 G102:G116 H104:H116">
    <cfRule type="expression" dxfId="1815" priority="55">
      <formula>IF(OR(#REF!="L",#REF!="C"),TRUE,FALSE)</formula>
    </cfRule>
  </conditionalFormatting>
  <conditionalFormatting sqref="E110:E116">
    <cfRule type="expression" dxfId="1814" priority="54">
      <formula>IF(OR(#REF!="L",#REF!="C"),TRUE,FALSE)</formula>
    </cfRule>
  </conditionalFormatting>
  <conditionalFormatting sqref="E109">
    <cfRule type="expression" dxfId="1813" priority="51">
      <formula>IF(OR(#REF!="L",#REF!="C"),TRUE,FALSE)</formula>
    </cfRule>
  </conditionalFormatting>
  <conditionalFormatting sqref="E95 G95 I95 K95 M95">
    <cfRule type="duplicateValues" dxfId="1812" priority="49"/>
  </conditionalFormatting>
  <conditionalFormatting sqref="M104:M116">
    <cfRule type="expression" dxfId="1811" priority="39">
      <formula>IF(OR(#REF!="L",#REF!="C"),TRUE,FALSE)</formula>
    </cfRule>
  </conditionalFormatting>
  <conditionalFormatting sqref="F102:F106">
    <cfRule type="expression" dxfId="1810" priority="48">
      <formula>IF(OR(#REF!="L",#REF!="C"),TRUE,FALSE)</formula>
    </cfRule>
  </conditionalFormatting>
  <conditionalFormatting sqref="I102:I103">
    <cfRule type="expression" dxfId="1809" priority="46">
      <formula>IF(OR(#REF!="L",#REF!="C"),TRUE,FALSE)</formula>
    </cfRule>
  </conditionalFormatting>
  <conditionalFormatting sqref="N102:N103">
    <cfRule type="expression" dxfId="1808" priority="36">
      <formula>IF(OR(#REF!="L",#REF!="C"),TRUE,FALSE)</formula>
    </cfRule>
  </conditionalFormatting>
  <conditionalFormatting sqref="I104:I116">
    <cfRule type="expression" dxfId="1807" priority="47">
      <formula>IF(OR(#REF!="L",#REF!="C"),TRUE,FALSE)</formula>
    </cfRule>
  </conditionalFormatting>
  <conditionalFormatting sqref="J102:J103">
    <cfRule type="expression" dxfId="1806" priority="44">
      <formula>IF(OR(#REF!="L",#REF!="C"),TRUE,FALSE)</formula>
    </cfRule>
  </conditionalFormatting>
  <conditionalFormatting sqref="J104:J116">
    <cfRule type="expression" dxfId="1805" priority="45">
      <formula>IF(OR(#REF!="L",#REF!="C"),TRUE,FALSE)</formula>
    </cfRule>
  </conditionalFormatting>
  <conditionalFormatting sqref="K102:K103">
    <cfRule type="expression" dxfId="1804" priority="42">
      <formula>IF(OR(#REF!="L",#REF!="C"),TRUE,FALSE)</formula>
    </cfRule>
  </conditionalFormatting>
  <conditionalFormatting sqref="K104:K116">
    <cfRule type="expression" dxfId="1803" priority="43">
      <formula>IF(OR(#REF!="L",#REF!="C"),TRUE,FALSE)</formula>
    </cfRule>
  </conditionalFormatting>
  <conditionalFormatting sqref="L102:L103">
    <cfRule type="expression" dxfId="1802" priority="40">
      <formula>IF(OR(#REF!="L",#REF!="C"),TRUE,FALSE)</formula>
    </cfRule>
  </conditionalFormatting>
  <conditionalFormatting sqref="L104:L116">
    <cfRule type="expression" dxfId="1801" priority="41">
      <formula>IF(OR(#REF!="L",#REF!="C"),TRUE,FALSE)</formula>
    </cfRule>
  </conditionalFormatting>
  <conditionalFormatting sqref="M102:M103">
    <cfRule type="expression" dxfId="1800" priority="38">
      <formula>IF(OR(#REF!="L",#REF!="C"),TRUE,FALSE)</formula>
    </cfRule>
  </conditionalFormatting>
  <conditionalFormatting sqref="N104:N116">
    <cfRule type="expression" dxfId="1799" priority="37">
      <formula>IF(OR(#REF!="L",#REF!="C"),TRUE,FALSE)</formula>
    </cfRule>
  </conditionalFormatting>
  <conditionalFormatting sqref="H64:H65">
    <cfRule type="expression" dxfId="1798" priority="35">
      <formula>IF(OR(#REF!="L",#REF!="C"),TRUE,FALSE)</formula>
    </cfRule>
  </conditionalFormatting>
  <conditionalFormatting sqref="O109:O116">
    <cfRule type="expression" dxfId="1797" priority="34">
      <formula>IF(OR(#REF!="L",#REF!="C"),TRUE,FALSE)</formula>
    </cfRule>
  </conditionalFormatting>
  <conditionalFormatting sqref="F96:N96">
    <cfRule type="duplicateValues" dxfId="1796" priority="32"/>
  </conditionalFormatting>
  <conditionalFormatting sqref="H62:H63">
    <cfRule type="expression" dxfId="1795" priority="31">
      <formula>IF(OR(#REF!="L",#REF!="C"),TRUE,FALSE)</formula>
    </cfRule>
  </conditionalFormatting>
  <conditionalFormatting sqref="H72">
    <cfRule type="expression" dxfId="1794" priority="30">
      <formula>IF(OR(#REF!="L",#REF!="C"),TRUE,FALSE)</formula>
    </cfRule>
  </conditionalFormatting>
  <conditionalFormatting sqref="H76">
    <cfRule type="expression" dxfId="1793" priority="26">
      <formula>IF(OR(#REF!="L",#REF!="C"),TRUE,FALSE)</formula>
    </cfRule>
  </conditionalFormatting>
  <conditionalFormatting sqref="H67">
    <cfRule type="expression" dxfId="1792" priority="28">
      <formula>IF(OR(#REF!="L",#REF!="C"),TRUE,FALSE)</formula>
    </cfRule>
  </conditionalFormatting>
  <conditionalFormatting sqref="H75">
    <cfRule type="expression" dxfId="1791" priority="27">
      <formula>IF(OR(#REF!="L",#REF!="C"),TRUE,FALSE)</formula>
    </cfRule>
  </conditionalFormatting>
  <conditionalFormatting sqref="F133:F140 G126:G140 H128:H140">
    <cfRule type="expression" dxfId="1790" priority="25">
      <formula>IF(OR(#REF!="L",#REF!="C"),TRUE,FALSE)</formula>
    </cfRule>
  </conditionalFormatting>
  <conditionalFormatting sqref="E134:E140">
    <cfRule type="expression" dxfId="1789" priority="24">
      <formula>IF(OR(#REF!="L",#REF!="C"),TRUE,FALSE)</formula>
    </cfRule>
  </conditionalFormatting>
  <conditionalFormatting sqref="E132">
    <cfRule type="expression" dxfId="1788" priority="23">
      <formula>IF(OR(#REF!="L",#REF!="C"),TRUE,FALSE)</formula>
    </cfRule>
  </conditionalFormatting>
  <conditionalFormatting sqref="E133">
    <cfRule type="expression" dxfId="1787" priority="22">
      <formula>IF(OR(#REF!="L",#REF!="C"),TRUE,FALSE)</formula>
    </cfRule>
  </conditionalFormatting>
  <conditionalFormatting sqref="E119 G119 I119 K119 M119">
    <cfRule type="duplicateValues" dxfId="1786" priority="21"/>
  </conditionalFormatting>
  <conditionalFormatting sqref="M128:M140">
    <cfRule type="expression" dxfId="1785" priority="11">
      <formula>IF(OR(#REF!="L",#REF!="C"),TRUE,FALSE)</formula>
    </cfRule>
  </conditionalFormatting>
  <conditionalFormatting sqref="E126:F130">
    <cfRule type="expression" dxfId="1784" priority="20">
      <formula>IF(OR(#REF!="L",#REF!="C"),TRUE,FALSE)</formula>
    </cfRule>
  </conditionalFormatting>
  <conditionalFormatting sqref="I126:I127">
    <cfRule type="expression" dxfId="1783" priority="18">
      <formula>IF(OR(#REF!="L",#REF!="C"),TRUE,FALSE)</formula>
    </cfRule>
  </conditionalFormatting>
  <conditionalFormatting sqref="N126:N127">
    <cfRule type="expression" dxfId="1782" priority="8">
      <formula>IF(OR(#REF!="L",#REF!="C"),TRUE,FALSE)</formula>
    </cfRule>
  </conditionalFormatting>
  <conditionalFormatting sqref="I128:I140">
    <cfRule type="expression" dxfId="1781" priority="19">
      <formula>IF(OR(#REF!="L",#REF!="C"),TRUE,FALSE)</formula>
    </cfRule>
  </conditionalFormatting>
  <conditionalFormatting sqref="J126:J127">
    <cfRule type="expression" dxfId="1780" priority="16">
      <formula>IF(OR(#REF!="L",#REF!="C"),TRUE,FALSE)</formula>
    </cfRule>
  </conditionalFormatting>
  <conditionalFormatting sqref="J128:J140">
    <cfRule type="expression" dxfId="1779" priority="17">
      <formula>IF(OR(#REF!="L",#REF!="C"),TRUE,FALSE)</formula>
    </cfRule>
  </conditionalFormatting>
  <conditionalFormatting sqref="K126:K127">
    <cfRule type="expression" dxfId="1778" priority="14">
      <formula>IF(OR(#REF!="L",#REF!="C"),TRUE,FALSE)</formula>
    </cfRule>
  </conditionalFormatting>
  <conditionalFormatting sqref="K128:K140">
    <cfRule type="expression" dxfId="1777" priority="15">
      <formula>IF(OR(#REF!="L",#REF!="C"),TRUE,FALSE)</formula>
    </cfRule>
  </conditionalFormatting>
  <conditionalFormatting sqref="L126:L127">
    <cfRule type="expression" dxfId="1776" priority="12">
      <formula>IF(OR(#REF!="L",#REF!="C"),TRUE,FALSE)</formula>
    </cfRule>
  </conditionalFormatting>
  <conditionalFormatting sqref="L128:L140">
    <cfRule type="expression" dxfId="1775" priority="13">
      <formula>IF(OR(#REF!="L",#REF!="C"),TRUE,FALSE)</formula>
    </cfRule>
  </conditionalFormatting>
  <conditionalFormatting sqref="M126:M127">
    <cfRule type="expression" dxfId="1774" priority="10">
      <formula>IF(OR(#REF!="L",#REF!="C"),TRUE,FALSE)</formula>
    </cfRule>
  </conditionalFormatting>
  <conditionalFormatting sqref="N128:N140">
    <cfRule type="expression" dxfId="1773" priority="9">
      <formula>IF(OR(#REF!="L",#REF!="C"),TRUE,FALSE)</formula>
    </cfRule>
  </conditionalFormatting>
  <conditionalFormatting sqref="O126:O127">
    <cfRule type="expression" dxfId="1772" priority="6">
      <formula>IF(OR(#REF!="L",#REF!="C"),TRUE,FALSE)</formula>
    </cfRule>
  </conditionalFormatting>
  <conditionalFormatting sqref="O128:O140">
    <cfRule type="expression" dxfId="1771" priority="7">
      <formula>IF(OR(#REF!="L",#REF!="C"),TRUE,FALSE)</formula>
    </cfRule>
  </conditionalFormatting>
  <conditionalFormatting sqref="E120:N120">
    <cfRule type="duplicateValues" dxfId="1770" priority="5"/>
  </conditionalFormatting>
  <conditionalFormatting sqref="H74">
    <cfRule type="expression" dxfId="1769" priority="4">
      <formula>IF(OR(#REF!="L",#REF!="C"),TRUE,FALSE)</formula>
    </cfRule>
  </conditionalFormatting>
  <conditionalFormatting sqref="E102:E106">
    <cfRule type="expression" dxfId="1768" priority="3">
      <formula>IF(OR(#REF!="L",#REF!="C"),TRUE,FALSE)</formula>
    </cfRule>
  </conditionalFormatting>
  <conditionalFormatting sqref="E96">
    <cfRule type="duplicateValues" dxfId="1767" priority="2"/>
  </conditionalFormatting>
  <conditionalFormatting sqref="H73">
    <cfRule type="expression" dxfId="1766" priority="1">
      <formula>IF(OR(#REF!="L",#REF!="C"),TRUE,FALSE)</formula>
    </cfRule>
  </conditionalFormatting>
  <dataValidations count="7">
    <dataValidation type="list" allowBlank="1" showInputMessage="1" showErrorMessage="1" sqref="C4" xr:uid="{B1D5231E-6CE6-4AAF-83F7-217BFA7F7C63}">
      <formula1>"COM,RES"</formula1>
    </dataValidation>
    <dataValidation type="list" allowBlank="1" showInputMessage="1" showErrorMessage="1" sqref="H67" xr:uid="{F9A16A20-4053-40C4-9E93-8960FF905AC2}">
      <formula1>$C$121:$C$140</formula1>
    </dataValidation>
    <dataValidation type="list" allowBlank="1" showInputMessage="1" showErrorMessage="1" sqref="C9" xr:uid="{9D7F095F-F4F4-41C3-A5B1-98D5ADF3CF0B}">
      <formula1>INDIRECT("MeasureTypeList[Index]")</formula1>
    </dataValidation>
    <dataValidation type="list" allowBlank="1" showInputMessage="1" showErrorMessage="1" sqref="C26" xr:uid="{EEA3162E-54F8-454A-855C-75F154E7CFCB}">
      <formula1>INDIRECT("RegionList[Index]")</formula1>
    </dataValidation>
    <dataValidation type="list" allowBlank="1" showInputMessage="1" showErrorMessage="1" sqref="C27" xr:uid="{289BF715-DF59-4682-B74C-9F4B9391AFF1}">
      <formula1>INDIRECT("ReplacementTypeList[Index]")</formula1>
    </dataValidation>
    <dataValidation type="list" allowBlank="1" showInputMessage="1" showErrorMessage="1" sqref="C28" xr:uid="{88272329-A964-474E-A097-C87B0DAEA177}">
      <formula1>INDIRECT("BuildingType[Building]")</formula1>
    </dataValidation>
    <dataValidation type="list" allowBlank="1" showInputMessage="1" showErrorMessage="1" sqref="C29 C30" xr:uid="{87EBC66C-963C-4D46-A67F-CF6C153B9DB1}">
      <formula1>INDIRECT("FuelTypeList[Index]")</formula1>
    </dataValidation>
  </dataValidations>
  <hyperlinks>
    <hyperlink ref="F83" r:id="rId1" xr:uid="{4B6BF27F-EF1D-4E72-9E79-568B04143685}"/>
    <hyperlink ref="F85" r:id="rId2" xr:uid="{C8401E10-C485-4749-BF8B-350E5C929240}"/>
    <hyperlink ref="F84" r:id="rId3" xr:uid="{D34BFBAF-A63A-4EFB-A652-228780F891C9}"/>
    <hyperlink ref="F82" r:id="rId4" xr:uid="{C18FCA7C-1E64-4BEA-828B-22EF4AAB7EF7}"/>
  </hyperlinks>
  <pageMargins left="0.7" right="0.7" top="0.75" bottom="0.75" header="0.3" footer="0.3"/>
  <pageSetup orientation="portrait"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78704-2D3F-45BD-BCE2-CD682884347D}">
  <sheetPr codeName="Sheet33"/>
  <dimension ref="A2:R116"/>
  <sheetViews>
    <sheetView topLeftCell="A64" workbookViewId="0">
      <selection activeCell="C111" sqref="C111"/>
    </sheetView>
  </sheetViews>
  <sheetFormatPr defaultColWidth="9.08984375" defaultRowHeight="18.75" customHeight="1" x14ac:dyDescent="0.3"/>
  <cols>
    <col min="1" max="1" width="2.36328125" style="488" customWidth="1"/>
    <col min="2" max="2" width="44.36328125" style="488" bestFit="1" customWidth="1"/>
    <col min="3" max="3" width="31.08984375" style="488" customWidth="1"/>
    <col min="4" max="4" width="21.6328125" style="488" customWidth="1"/>
    <col min="5" max="5" width="15" style="488" customWidth="1"/>
    <col min="6" max="6" width="15.6328125" style="488" customWidth="1"/>
    <col min="7" max="7" width="19.6328125" style="488" customWidth="1"/>
    <col min="8" max="8" width="21.08984375"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C-R-011</v>
      </c>
      <c r="D3" s="1367"/>
      <c r="E3" s="1367"/>
      <c r="F3" s="1367"/>
    </row>
    <row r="4" spans="1:18" ht="18.75" customHeight="1" x14ac:dyDescent="0.3">
      <c r="B4" s="490" t="s">
        <v>11</v>
      </c>
      <c r="C4" s="1367" t="str" cm="1">
        <f t="array" ref="C4">_xlfn.SWITCH(LEFT(C8,1),"R","Residential","C","Commercial","ERROR")</f>
        <v>Commercial</v>
      </c>
      <c r="D4" s="1367"/>
      <c r="E4" s="1367"/>
      <c r="F4" s="1367"/>
    </row>
    <row r="5" spans="1:18" ht="19.5" customHeight="1" x14ac:dyDescent="0.3">
      <c r="B5" s="490" t="s">
        <v>408</v>
      </c>
      <c r="C5" s="1530" t="s">
        <v>304</v>
      </c>
      <c r="D5" s="1531"/>
      <c r="E5" s="1531"/>
      <c r="F5" s="1532"/>
      <c r="R5" s="488"/>
    </row>
    <row r="6" spans="1:18" ht="18.75" customHeight="1" x14ac:dyDescent="0.3">
      <c r="A6" s="573"/>
    </row>
    <row r="7" spans="1:18" ht="18.75" customHeight="1" x14ac:dyDescent="0.3">
      <c r="B7" s="1193" t="s">
        <v>409</v>
      </c>
      <c r="C7" s="1192" t="s">
        <v>406</v>
      </c>
      <c r="D7" s="1363" t="s">
        <v>410</v>
      </c>
      <c r="E7" s="1363"/>
      <c r="F7" s="1363"/>
      <c r="R7" s="488"/>
    </row>
    <row r="8" spans="1:18" ht="18.75" customHeight="1" x14ac:dyDescent="0.3">
      <c r="B8" s="490" t="s">
        <v>411</v>
      </c>
      <c r="C8" s="1218" t="s">
        <v>137</v>
      </c>
      <c r="D8" s="1957"/>
      <c r="E8" s="1957"/>
      <c r="F8" s="1957"/>
      <c r="R8" s="488"/>
    </row>
    <row r="9" spans="1:18" ht="18.75" customHeight="1" x14ac:dyDescent="0.3">
      <c r="B9" s="490" t="s">
        <v>49</v>
      </c>
      <c r="C9" s="1218" t="s">
        <v>1640</v>
      </c>
      <c r="D9" s="1957"/>
      <c r="E9" s="1957"/>
      <c r="F9" s="1957"/>
      <c r="R9" s="488"/>
    </row>
    <row r="10" spans="1:18" ht="18.75" customHeight="1" x14ac:dyDescent="0.3">
      <c r="B10" s="490" t="s">
        <v>412</v>
      </c>
      <c r="C10" s="1218"/>
      <c r="D10" s="1957"/>
      <c r="E10" s="1957"/>
      <c r="F10" s="1957"/>
      <c r="R10" s="488"/>
    </row>
    <row r="11" spans="1:18" ht="18.75" customHeight="1" x14ac:dyDescent="0.3">
      <c r="B11" s="490" t="s">
        <v>413</v>
      </c>
      <c r="C11" s="1218"/>
      <c r="D11" s="1957"/>
      <c r="E11" s="1957"/>
      <c r="F11" s="1957"/>
      <c r="R11" s="488"/>
    </row>
    <row r="12" spans="1:18" ht="18.75" customHeight="1" x14ac:dyDescent="0.3">
      <c r="B12" s="490" t="s">
        <v>414</v>
      </c>
      <c r="C12" s="665"/>
      <c r="D12" s="1957"/>
      <c r="E12" s="1957"/>
      <c r="F12" s="1957"/>
      <c r="R12" s="488"/>
    </row>
    <row r="13" spans="1:18" ht="18.75" customHeight="1" x14ac:dyDescent="0.3">
      <c r="B13" s="494" t="s">
        <v>415</v>
      </c>
      <c r="C13" s="658">
        <f>N43</f>
        <v>840</v>
      </c>
      <c r="D13" s="1957"/>
      <c r="E13" s="1957"/>
      <c r="F13" s="1957"/>
      <c r="R13" s="488"/>
    </row>
    <row r="14" spans="1:18" ht="18.75" customHeight="1" x14ac:dyDescent="0.3">
      <c r="B14" s="494" t="s">
        <v>416</v>
      </c>
      <c r="C14" s="658">
        <f>N42</f>
        <v>0</v>
      </c>
      <c r="D14" s="1957"/>
      <c r="E14" s="1957"/>
      <c r="F14" s="1957"/>
      <c r="R14" s="488"/>
    </row>
    <row r="15" spans="1:18" ht="18.75" customHeight="1" x14ac:dyDescent="0.3">
      <c r="B15" s="494" t="s">
        <v>417</v>
      </c>
      <c r="C15" s="658">
        <f>N44</f>
        <v>0</v>
      </c>
      <c r="D15" s="1957"/>
      <c r="E15" s="1957"/>
      <c r="F15" s="1957"/>
      <c r="R15" s="488"/>
    </row>
    <row r="16" spans="1:18" ht="18.75" customHeight="1" x14ac:dyDescent="0.3">
      <c r="B16" s="494" t="s">
        <v>418</v>
      </c>
      <c r="C16" s="659">
        <f>C37</f>
        <v>0</v>
      </c>
      <c r="D16" s="1957"/>
      <c r="E16" s="1957"/>
      <c r="F16" s="1957"/>
      <c r="R16" s="488"/>
    </row>
    <row r="17" spans="2:18" ht="18.75" customHeight="1" x14ac:dyDescent="0.3">
      <c r="B17" s="490" t="s">
        <v>48</v>
      </c>
      <c r="C17" s="1218" t="s">
        <v>1641</v>
      </c>
      <c r="D17" s="1363" t="s">
        <v>419</v>
      </c>
      <c r="E17" s="1363"/>
      <c r="F17" s="1363"/>
      <c r="R17" s="488"/>
    </row>
    <row r="18" spans="2:18" ht="18.75" customHeight="1" x14ac:dyDescent="0.3">
      <c r="B18" s="490" t="s">
        <v>420</v>
      </c>
      <c r="C18" s="666">
        <v>12</v>
      </c>
      <c r="D18" s="1513" t="s">
        <v>1669</v>
      </c>
      <c r="E18" s="1513"/>
      <c r="F18" s="1513"/>
      <c r="R18" s="488"/>
    </row>
    <row r="19" spans="2:18" ht="18.75" customHeight="1" x14ac:dyDescent="0.3">
      <c r="B19" s="497"/>
      <c r="C19" s="576"/>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13" x14ac:dyDescent="0.3">
      <c r="B21" s="499" t="s">
        <v>422</v>
      </c>
      <c r="C21" s="1546" t="s">
        <v>305</v>
      </c>
      <c r="D21" s="1546"/>
      <c r="E21" s="1546"/>
      <c r="F21" s="1546"/>
      <c r="G21" s="1546"/>
      <c r="H21" s="1546"/>
      <c r="I21" s="1546"/>
      <c r="J21" s="1546"/>
      <c r="K21" s="1546"/>
      <c r="L21" s="1546"/>
      <c r="M21" s="1546"/>
      <c r="N21" s="1546"/>
      <c r="O21" s="1546"/>
      <c r="P21" s="1546"/>
      <c r="Q21" s="1546"/>
      <c r="R21" s="488"/>
    </row>
    <row r="22" spans="2:18" ht="32.25" customHeight="1" x14ac:dyDescent="0.3">
      <c r="B22" s="500" t="s">
        <v>423</v>
      </c>
      <c r="C22" s="1536" t="s">
        <v>306</v>
      </c>
      <c r="D22" s="2012"/>
      <c r="E22" s="2012"/>
      <c r="F22" s="2012"/>
      <c r="G22" s="2012"/>
      <c r="H22" s="2012"/>
      <c r="I22" s="2012"/>
      <c r="J22" s="2012"/>
      <c r="K22" s="2012"/>
      <c r="L22" s="2012"/>
      <c r="M22" s="2012"/>
      <c r="N22" s="2012"/>
      <c r="O22" s="2012"/>
      <c r="P22" s="2012"/>
      <c r="Q22" s="2012"/>
      <c r="R22" s="488"/>
    </row>
    <row r="23" spans="2:18" ht="18.75" customHeight="1"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512"/>
      <c r="F33" s="1512"/>
      <c r="G33" s="1512"/>
      <c r="H33" s="1512"/>
      <c r="I33" s="1512"/>
      <c r="J33" s="1512"/>
      <c r="K33" s="1512"/>
      <c r="L33" s="1512"/>
      <c r="M33" s="1512"/>
      <c r="N33" s="1512"/>
      <c r="O33" s="1512"/>
      <c r="P33" s="1512"/>
      <c r="Q33" s="1512"/>
      <c r="R33" s="488"/>
    </row>
    <row r="34" spans="2:18" ht="18.75" customHeight="1" x14ac:dyDescent="0.3">
      <c r="B34" s="494" t="s">
        <v>431</v>
      </c>
      <c r="C34" s="542"/>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504">
        <f>SUM(C33:C34)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504">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840</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1825</v>
      </c>
      <c r="D49" s="1505"/>
      <c r="E49" s="1505"/>
      <c r="F49" s="1505"/>
      <c r="G49" s="1505"/>
      <c r="H49" s="1505"/>
      <c r="I49" s="1505"/>
      <c r="J49" s="1505"/>
      <c r="K49" s="1505"/>
      <c r="L49" s="1505"/>
      <c r="M49" s="1506"/>
      <c r="N49" s="592">
        <f>H64</f>
        <v>840</v>
      </c>
      <c r="O49" s="1243" t="s">
        <v>443</v>
      </c>
      <c r="P49" s="1511"/>
      <c r="Q49" s="1511"/>
      <c r="R49" s="488"/>
    </row>
    <row r="50" spans="2:18" ht="18.75" customHeight="1" x14ac:dyDescent="0.3">
      <c r="B50" s="582" t="s">
        <v>456</v>
      </c>
      <c r="C50" s="1504" t="s">
        <v>457</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467</v>
      </c>
      <c r="D56" s="1505"/>
      <c r="E56" s="1505"/>
      <c r="F56" s="1505"/>
      <c r="G56" s="1505"/>
      <c r="H56" s="1505"/>
      <c r="I56" s="1505"/>
      <c r="J56" s="1505"/>
      <c r="K56" s="1505"/>
      <c r="L56" s="1505"/>
      <c r="M56" s="1506"/>
      <c r="N56" s="594"/>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1188" t="s">
        <v>406</v>
      </c>
      <c r="I61" s="1188" t="s">
        <v>428</v>
      </c>
      <c r="J61" s="1396" t="s">
        <v>476</v>
      </c>
      <c r="K61" s="1397"/>
      <c r="L61" s="1397"/>
      <c r="M61" s="1397"/>
      <c r="N61" s="1397"/>
      <c r="O61" s="1397"/>
      <c r="P61" s="1397"/>
      <c r="Q61" s="1398"/>
    </row>
    <row r="62" spans="2:18" ht="26" x14ac:dyDescent="0.3">
      <c r="B62" s="533">
        <v>1</v>
      </c>
      <c r="C62" s="546" t="s">
        <v>1672</v>
      </c>
      <c r="D62" s="1539" t="s">
        <v>1673</v>
      </c>
      <c r="E62" s="1539"/>
      <c r="F62" s="1217"/>
      <c r="G62" s="1217"/>
      <c r="H62" s="609" t="s">
        <v>1826</v>
      </c>
      <c r="I62" s="1217" t="s">
        <v>597</v>
      </c>
      <c r="J62" s="1468" t="s">
        <v>1827</v>
      </c>
      <c r="K62" s="1478"/>
      <c r="L62" s="1478"/>
      <c r="M62" s="1478"/>
      <c r="N62" s="1478"/>
      <c r="O62" s="1478"/>
      <c r="P62" s="1478"/>
      <c r="Q62" s="1469"/>
      <c r="R62" s="488"/>
    </row>
    <row r="63" spans="2:18" ht="33.75" customHeight="1" x14ac:dyDescent="0.3">
      <c r="B63" s="533">
        <v>2</v>
      </c>
      <c r="C63" s="546" t="s">
        <v>1828</v>
      </c>
      <c r="D63" s="1539" t="s">
        <v>1829</v>
      </c>
      <c r="E63" s="1539"/>
      <c r="F63" s="1217"/>
      <c r="G63" s="1217"/>
      <c r="H63" s="567" t="s">
        <v>1684</v>
      </c>
      <c r="I63" s="1217" t="s">
        <v>597</v>
      </c>
      <c r="J63" s="1468" t="s">
        <v>1827</v>
      </c>
      <c r="K63" s="1478"/>
      <c r="L63" s="1478"/>
      <c r="M63" s="1478"/>
      <c r="N63" s="1478"/>
      <c r="O63" s="1478"/>
      <c r="P63" s="1478"/>
      <c r="Q63" s="1469"/>
      <c r="R63" s="488"/>
    </row>
    <row r="64" spans="2:18" ht="26" x14ac:dyDescent="0.3">
      <c r="B64" s="535">
        <v>3</v>
      </c>
      <c r="C64" s="551" t="s">
        <v>1830</v>
      </c>
      <c r="D64" s="1543" t="s">
        <v>1681</v>
      </c>
      <c r="E64" s="1543"/>
      <c r="F64" s="1041" t="str">
        <f>H62</f>
        <v>Refrigerator, 30-50 cf (two-door)</v>
      </c>
      <c r="G64" s="597" t="str">
        <f>H63</f>
        <v>Solid door, tier 1</v>
      </c>
      <c r="H64" s="597">
        <f>INDEX($C$96:$N$116,MATCH(F64,$C$96:$C$116,0),MATCH(G64,$C$96:$N$96,0))</f>
        <v>840</v>
      </c>
      <c r="I64" s="552" t="s">
        <v>443</v>
      </c>
      <c r="J64" s="1482" t="s">
        <v>1831</v>
      </c>
      <c r="K64" s="1484"/>
      <c r="L64" s="1484"/>
      <c r="M64" s="1484"/>
      <c r="N64" s="1484"/>
      <c r="O64" s="1484"/>
      <c r="P64" s="1484"/>
      <c r="Q64" s="1483"/>
      <c r="R64" s="488"/>
    </row>
    <row r="65" spans="2:18" ht="13" x14ac:dyDescent="0.3">
      <c r="B65" s="533">
        <v>4</v>
      </c>
      <c r="C65" s="546"/>
      <c r="D65" s="1539"/>
      <c r="E65" s="1539"/>
      <c r="F65" s="1217"/>
      <c r="G65" s="1217"/>
      <c r="H65" s="567"/>
      <c r="I65" s="1217"/>
      <c r="J65" s="1468"/>
      <c r="K65" s="1478"/>
      <c r="L65" s="1478"/>
      <c r="M65" s="1478"/>
      <c r="N65" s="1478"/>
      <c r="O65" s="1478"/>
      <c r="P65" s="1478"/>
      <c r="Q65" s="1469"/>
      <c r="R65" s="488"/>
    </row>
    <row r="66" spans="2:18" ht="13" x14ac:dyDescent="0.3">
      <c r="B66" s="533">
        <v>5</v>
      </c>
      <c r="C66" s="546"/>
      <c r="D66" s="1539"/>
      <c r="E66" s="1539"/>
      <c r="F66" s="1217"/>
      <c r="G66" s="1217"/>
      <c r="H66" s="567"/>
      <c r="I66" s="1217"/>
      <c r="J66" s="1468"/>
      <c r="K66" s="1478"/>
      <c r="L66" s="1478"/>
      <c r="M66" s="1478"/>
      <c r="N66" s="1478"/>
      <c r="O66" s="1478"/>
      <c r="P66" s="1478"/>
      <c r="Q66" s="1469"/>
      <c r="R66" s="488"/>
    </row>
    <row r="67" spans="2:18" ht="13" x14ac:dyDescent="0.3">
      <c r="B67" s="533">
        <v>6</v>
      </c>
      <c r="C67" s="546"/>
      <c r="D67" s="1539"/>
      <c r="E67" s="1539"/>
      <c r="F67" s="1217"/>
      <c r="G67" s="1217"/>
      <c r="H67" s="567"/>
      <c r="I67" s="1217"/>
      <c r="J67" s="1468"/>
      <c r="K67" s="1478"/>
      <c r="L67" s="1478"/>
      <c r="M67" s="1478"/>
      <c r="N67" s="1478"/>
      <c r="O67" s="1478"/>
      <c r="P67" s="1478"/>
      <c r="Q67" s="1469"/>
      <c r="R67" s="488"/>
    </row>
    <row r="68" spans="2:18" ht="13" x14ac:dyDescent="0.3">
      <c r="B68" s="533">
        <v>7</v>
      </c>
      <c r="C68" s="546"/>
      <c r="D68" s="1539"/>
      <c r="E68" s="1539"/>
      <c r="F68" s="1217"/>
      <c r="G68" s="1217"/>
      <c r="H68" s="567"/>
      <c r="I68" s="1217"/>
      <c r="J68" s="1468"/>
      <c r="K68" s="1478"/>
      <c r="L68" s="1478"/>
      <c r="M68" s="1478"/>
      <c r="N68" s="1478"/>
      <c r="O68" s="1478"/>
      <c r="P68" s="1478"/>
      <c r="Q68" s="1469"/>
      <c r="R68" s="488"/>
    </row>
    <row r="69" spans="2:18" ht="13" x14ac:dyDescent="0.3">
      <c r="B69" s="533">
        <v>8</v>
      </c>
      <c r="C69" s="546"/>
      <c r="D69" s="1539"/>
      <c r="E69" s="1539"/>
      <c r="F69" s="1217"/>
      <c r="G69" s="1217"/>
      <c r="H69" s="567"/>
      <c r="I69" s="1217"/>
      <c r="J69" s="1468"/>
      <c r="K69" s="1478"/>
      <c r="L69" s="1478"/>
      <c r="M69" s="1478"/>
      <c r="N69" s="1478"/>
      <c r="O69" s="1478"/>
      <c r="P69" s="1478"/>
      <c r="Q69" s="1469"/>
      <c r="R69" s="488"/>
    </row>
    <row r="70" spans="2:18" ht="13" x14ac:dyDescent="0.3">
      <c r="B70" s="533">
        <v>9</v>
      </c>
      <c r="C70" s="546"/>
      <c r="D70" s="1539"/>
      <c r="E70" s="1539"/>
      <c r="F70" s="1217"/>
      <c r="G70" s="1217"/>
      <c r="H70" s="567"/>
      <c r="I70" s="1217"/>
      <c r="J70" s="1468"/>
      <c r="K70" s="1478"/>
      <c r="L70" s="1478"/>
      <c r="M70" s="1478"/>
      <c r="N70" s="1478"/>
      <c r="O70" s="1478"/>
      <c r="P70" s="1478"/>
      <c r="Q70" s="1469"/>
      <c r="R70" s="488"/>
    </row>
    <row r="71" spans="2:18" ht="13" x14ac:dyDescent="0.3">
      <c r="B71" s="533">
        <v>10</v>
      </c>
      <c r="C71" s="546"/>
      <c r="D71" s="1539"/>
      <c r="E71" s="1539"/>
      <c r="F71" s="1217"/>
      <c r="G71" s="1217"/>
      <c r="H71" s="567"/>
      <c r="I71" s="1217"/>
      <c r="J71" s="1468"/>
      <c r="K71" s="1478"/>
      <c r="L71" s="1478"/>
      <c r="M71" s="1478"/>
      <c r="N71" s="1478"/>
      <c r="O71" s="1478"/>
      <c r="P71" s="1478"/>
      <c r="Q71" s="1469"/>
      <c r="R71" s="488"/>
    </row>
    <row r="72" spans="2:18" s="491" customFormat="1" ht="13" x14ac:dyDescent="0.3">
      <c r="B72" s="536">
        <v>11</v>
      </c>
      <c r="C72" s="546"/>
      <c r="D72" s="1539"/>
      <c r="E72" s="1539"/>
      <c r="F72" s="1217"/>
      <c r="G72" s="1217"/>
      <c r="H72" s="567"/>
      <c r="I72" s="1217"/>
      <c r="J72" s="1468"/>
      <c r="K72" s="1478"/>
      <c r="L72" s="1478"/>
      <c r="M72" s="1478"/>
      <c r="N72" s="1478"/>
      <c r="O72" s="1478"/>
      <c r="P72" s="1478"/>
      <c r="Q72" s="1469"/>
    </row>
    <row r="73" spans="2:18" s="491" customFormat="1" ht="13" x14ac:dyDescent="0.3">
      <c r="B73" s="536">
        <v>12</v>
      </c>
      <c r="C73" s="546"/>
      <c r="D73" s="1539"/>
      <c r="E73" s="1539"/>
      <c r="F73" s="1217"/>
      <c r="G73" s="1217"/>
      <c r="H73" s="567"/>
      <c r="I73" s="1217"/>
      <c r="J73" s="1468"/>
      <c r="K73" s="1478"/>
      <c r="L73" s="1478"/>
      <c r="M73" s="1478"/>
      <c r="N73" s="1478"/>
      <c r="O73" s="1478"/>
      <c r="P73" s="1478"/>
      <c r="Q73" s="1469"/>
    </row>
    <row r="74" spans="2:18" s="491" customFormat="1" ht="13" x14ac:dyDescent="0.3">
      <c r="B74" s="536">
        <v>13</v>
      </c>
      <c r="C74" s="546"/>
      <c r="D74" s="1539"/>
      <c r="E74" s="1539"/>
      <c r="F74" s="1217"/>
      <c r="G74" s="1217"/>
      <c r="H74" s="567"/>
      <c r="I74" s="1217"/>
      <c r="J74" s="1468"/>
      <c r="K74" s="1478"/>
      <c r="L74" s="1478"/>
      <c r="M74" s="1478"/>
      <c r="N74" s="1478"/>
      <c r="O74" s="1478"/>
      <c r="P74" s="1478"/>
      <c r="Q74" s="1469"/>
    </row>
    <row r="75" spans="2:18" s="489" customFormat="1" ht="13.15" customHeight="1" x14ac:dyDescent="0.3">
      <c r="B75" s="536">
        <v>14</v>
      </c>
      <c r="C75" s="546"/>
      <c r="D75" s="1539"/>
      <c r="E75" s="1539"/>
      <c r="F75" s="1217"/>
      <c r="G75" s="1217"/>
      <c r="H75" s="567"/>
      <c r="I75" s="1217"/>
      <c r="J75" s="1468"/>
      <c r="K75" s="1478"/>
      <c r="L75" s="1478"/>
      <c r="M75" s="1478"/>
      <c r="N75" s="1478"/>
      <c r="O75" s="1478"/>
      <c r="P75" s="1478"/>
      <c r="Q75" s="1469"/>
    </row>
    <row r="76" spans="2:18" s="489" customFormat="1" ht="13" x14ac:dyDescent="0.3">
      <c r="B76" s="536">
        <v>15</v>
      </c>
      <c r="C76" s="546"/>
      <c r="D76" s="1539"/>
      <c r="E76" s="1539"/>
      <c r="F76" s="1217"/>
      <c r="G76" s="1217"/>
      <c r="H76" s="567"/>
      <c r="I76" s="1217"/>
      <c r="J76" s="1468"/>
      <c r="K76" s="1478"/>
      <c r="L76" s="1478"/>
      <c r="M76" s="1478"/>
      <c r="N76" s="1478"/>
      <c r="O76" s="1478"/>
      <c r="P76" s="1478"/>
      <c r="Q76" s="1469"/>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233"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233"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233"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233"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233" t="s">
        <v>491</v>
      </c>
      <c r="F85" s="1489" t="s">
        <v>485</v>
      </c>
      <c r="G85" s="1490"/>
      <c r="H85" s="1490"/>
      <c r="I85" s="1490"/>
      <c r="J85" s="1490"/>
      <c r="K85" s="1490"/>
      <c r="L85" s="1490"/>
      <c r="M85" s="1490"/>
      <c r="N85" s="1490"/>
      <c r="O85" s="1490"/>
      <c r="P85" s="1490"/>
      <c r="Q85" s="1491"/>
      <c r="R85" s="488"/>
    </row>
    <row r="86" spans="2:18" ht="13" x14ac:dyDescent="0.3">
      <c r="B86" s="533">
        <v>6</v>
      </c>
      <c r="C86" s="563"/>
      <c r="D86" s="564"/>
      <c r="E86" s="1233"/>
      <c r="F86" s="1489"/>
      <c r="G86" s="1490"/>
      <c r="H86" s="1490"/>
      <c r="I86" s="1490"/>
      <c r="J86" s="1490"/>
      <c r="K86" s="1490"/>
      <c r="L86" s="1490"/>
      <c r="M86" s="1490"/>
      <c r="N86" s="1490"/>
      <c r="O86" s="1490"/>
      <c r="P86" s="1490"/>
      <c r="Q86" s="1491"/>
      <c r="R86" s="488"/>
    </row>
    <row r="87" spans="2:18" ht="13" x14ac:dyDescent="0.3">
      <c r="B87" s="533">
        <v>7</v>
      </c>
      <c r="C87" s="563"/>
      <c r="D87" s="1233"/>
      <c r="E87" s="1233"/>
      <c r="F87" s="1489"/>
      <c r="G87" s="1490"/>
      <c r="H87" s="1490"/>
      <c r="I87" s="1490"/>
      <c r="J87" s="1490"/>
      <c r="K87" s="1490"/>
      <c r="L87" s="1490"/>
      <c r="M87" s="1490"/>
      <c r="N87" s="1490"/>
      <c r="O87" s="1490"/>
      <c r="P87" s="1490"/>
      <c r="Q87" s="1491"/>
      <c r="R87" s="488"/>
    </row>
    <row r="88" spans="2:18" ht="13" x14ac:dyDescent="0.3">
      <c r="B88" s="533">
        <v>8</v>
      </c>
      <c r="C88" s="563"/>
      <c r="D88" s="564"/>
      <c r="E88" s="1233"/>
      <c r="F88" s="1489"/>
      <c r="G88" s="1490"/>
      <c r="H88" s="1490"/>
      <c r="I88" s="1490"/>
      <c r="J88" s="1490"/>
      <c r="K88" s="1490"/>
      <c r="L88" s="1490"/>
      <c r="M88" s="1490"/>
      <c r="N88" s="1490"/>
      <c r="O88" s="1490"/>
      <c r="P88" s="1490"/>
      <c r="Q88" s="1491"/>
      <c r="R88" s="488"/>
    </row>
    <row r="89" spans="2:18" ht="13" x14ac:dyDescent="0.3">
      <c r="B89" s="533">
        <v>9</v>
      </c>
      <c r="C89" s="563"/>
      <c r="D89" s="1233"/>
      <c r="E89" s="1233"/>
      <c r="F89" s="1489"/>
      <c r="G89" s="1490"/>
      <c r="H89" s="1490"/>
      <c r="I89" s="1490"/>
      <c r="J89" s="1490"/>
      <c r="K89" s="1490"/>
      <c r="L89" s="1490"/>
      <c r="M89" s="1490"/>
      <c r="N89" s="1490"/>
      <c r="O89" s="1490"/>
      <c r="P89" s="1490"/>
      <c r="Q89" s="1491"/>
      <c r="R89" s="488"/>
    </row>
    <row r="90" spans="2:18" ht="13" x14ac:dyDescent="0.3">
      <c r="B90" s="533">
        <v>10</v>
      </c>
      <c r="C90" s="563"/>
      <c r="D90" s="564"/>
      <c r="E90" s="1233"/>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38.25" customHeight="1" x14ac:dyDescent="0.3">
      <c r="B94" s="523" t="s">
        <v>493</v>
      </c>
      <c r="E94" s="1402" t="s">
        <v>494</v>
      </c>
      <c r="F94" s="1403"/>
      <c r="G94" s="1403"/>
      <c r="H94" s="1403"/>
      <c r="I94" s="1403"/>
      <c r="J94" s="1403"/>
      <c r="K94" s="1403"/>
      <c r="L94" s="1403"/>
      <c r="M94" s="1403"/>
      <c r="N94" s="1431"/>
      <c r="O94" s="1404" t="s">
        <v>476</v>
      </c>
      <c r="P94" s="1405"/>
      <c r="Q94" s="1406"/>
      <c r="R94" s="488"/>
    </row>
    <row r="95" spans="2:18" ht="58.5" customHeight="1" x14ac:dyDescent="0.3">
      <c r="B95" s="1498" t="s">
        <v>1832</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08"/>
      <c r="Q95" s="1409"/>
      <c r="R95" s="488"/>
    </row>
    <row r="96" spans="2:18" ht="13" x14ac:dyDescent="0.3">
      <c r="B96" s="1188" t="s">
        <v>478</v>
      </c>
      <c r="C96" s="1402" t="s">
        <v>505</v>
      </c>
      <c r="D96" s="1431"/>
      <c r="E96" s="565" t="s">
        <v>1684</v>
      </c>
      <c r="F96" s="565" t="s">
        <v>1678</v>
      </c>
      <c r="G96" s="565" t="s">
        <v>1833</v>
      </c>
      <c r="H96" s="565" t="s">
        <v>1834</v>
      </c>
      <c r="I96" s="565"/>
      <c r="J96" s="565"/>
      <c r="K96" s="565"/>
      <c r="L96" s="565"/>
      <c r="M96" s="565"/>
      <c r="N96" s="565"/>
      <c r="O96" s="1410"/>
      <c r="P96" s="1411"/>
      <c r="Q96" s="1412"/>
      <c r="R96" s="488"/>
    </row>
    <row r="97" spans="2:18" ht="15" customHeight="1" x14ac:dyDescent="0.3">
      <c r="B97" s="533">
        <v>1</v>
      </c>
      <c r="C97" s="546" t="s">
        <v>1835</v>
      </c>
      <c r="D97" s="1184"/>
      <c r="E97" s="1217">
        <v>268</v>
      </c>
      <c r="F97" s="1217">
        <v>600</v>
      </c>
      <c r="G97" s="1217">
        <v>722</v>
      </c>
      <c r="H97" s="1217">
        <v>987</v>
      </c>
      <c r="I97" s="1217"/>
      <c r="J97" s="568"/>
      <c r="K97" s="568"/>
      <c r="L97" s="568"/>
      <c r="M97" s="568"/>
      <c r="N97" s="568"/>
      <c r="O97" s="1492" t="s">
        <v>1836</v>
      </c>
      <c r="P97" s="1493"/>
      <c r="Q97" s="1494"/>
      <c r="R97" s="488"/>
    </row>
    <row r="98" spans="2:18" ht="15" customHeight="1" x14ac:dyDescent="0.3">
      <c r="B98" s="533">
        <v>2</v>
      </c>
      <c r="C98" s="546" t="s">
        <v>1837</v>
      </c>
      <c r="D98" s="1184"/>
      <c r="E98" s="1217">
        <v>448</v>
      </c>
      <c r="F98" s="1217">
        <v>888</v>
      </c>
      <c r="G98" s="1217">
        <v>690</v>
      </c>
      <c r="H98" s="1217">
        <v>1083</v>
      </c>
      <c r="I98" s="1217"/>
      <c r="J98" s="568"/>
      <c r="K98" s="568"/>
      <c r="L98" s="568"/>
      <c r="M98" s="568"/>
      <c r="N98" s="568"/>
      <c r="O98" s="1492" t="s">
        <v>1836</v>
      </c>
      <c r="P98" s="1493"/>
      <c r="Q98" s="1494"/>
      <c r="R98" s="488"/>
    </row>
    <row r="99" spans="2:18" ht="15" customHeight="1" x14ac:dyDescent="0.3">
      <c r="B99" s="533">
        <v>3</v>
      </c>
      <c r="C99" s="546" t="s">
        <v>1826</v>
      </c>
      <c r="D99" s="1184"/>
      <c r="E99" s="1217">
        <v>840</v>
      </c>
      <c r="F99" s="1217">
        <v>1431</v>
      </c>
      <c r="G99" s="1217">
        <v>737</v>
      </c>
      <c r="H99" s="1217">
        <v>1372</v>
      </c>
      <c r="I99" s="1217"/>
      <c r="J99" s="568"/>
      <c r="K99" s="568"/>
      <c r="L99" s="568"/>
      <c r="M99" s="568"/>
      <c r="N99" s="568"/>
      <c r="O99" s="1492" t="s">
        <v>1836</v>
      </c>
      <c r="P99" s="1493"/>
      <c r="Q99" s="1494"/>
      <c r="R99" s="488"/>
    </row>
    <row r="100" spans="2:18" ht="15" customHeight="1" x14ac:dyDescent="0.3">
      <c r="B100" s="533">
        <v>4</v>
      </c>
      <c r="C100" s="546" t="s">
        <v>1838</v>
      </c>
      <c r="D100" s="1184"/>
      <c r="E100" s="1217">
        <v>1225</v>
      </c>
      <c r="F100" s="1217">
        <v>2031</v>
      </c>
      <c r="G100" s="1217">
        <v>927</v>
      </c>
      <c r="H100" s="1217">
        <v>1867</v>
      </c>
      <c r="I100" s="1217"/>
      <c r="J100" s="568"/>
      <c r="K100" s="568"/>
      <c r="L100" s="568"/>
      <c r="M100" s="568"/>
      <c r="N100" s="568"/>
      <c r="O100" s="1492" t="s">
        <v>1836</v>
      </c>
      <c r="P100" s="1493"/>
      <c r="Q100" s="1494"/>
      <c r="R100" s="488"/>
    </row>
    <row r="101" spans="2:18" ht="15" customHeight="1" x14ac:dyDescent="0.3">
      <c r="B101" s="533">
        <v>5</v>
      </c>
      <c r="C101" s="546"/>
      <c r="D101" s="1184"/>
      <c r="E101" s="1217"/>
      <c r="F101" s="1217"/>
      <c r="G101" s="1217"/>
      <c r="H101" s="1217"/>
      <c r="I101" s="1217"/>
      <c r="J101" s="568"/>
      <c r="K101" s="568"/>
      <c r="L101" s="568"/>
      <c r="M101" s="568"/>
      <c r="N101" s="568"/>
      <c r="O101" s="1492"/>
      <c r="P101" s="1493"/>
      <c r="Q101" s="1494"/>
      <c r="R101" s="488"/>
    </row>
    <row r="102" spans="2:18" ht="15" customHeight="1" x14ac:dyDescent="0.3">
      <c r="B102" s="533">
        <v>6</v>
      </c>
      <c r="C102" s="546"/>
      <c r="D102" s="570"/>
      <c r="E102" s="1217"/>
      <c r="F102" s="1217"/>
      <c r="G102" s="1217"/>
      <c r="H102" s="1217"/>
      <c r="I102" s="1217"/>
      <c r="J102" s="569"/>
      <c r="K102" s="569"/>
      <c r="L102" s="569"/>
      <c r="M102" s="569"/>
      <c r="N102" s="569"/>
      <c r="O102" s="1492"/>
      <c r="P102" s="1493"/>
      <c r="Q102" s="1494"/>
      <c r="R102" s="488"/>
    </row>
    <row r="103" spans="2:18" ht="15" customHeight="1" x14ac:dyDescent="0.3">
      <c r="B103" s="533">
        <v>7</v>
      </c>
      <c r="C103" s="546"/>
      <c r="D103" s="570"/>
      <c r="E103" s="1217"/>
      <c r="F103" s="1217"/>
      <c r="G103" s="1217"/>
      <c r="H103" s="1217"/>
      <c r="I103" s="1217"/>
      <c r="J103" s="569"/>
      <c r="K103" s="569"/>
      <c r="L103" s="569"/>
      <c r="M103" s="569"/>
      <c r="N103" s="569"/>
      <c r="O103" s="1492"/>
      <c r="P103" s="1493"/>
      <c r="Q103" s="1494"/>
      <c r="R103" s="488"/>
    </row>
    <row r="104" spans="2:18" ht="15" customHeight="1" x14ac:dyDescent="0.3">
      <c r="B104" s="533">
        <v>8</v>
      </c>
      <c r="C104" s="546"/>
      <c r="D104" s="570"/>
      <c r="E104" s="1217"/>
      <c r="F104" s="1217"/>
      <c r="G104" s="1217"/>
      <c r="H104" s="1217"/>
      <c r="I104" s="1217"/>
      <c r="J104" s="569"/>
      <c r="K104" s="569"/>
      <c r="L104" s="569"/>
      <c r="M104" s="569"/>
      <c r="N104" s="569"/>
      <c r="O104" s="1492"/>
      <c r="P104" s="1493"/>
      <c r="Q104" s="1494"/>
      <c r="R104" s="488"/>
    </row>
    <row r="105" spans="2:18" ht="13" x14ac:dyDescent="0.3">
      <c r="B105" s="533">
        <v>9</v>
      </c>
      <c r="C105" s="546"/>
      <c r="D105" s="570"/>
      <c r="E105" s="1217"/>
      <c r="F105" s="1217"/>
      <c r="G105" s="1217"/>
      <c r="H105" s="1217"/>
      <c r="I105" s="1217"/>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1217"/>
      <c r="F107" s="1190"/>
      <c r="G107" s="571"/>
      <c r="H107" s="571"/>
      <c r="I107" s="569"/>
      <c r="J107" s="569"/>
      <c r="K107" s="569"/>
      <c r="L107" s="569"/>
      <c r="M107" s="569"/>
      <c r="N107" s="569"/>
      <c r="O107" s="1492"/>
      <c r="P107" s="1493"/>
      <c r="Q107" s="1494"/>
      <c r="R107" s="488"/>
    </row>
    <row r="108" spans="2:18" ht="13" x14ac:dyDescent="0.3">
      <c r="B108" s="533">
        <v>12</v>
      </c>
      <c r="C108" s="546"/>
      <c r="D108" s="1042"/>
      <c r="E108" s="1217"/>
      <c r="F108" s="1043"/>
      <c r="G108" s="1238"/>
      <c r="H108" s="1238"/>
      <c r="I108" s="598"/>
      <c r="J108" s="598"/>
      <c r="K108" s="598"/>
      <c r="L108" s="598"/>
      <c r="M108" s="598"/>
      <c r="N108" s="598"/>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sheetData>
  <sheetProtection algorithmName="SHA-512" hashValue="B3TfnboH5oWu7nb2EBQiH7iNEmlG3ENsDq9lX6j2wICUU7ZOy5WOS5E74p6AWEVb2bJY4d3/MFFcuXQPTs0ifQ==" saltValue="GUkOS81fbv+2QWdUl2Dk8w==" spinCount="100000" sheet="1" objects="1" scenarios="1" selectLockedCells="1" selectUnlockedCells="1"/>
  <mergeCells count="121">
    <mergeCell ref="B95:D95"/>
    <mergeCell ref="O94:Q96"/>
    <mergeCell ref="E94:N94"/>
    <mergeCell ref="C96:D96"/>
    <mergeCell ref="O113:Q113"/>
    <mergeCell ref="O114:Q114"/>
    <mergeCell ref="O115:Q115"/>
    <mergeCell ref="O116:Q116"/>
    <mergeCell ref="O107:Q107"/>
    <mergeCell ref="O108:Q108"/>
    <mergeCell ref="O109:Q109"/>
    <mergeCell ref="O110:Q110"/>
    <mergeCell ref="O111:Q111"/>
    <mergeCell ref="O112:Q112"/>
    <mergeCell ref="O101:Q101"/>
    <mergeCell ref="O102:Q102"/>
    <mergeCell ref="O103:Q103"/>
    <mergeCell ref="O104:Q104"/>
    <mergeCell ref="O105:Q105"/>
    <mergeCell ref="O106:Q106"/>
    <mergeCell ref="O97:Q97"/>
    <mergeCell ref="O98:Q98"/>
    <mergeCell ref="O99:Q99"/>
    <mergeCell ref="O100:Q100"/>
    <mergeCell ref="F86:Q86"/>
    <mergeCell ref="F87:Q87"/>
    <mergeCell ref="F88:Q88"/>
    <mergeCell ref="F89:Q89"/>
    <mergeCell ref="F90:Q90"/>
    <mergeCell ref="F80:Q80"/>
    <mergeCell ref="F81:Q81"/>
    <mergeCell ref="F82:Q82"/>
    <mergeCell ref="F83:Q83"/>
    <mergeCell ref="F84:Q84"/>
    <mergeCell ref="F85:Q85"/>
    <mergeCell ref="D74:E74"/>
    <mergeCell ref="J74:Q74"/>
    <mergeCell ref="D75:E75"/>
    <mergeCell ref="J75:Q75"/>
    <mergeCell ref="D76:E76"/>
    <mergeCell ref="J76:Q76"/>
    <mergeCell ref="D71:E71"/>
    <mergeCell ref="J71:Q71"/>
    <mergeCell ref="D72:E72"/>
    <mergeCell ref="J72:Q72"/>
    <mergeCell ref="D73:E73"/>
    <mergeCell ref="J73:Q73"/>
    <mergeCell ref="D68:E68"/>
    <mergeCell ref="J68:Q68"/>
    <mergeCell ref="D69:E69"/>
    <mergeCell ref="J69:Q69"/>
    <mergeCell ref="D70:E70"/>
    <mergeCell ref="J70:Q70"/>
    <mergeCell ref="D65:E65"/>
    <mergeCell ref="J65:Q65"/>
    <mergeCell ref="D66:E66"/>
    <mergeCell ref="J66:Q66"/>
    <mergeCell ref="D67:E67"/>
    <mergeCell ref="J67:Q67"/>
    <mergeCell ref="D62:E62"/>
    <mergeCell ref="J62:Q62"/>
    <mergeCell ref="D63:E63"/>
    <mergeCell ref="J63:Q63"/>
    <mergeCell ref="D64:E64"/>
    <mergeCell ref="J64:Q64"/>
    <mergeCell ref="C56:M56"/>
    <mergeCell ref="P56:Q56"/>
    <mergeCell ref="C57:M57"/>
    <mergeCell ref="P57:Q57"/>
    <mergeCell ref="D61:E61"/>
    <mergeCell ref="J61:Q61"/>
    <mergeCell ref="C53:M53"/>
    <mergeCell ref="P53:Q53"/>
    <mergeCell ref="C54:M54"/>
    <mergeCell ref="P54:Q54"/>
    <mergeCell ref="C55:M55"/>
    <mergeCell ref="P55:Q55"/>
    <mergeCell ref="C49:M49"/>
    <mergeCell ref="P49:Q49"/>
    <mergeCell ref="C50:M50"/>
    <mergeCell ref="P50:Q50"/>
    <mergeCell ref="C51:M51"/>
    <mergeCell ref="P51:Q51"/>
    <mergeCell ref="C45:M45"/>
    <mergeCell ref="P45:Q45"/>
    <mergeCell ref="C47:M47"/>
    <mergeCell ref="P47:Q47"/>
    <mergeCell ref="C48:M48"/>
    <mergeCell ref="P48:Q48"/>
    <mergeCell ref="C42:M42"/>
    <mergeCell ref="P42:Q42"/>
    <mergeCell ref="C43:M43"/>
    <mergeCell ref="P43:Q43"/>
    <mergeCell ref="C44:M44"/>
    <mergeCell ref="P44:Q44"/>
    <mergeCell ref="E34:Q34"/>
    <mergeCell ref="E35:Q35"/>
    <mergeCell ref="E36:Q36"/>
    <mergeCell ref="E37:Q37"/>
    <mergeCell ref="C41:M41"/>
    <mergeCell ref="P41:Q41"/>
    <mergeCell ref="D25:Q25"/>
    <mergeCell ref="D26:Q26"/>
    <mergeCell ref="D27:Q27"/>
    <mergeCell ref="D28:Q28"/>
    <mergeCell ref="E32:Q32"/>
    <mergeCell ref="E33:Q33"/>
    <mergeCell ref="D29:Q29"/>
    <mergeCell ref="D30:Q30"/>
    <mergeCell ref="D17:F17"/>
    <mergeCell ref="D18:F18"/>
    <mergeCell ref="B20:Q20"/>
    <mergeCell ref="C21:Q21"/>
    <mergeCell ref="C22:Q22"/>
    <mergeCell ref="C23:Q23"/>
    <mergeCell ref="C2:F2"/>
    <mergeCell ref="C3:F3"/>
    <mergeCell ref="C4:F4"/>
    <mergeCell ref="C5:F5"/>
    <mergeCell ref="D7:F7"/>
    <mergeCell ref="D8:F16"/>
  </mergeCells>
  <conditionalFormatting sqref="F109:F116 G106:H116">
    <cfRule type="expression" dxfId="1765" priority="84">
      <formula>IF(OR(#REF!="L",#REF!="C"),TRUE,FALSE)</formula>
    </cfRule>
  </conditionalFormatting>
  <conditionalFormatting sqref="E110:E116">
    <cfRule type="expression" dxfId="1764" priority="83">
      <formula>IF(OR(#REF!="L",#REF!="C"),TRUE,FALSE)</formula>
    </cfRule>
  </conditionalFormatting>
  <conditionalFormatting sqref="E97:E109 E97:I105">
    <cfRule type="expression" dxfId="1763" priority="81">
      <formula>IF(OR(#REF!="L",#REF!="C"),TRUE,FALSE)</formula>
    </cfRule>
  </conditionalFormatting>
  <conditionalFormatting sqref="E95 G95 I95 K95 M95">
    <cfRule type="duplicateValues" dxfId="1762" priority="80"/>
  </conditionalFormatting>
  <conditionalFormatting sqref="M104:M116">
    <cfRule type="expression" dxfId="1761" priority="70">
      <formula>IF(OR(#REF!="L",#REF!="C"),TRUE,FALSE)</formula>
    </cfRule>
  </conditionalFormatting>
  <conditionalFormatting sqref="F102:F106">
    <cfRule type="expression" dxfId="1760" priority="79">
      <formula>IF(OR(#REF!="L",#REF!="C"),TRUE,FALSE)</formula>
    </cfRule>
  </conditionalFormatting>
  <conditionalFormatting sqref="I102:I103">
    <cfRule type="expression" dxfId="1759" priority="77">
      <formula>IF(OR(#REF!="L",#REF!="C"),TRUE,FALSE)</formula>
    </cfRule>
  </conditionalFormatting>
  <conditionalFormatting sqref="N102:N103">
    <cfRule type="expression" dxfId="1758" priority="67">
      <formula>IF(OR(#REF!="L",#REF!="C"),TRUE,FALSE)</formula>
    </cfRule>
  </conditionalFormatting>
  <conditionalFormatting sqref="I104:I116">
    <cfRule type="expression" dxfId="1757" priority="78">
      <formula>IF(OR(#REF!="L",#REF!="C"),TRUE,FALSE)</formula>
    </cfRule>
  </conditionalFormatting>
  <conditionalFormatting sqref="J102:J103">
    <cfRule type="expression" dxfId="1756" priority="75">
      <formula>IF(OR(#REF!="L",#REF!="C"),TRUE,FALSE)</formula>
    </cfRule>
  </conditionalFormatting>
  <conditionalFormatting sqref="J104:J116">
    <cfRule type="expression" dxfId="1755" priority="76">
      <formula>IF(OR(#REF!="L",#REF!="C"),TRUE,FALSE)</formula>
    </cfRule>
  </conditionalFormatting>
  <conditionalFormatting sqref="K102:K103">
    <cfRule type="expression" dxfId="1754" priority="73">
      <formula>IF(OR(#REF!="L",#REF!="C"),TRUE,FALSE)</formula>
    </cfRule>
  </conditionalFormatting>
  <conditionalFormatting sqref="K104:K116">
    <cfRule type="expression" dxfId="1753" priority="74">
      <formula>IF(OR(#REF!="L",#REF!="C"),TRUE,FALSE)</formula>
    </cfRule>
  </conditionalFormatting>
  <conditionalFormatting sqref="L102:L103">
    <cfRule type="expression" dxfId="1752" priority="71">
      <formula>IF(OR(#REF!="L",#REF!="C"),TRUE,FALSE)</formula>
    </cfRule>
  </conditionalFormatting>
  <conditionalFormatting sqref="L104:L116">
    <cfRule type="expression" dxfId="1751" priority="72">
      <formula>IF(OR(#REF!="L",#REF!="C"),TRUE,FALSE)</formula>
    </cfRule>
  </conditionalFormatting>
  <conditionalFormatting sqref="M102:M103">
    <cfRule type="expression" dxfId="1750" priority="69">
      <formula>IF(OR(#REF!="L",#REF!="C"),TRUE,FALSE)</formula>
    </cfRule>
  </conditionalFormatting>
  <conditionalFormatting sqref="N104:N116">
    <cfRule type="expression" dxfId="1749" priority="68">
      <formula>IF(OR(#REF!="L",#REF!="C"),TRUE,FALSE)</formula>
    </cfRule>
  </conditionalFormatting>
  <conditionalFormatting sqref="O97 O106:O116">
    <cfRule type="expression" dxfId="1748" priority="65">
      <formula>IF(OR(#REF!="L",#REF!="C"),TRUE,FALSE)</formula>
    </cfRule>
  </conditionalFormatting>
  <conditionalFormatting sqref="E96:N96">
    <cfRule type="duplicateValues" dxfId="1747" priority="64"/>
  </conditionalFormatting>
  <conditionalFormatting sqref="H65:H76">
    <cfRule type="expression" dxfId="1746" priority="36">
      <formula>IF(OR(#REF!="L",#REF!="C"),TRUE,FALSE)</formula>
    </cfRule>
  </conditionalFormatting>
  <conditionalFormatting sqref="H62">
    <cfRule type="expression" dxfId="1745" priority="34">
      <formula>IF(OR(#REF!="L",#REF!="C"),TRUE,FALSE)</formula>
    </cfRule>
  </conditionalFormatting>
  <conditionalFormatting sqref="H63">
    <cfRule type="expression" dxfId="1744" priority="14">
      <formula>IF(OR(#REF!="L",#REF!="C"),TRUE,FALSE)</formula>
    </cfRule>
  </conditionalFormatting>
  <conditionalFormatting sqref="H64">
    <cfRule type="expression" dxfId="1743" priority="13">
      <formula>IF(OR(#REF!="L",#REF!="C"),TRUE,FALSE)</formula>
    </cfRule>
  </conditionalFormatting>
  <conditionalFormatting sqref="O105">
    <cfRule type="expression" dxfId="1742" priority="8">
      <formula>IF(OR(#REF!="L",#REF!="C"),TRUE,FALSE)</formula>
    </cfRule>
  </conditionalFormatting>
  <conditionalFormatting sqref="O98">
    <cfRule type="expression" dxfId="1741" priority="7">
      <formula>IF(OR(#REF!="L",#REF!="C"),TRUE,FALSE)</formula>
    </cfRule>
  </conditionalFormatting>
  <conditionalFormatting sqref="O99">
    <cfRule type="expression" dxfId="1740" priority="6">
      <formula>IF(OR(#REF!="L",#REF!="C"),TRUE,FALSE)</formula>
    </cfRule>
  </conditionalFormatting>
  <conditionalFormatting sqref="O100">
    <cfRule type="expression" dxfId="1739" priority="5">
      <formula>IF(OR(#REF!="L",#REF!="C"),TRUE,FALSE)</formula>
    </cfRule>
  </conditionalFormatting>
  <conditionalFormatting sqref="O104">
    <cfRule type="expression" dxfId="1738" priority="4">
      <formula>IF(OR(#REF!="L",#REF!="C"),TRUE,FALSE)</formula>
    </cfRule>
  </conditionalFormatting>
  <conditionalFormatting sqref="O103">
    <cfRule type="expression" dxfId="1737" priority="3">
      <formula>IF(OR(#REF!="L",#REF!="C"),TRUE,FALSE)</formula>
    </cfRule>
  </conditionalFormatting>
  <conditionalFormatting sqref="O102">
    <cfRule type="expression" dxfId="1736" priority="2">
      <formula>IF(OR(#REF!="L",#REF!="C"),TRUE,FALSE)</formula>
    </cfRule>
  </conditionalFormatting>
  <conditionalFormatting sqref="O101">
    <cfRule type="expression" dxfId="1735" priority="1">
      <formula>IF(OR(#REF!="L",#REF!="C"),TRUE,FALSE)</formula>
    </cfRule>
  </conditionalFormatting>
  <dataValidations count="8">
    <dataValidation type="list" allowBlank="1" showInputMessage="1" showErrorMessage="1" sqref="C4" xr:uid="{844801FB-2F7A-4904-B941-3EFB1EE435B9}">
      <formula1>"COM,RES"</formula1>
    </dataValidation>
    <dataValidation type="list" allowBlank="1" showInputMessage="1" showErrorMessage="1" sqref="H62" xr:uid="{1A415479-7EFA-4F77-B4A5-D84F35C2F8B5}">
      <formula1>$C$97:$C$116</formula1>
    </dataValidation>
    <dataValidation type="list" allowBlank="1" showInputMessage="1" showErrorMessage="1" sqref="H63" xr:uid="{78209038-223F-44AD-B2D5-143531708DC8}">
      <formula1>$E$96:$N$96</formula1>
    </dataValidation>
    <dataValidation type="list" allowBlank="1" showInputMessage="1" showErrorMessage="1" sqref="C9" xr:uid="{12953E17-79DC-4A60-A353-11882404F277}">
      <formula1>INDIRECT("MeasureTypeList[Index]")</formula1>
    </dataValidation>
    <dataValidation type="list" allowBlank="1" showInputMessage="1" showErrorMessage="1" sqref="C26" xr:uid="{545B0C95-387D-4078-94EC-93C1E184B329}">
      <formula1>INDIRECT("RegionList[Index]")</formula1>
    </dataValidation>
    <dataValidation type="list" allowBlank="1" showInputMessage="1" showErrorMessage="1" sqref="C27" xr:uid="{42E5D66E-23FD-4A5E-BCD5-64266410DF07}">
      <formula1>INDIRECT("ReplacementTypeList[Index]")</formula1>
    </dataValidation>
    <dataValidation type="list" allowBlank="1" showInputMessage="1" showErrorMessage="1" sqref="C28" xr:uid="{F4635386-E566-472B-8D79-E0FE6C606C6D}">
      <formula1>INDIRECT("BuildingType[Building]")</formula1>
    </dataValidation>
    <dataValidation type="list" allowBlank="1" showInputMessage="1" showErrorMessage="1" sqref="C29 C30" xr:uid="{B7504382-58AF-49E5-A39E-350B5BDEEE91}">
      <formula1>INDIRECT("FuelTypeList[Index]")</formula1>
    </dataValidation>
  </dataValidations>
  <hyperlinks>
    <hyperlink ref="F83" r:id="rId1" xr:uid="{FE0C67F7-F89D-4374-B189-0271E58EC6FE}"/>
    <hyperlink ref="F85" r:id="rId2" xr:uid="{0CE3E977-4FD9-4A6A-895A-3CFF45D0F50C}"/>
    <hyperlink ref="F84" r:id="rId3" xr:uid="{C5786C29-BC43-48EA-91C9-C8A142CA409E}"/>
    <hyperlink ref="F82" r:id="rId4" xr:uid="{DD02B235-386E-40B1-80BD-A5F24604B2C3}"/>
  </hyperlinks>
  <pageMargins left="0.7" right="0.7" top="0.75" bottom="0.75" header="0.3" footer="0.3"/>
  <pageSetup orientation="portrait"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BCB57-32F8-4F2F-8EFC-5EE5794D73B2}">
  <sheetPr codeName="Sheet404"/>
  <dimension ref="A2:S116"/>
  <sheetViews>
    <sheetView workbookViewId="0">
      <selection activeCell="R34" sqref="R34"/>
    </sheetView>
  </sheetViews>
  <sheetFormatPr defaultColWidth="9.08984375" defaultRowHeight="18.75" customHeight="1" x14ac:dyDescent="0.3"/>
  <cols>
    <col min="1" max="1" width="2.36328125" style="488" customWidth="1"/>
    <col min="2" max="2" width="44.36328125" style="488" bestFit="1" customWidth="1"/>
    <col min="3" max="3" width="21.08984375" style="488" customWidth="1"/>
    <col min="4" max="4" width="21.6328125" style="488" customWidth="1"/>
    <col min="5" max="5" width="14.36328125" style="488" customWidth="1"/>
    <col min="6" max="6" width="15.6328125" style="488" customWidth="1"/>
    <col min="7" max="7" width="19.6328125" style="488" customWidth="1"/>
    <col min="8" max="8" width="16" style="488" customWidth="1"/>
    <col min="9" max="9" width="12.26953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17.6328125" style="489" customWidth="1"/>
    <col min="19" max="19" width="10.26953125" style="488" bestFit="1" customWidth="1"/>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C-W-001</v>
      </c>
      <c r="D3" s="1367"/>
      <c r="E3" s="1367"/>
      <c r="F3" s="1367"/>
    </row>
    <row r="4" spans="1:18" ht="18.75" customHeight="1" x14ac:dyDescent="0.3">
      <c r="B4" s="490" t="s">
        <v>11</v>
      </c>
      <c r="C4" s="1367" t="str" cm="1">
        <f t="array" ref="C4">_xlfn.SWITCH(LEFT(C8,1),"R","Residential","C","Commercial","ERROR")</f>
        <v>Commercial</v>
      </c>
      <c r="D4" s="1367"/>
      <c r="E4" s="1367"/>
      <c r="F4" s="1367"/>
    </row>
    <row r="5" spans="1:18" ht="44.25" customHeight="1" x14ac:dyDescent="0.3">
      <c r="B5" s="490" t="s">
        <v>408</v>
      </c>
      <c r="C5" s="1530" t="s">
        <v>307</v>
      </c>
      <c r="D5" s="1531"/>
      <c r="E5" s="1531"/>
      <c r="F5" s="1532"/>
      <c r="R5" s="488"/>
    </row>
    <row r="6" spans="1:18" ht="18.75" customHeight="1" x14ac:dyDescent="0.3">
      <c r="A6" s="573"/>
    </row>
    <row r="7" spans="1:18" ht="18.75" customHeight="1" x14ac:dyDescent="0.3">
      <c r="B7" s="1193" t="s">
        <v>507</v>
      </c>
      <c r="C7" s="493" t="s">
        <v>406</v>
      </c>
      <c r="D7" s="1366" t="s">
        <v>410</v>
      </c>
      <c r="E7" s="1366"/>
      <c r="F7" s="1366"/>
      <c r="R7" s="488"/>
    </row>
    <row r="8" spans="1:18" ht="18.75" customHeight="1" x14ac:dyDescent="0.3">
      <c r="B8" s="490" t="s">
        <v>411</v>
      </c>
      <c r="C8" s="1194" t="s">
        <v>139</v>
      </c>
      <c r="D8" s="1547" t="s">
        <v>1839</v>
      </c>
      <c r="E8" s="1548"/>
      <c r="F8" s="1549"/>
      <c r="R8" s="488"/>
    </row>
    <row r="9" spans="1:18" ht="18.75" customHeight="1" x14ac:dyDescent="0.3">
      <c r="B9" s="490" t="s">
        <v>49</v>
      </c>
      <c r="C9" s="1194" t="s">
        <v>760</v>
      </c>
      <c r="D9" s="1550"/>
      <c r="E9" s="1551"/>
      <c r="F9" s="1552"/>
      <c r="R9" s="488"/>
    </row>
    <row r="10" spans="1:18" ht="18.75" customHeight="1" x14ac:dyDescent="0.3">
      <c r="B10" s="490" t="s">
        <v>412</v>
      </c>
      <c r="C10" s="1194"/>
      <c r="D10" s="1550"/>
      <c r="E10" s="1551"/>
      <c r="F10" s="1552"/>
      <c r="R10" s="488"/>
    </row>
    <row r="11" spans="1:18" ht="18.75" customHeight="1" x14ac:dyDescent="0.3">
      <c r="B11" s="490" t="s">
        <v>413</v>
      </c>
      <c r="C11" s="1194"/>
      <c r="D11" s="1550"/>
      <c r="E11" s="1551"/>
      <c r="F11" s="1552"/>
      <c r="R11" s="488"/>
    </row>
    <row r="12" spans="1:18" ht="18.75" customHeight="1" x14ac:dyDescent="0.3">
      <c r="B12" s="490" t="s">
        <v>414</v>
      </c>
      <c r="C12" s="602"/>
      <c r="D12" s="1550"/>
      <c r="E12" s="1551"/>
      <c r="F12" s="1552"/>
      <c r="R12" s="488"/>
    </row>
    <row r="13" spans="1:18" ht="18.75" customHeight="1" x14ac:dyDescent="0.3">
      <c r="B13" s="494" t="s">
        <v>415</v>
      </c>
      <c r="C13" s="495">
        <f>N43</f>
        <v>0</v>
      </c>
      <c r="D13" s="1550"/>
      <c r="E13" s="1551"/>
      <c r="F13" s="1552"/>
      <c r="R13" s="488"/>
    </row>
    <row r="14" spans="1:18" ht="18.75" customHeight="1" x14ac:dyDescent="0.3">
      <c r="B14" s="494" t="s">
        <v>416</v>
      </c>
      <c r="C14" s="495">
        <f>N42</f>
        <v>0</v>
      </c>
      <c r="D14" s="1550"/>
      <c r="E14" s="1551"/>
      <c r="F14" s="1552"/>
      <c r="R14" s="488"/>
    </row>
    <row r="15" spans="1:18" ht="18.75" customHeight="1" x14ac:dyDescent="0.3">
      <c r="B15" s="494" t="s">
        <v>417</v>
      </c>
      <c r="C15" s="495">
        <f>N44</f>
        <v>3.8230293031526403</v>
      </c>
      <c r="D15" s="1550"/>
      <c r="E15" s="1551"/>
      <c r="F15" s="1552"/>
      <c r="R15" s="488"/>
    </row>
    <row r="16" spans="1:18" ht="18.75" customHeight="1" x14ac:dyDescent="0.3">
      <c r="B16" s="494" t="s">
        <v>418</v>
      </c>
      <c r="C16" s="496">
        <f>C37</f>
        <v>0</v>
      </c>
      <c r="D16" s="1553"/>
      <c r="E16" s="1554"/>
      <c r="F16" s="1555"/>
      <c r="R16" s="488"/>
    </row>
    <row r="17" spans="2:18" ht="13" x14ac:dyDescent="0.3">
      <c r="B17" s="490" t="s">
        <v>48</v>
      </c>
      <c r="C17" s="1194" t="s">
        <v>815</v>
      </c>
      <c r="D17" s="1366" t="s">
        <v>419</v>
      </c>
      <c r="E17" s="1366"/>
      <c r="F17" s="1366"/>
      <c r="R17" s="488"/>
    </row>
    <row r="18" spans="2:18" ht="18.75" customHeight="1" x14ac:dyDescent="0.3">
      <c r="B18" s="490" t="s">
        <v>420</v>
      </c>
      <c r="C18" s="541">
        <v>20</v>
      </c>
      <c r="D18" s="1648" t="s">
        <v>1840</v>
      </c>
      <c r="E18" s="1648"/>
      <c r="F18" s="1648"/>
      <c r="R18" s="488"/>
    </row>
    <row r="19" spans="2:18" ht="18.75" customHeight="1" x14ac:dyDescent="0.3">
      <c r="B19" s="497"/>
      <c r="C19" s="576"/>
      <c r="F19" s="489"/>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18.75" customHeight="1" x14ac:dyDescent="0.3">
      <c r="B21" s="499" t="s">
        <v>422</v>
      </c>
      <c r="C21" s="1546" t="s">
        <v>308</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36" t="s">
        <v>309</v>
      </c>
      <c r="D22" s="1536"/>
      <c r="E22" s="1536"/>
      <c r="F22" s="1536"/>
      <c r="G22" s="1536"/>
      <c r="H22" s="1536"/>
      <c r="I22" s="1536"/>
      <c r="J22" s="1536"/>
      <c r="K22" s="1536"/>
      <c r="L22" s="1536"/>
      <c r="M22" s="1536"/>
      <c r="N22" s="1536"/>
      <c r="O22" s="1536"/>
      <c r="P22" s="1536"/>
      <c r="Q22" s="1536"/>
      <c r="R22" s="488"/>
    </row>
    <row r="23" spans="2:18" ht="18" customHeight="1"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677"/>
      <c r="F33" s="1677"/>
      <c r="G33" s="1677"/>
      <c r="H33" s="1677"/>
      <c r="I33" s="1677"/>
      <c r="J33" s="1677"/>
      <c r="K33" s="1677"/>
      <c r="L33" s="1677"/>
      <c r="M33" s="1677"/>
      <c r="N33" s="1677"/>
      <c r="O33" s="1677"/>
      <c r="P33" s="1677"/>
      <c r="Q33" s="1677"/>
      <c r="R33" s="488"/>
    </row>
    <row r="34" spans="2:18" ht="18.75" customHeight="1" x14ac:dyDescent="0.3">
      <c r="B34" s="494" t="s">
        <v>431</v>
      </c>
      <c r="C34" s="542"/>
      <c r="D34" s="586" t="s">
        <v>430</v>
      </c>
      <c r="E34" s="1677"/>
      <c r="F34" s="1677"/>
      <c r="G34" s="1677"/>
      <c r="H34" s="1677"/>
      <c r="I34" s="1677"/>
      <c r="J34" s="1677"/>
      <c r="K34" s="1677"/>
      <c r="L34" s="1677"/>
      <c r="M34" s="1677"/>
      <c r="N34" s="1677"/>
      <c r="O34" s="1677"/>
      <c r="P34" s="1677"/>
      <c r="Q34" s="1677"/>
    </row>
    <row r="35" spans="2:18" ht="18.75" customHeight="1" x14ac:dyDescent="0.3">
      <c r="B35" s="490" t="s">
        <v>432</v>
      </c>
      <c r="C35" s="542"/>
      <c r="D35" s="586" t="s">
        <v>430</v>
      </c>
      <c r="E35" s="1677"/>
      <c r="F35" s="1677"/>
      <c r="G35" s="1677"/>
      <c r="H35" s="1677"/>
      <c r="I35" s="1677"/>
      <c r="J35" s="1677"/>
      <c r="K35" s="1677"/>
      <c r="L35" s="1677"/>
      <c r="M35" s="1677"/>
      <c r="N35" s="1677"/>
      <c r="O35" s="1677"/>
      <c r="P35" s="1677"/>
      <c r="Q35" s="1677"/>
    </row>
    <row r="36" spans="2:18" ht="18.75" customHeight="1" x14ac:dyDescent="0.3">
      <c r="B36" s="494" t="s">
        <v>433</v>
      </c>
      <c r="C36" s="905">
        <f>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905">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0</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3.8230293031526403</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9" ht="18.75" customHeight="1" x14ac:dyDescent="0.3">
      <c r="B49" s="582" t="s">
        <v>454</v>
      </c>
      <c r="C49" s="1504" t="s">
        <v>817</v>
      </c>
      <c r="D49" s="1505"/>
      <c r="E49" s="1505"/>
      <c r="F49" s="1505"/>
      <c r="G49" s="1505"/>
      <c r="H49" s="1505"/>
      <c r="I49" s="1505"/>
      <c r="J49" s="1505"/>
      <c r="K49" s="1505"/>
      <c r="L49" s="1505"/>
      <c r="M49" s="1506"/>
      <c r="N49" s="592"/>
      <c r="O49" s="1243" t="s">
        <v>443</v>
      </c>
      <c r="P49" s="1511"/>
      <c r="Q49" s="1511"/>
      <c r="R49" s="488"/>
    </row>
    <row r="50" spans="2:19" ht="18.75" customHeight="1" x14ac:dyDescent="0.3">
      <c r="B50" s="582" t="s">
        <v>456</v>
      </c>
      <c r="C50" s="1504" t="s">
        <v>1841</v>
      </c>
      <c r="D50" s="1505"/>
      <c r="E50" s="1505"/>
      <c r="F50" s="1505"/>
      <c r="G50" s="1505"/>
      <c r="H50" s="1505"/>
      <c r="I50" s="1505"/>
      <c r="J50" s="1505"/>
      <c r="K50" s="1505"/>
      <c r="L50" s="1505"/>
      <c r="M50" s="1506"/>
      <c r="N50" s="592">
        <f>(((H63*Water.Density.IMP*Water.HeatCapacity.IMP*(H65-H66)*(1/H67-1/H68)))+((H69-H70)*Hours_per_Year))*GJ_per_BTU</f>
        <v>3.8230293031526403</v>
      </c>
      <c r="O50" s="1243" t="s">
        <v>446</v>
      </c>
      <c r="P50" s="1511" t="s">
        <v>1842</v>
      </c>
      <c r="Q50" s="1511"/>
      <c r="R50" s="488"/>
    </row>
    <row r="51" spans="2:19" ht="18.75" customHeight="1" x14ac:dyDescent="0.3">
      <c r="B51" s="582" t="s">
        <v>458</v>
      </c>
      <c r="C51" s="1504" t="s">
        <v>459</v>
      </c>
      <c r="D51" s="1505"/>
      <c r="E51" s="1505"/>
      <c r="F51" s="1505"/>
      <c r="G51" s="1505"/>
      <c r="H51" s="1505"/>
      <c r="I51" s="1505"/>
      <c r="J51" s="1505"/>
      <c r="K51" s="1505"/>
      <c r="L51" s="1505"/>
      <c r="M51" s="1506"/>
      <c r="N51" s="594"/>
      <c r="O51" s="1243" t="s">
        <v>449</v>
      </c>
      <c r="P51" s="1511"/>
      <c r="Q51" s="1511"/>
      <c r="R51" s="488"/>
    </row>
    <row r="52" spans="2:19" ht="18.75" customHeight="1" x14ac:dyDescent="0.3">
      <c r="B52" s="583"/>
      <c r="C52" s="578"/>
      <c r="D52" s="578"/>
      <c r="E52" s="578"/>
      <c r="F52" s="578"/>
      <c r="G52" s="578"/>
      <c r="H52" s="578"/>
      <c r="I52" s="578"/>
      <c r="J52" s="578"/>
      <c r="K52" s="578"/>
      <c r="L52" s="578"/>
      <c r="M52" s="578"/>
      <c r="Q52" s="489"/>
      <c r="R52" s="488"/>
    </row>
    <row r="53" spans="2:19"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9"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9"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9" s="491" customFormat="1" ht="18.75" customHeight="1" x14ac:dyDescent="0.3">
      <c r="B56" s="531" t="s">
        <v>466</v>
      </c>
      <c r="C56" s="1504" t="s">
        <v>457</v>
      </c>
      <c r="D56" s="1505"/>
      <c r="E56" s="1505"/>
      <c r="F56" s="1505"/>
      <c r="G56" s="1505"/>
      <c r="H56" s="1505"/>
      <c r="I56" s="1505"/>
      <c r="J56" s="1505"/>
      <c r="K56" s="1505"/>
      <c r="L56" s="1505"/>
      <c r="M56" s="1506"/>
      <c r="N56" s="594"/>
      <c r="O56" s="509" t="s">
        <v>446</v>
      </c>
      <c r="P56" s="1447"/>
      <c r="Q56" s="1447"/>
    </row>
    <row r="57" spans="2:19"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9" s="491" customFormat="1" ht="18.75" customHeight="1" x14ac:dyDescent="0.3">
      <c r="B58" s="510"/>
      <c r="C58" s="502"/>
      <c r="D58" s="503"/>
      <c r="E58" s="503"/>
      <c r="F58" s="503"/>
      <c r="G58" s="503"/>
      <c r="H58" s="503"/>
      <c r="I58" s="503"/>
      <c r="J58" s="503"/>
      <c r="K58" s="503"/>
      <c r="L58" s="503"/>
      <c r="M58" s="503"/>
      <c r="N58" s="503"/>
      <c r="O58" s="503"/>
      <c r="R58" s="489"/>
    </row>
    <row r="59" spans="2:19" ht="18.75" customHeight="1" x14ac:dyDescent="0.3">
      <c r="B59" s="511" t="s">
        <v>470</v>
      </c>
      <c r="C59" s="512"/>
      <c r="D59" s="512"/>
      <c r="E59" s="512"/>
      <c r="F59" s="512"/>
      <c r="G59" s="512"/>
      <c r="H59" s="513"/>
      <c r="I59" s="513"/>
      <c r="J59" s="513"/>
      <c r="K59" s="513"/>
      <c r="L59" s="513"/>
      <c r="M59" s="513"/>
      <c r="N59" s="513"/>
      <c r="O59" s="513"/>
      <c r="P59" s="513"/>
      <c r="Q59" s="514"/>
    </row>
    <row r="60" spans="2:19" ht="18.75" customHeight="1" x14ac:dyDescent="0.3">
      <c r="N60" s="1052"/>
    </row>
    <row r="61" spans="2:19" ht="18.75" customHeight="1" x14ac:dyDescent="0.3">
      <c r="B61" s="506" t="s">
        <v>471</v>
      </c>
      <c r="C61" s="506" t="s">
        <v>472</v>
      </c>
      <c r="D61" s="1395" t="s">
        <v>473</v>
      </c>
      <c r="E61" s="1395"/>
      <c r="F61" s="506" t="s">
        <v>474</v>
      </c>
      <c r="G61" s="506" t="s">
        <v>765</v>
      </c>
      <c r="H61" s="506" t="s">
        <v>406</v>
      </c>
      <c r="I61" s="506" t="s">
        <v>428</v>
      </c>
      <c r="J61" s="1396" t="s">
        <v>476</v>
      </c>
      <c r="K61" s="1397"/>
      <c r="L61" s="1397"/>
      <c r="M61" s="1397"/>
      <c r="N61" s="1397"/>
      <c r="O61" s="1397"/>
      <c r="P61" s="1397"/>
      <c r="Q61" s="1398"/>
    </row>
    <row r="62" spans="2:19" ht="35.25" customHeight="1" x14ac:dyDescent="0.3">
      <c r="B62" s="535">
        <v>1</v>
      </c>
      <c r="C62" s="551" t="s">
        <v>1843</v>
      </c>
      <c r="D62" s="1482" t="s">
        <v>1844</v>
      </c>
      <c r="E62" s="1483"/>
      <c r="F62" s="552" t="s">
        <v>789</v>
      </c>
      <c r="G62" s="552" t="s">
        <v>1845</v>
      </c>
      <c r="H62" s="1056">
        <f>INDEX(BuildingType[],MATCH($C$28,BuildingType[Building],0),MATCH($G$62,BuildingType[#Headers],0))</f>
        <v>16000</v>
      </c>
      <c r="I62" s="552" t="s">
        <v>1846</v>
      </c>
      <c r="J62" s="1482" t="s">
        <v>1847</v>
      </c>
      <c r="K62" s="1484"/>
      <c r="L62" s="1484"/>
      <c r="M62" s="1484"/>
      <c r="N62" s="1484"/>
      <c r="O62" s="1484"/>
      <c r="P62" s="1484"/>
      <c r="Q62" s="1483"/>
      <c r="R62" s="1052"/>
      <c r="S62" s="1052"/>
    </row>
    <row r="63" spans="2:19" ht="60" customHeight="1" x14ac:dyDescent="0.3">
      <c r="B63" s="533">
        <v>2</v>
      </c>
      <c r="C63" s="546" t="s">
        <v>1848</v>
      </c>
      <c r="D63" s="1539" t="s">
        <v>1849</v>
      </c>
      <c r="E63" s="1539"/>
      <c r="F63" s="1217"/>
      <c r="G63" s="1217"/>
      <c r="H63" s="923">
        <f>(H62*H64/D86)</f>
        <v>32546.012188904238</v>
      </c>
      <c r="I63" s="1217" t="s">
        <v>1850</v>
      </c>
      <c r="J63" s="1468" t="s">
        <v>1851</v>
      </c>
      <c r="K63" s="1478"/>
      <c r="L63" s="1478"/>
      <c r="M63" s="1478"/>
      <c r="N63" s="1478"/>
      <c r="O63" s="1478"/>
      <c r="P63" s="1478"/>
      <c r="Q63" s="1469"/>
      <c r="R63" s="488"/>
    </row>
    <row r="64" spans="2:19" ht="28.9" customHeight="1" x14ac:dyDescent="0.3">
      <c r="B64" s="534">
        <v>3</v>
      </c>
      <c r="C64" s="546" t="s">
        <v>1852</v>
      </c>
      <c r="D64" s="1468" t="s">
        <v>1853</v>
      </c>
      <c r="E64" s="1469"/>
      <c r="F64" s="1217" t="str">
        <f>$C$28</f>
        <v>Other</v>
      </c>
      <c r="G64" s="1217" t="s">
        <v>1854</v>
      </c>
      <c r="H64" s="923">
        <f>INDEX(BuildingType[],MATCH($C$28,BuildingType[Building],0),MATCH(G64,BuildingType[#Headers],0))</f>
        <v>7.7</v>
      </c>
      <c r="I64" s="1217" t="s">
        <v>1855</v>
      </c>
      <c r="J64" s="1462" t="s">
        <v>1856</v>
      </c>
      <c r="K64" s="1470"/>
      <c r="L64" s="1470"/>
      <c r="M64" s="1470"/>
      <c r="N64" s="1470"/>
      <c r="O64" s="1470"/>
      <c r="P64" s="1470"/>
      <c r="Q64" s="1471"/>
      <c r="R64" s="488"/>
    </row>
    <row r="65" spans="2:19" ht="24" customHeight="1" x14ac:dyDescent="0.3">
      <c r="B65" s="533">
        <v>4</v>
      </c>
      <c r="C65" s="546" t="s">
        <v>1857</v>
      </c>
      <c r="D65" s="1539" t="s">
        <v>1858</v>
      </c>
      <c r="E65" s="1539"/>
      <c r="F65" s="1217"/>
      <c r="G65" s="1217"/>
      <c r="H65" s="923">
        <f>Water.T.DHW.IMP</f>
        <v>130</v>
      </c>
      <c r="I65" s="1217" t="s">
        <v>825</v>
      </c>
      <c r="J65" s="1462" t="s">
        <v>826</v>
      </c>
      <c r="K65" s="1470"/>
      <c r="L65" s="1470"/>
      <c r="M65" s="1470"/>
      <c r="N65" s="1470"/>
      <c r="O65" s="1470"/>
      <c r="P65" s="1470"/>
      <c r="Q65" s="1471"/>
      <c r="R65" s="1053"/>
    </row>
    <row r="66" spans="2:19" ht="24.75" customHeight="1" x14ac:dyDescent="0.3">
      <c r="B66" s="533">
        <v>5</v>
      </c>
      <c r="C66" s="546" t="s">
        <v>778</v>
      </c>
      <c r="D66" s="1539" t="s">
        <v>1859</v>
      </c>
      <c r="E66" s="1539"/>
      <c r="F66" s="1217" t="str">
        <f>$C$26</f>
        <v>Average</v>
      </c>
      <c r="G66" s="1217" t="s">
        <v>780</v>
      </c>
      <c r="H66" s="710">
        <f>INDEX(ClimateData[#All],MATCH(F66,ClimateData[[#All],[Region]],0),MATCH(G66,ClimateData[#Headers],0))*9/5+32</f>
        <v>41.68078624078624</v>
      </c>
      <c r="I66" s="1217" t="s">
        <v>825</v>
      </c>
      <c r="J66" s="1468" t="s">
        <v>869</v>
      </c>
      <c r="K66" s="1478"/>
      <c r="L66" s="1478"/>
      <c r="M66" s="1478"/>
      <c r="N66" s="1478"/>
      <c r="O66" s="1478"/>
      <c r="P66" s="1478"/>
      <c r="Q66" s="1469"/>
      <c r="R66" s="488"/>
    </row>
    <row r="67" spans="2:19" ht="28.5" customHeight="1" x14ac:dyDescent="0.3">
      <c r="B67" s="533">
        <v>6</v>
      </c>
      <c r="C67" s="546" t="s">
        <v>1141</v>
      </c>
      <c r="D67" s="1539" t="s">
        <v>1188</v>
      </c>
      <c r="E67" s="1539"/>
      <c r="F67" s="1217"/>
      <c r="G67" s="1217"/>
      <c r="H67" s="548">
        <f>WaterHeatingEfficiency.CI.NG</f>
        <v>0.8</v>
      </c>
      <c r="I67" s="1217" t="s">
        <v>519</v>
      </c>
      <c r="J67" s="1462" t="s">
        <v>1067</v>
      </c>
      <c r="K67" s="1470"/>
      <c r="L67" s="1470"/>
      <c r="M67" s="1470"/>
      <c r="N67" s="1470"/>
      <c r="O67" s="1470"/>
      <c r="P67" s="1470"/>
      <c r="Q67" s="1471"/>
      <c r="R67" s="488"/>
    </row>
    <row r="68" spans="2:19" ht="27.75" customHeight="1" x14ac:dyDescent="0.3">
      <c r="B68" s="533">
        <v>7</v>
      </c>
      <c r="C68" s="549" t="s">
        <v>1144</v>
      </c>
      <c r="D68" s="1462" t="s">
        <v>1860</v>
      </c>
      <c r="E68" s="1463"/>
      <c r="F68" s="1238"/>
      <c r="G68" s="1238"/>
      <c r="H68" s="548">
        <v>0.9</v>
      </c>
      <c r="I68" s="1238" t="s">
        <v>519</v>
      </c>
      <c r="J68" s="1462" t="s">
        <v>1861</v>
      </c>
      <c r="K68" s="1464"/>
      <c r="L68" s="1464"/>
      <c r="M68" s="1464"/>
      <c r="N68" s="1464"/>
      <c r="O68" s="1464"/>
      <c r="P68" s="1464"/>
      <c r="Q68" s="1463"/>
      <c r="R68" s="488"/>
      <c r="S68" s="1052"/>
    </row>
    <row r="69" spans="2:19" ht="40.5" customHeight="1" x14ac:dyDescent="0.3">
      <c r="B69" s="533">
        <v>8</v>
      </c>
      <c r="C69" s="546" t="s">
        <v>1862</v>
      </c>
      <c r="D69" s="1468" t="s">
        <v>1863</v>
      </c>
      <c r="E69" s="1469"/>
      <c r="F69" s="1217"/>
      <c r="G69" s="1217"/>
      <c r="H69" s="923">
        <f>H71*H62/800+110*SQRT(H72)</f>
        <v>1208.9896265113655</v>
      </c>
      <c r="I69" s="1217" t="s">
        <v>536</v>
      </c>
      <c r="J69" s="2016" t="s">
        <v>1864</v>
      </c>
      <c r="K69" s="2017"/>
      <c r="L69" s="2017"/>
      <c r="M69" s="2017"/>
      <c r="N69" s="2017"/>
      <c r="O69" s="2017"/>
      <c r="P69" s="2017"/>
      <c r="Q69" s="2018"/>
    </row>
    <row r="70" spans="2:19" ht="30" customHeight="1" x14ac:dyDescent="0.3">
      <c r="B70" s="533">
        <v>9</v>
      </c>
      <c r="C70" s="549" t="s">
        <v>1865</v>
      </c>
      <c r="D70" s="1462" t="s">
        <v>1866</v>
      </c>
      <c r="E70" s="1463"/>
      <c r="F70" s="1238"/>
      <c r="G70" s="1238"/>
      <c r="H70" s="606">
        <f xml:space="preserve"> 6.35*H72 + 413</f>
        <v>1175</v>
      </c>
      <c r="I70" s="1238" t="s">
        <v>1867</v>
      </c>
      <c r="J70" s="1701" t="s">
        <v>1868</v>
      </c>
      <c r="K70" s="1917"/>
      <c r="L70" s="1917"/>
      <c r="M70" s="1917"/>
      <c r="N70" s="1917"/>
      <c r="O70" s="1917"/>
      <c r="P70" s="1917"/>
      <c r="Q70" s="1918"/>
      <c r="R70" s="488"/>
    </row>
    <row r="71" spans="2:19" ht="42" customHeight="1" x14ac:dyDescent="0.3">
      <c r="B71" s="533">
        <v>10</v>
      </c>
      <c r="C71" s="549" t="s">
        <v>1869</v>
      </c>
      <c r="D71" s="1462" t="s">
        <v>1870</v>
      </c>
      <c r="E71" s="1463"/>
      <c r="F71" s="1238" t="str">
        <f>$C$28</f>
        <v>Other</v>
      </c>
      <c r="G71" s="1238" t="s">
        <v>1871</v>
      </c>
      <c r="H71" s="606">
        <f>INDEX(BuildingType[],MATCH($C$28,BuildingType[Building],0),MATCH(G71,'Building Data'!$B$5:$AI$5,0))</f>
        <v>0.2</v>
      </c>
      <c r="I71" s="1238" t="s">
        <v>1872</v>
      </c>
      <c r="J71" s="1462" t="s">
        <v>1873</v>
      </c>
      <c r="K71" s="1470"/>
      <c r="L71" s="1470"/>
      <c r="M71" s="1470"/>
      <c r="N71" s="1470"/>
      <c r="O71" s="1470"/>
      <c r="P71" s="1470"/>
      <c r="Q71" s="1471"/>
      <c r="R71" s="488"/>
    </row>
    <row r="72" spans="2:19" s="491" customFormat="1" ht="15" customHeight="1" x14ac:dyDescent="0.3">
      <c r="B72" s="533">
        <v>11</v>
      </c>
      <c r="C72" s="549" t="s">
        <v>1874</v>
      </c>
      <c r="D72" s="1462" t="s">
        <v>1875</v>
      </c>
      <c r="E72" s="1463"/>
      <c r="F72" s="1238"/>
      <c r="G72" s="1238"/>
      <c r="H72" s="606">
        <v>120</v>
      </c>
      <c r="I72" s="557" t="s">
        <v>1850</v>
      </c>
      <c r="J72" s="1462" t="s">
        <v>1876</v>
      </c>
      <c r="K72" s="1464"/>
      <c r="L72" s="1464"/>
      <c r="M72" s="1464"/>
      <c r="N72" s="1464"/>
      <c r="O72" s="1464"/>
      <c r="P72" s="1464"/>
      <c r="Q72" s="1463"/>
    </row>
    <row r="73" spans="2:19" s="491" customFormat="1" ht="13" x14ac:dyDescent="0.3">
      <c r="B73" s="533">
        <v>12</v>
      </c>
      <c r="C73" s="555"/>
      <c r="D73" s="1437"/>
      <c r="E73" s="1438"/>
      <c r="F73" s="556"/>
      <c r="G73" s="557"/>
      <c r="H73" s="985"/>
      <c r="I73" s="557"/>
      <c r="J73" s="1472"/>
      <c r="K73" s="1473"/>
      <c r="L73" s="1473"/>
      <c r="M73" s="1473"/>
      <c r="N73" s="1473"/>
      <c r="O73" s="1473"/>
      <c r="P73" s="1473"/>
      <c r="Q73" s="1474"/>
    </row>
    <row r="74" spans="2:19" s="491" customFormat="1" ht="13" x14ac:dyDescent="0.3">
      <c r="B74" s="533">
        <v>13</v>
      </c>
      <c r="C74" s="555"/>
      <c r="D74" s="1437"/>
      <c r="E74" s="1438"/>
      <c r="F74" s="556"/>
      <c r="G74" s="557"/>
      <c r="H74" s="985"/>
      <c r="I74" s="557"/>
      <c r="J74" s="1472"/>
      <c r="K74" s="1473"/>
      <c r="L74" s="1473"/>
      <c r="M74" s="1473"/>
      <c r="N74" s="1473"/>
      <c r="O74" s="1473"/>
      <c r="P74" s="1473"/>
      <c r="Q74" s="1474"/>
    </row>
    <row r="75" spans="2:19" s="489" customFormat="1" ht="13.15" customHeight="1" x14ac:dyDescent="0.3">
      <c r="B75" s="533">
        <v>14</v>
      </c>
      <c r="C75" s="555"/>
      <c r="D75" s="1437"/>
      <c r="E75" s="1438"/>
      <c r="F75" s="556"/>
      <c r="G75" s="557"/>
      <c r="H75" s="985"/>
      <c r="I75" s="557"/>
      <c r="J75" s="1472"/>
      <c r="K75" s="1473"/>
      <c r="L75" s="1473"/>
      <c r="M75" s="1473"/>
      <c r="N75" s="1473"/>
      <c r="O75" s="1473"/>
      <c r="P75" s="1473"/>
      <c r="Q75" s="1474"/>
    </row>
    <row r="76" spans="2:19" s="489" customFormat="1" ht="13" x14ac:dyDescent="0.3">
      <c r="B76" s="533">
        <v>15</v>
      </c>
      <c r="C76" s="555"/>
      <c r="D76" s="1437"/>
      <c r="E76" s="1438"/>
      <c r="F76" s="556"/>
      <c r="G76" s="557"/>
      <c r="H76" s="559"/>
      <c r="I76" s="557"/>
      <c r="J76" s="1472"/>
      <c r="K76" s="1473"/>
      <c r="L76" s="1473"/>
      <c r="M76" s="1473"/>
      <c r="N76" s="1473"/>
      <c r="O76" s="1473"/>
      <c r="P76" s="1473"/>
      <c r="Q76" s="1474"/>
    </row>
    <row r="77" spans="2:19" ht="18.75" customHeight="1" x14ac:dyDescent="0.3">
      <c r="F77" s="1054"/>
      <c r="G77" s="1055"/>
      <c r="R77" s="488"/>
    </row>
    <row r="78" spans="2:19" ht="18.75" customHeight="1" x14ac:dyDescent="0.3">
      <c r="B78" s="511" t="s">
        <v>477</v>
      </c>
      <c r="C78" s="512"/>
      <c r="D78" s="512"/>
      <c r="E78" s="512"/>
      <c r="F78" s="512"/>
      <c r="G78" s="512"/>
      <c r="H78" s="513"/>
      <c r="I78" s="513"/>
      <c r="J78" s="513"/>
      <c r="K78" s="513"/>
      <c r="L78" s="513"/>
      <c r="M78" s="513"/>
      <c r="N78" s="513"/>
      <c r="O78" s="513"/>
      <c r="P78" s="513"/>
      <c r="Q78" s="514"/>
      <c r="R78" s="488"/>
    </row>
    <row r="79" spans="2:19" ht="18.75" customHeight="1" x14ac:dyDescent="0.3">
      <c r="R79" s="488"/>
    </row>
    <row r="80" spans="2:19"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233"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233"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233"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233"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233" t="s">
        <v>491</v>
      </c>
      <c r="F85" s="1489" t="s">
        <v>485</v>
      </c>
      <c r="G85" s="1490"/>
      <c r="H85" s="1490"/>
      <c r="I85" s="1490"/>
      <c r="J85" s="1490"/>
      <c r="K85" s="1490"/>
      <c r="L85" s="1490"/>
      <c r="M85" s="1490"/>
      <c r="N85" s="1490"/>
      <c r="O85" s="1490"/>
      <c r="P85" s="1490"/>
      <c r="Q85" s="1491"/>
      <c r="R85" s="488"/>
    </row>
    <row r="86" spans="2:18" ht="13" x14ac:dyDescent="0.3">
      <c r="B86" s="533">
        <v>6</v>
      </c>
      <c r="C86" s="560" t="s">
        <v>1877</v>
      </c>
      <c r="D86" s="722">
        <v>3.7854100000000002</v>
      </c>
      <c r="E86" s="1233" t="s">
        <v>1878</v>
      </c>
      <c r="F86" s="1489"/>
      <c r="G86" s="1490"/>
      <c r="H86" s="1490"/>
      <c r="I86" s="1490"/>
      <c r="J86" s="1490"/>
      <c r="K86" s="1490"/>
      <c r="L86" s="1490"/>
      <c r="M86" s="1490"/>
      <c r="N86" s="1490"/>
      <c r="O86" s="1490"/>
      <c r="P86" s="1490"/>
      <c r="Q86" s="1491"/>
      <c r="R86" s="488"/>
    </row>
    <row r="87" spans="2:18" ht="13" x14ac:dyDescent="0.3">
      <c r="B87" s="533">
        <v>7</v>
      </c>
      <c r="C87" s="563"/>
      <c r="D87" s="1233"/>
      <c r="E87" s="1233"/>
      <c r="F87" s="1489"/>
      <c r="G87" s="1490"/>
      <c r="H87" s="1490"/>
      <c r="I87" s="1490"/>
      <c r="J87" s="1490"/>
      <c r="K87" s="1490"/>
      <c r="L87" s="1490"/>
      <c r="M87" s="1490"/>
      <c r="N87" s="1490"/>
      <c r="O87" s="1490"/>
      <c r="P87" s="1490"/>
      <c r="Q87" s="1491"/>
      <c r="R87" s="488"/>
    </row>
    <row r="88" spans="2:18" ht="13" x14ac:dyDescent="0.3">
      <c r="B88" s="533">
        <v>8</v>
      </c>
      <c r="C88" s="563"/>
      <c r="D88" s="564"/>
      <c r="E88" s="1233"/>
      <c r="F88" s="1489"/>
      <c r="G88" s="1490"/>
      <c r="H88" s="1490"/>
      <c r="I88" s="1490"/>
      <c r="J88" s="1490"/>
      <c r="K88" s="1490"/>
      <c r="L88" s="1490"/>
      <c r="M88" s="1490"/>
      <c r="N88" s="1490"/>
      <c r="O88" s="1490"/>
      <c r="P88" s="1490"/>
      <c r="Q88" s="1491"/>
      <c r="R88" s="488"/>
    </row>
    <row r="89" spans="2:18" ht="13" x14ac:dyDescent="0.3">
      <c r="B89" s="533">
        <v>9</v>
      </c>
      <c r="C89" s="563"/>
      <c r="D89" s="1233"/>
      <c r="E89" s="1233"/>
      <c r="F89" s="1489"/>
      <c r="G89" s="1490"/>
      <c r="H89" s="1490"/>
      <c r="I89" s="1490"/>
      <c r="J89" s="1490"/>
      <c r="K89" s="1490"/>
      <c r="L89" s="1490"/>
      <c r="M89" s="1490"/>
      <c r="N89" s="1490"/>
      <c r="O89" s="1490"/>
      <c r="P89" s="1490"/>
      <c r="Q89" s="1491"/>
      <c r="R89" s="488"/>
    </row>
    <row r="90" spans="2:18" ht="13" x14ac:dyDescent="0.3">
      <c r="B90" s="533">
        <v>10</v>
      </c>
      <c r="C90" s="563"/>
      <c r="D90" s="564"/>
      <c r="E90" s="1233"/>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177"/>
      <c r="C95" s="1178"/>
      <c r="D95" s="1179"/>
      <c r="E95" s="524" t="s">
        <v>495</v>
      </c>
      <c r="F95" s="524" t="s">
        <v>496</v>
      </c>
      <c r="G95" s="524" t="s">
        <v>497</v>
      </c>
      <c r="H95" s="524" t="s">
        <v>498</v>
      </c>
      <c r="I95" s="524" t="s">
        <v>499</v>
      </c>
      <c r="J95" s="524" t="s">
        <v>500</v>
      </c>
      <c r="K95" s="524" t="s">
        <v>501</v>
      </c>
      <c r="L95" s="524" t="s">
        <v>502</v>
      </c>
      <c r="M95" s="524" t="s">
        <v>503</v>
      </c>
      <c r="N95" s="1180" t="s">
        <v>504</v>
      </c>
      <c r="O95" s="1407"/>
      <c r="P95" s="1485"/>
      <c r="Q95" s="1409"/>
      <c r="R95" s="488"/>
    </row>
    <row r="96" spans="2:18" ht="25.5" customHeight="1" x14ac:dyDescent="0.3">
      <c r="B96" s="1188" t="s">
        <v>478</v>
      </c>
      <c r="C96" s="1402" t="s">
        <v>538</v>
      </c>
      <c r="D96" s="1431"/>
      <c r="E96" s="565"/>
      <c r="F96" s="565"/>
      <c r="G96" s="565"/>
      <c r="H96" s="565"/>
      <c r="I96" s="565"/>
      <c r="J96" s="565"/>
      <c r="K96" s="565"/>
      <c r="L96" s="565"/>
      <c r="M96" s="565"/>
      <c r="N96" s="566"/>
      <c r="O96" s="1410"/>
      <c r="P96" s="1411"/>
      <c r="Q96" s="1412"/>
      <c r="R96" s="488"/>
    </row>
    <row r="97" spans="2:18" ht="13" x14ac:dyDescent="0.3">
      <c r="B97" s="533">
        <v>1</v>
      </c>
      <c r="C97" s="546"/>
      <c r="D97" s="1184"/>
      <c r="E97" s="1190"/>
      <c r="F97" s="1190"/>
      <c r="G97" s="1190"/>
      <c r="H97" s="1190"/>
      <c r="I97" s="568"/>
      <c r="J97" s="568"/>
      <c r="K97" s="568"/>
      <c r="L97" s="568"/>
      <c r="M97" s="568"/>
      <c r="N97" s="568"/>
      <c r="O97" s="1501"/>
      <c r="P97" s="1502"/>
      <c r="Q97" s="1503"/>
      <c r="R97" s="488"/>
    </row>
    <row r="98" spans="2:18" ht="13" x14ac:dyDescent="0.3">
      <c r="B98" s="533">
        <v>2</v>
      </c>
      <c r="C98" s="546"/>
      <c r="D98" s="1184"/>
      <c r="E98" s="1190"/>
      <c r="F98" s="1190"/>
      <c r="G98" s="1190"/>
      <c r="H98" s="1190"/>
      <c r="I98" s="568"/>
      <c r="J98" s="568"/>
      <c r="K98" s="568"/>
      <c r="L98" s="568"/>
      <c r="M98" s="568"/>
      <c r="N98" s="568"/>
      <c r="O98" s="1495"/>
      <c r="P98" s="1496"/>
      <c r="Q98" s="1497"/>
      <c r="R98" s="488"/>
    </row>
    <row r="99" spans="2:18" ht="13" x14ac:dyDescent="0.3">
      <c r="B99" s="533">
        <v>3</v>
      </c>
      <c r="C99" s="546"/>
      <c r="D99" s="1184"/>
      <c r="E99" s="1190"/>
      <c r="F99" s="1190"/>
      <c r="G99" s="1190"/>
      <c r="H99" s="1190"/>
      <c r="I99" s="568"/>
      <c r="J99" s="568"/>
      <c r="K99" s="568"/>
      <c r="L99" s="568"/>
      <c r="M99" s="568"/>
      <c r="N99" s="568"/>
      <c r="O99" s="1495"/>
      <c r="P99" s="1496"/>
      <c r="Q99" s="1497"/>
      <c r="R99" s="488"/>
    </row>
    <row r="100" spans="2:18" ht="13" x14ac:dyDescent="0.3">
      <c r="B100" s="533">
        <v>4</v>
      </c>
      <c r="C100" s="546"/>
      <c r="D100" s="1184"/>
      <c r="E100" s="1190"/>
      <c r="F100" s="1190"/>
      <c r="G100" s="1190"/>
      <c r="H100" s="1190"/>
      <c r="I100" s="568"/>
      <c r="J100" s="568"/>
      <c r="K100" s="568"/>
      <c r="L100" s="568"/>
      <c r="M100" s="568"/>
      <c r="N100" s="568"/>
      <c r="O100" s="1495"/>
      <c r="P100" s="1496"/>
      <c r="Q100" s="1497"/>
      <c r="R100" s="488"/>
    </row>
    <row r="101" spans="2:18" ht="13" x14ac:dyDescent="0.3">
      <c r="B101" s="533">
        <v>5</v>
      </c>
      <c r="C101" s="546"/>
      <c r="D101" s="1184"/>
      <c r="E101" s="1190"/>
      <c r="F101" s="1190"/>
      <c r="G101" s="1190"/>
      <c r="H101" s="1190"/>
      <c r="I101" s="568"/>
      <c r="J101" s="568"/>
      <c r="K101" s="568"/>
      <c r="L101" s="568"/>
      <c r="M101" s="568"/>
      <c r="N101" s="568"/>
      <c r="O101" s="1495"/>
      <c r="P101" s="1496"/>
      <c r="Q101" s="1497"/>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sheetData>
  <sheetProtection algorithmName="SHA-512" hashValue="uaPO6MiZmvBJZOKLFWxdXx/4U5EGUHoXkJMvx+WB7leuUANzwwNj/QaJAWP8aQq7ThfZedPaFnV7cHLR7ZaeWA==" saltValue="kQjlVzJi4lEVlJHjxOZe+g==" spinCount="100000" sheet="1" objects="1" scenarios="1" selectLockedCells="1" selectUnlockedCells="1"/>
  <mergeCells count="120">
    <mergeCell ref="F90:Q90"/>
    <mergeCell ref="E94:N94"/>
    <mergeCell ref="O94:Q96"/>
    <mergeCell ref="C96:D96"/>
    <mergeCell ref="O97:Q97"/>
    <mergeCell ref="O98:Q98"/>
    <mergeCell ref="F84:Q84"/>
    <mergeCell ref="F85:Q85"/>
    <mergeCell ref="F86:Q86"/>
    <mergeCell ref="F87:Q87"/>
    <mergeCell ref="F88:Q88"/>
    <mergeCell ref="F89:Q89"/>
    <mergeCell ref="O116:Q116"/>
    <mergeCell ref="O105:Q105"/>
    <mergeCell ref="O106:Q106"/>
    <mergeCell ref="O107:Q107"/>
    <mergeCell ref="O108:Q108"/>
    <mergeCell ref="O109:Q109"/>
    <mergeCell ref="O110:Q110"/>
    <mergeCell ref="O99:Q99"/>
    <mergeCell ref="O100:Q100"/>
    <mergeCell ref="O101:Q101"/>
    <mergeCell ref="O102:Q102"/>
    <mergeCell ref="O103:Q103"/>
    <mergeCell ref="O104:Q104"/>
    <mergeCell ref="O111:Q111"/>
    <mergeCell ref="O112:Q112"/>
    <mergeCell ref="O113:Q113"/>
    <mergeCell ref="O114:Q114"/>
    <mergeCell ref="O115:Q115"/>
    <mergeCell ref="F83:Q83"/>
    <mergeCell ref="D74:E74"/>
    <mergeCell ref="J74:Q74"/>
    <mergeCell ref="D75:E75"/>
    <mergeCell ref="J75:Q75"/>
    <mergeCell ref="D64:E64"/>
    <mergeCell ref="J64:Q64"/>
    <mergeCell ref="D71:E71"/>
    <mergeCell ref="J71:Q71"/>
    <mergeCell ref="D72:E72"/>
    <mergeCell ref="J72:Q72"/>
    <mergeCell ref="D73:E73"/>
    <mergeCell ref="J73:Q73"/>
    <mergeCell ref="D70:E70"/>
    <mergeCell ref="J70:Q70"/>
    <mergeCell ref="D76:E76"/>
    <mergeCell ref="J76:Q76"/>
    <mergeCell ref="F80:Q80"/>
    <mergeCell ref="F81:Q81"/>
    <mergeCell ref="F82:Q82"/>
    <mergeCell ref="D69:E69"/>
    <mergeCell ref="J69:Q69"/>
    <mergeCell ref="D62:E62"/>
    <mergeCell ref="J62:Q62"/>
    <mergeCell ref="D67:E67"/>
    <mergeCell ref="J67:Q67"/>
    <mergeCell ref="D68:E68"/>
    <mergeCell ref="J68:Q68"/>
    <mergeCell ref="D66:E66"/>
    <mergeCell ref="J66:Q66"/>
    <mergeCell ref="D61:E61"/>
    <mergeCell ref="J61:Q61"/>
    <mergeCell ref="D63:E63"/>
    <mergeCell ref="J63:Q63"/>
    <mergeCell ref="D65:E65"/>
    <mergeCell ref="J65:Q65"/>
    <mergeCell ref="C51:M51"/>
    <mergeCell ref="P51:Q51"/>
    <mergeCell ref="C48:M48"/>
    <mergeCell ref="P48:Q48"/>
    <mergeCell ref="C49:M49"/>
    <mergeCell ref="P49:Q49"/>
    <mergeCell ref="C50:M50"/>
    <mergeCell ref="P50:Q50"/>
    <mergeCell ref="C47:M47"/>
    <mergeCell ref="P47:Q47"/>
    <mergeCell ref="C55:M55"/>
    <mergeCell ref="P55:Q55"/>
    <mergeCell ref="C56:M56"/>
    <mergeCell ref="P56:Q56"/>
    <mergeCell ref="C57:M57"/>
    <mergeCell ref="P57:Q57"/>
    <mergeCell ref="C53:M53"/>
    <mergeCell ref="P53:Q53"/>
    <mergeCell ref="C54:M54"/>
    <mergeCell ref="P54:Q54"/>
    <mergeCell ref="E35:Q35"/>
    <mergeCell ref="E36:Q36"/>
    <mergeCell ref="E37:Q37"/>
    <mergeCell ref="D28:Q28"/>
    <mergeCell ref="D29:Q29"/>
    <mergeCell ref="D30:Q30"/>
    <mergeCell ref="C44:M44"/>
    <mergeCell ref="P44:Q44"/>
    <mergeCell ref="C45:M45"/>
    <mergeCell ref="P45:Q45"/>
    <mergeCell ref="C41:M41"/>
    <mergeCell ref="P41:Q41"/>
    <mergeCell ref="C42:M42"/>
    <mergeCell ref="P42:Q42"/>
    <mergeCell ref="C43:M43"/>
    <mergeCell ref="P43:Q43"/>
    <mergeCell ref="C2:F2"/>
    <mergeCell ref="C3:F3"/>
    <mergeCell ref="C4:F4"/>
    <mergeCell ref="C5:F5"/>
    <mergeCell ref="D7:F7"/>
    <mergeCell ref="D8:F16"/>
    <mergeCell ref="E32:Q32"/>
    <mergeCell ref="E33:Q33"/>
    <mergeCell ref="E34:Q34"/>
    <mergeCell ref="D25:Q25"/>
    <mergeCell ref="D26:Q26"/>
    <mergeCell ref="D27:Q27"/>
    <mergeCell ref="D17:F17"/>
    <mergeCell ref="D18:F18"/>
    <mergeCell ref="B20:Q20"/>
    <mergeCell ref="C21:Q21"/>
    <mergeCell ref="C22:Q22"/>
    <mergeCell ref="C23:Q23"/>
  </mergeCells>
  <conditionalFormatting sqref="H69">
    <cfRule type="expression" dxfId="1734" priority="43">
      <formula>IF(OR(#REF!="L",#REF!="C"),TRUE,FALSE)</formula>
    </cfRule>
  </conditionalFormatting>
  <conditionalFormatting sqref="F109:F116 G102:G116 H104:H116">
    <cfRule type="expression" dxfId="1733" priority="42">
      <formula>IF(OR(#REF!="L",#REF!="C"),TRUE,FALSE)</formula>
    </cfRule>
  </conditionalFormatting>
  <conditionalFormatting sqref="E110:E116">
    <cfRule type="expression" dxfId="1732" priority="41">
      <formula>IF(OR(#REF!="L",#REF!="C"),TRUE,FALSE)</formula>
    </cfRule>
  </conditionalFormatting>
  <conditionalFormatting sqref="E107">
    <cfRule type="expression" dxfId="1731" priority="40">
      <formula>IF(OR(#REF!="L",#REF!="C"),TRUE,FALSE)</formula>
    </cfRule>
  </conditionalFormatting>
  <conditionalFormatting sqref="E108">
    <cfRule type="expression" dxfId="1730" priority="39">
      <formula>IF(OR(#REF!="L",#REF!="C"),TRUE,FALSE)</formula>
    </cfRule>
  </conditionalFormatting>
  <conditionalFormatting sqref="E109">
    <cfRule type="expression" dxfId="1729" priority="38">
      <formula>IF(OR(#REF!="L",#REF!="C"),TRUE,FALSE)</formula>
    </cfRule>
  </conditionalFormatting>
  <conditionalFormatting sqref="E106">
    <cfRule type="expression" dxfId="1728" priority="37">
      <formula>IF(OR(#REF!="L",#REF!="C"),TRUE,FALSE)</formula>
    </cfRule>
  </conditionalFormatting>
  <conditionalFormatting sqref="E95 G95 I95 K95 M95">
    <cfRule type="duplicateValues" dxfId="1727" priority="36"/>
  </conditionalFormatting>
  <conditionalFormatting sqref="M104:M116">
    <cfRule type="expression" dxfId="1726" priority="26">
      <formula>IF(OR(#REF!="L",#REF!="C"),TRUE,FALSE)</formula>
    </cfRule>
  </conditionalFormatting>
  <conditionalFormatting sqref="F102:F106">
    <cfRule type="expression" dxfId="1725" priority="35">
      <formula>IF(OR(#REF!="L",#REF!="C"),TRUE,FALSE)</formula>
    </cfRule>
  </conditionalFormatting>
  <conditionalFormatting sqref="I102:I103">
    <cfRule type="expression" dxfId="1724" priority="33">
      <formula>IF(OR(#REF!="L",#REF!="C"),TRUE,FALSE)</formula>
    </cfRule>
  </conditionalFormatting>
  <conditionalFormatting sqref="N102:N103">
    <cfRule type="expression" dxfId="1723" priority="23">
      <formula>IF(OR(#REF!="L",#REF!="C"),TRUE,FALSE)</formula>
    </cfRule>
  </conditionalFormatting>
  <conditionalFormatting sqref="I104:I116">
    <cfRule type="expression" dxfId="1722" priority="34">
      <formula>IF(OR(#REF!="L",#REF!="C"),TRUE,FALSE)</formula>
    </cfRule>
  </conditionalFormatting>
  <conditionalFormatting sqref="J102:J103">
    <cfRule type="expression" dxfId="1721" priority="31">
      <formula>IF(OR(#REF!="L",#REF!="C"),TRUE,FALSE)</formula>
    </cfRule>
  </conditionalFormatting>
  <conditionalFormatting sqref="J104:J116">
    <cfRule type="expression" dxfId="1720" priority="32">
      <formula>IF(OR(#REF!="L",#REF!="C"),TRUE,FALSE)</formula>
    </cfRule>
  </conditionalFormatting>
  <conditionalFormatting sqref="K102:K103">
    <cfRule type="expression" dxfId="1719" priority="29">
      <formula>IF(OR(#REF!="L",#REF!="C"),TRUE,FALSE)</formula>
    </cfRule>
  </conditionalFormatting>
  <conditionalFormatting sqref="K104:K116">
    <cfRule type="expression" dxfId="1718" priority="30">
      <formula>IF(OR(#REF!="L",#REF!="C"),TRUE,FALSE)</formula>
    </cfRule>
  </conditionalFormatting>
  <conditionalFormatting sqref="L102:L103">
    <cfRule type="expression" dxfId="1717" priority="27">
      <formula>IF(OR(#REF!="L",#REF!="C"),TRUE,FALSE)</formula>
    </cfRule>
  </conditionalFormatting>
  <conditionalFormatting sqref="L104:L116">
    <cfRule type="expression" dxfId="1716" priority="28">
      <formula>IF(OR(#REF!="L",#REF!="C"),TRUE,FALSE)</formula>
    </cfRule>
  </conditionalFormatting>
  <conditionalFormatting sqref="M102:M103">
    <cfRule type="expression" dxfId="1715" priority="25">
      <formula>IF(OR(#REF!="L",#REF!="C"),TRUE,FALSE)</formula>
    </cfRule>
  </conditionalFormatting>
  <conditionalFormatting sqref="N104:N116">
    <cfRule type="expression" dxfId="1714" priority="24">
      <formula>IF(OR(#REF!="L",#REF!="C"),TRUE,FALSE)</formula>
    </cfRule>
  </conditionalFormatting>
  <conditionalFormatting sqref="O102:O103">
    <cfRule type="expression" dxfId="1713" priority="21">
      <formula>IF(OR(#REF!="L",#REF!="C"),TRUE,FALSE)</formula>
    </cfRule>
  </conditionalFormatting>
  <conditionalFormatting sqref="O104:O116">
    <cfRule type="expression" dxfId="1712" priority="22">
      <formula>IF(OR(#REF!="L",#REF!="C"),TRUE,FALSE)</formula>
    </cfRule>
  </conditionalFormatting>
  <conditionalFormatting sqref="E96:N96">
    <cfRule type="duplicateValues" dxfId="1711" priority="20"/>
  </conditionalFormatting>
  <conditionalFormatting sqref="H68">
    <cfRule type="expression" dxfId="1710" priority="19">
      <formula>IF(OR(#REF!="L",#REF!="C"),TRUE,FALSE)</formula>
    </cfRule>
  </conditionalFormatting>
  <conditionalFormatting sqref="H65">
    <cfRule type="expression" dxfId="1709" priority="18">
      <formula>IF(OR(#REF!="L",#REF!="C"),TRUE,FALSE)</formula>
    </cfRule>
  </conditionalFormatting>
  <conditionalFormatting sqref="H74">
    <cfRule type="expression" dxfId="1708" priority="15">
      <formula>IF(OR(#REF!="L",#REF!="C"),TRUE,FALSE)</formula>
    </cfRule>
  </conditionalFormatting>
  <conditionalFormatting sqref="H75">
    <cfRule type="expression" dxfId="1707" priority="14">
      <formula>IF(OR(#REF!="L",#REF!="C"),TRUE,FALSE)</formula>
    </cfRule>
  </conditionalFormatting>
  <conditionalFormatting sqref="H76">
    <cfRule type="expression" dxfId="1706" priority="13">
      <formula>IF(OR(#REF!="L",#REF!="C"),TRUE,FALSE)</formula>
    </cfRule>
  </conditionalFormatting>
  <conditionalFormatting sqref="H71:H72">
    <cfRule type="expression" dxfId="1705" priority="11">
      <formula>IF(OR(#REF!="L",#REF!="C"),TRUE,FALSE)</formula>
    </cfRule>
  </conditionalFormatting>
  <conditionalFormatting sqref="H70">
    <cfRule type="expression" dxfId="1704" priority="9">
      <formula>IF(OR(#REF!="L",#REF!="C"),TRUE,FALSE)</formula>
    </cfRule>
  </conditionalFormatting>
  <conditionalFormatting sqref="H64">
    <cfRule type="expression" dxfId="1703" priority="10">
      <formula>IF(OR(#REF!="L",#REF!="C"),TRUE,FALSE)</formula>
    </cfRule>
  </conditionalFormatting>
  <conditionalFormatting sqref="H63:H64">
    <cfRule type="expression" dxfId="1702" priority="8">
      <formula>IF(OR(#REF!="L",#REF!="C"),TRUE,FALSE)</formula>
    </cfRule>
  </conditionalFormatting>
  <conditionalFormatting sqref="H67">
    <cfRule type="expression" dxfId="1701" priority="7">
      <formula>IF(OR(#REF!="L",#REF!="C"),TRUE,FALSE)</formula>
    </cfRule>
  </conditionalFormatting>
  <conditionalFormatting sqref="H62">
    <cfRule type="expression" dxfId="1700" priority="6">
      <formula>IF(OR(#REF!="L",#REF!="C"),TRUE,FALSE)</formula>
    </cfRule>
  </conditionalFormatting>
  <conditionalFormatting sqref="H73">
    <cfRule type="expression" dxfId="1699" priority="3">
      <formula>IF(OR(#REF!="L",#REF!="C"),TRUE,FALSE)</formula>
    </cfRule>
  </conditionalFormatting>
  <conditionalFormatting sqref="H66">
    <cfRule type="expression" dxfId="1698" priority="2">
      <formula>IF(OR(#REF!="L",#REF!="C"),TRUE,FALSE)</formula>
    </cfRule>
  </conditionalFormatting>
  <conditionalFormatting sqref="H66">
    <cfRule type="expression" dxfId="1697" priority="1">
      <formula>IF(OR(#REF!="L",#REF!="C"),TRUE,FALSE)</formula>
    </cfRule>
  </conditionalFormatting>
  <dataValidations count="7">
    <dataValidation type="list" allowBlank="1" showInputMessage="1" showErrorMessage="1" sqref="F63:F65" xr:uid="{AE01E958-9405-42B2-978F-E97023328642}">
      <formula1>#REF!</formula1>
    </dataValidation>
    <dataValidation type="list" allowBlank="1" showInputMessage="1" showErrorMessage="1" sqref="C4" xr:uid="{DD0C00A4-3D41-46A4-B66B-F96454C40E1D}">
      <formula1>"COM,RES"</formula1>
    </dataValidation>
    <dataValidation type="list" allowBlank="1" showInputMessage="1" showErrorMessage="1" sqref="C9" xr:uid="{EFE4451E-CD6F-4133-9707-6EC27BBAD46E}">
      <formula1>INDIRECT("MeasureTypeList[Index]")</formula1>
    </dataValidation>
    <dataValidation type="list" allowBlank="1" showInputMessage="1" showErrorMessage="1" sqref="C26" xr:uid="{856A79AF-F2DA-4851-B0EC-2F6EC8F6B81A}">
      <formula1>INDIRECT("RegionList[Index]")</formula1>
    </dataValidation>
    <dataValidation type="list" allowBlank="1" showInputMessage="1" showErrorMessage="1" sqref="C27" xr:uid="{C696D91D-C2CA-4FA4-A6A4-61A455BBF5BB}">
      <formula1>INDIRECT("ReplacementTypeList[Index]")</formula1>
    </dataValidation>
    <dataValidation type="list" allowBlank="1" showInputMessage="1" showErrorMessage="1" sqref="C28" xr:uid="{047181C7-20D6-47A2-834D-B85CEFFF14BD}">
      <formula1>INDIRECT("BuildingType[Building]")</formula1>
    </dataValidation>
    <dataValidation type="list" allowBlank="1" showInputMessage="1" showErrorMessage="1" sqref="C29 C30" xr:uid="{58196A02-1962-4B02-BC54-04945336FA1E}">
      <formula1>INDIRECT("FuelTypeList[Index]")</formula1>
    </dataValidation>
  </dataValidations>
  <hyperlinks>
    <hyperlink ref="F82" r:id="rId1" xr:uid="{6D5074E6-88B5-4430-8329-80A351DD6F9F}"/>
    <hyperlink ref="F83" r:id="rId2" xr:uid="{46844F6C-5331-41C5-9900-8EE284B9AC0F}"/>
    <hyperlink ref="F85" r:id="rId3" xr:uid="{A578A6E7-7AC8-4699-8E3B-F6245B4CB7FF}"/>
    <hyperlink ref="F84" r:id="rId4" xr:uid="{4F80B28E-DD83-4CD1-ABB7-DBDF02F632F0}"/>
  </hyperlinks>
  <pageMargins left="0.7" right="0.7" top="0.75" bottom="0.75" header="0.3" footer="0.3"/>
  <pageSetup orientation="portrait"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D7BCD-1831-4532-91A0-74FAFB74BA78}">
  <sheetPr codeName="Sheet4">
    <tabColor theme="1"/>
  </sheetPr>
  <dimension ref="D8"/>
  <sheetViews>
    <sheetView workbookViewId="0">
      <selection activeCell="K20" sqref="K20"/>
    </sheetView>
  </sheetViews>
  <sheetFormatPr defaultRowHeight="14.5" x14ac:dyDescent="0.35"/>
  <sheetData>
    <row r="8" spans="4:4" x14ac:dyDescent="0.35">
      <c r="D8" s="123"/>
    </row>
  </sheetData>
  <sheetProtection algorithmName="SHA-512" hashValue="pOvbrOWaz4Y01W0FpJtXYbxxPob33UISaY9z+WBEewvofyJ+RGkkIlNkTd42aKkWiElx+kap56PPbiyXE8c3Lg==" saltValue="6vUe9oLFX5yBSMcpzEfZ6Q==" spinCount="100000" sheet="1" objects="1" scenarios="1" selectLockedCells="1" selectUnlockedCells="1"/>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B7497-B299-47C8-882F-C562172D59AD}">
  <sheetPr codeName="Sheet25"/>
  <dimension ref="A2:R116"/>
  <sheetViews>
    <sheetView workbookViewId="0"/>
  </sheetViews>
  <sheetFormatPr defaultColWidth="9.08984375" defaultRowHeight="18.75" customHeight="1" x14ac:dyDescent="0.3"/>
  <cols>
    <col min="1" max="1" width="2.36328125" style="488" customWidth="1"/>
    <col min="2" max="2" width="44.36328125" style="488" bestFit="1" customWidth="1"/>
    <col min="3" max="3" width="24" style="488" customWidth="1"/>
    <col min="4" max="4" width="21.6328125" style="488" customWidth="1"/>
    <col min="5" max="5" width="14.36328125" style="488" customWidth="1"/>
    <col min="6" max="6" width="15.6328125" style="488" customWidth="1"/>
    <col min="7" max="7" width="19.6328125" style="488" customWidth="1"/>
    <col min="8" max="8" width="20.6328125" style="488" customWidth="1"/>
    <col min="9" max="9" width="13.72656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C-W-002</v>
      </c>
      <c r="D3" s="1367"/>
      <c r="E3" s="1367"/>
      <c r="F3" s="1367"/>
    </row>
    <row r="4" spans="1:18" ht="18.75" customHeight="1" x14ac:dyDescent="0.3">
      <c r="B4" s="490" t="s">
        <v>11</v>
      </c>
      <c r="C4" s="1367" t="str" cm="1">
        <f t="array" ref="C4">_xlfn.SWITCH(LEFT(C8,1),"R","Residential","C","Commercial","ERROR")</f>
        <v>Commercial</v>
      </c>
      <c r="D4" s="1367"/>
      <c r="E4" s="1367"/>
      <c r="F4" s="1367"/>
    </row>
    <row r="5" spans="1:18" ht="44.25" customHeight="1" x14ac:dyDescent="0.3">
      <c r="B5" s="490" t="s">
        <v>408</v>
      </c>
      <c r="C5" s="1530" t="s">
        <v>310</v>
      </c>
      <c r="D5" s="1531"/>
      <c r="E5" s="1531"/>
      <c r="F5" s="1532"/>
      <c r="R5" s="488"/>
    </row>
    <row r="6" spans="1:18" ht="18.75" customHeight="1" x14ac:dyDescent="0.3">
      <c r="A6" s="573"/>
    </row>
    <row r="7" spans="1:18" ht="18.75" customHeight="1" x14ac:dyDescent="0.3">
      <c r="B7" s="1193" t="s">
        <v>507</v>
      </c>
      <c r="C7" s="493" t="s">
        <v>406</v>
      </c>
      <c r="D7" s="1366" t="s">
        <v>410</v>
      </c>
      <c r="E7" s="1366"/>
      <c r="F7" s="1366"/>
      <c r="R7" s="488"/>
    </row>
    <row r="8" spans="1:18" ht="18.75" customHeight="1" x14ac:dyDescent="0.3">
      <c r="B8" s="490" t="s">
        <v>411</v>
      </c>
      <c r="C8" s="1194" t="s">
        <v>141</v>
      </c>
      <c r="D8" s="1547"/>
      <c r="E8" s="1548"/>
      <c r="F8" s="1549"/>
      <c r="R8" s="488"/>
    </row>
    <row r="9" spans="1:18" ht="18.75" customHeight="1" x14ac:dyDescent="0.3">
      <c r="B9" s="490" t="s">
        <v>49</v>
      </c>
      <c r="C9" s="1194" t="s">
        <v>760</v>
      </c>
      <c r="D9" s="1550"/>
      <c r="E9" s="1551"/>
      <c r="F9" s="1552"/>
      <c r="R9" s="488"/>
    </row>
    <row r="10" spans="1:18" ht="18.75" customHeight="1" x14ac:dyDescent="0.3">
      <c r="B10" s="490" t="s">
        <v>412</v>
      </c>
      <c r="C10" s="1194"/>
      <c r="D10" s="1550"/>
      <c r="E10" s="1551"/>
      <c r="F10" s="1552"/>
      <c r="R10" s="488"/>
    </row>
    <row r="11" spans="1:18" ht="18.75" customHeight="1" x14ac:dyDescent="0.3">
      <c r="B11" s="490" t="s">
        <v>413</v>
      </c>
      <c r="C11" s="1194"/>
      <c r="D11" s="1550"/>
      <c r="E11" s="1551"/>
      <c r="F11" s="1552"/>
      <c r="R11" s="488"/>
    </row>
    <row r="12" spans="1:18" ht="18.75" customHeight="1" x14ac:dyDescent="0.3">
      <c r="B12" s="490" t="s">
        <v>414</v>
      </c>
      <c r="C12" s="602"/>
      <c r="D12" s="1550"/>
      <c r="E12" s="1551"/>
      <c r="F12" s="1552"/>
      <c r="R12" s="488"/>
    </row>
    <row r="13" spans="1:18" ht="18.75" customHeight="1" x14ac:dyDescent="0.3">
      <c r="B13" s="494" t="s">
        <v>415</v>
      </c>
      <c r="C13" s="495">
        <f>N43</f>
        <v>0</v>
      </c>
      <c r="D13" s="1550"/>
      <c r="E13" s="1551"/>
      <c r="F13" s="1552"/>
      <c r="R13" s="488"/>
    </row>
    <row r="14" spans="1:18" ht="18.75" customHeight="1" x14ac:dyDescent="0.3">
      <c r="B14" s="494" t="s">
        <v>416</v>
      </c>
      <c r="C14" s="495">
        <f>N42</f>
        <v>0</v>
      </c>
      <c r="D14" s="1550"/>
      <c r="E14" s="1551"/>
      <c r="F14" s="1552"/>
      <c r="R14" s="488"/>
    </row>
    <row r="15" spans="1:18" ht="18.75" customHeight="1" x14ac:dyDescent="0.3">
      <c r="B15" s="494" t="s">
        <v>417</v>
      </c>
      <c r="C15" s="495">
        <f>N44</f>
        <v>17.485582334855771</v>
      </c>
      <c r="D15" s="1550"/>
      <c r="E15" s="1551"/>
      <c r="F15" s="1552"/>
      <c r="R15" s="488"/>
    </row>
    <row r="16" spans="1:18" ht="18.75" customHeight="1" x14ac:dyDescent="0.3">
      <c r="B16" s="494" t="s">
        <v>418</v>
      </c>
      <c r="C16" s="496">
        <f>C37</f>
        <v>0</v>
      </c>
      <c r="D16" s="1553"/>
      <c r="E16" s="1554"/>
      <c r="F16" s="1555"/>
      <c r="R16" s="488"/>
    </row>
    <row r="17" spans="2:18" ht="18.75" customHeight="1" x14ac:dyDescent="0.3">
      <c r="B17" s="490" t="s">
        <v>48</v>
      </c>
      <c r="C17" s="1194" t="s">
        <v>815</v>
      </c>
      <c r="D17" s="1366" t="s">
        <v>419</v>
      </c>
      <c r="E17" s="1366"/>
      <c r="F17" s="1366"/>
      <c r="R17" s="488"/>
    </row>
    <row r="18" spans="2:18" ht="18.75" customHeight="1" x14ac:dyDescent="0.3">
      <c r="B18" s="490" t="s">
        <v>420</v>
      </c>
      <c r="C18" s="541">
        <v>15</v>
      </c>
      <c r="D18" s="1501" t="s">
        <v>1879</v>
      </c>
      <c r="E18" s="1502"/>
      <c r="F18" s="1503"/>
      <c r="R18" s="488"/>
    </row>
    <row r="19" spans="2:18" ht="18.75" customHeight="1" x14ac:dyDescent="0.3">
      <c r="B19" s="613"/>
      <c r="C19" s="614"/>
      <c r="F19" s="489"/>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18.75" customHeight="1" x14ac:dyDescent="0.3">
      <c r="B21" s="499" t="s">
        <v>422</v>
      </c>
      <c r="C21" s="1536" t="s">
        <v>311</v>
      </c>
      <c r="D21" s="1536"/>
      <c r="E21" s="1536"/>
      <c r="F21" s="1536"/>
      <c r="G21" s="1536"/>
      <c r="H21" s="1536"/>
      <c r="I21" s="1536"/>
      <c r="J21" s="1536"/>
      <c r="K21" s="1536"/>
      <c r="L21" s="1536"/>
      <c r="M21" s="1536"/>
      <c r="N21" s="1536"/>
      <c r="O21" s="1536"/>
      <c r="P21" s="1536"/>
      <c r="Q21" s="1536"/>
      <c r="R21" s="488"/>
    </row>
    <row r="22" spans="2:18" ht="18.75" customHeight="1" x14ac:dyDescent="0.3">
      <c r="B22" s="500" t="s">
        <v>423</v>
      </c>
      <c r="C22" s="1536" t="s">
        <v>312</v>
      </c>
      <c r="D22" s="1536"/>
      <c r="E22" s="1536"/>
      <c r="F22" s="1536"/>
      <c r="G22" s="1536"/>
      <c r="H22" s="1536"/>
      <c r="I22" s="1536"/>
      <c r="J22" s="1536"/>
      <c r="K22" s="1536"/>
      <c r="L22" s="1536"/>
      <c r="M22" s="1536"/>
      <c r="N22" s="1536"/>
      <c r="O22" s="1536"/>
      <c r="P22" s="1536"/>
      <c r="Q22" s="1536"/>
      <c r="R22" s="488"/>
    </row>
    <row r="23" spans="2:18" ht="13"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677"/>
      <c r="F33" s="1677"/>
      <c r="G33" s="1677"/>
      <c r="H33" s="1677"/>
      <c r="I33" s="1677"/>
      <c r="J33" s="1677"/>
      <c r="K33" s="1677"/>
      <c r="L33" s="1677"/>
      <c r="M33" s="1677"/>
      <c r="N33" s="1677"/>
      <c r="O33" s="1677"/>
      <c r="P33" s="1677"/>
      <c r="Q33" s="1677"/>
      <c r="R33" s="488"/>
    </row>
    <row r="34" spans="2:18" ht="18.75" customHeight="1" x14ac:dyDescent="0.3">
      <c r="B34" s="494" t="s">
        <v>431</v>
      </c>
      <c r="C34" s="542"/>
      <c r="D34" s="586" t="s">
        <v>430</v>
      </c>
      <c r="E34" s="1677"/>
      <c r="F34" s="1677"/>
      <c r="G34" s="1677"/>
      <c r="H34" s="1677"/>
      <c r="I34" s="1677"/>
      <c r="J34" s="1677"/>
      <c r="K34" s="1677"/>
      <c r="L34" s="1677"/>
      <c r="M34" s="1677"/>
      <c r="N34" s="1677"/>
      <c r="O34" s="1677"/>
      <c r="P34" s="1677"/>
      <c r="Q34" s="1677"/>
    </row>
    <row r="35" spans="2:18" ht="18.75" customHeight="1" x14ac:dyDescent="0.3">
      <c r="B35" s="490" t="s">
        <v>432</v>
      </c>
      <c r="C35" s="542"/>
      <c r="D35" s="586" t="s">
        <v>430</v>
      </c>
      <c r="E35" s="1677"/>
      <c r="F35" s="1677"/>
      <c r="G35" s="1677"/>
      <c r="H35" s="1677"/>
      <c r="I35" s="1677"/>
      <c r="J35" s="1677"/>
      <c r="K35" s="1677"/>
      <c r="L35" s="1677"/>
      <c r="M35" s="1677"/>
      <c r="N35" s="1677"/>
      <c r="O35" s="1677"/>
      <c r="P35" s="1677"/>
      <c r="Q35" s="1677"/>
    </row>
    <row r="36" spans="2:18" ht="18.75" customHeight="1" x14ac:dyDescent="0.3">
      <c r="B36" s="494" t="s">
        <v>433</v>
      </c>
      <c r="C36" s="905">
        <f>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905">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0</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17.485582334855771</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817</v>
      </c>
      <c r="D49" s="1505"/>
      <c r="E49" s="1505"/>
      <c r="F49" s="1505"/>
      <c r="G49" s="1505"/>
      <c r="H49" s="1505"/>
      <c r="I49" s="1505"/>
      <c r="J49" s="1505"/>
      <c r="K49" s="1505"/>
      <c r="L49" s="1505"/>
      <c r="M49" s="1506"/>
      <c r="N49" s="592"/>
      <c r="O49" s="1243" t="s">
        <v>443</v>
      </c>
      <c r="P49" s="1511"/>
      <c r="Q49" s="1511"/>
      <c r="R49" s="488"/>
    </row>
    <row r="50" spans="2:18" ht="42" customHeight="1" x14ac:dyDescent="0.3">
      <c r="B50" s="582" t="s">
        <v>456</v>
      </c>
      <c r="C50" s="1507" t="s">
        <v>1880</v>
      </c>
      <c r="D50" s="1514"/>
      <c r="E50" s="1514"/>
      <c r="F50" s="1514"/>
      <c r="G50" s="1514"/>
      <c r="H50" s="1514"/>
      <c r="I50" s="1514"/>
      <c r="J50" s="1514"/>
      <c r="K50" s="1514"/>
      <c r="L50" s="1514"/>
      <c r="M50" s="1515"/>
      <c r="N50" s="744">
        <f>(H62*Water.Density.IMP*Water.HeatCapacity.IMP*(H64-H65)*(1/H66-1/H67)+H74*H68*Hours_per_Year/H66)*GJ_per_BTU</f>
        <v>17.485582334855771</v>
      </c>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457</v>
      </c>
      <c r="D56" s="1505"/>
      <c r="E56" s="1505"/>
      <c r="F56" s="1505"/>
      <c r="G56" s="1505"/>
      <c r="H56" s="1505"/>
      <c r="I56" s="1505"/>
      <c r="J56" s="1505"/>
      <c r="K56" s="1505"/>
      <c r="L56" s="1505"/>
      <c r="M56" s="1506"/>
      <c r="N56" s="594"/>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0" spans="2:18" ht="18.75" customHeight="1" x14ac:dyDescent="0.3">
      <c r="H60" s="1052"/>
    </row>
    <row r="61" spans="2:18" ht="18.75" customHeight="1" x14ac:dyDescent="0.3">
      <c r="B61" s="506" t="s">
        <v>471</v>
      </c>
      <c r="C61" s="506" t="s">
        <v>472</v>
      </c>
      <c r="D61" s="1395" t="s">
        <v>473</v>
      </c>
      <c r="E61" s="1395"/>
      <c r="F61" s="506" t="s">
        <v>474</v>
      </c>
      <c r="G61" s="506" t="s">
        <v>765</v>
      </c>
      <c r="H61" s="506" t="s">
        <v>406</v>
      </c>
      <c r="I61" s="506" t="s">
        <v>428</v>
      </c>
      <c r="J61" s="1396" t="s">
        <v>476</v>
      </c>
      <c r="K61" s="1397"/>
      <c r="L61" s="1397"/>
      <c r="M61" s="1397"/>
      <c r="N61" s="1397"/>
      <c r="O61" s="1397"/>
      <c r="P61" s="1397"/>
      <c r="Q61" s="1398"/>
    </row>
    <row r="62" spans="2:18" ht="34.5" customHeight="1" x14ac:dyDescent="0.3">
      <c r="B62" s="533">
        <v>1</v>
      </c>
      <c r="C62" s="546" t="s">
        <v>1848</v>
      </c>
      <c r="D62" s="1539" t="s">
        <v>1849</v>
      </c>
      <c r="E62" s="1539"/>
      <c r="F62" s="1217"/>
      <c r="G62" s="1217"/>
      <c r="H62" s="923">
        <f>H70*H63/Litre_per_Gallon</f>
        <v>32546.012188904238</v>
      </c>
      <c r="I62" s="1217" t="s">
        <v>1850</v>
      </c>
      <c r="J62" s="1468" t="s">
        <v>1881</v>
      </c>
      <c r="K62" s="1478"/>
      <c r="L62" s="1478"/>
      <c r="M62" s="1478"/>
      <c r="N62" s="1478"/>
      <c r="O62" s="1478"/>
      <c r="P62" s="1478"/>
      <c r="Q62" s="1469"/>
      <c r="R62" s="488"/>
    </row>
    <row r="63" spans="2:18" ht="35.5" customHeight="1" x14ac:dyDescent="0.3">
      <c r="B63" s="535">
        <v>2</v>
      </c>
      <c r="C63" s="551" t="s">
        <v>1843</v>
      </c>
      <c r="D63" s="1482" t="s">
        <v>1844</v>
      </c>
      <c r="E63" s="1483"/>
      <c r="F63" s="552" t="s">
        <v>789</v>
      </c>
      <c r="G63" s="552" t="s">
        <v>1845</v>
      </c>
      <c r="H63" s="1056">
        <f>INDEX(BuildingType[],MATCH($C$28,BuildingType[Building],0),MATCH($G$63,BuildingType[#Headers],0))</f>
        <v>16000</v>
      </c>
      <c r="I63" s="552" t="s">
        <v>1846</v>
      </c>
      <c r="J63" s="1482" t="s">
        <v>1847</v>
      </c>
      <c r="K63" s="1484"/>
      <c r="L63" s="1484"/>
      <c r="M63" s="1484"/>
      <c r="N63" s="1484"/>
      <c r="O63" s="1484"/>
      <c r="P63" s="1484"/>
      <c r="Q63" s="1483"/>
      <c r="R63" s="488"/>
    </row>
    <row r="64" spans="2:18" ht="25.5" customHeight="1" x14ac:dyDescent="0.3">
      <c r="B64" s="533">
        <v>3</v>
      </c>
      <c r="C64" s="546" t="s">
        <v>1857</v>
      </c>
      <c r="D64" s="1468" t="s">
        <v>1858</v>
      </c>
      <c r="E64" s="1469"/>
      <c r="F64" s="1217"/>
      <c r="G64" s="1217"/>
      <c r="H64" s="923">
        <f>Water.T.DHW.IMP</f>
        <v>130</v>
      </c>
      <c r="I64" s="1217" t="s">
        <v>825</v>
      </c>
      <c r="J64" s="1437" t="s">
        <v>826</v>
      </c>
      <c r="K64" s="1448"/>
      <c r="L64" s="1448"/>
      <c r="M64" s="1448"/>
      <c r="N64" s="1448"/>
      <c r="O64" s="1448"/>
      <c r="P64" s="1448"/>
      <c r="Q64" s="1438"/>
      <c r="R64" s="488"/>
    </row>
    <row r="65" spans="2:18" ht="15" customHeight="1" x14ac:dyDescent="0.3">
      <c r="B65" s="533">
        <v>4</v>
      </c>
      <c r="C65" s="546" t="s">
        <v>778</v>
      </c>
      <c r="D65" s="1468" t="s">
        <v>1859</v>
      </c>
      <c r="E65" s="1469"/>
      <c r="F65" s="1217" t="str">
        <f>$C$26</f>
        <v>Average</v>
      </c>
      <c r="G65" s="1217" t="s">
        <v>780</v>
      </c>
      <c r="H65" s="710">
        <f>INDEX(ClimateData[#All],MATCH(F65,ClimateData[[#All],[Region]],0),MATCH(G65,ClimateData[#Headers],0))*9/5+32</f>
        <v>41.68078624078624</v>
      </c>
      <c r="I65" s="1217" t="s">
        <v>825</v>
      </c>
      <c r="J65" s="1468" t="s">
        <v>869</v>
      </c>
      <c r="K65" s="1478"/>
      <c r="L65" s="1478"/>
      <c r="M65" s="1478"/>
      <c r="N65" s="1478"/>
      <c r="O65" s="1478"/>
      <c r="P65" s="1478"/>
      <c r="Q65" s="1469"/>
      <c r="R65" s="488"/>
    </row>
    <row r="66" spans="2:18" ht="15" customHeight="1" x14ac:dyDescent="0.3">
      <c r="B66" s="533">
        <v>5</v>
      </c>
      <c r="C66" s="546" t="s">
        <v>1141</v>
      </c>
      <c r="D66" s="1468" t="s">
        <v>1188</v>
      </c>
      <c r="E66" s="1469"/>
      <c r="F66" s="1217"/>
      <c r="G66" s="1217"/>
      <c r="H66" s="548">
        <f>WaterHeatingEfficiency.CI.NG</f>
        <v>0.8</v>
      </c>
      <c r="I66" s="1217" t="s">
        <v>519</v>
      </c>
      <c r="J66" s="1437" t="s">
        <v>1067</v>
      </c>
      <c r="K66" s="1448"/>
      <c r="L66" s="1448"/>
      <c r="M66" s="1448"/>
      <c r="N66" s="1448"/>
      <c r="O66" s="1448"/>
      <c r="P66" s="1448"/>
      <c r="Q66" s="1438"/>
      <c r="R66" s="488"/>
    </row>
    <row r="67" spans="2:18" ht="15" customHeight="1" x14ac:dyDescent="0.3">
      <c r="B67" s="533">
        <v>6</v>
      </c>
      <c r="C67" s="555" t="s">
        <v>1144</v>
      </c>
      <c r="D67" s="1437" t="s">
        <v>1860</v>
      </c>
      <c r="E67" s="1438"/>
      <c r="F67" s="557"/>
      <c r="G67" s="557"/>
      <c r="H67" s="548">
        <v>0.9</v>
      </c>
      <c r="I67" s="557" t="s">
        <v>519</v>
      </c>
      <c r="J67" s="1437" t="s">
        <v>1861</v>
      </c>
      <c r="K67" s="1448"/>
      <c r="L67" s="1448"/>
      <c r="M67" s="1448"/>
      <c r="N67" s="1448"/>
      <c r="O67" s="1448"/>
      <c r="P67" s="1448"/>
      <c r="Q67" s="1438"/>
      <c r="R67" s="488"/>
    </row>
    <row r="68" spans="2:18" ht="15" customHeight="1" x14ac:dyDescent="0.3">
      <c r="B68" s="533">
        <v>7</v>
      </c>
      <c r="C68" s="546" t="s">
        <v>1862</v>
      </c>
      <c r="D68" s="1468" t="s">
        <v>1863</v>
      </c>
      <c r="E68" s="1469"/>
      <c r="F68" s="1217"/>
      <c r="G68" s="1217"/>
      <c r="H68" s="923">
        <f>H72/800+110*SQRT(H71)</f>
        <v>1208.9896265113655</v>
      </c>
      <c r="I68" s="1217" t="s">
        <v>536</v>
      </c>
      <c r="J68" s="2016" t="s">
        <v>1882</v>
      </c>
      <c r="K68" s="2017"/>
      <c r="L68" s="2017"/>
      <c r="M68" s="2017"/>
      <c r="N68" s="2017"/>
      <c r="O68" s="2017"/>
      <c r="P68" s="2017"/>
      <c r="Q68" s="2018"/>
      <c r="R68" s="488"/>
    </row>
    <row r="69" spans="2:18" ht="15" customHeight="1" x14ac:dyDescent="0.3">
      <c r="B69" s="533">
        <v>8</v>
      </c>
      <c r="C69" s="555" t="s">
        <v>1865</v>
      </c>
      <c r="D69" s="1437" t="s">
        <v>1866</v>
      </c>
      <c r="E69" s="1438"/>
      <c r="F69" s="557"/>
      <c r="G69" s="557"/>
      <c r="H69" s="1057">
        <f xml:space="preserve"> 6.35*H71 + 413</f>
        <v>1175</v>
      </c>
      <c r="I69" s="557" t="s">
        <v>1867</v>
      </c>
      <c r="J69" s="1472" t="s">
        <v>1868</v>
      </c>
      <c r="K69" s="1473"/>
      <c r="L69" s="1473"/>
      <c r="M69" s="1473"/>
      <c r="N69" s="1473"/>
      <c r="O69" s="1473"/>
      <c r="P69" s="1473"/>
      <c r="Q69" s="1474"/>
      <c r="R69" s="488"/>
    </row>
    <row r="70" spans="2:18" ht="114.75" customHeight="1" x14ac:dyDescent="0.3">
      <c r="B70" s="533">
        <v>9</v>
      </c>
      <c r="C70" s="546" t="s">
        <v>1852</v>
      </c>
      <c r="D70" s="1468" t="s">
        <v>1853</v>
      </c>
      <c r="E70" s="1469"/>
      <c r="F70" s="1217" t="s">
        <v>789</v>
      </c>
      <c r="G70" s="1217" t="s">
        <v>1854</v>
      </c>
      <c r="H70" s="923">
        <f>INDEX(BuildingType[],MATCH($C$28,BuildingType[Building],0),MATCH($G$70,BuildingType[#Headers],0))</f>
        <v>7.7</v>
      </c>
      <c r="I70" s="1217" t="s">
        <v>1883</v>
      </c>
      <c r="J70" s="1462" t="s">
        <v>1856</v>
      </c>
      <c r="K70" s="1470"/>
      <c r="L70" s="1470"/>
      <c r="M70" s="1470"/>
      <c r="N70" s="1470"/>
      <c r="O70" s="1470"/>
      <c r="P70" s="1470"/>
      <c r="Q70" s="1471"/>
      <c r="R70" s="488"/>
    </row>
    <row r="71" spans="2:18" ht="64.5" customHeight="1" x14ac:dyDescent="0.3">
      <c r="B71" s="533">
        <v>10</v>
      </c>
      <c r="C71" s="555" t="s">
        <v>1874</v>
      </c>
      <c r="D71" s="1437" t="s">
        <v>1884</v>
      </c>
      <c r="E71" s="1438"/>
      <c r="F71" s="556" t="str">
        <f>$H$73</f>
        <v>Commercial 75,000-155,000 BTU/hour, &gt; 120 Gallon tank</v>
      </c>
      <c r="G71" s="557" t="s">
        <v>1885</v>
      </c>
      <c r="H71" s="1058">
        <f>INDEX($B$96:$N$116,MATCH($F71,$C$96:$C$116,0),MATCH($G71,$B$96:$N$96,0))</f>
        <v>120</v>
      </c>
      <c r="I71" s="557" t="s">
        <v>1850</v>
      </c>
      <c r="J71" s="2016" t="s">
        <v>1886</v>
      </c>
      <c r="K71" s="2017"/>
      <c r="L71" s="2017"/>
      <c r="M71" s="2017"/>
      <c r="N71" s="2017"/>
      <c r="O71" s="2017"/>
      <c r="P71" s="2017"/>
      <c r="Q71" s="2018"/>
      <c r="R71" s="488"/>
    </row>
    <row r="72" spans="2:18" s="491" customFormat="1" ht="30" customHeight="1" x14ac:dyDescent="0.3">
      <c r="B72" s="533">
        <v>11</v>
      </c>
      <c r="C72" s="555" t="s">
        <v>534</v>
      </c>
      <c r="D72" s="1437" t="s">
        <v>1887</v>
      </c>
      <c r="E72" s="1438"/>
      <c r="F72" s="1217" t="s">
        <v>789</v>
      </c>
      <c r="G72" s="557" t="s">
        <v>1871</v>
      </c>
      <c r="H72" s="1058">
        <f>INDEX(BuildingType[],MATCH($C$28,BuildingType[Building],0),MATCH($G$72,BuildingType[#Headers],0))*H63</f>
        <v>3200</v>
      </c>
      <c r="I72" s="1238" t="s">
        <v>1888</v>
      </c>
      <c r="J72" s="1462" t="s">
        <v>1873</v>
      </c>
      <c r="K72" s="1470"/>
      <c r="L72" s="1470"/>
      <c r="M72" s="1470"/>
      <c r="N72" s="1470"/>
      <c r="O72" s="1470"/>
      <c r="P72" s="1470"/>
      <c r="Q72" s="1471"/>
    </row>
    <row r="73" spans="2:18" s="491" customFormat="1" ht="39" x14ac:dyDescent="0.3">
      <c r="B73" s="535">
        <v>12</v>
      </c>
      <c r="C73" s="551" t="s">
        <v>1146</v>
      </c>
      <c r="D73" s="1482" t="s">
        <v>1889</v>
      </c>
      <c r="E73" s="1483"/>
      <c r="F73" s="758"/>
      <c r="G73" s="552"/>
      <c r="H73" s="758" t="s">
        <v>1890</v>
      </c>
      <c r="I73" s="552" t="s">
        <v>597</v>
      </c>
      <c r="J73" s="1659" t="s">
        <v>1891</v>
      </c>
      <c r="K73" s="1660"/>
      <c r="L73" s="1660"/>
      <c r="M73" s="1660"/>
      <c r="N73" s="1660"/>
      <c r="O73" s="1660"/>
      <c r="P73" s="1660"/>
      <c r="Q73" s="1661"/>
    </row>
    <row r="74" spans="2:18" s="491" customFormat="1" ht="57" customHeight="1" x14ac:dyDescent="0.3">
      <c r="B74" s="536">
        <v>13</v>
      </c>
      <c r="C74" s="555" t="s">
        <v>1892</v>
      </c>
      <c r="D74" s="1437" t="s">
        <v>1893</v>
      </c>
      <c r="E74" s="1438"/>
      <c r="F74" s="556" t="str">
        <f>$H$73</f>
        <v>Commercial 75,000-155,000 BTU/hour, &gt; 120 Gallon tank</v>
      </c>
      <c r="G74" s="557" t="s">
        <v>1894</v>
      </c>
      <c r="H74" s="559">
        <v>1</v>
      </c>
      <c r="I74" s="557" t="s">
        <v>519</v>
      </c>
      <c r="J74" s="2016" t="s">
        <v>1895</v>
      </c>
      <c r="K74" s="2017"/>
      <c r="L74" s="2017"/>
      <c r="M74" s="2017"/>
      <c r="N74" s="2017"/>
      <c r="O74" s="2017"/>
      <c r="P74" s="2017"/>
      <c r="Q74" s="2018"/>
    </row>
    <row r="75" spans="2:18" s="489" customFormat="1" ht="13" x14ac:dyDescent="0.3">
      <c r="B75" s="536">
        <v>14</v>
      </c>
      <c r="C75" s="1212"/>
      <c r="D75" s="2019"/>
      <c r="E75" s="2021"/>
      <c r="F75" s="1212"/>
      <c r="G75" s="1212"/>
      <c r="H75" s="1212"/>
      <c r="I75" s="1212"/>
      <c r="J75" s="2019"/>
      <c r="K75" s="2020"/>
      <c r="L75" s="2020"/>
      <c r="M75" s="2020"/>
      <c r="N75" s="2020"/>
      <c r="O75" s="2020"/>
      <c r="P75" s="2020"/>
      <c r="Q75" s="2021"/>
    </row>
    <row r="76" spans="2:18" s="489" customFormat="1" ht="13" x14ac:dyDescent="0.3">
      <c r="B76" s="536">
        <v>15</v>
      </c>
      <c r="C76" s="1212"/>
      <c r="D76" s="2019"/>
      <c r="E76" s="2021"/>
      <c r="F76" s="1212"/>
      <c r="G76" s="1212"/>
      <c r="H76" s="1212"/>
      <c r="I76" s="1212"/>
      <c r="J76" s="2019"/>
      <c r="K76" s="2020"/>
      <c r="L76" s="2020"/>
      <c r="M76" s="2020"/>
      <c r="N76" s="2020"/>
      <c r="O76" s="2020"/>
      <c r="P76" s="2020"/>
      <c r="Q76" s="2021"/>
    </row>
    <row r="77" spans="2:18" ht="18.75" customHeight="1" x14ac:dyDescent="0.3">
      <c r="F77" s="1054"/>
      <c r="G77" s="1055"/>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182"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182"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c r="R85" s="488"/>
    </row>
    <row r="86" spans="2:18" ht="13" x14ac:dyDescent="0.3">
      <c r="B86" s="533">
        <v>6</v>
      </c>
      <c r="C86" s="1183"/>
      <c r="D86" s="923"/>
      <c r="E86" s="570"/>
      <c r="F86" s="1489"/>
      <c r="G86" s="1490"/>
      <c r="H86" s="1490"/>
      <c r="I86" s="1490"/>
      <c r="J86" s="1490"/>
      <c r="K86" s="1490"/>
      <c r="L86" s="1490"/>
      <c r="M86" s="1490"/>
      <c r="N86" s="1490"/>
      <c r="O86" s="1490"/>
      <c r="P86" s="1490"/>
      <c r="Q86" s="1491"/>
      <c r="R86" s="488"/>
    </row>
    <row r="87" spans="2:18" ht="13" x14ac:dyDescent="0.3">
      <c r="B87" s="533">
        <v>7</v>
      </c>
      <c r="C87" s="1059"/>
      <c r="D87" s="1233"/>
      <c r="E87" s="1182"/>
      <c r="F87" s="1489"/>
      <c r="G87" s="1490"/>
      <c r="H87" s="1490"/>
      <c r="I87" s="1490"/>
      <c r="J87" s="1490"/>
      <c r="K87" s="1490"/>
      <c r="L87" s="1490"/>
      <c r="M87" s="1490"/>
      <c r="N87" s="1490"/>
      <c r="O87" s="1490"/>
      <c r="P87" s="1490"/>
      <c r="Q87" s="1491"/>
      <c r="R87" s="488"/>
    </row>
    <row r="88" spans="2:18" ht="13" x14ac:dyDescent="0.3">
      <c r="B88" s="533">
        <v>8</v>
      </c>
      <c r="C88" s="563"/>
      <c r="D88" s="564"/>
      <c r="E88" s="1182"/>
      <c r="F88" s="1489"/>
      <c r="G88" s="1490"/>
      <c r="H88" s="1490"/>
      <c r="I88" s="1490"/>
      <c r="J88" s="1490"/>
      <c r="K88" s="1490"/>
      <c r="L88" s="1490"/>
      <c r="M88" s="1490"/>
      <c r="N88" s="1490"/>
      <c r="O88" s="1490"/>
      <c r="P88" s="1490"/>
      <c r="Q88" s="1491"/>
      <c r="R88" s="488"/>
    </row>
    <row r="89" spans="2:18" ht="13" x14ac:dyDescent="0.3">
      <c r="B89" s="533">
        <v>9</v>
      </c>
      <c r="C89" s="563"/>
      <c r="D89" s="1233"/>
      <c r="E89" s="1182"/>
      <c r="F89" s="1489"/>
      <c r="G89" s="1490"/>
      <c r="H89" s="1490"/>
      <c r="I89" s="1490"/>
      <c r="J89" s="1490"/>
      <c r="K89" s="1490"/>
      <c r="L89" s="1490"/>
      <c r="M89" s="1490"/>
      <c r="N89" s="1490"/>
      <c r="O89" s="1490"/>
      <c r="P89" s="1490"/>
      <c r="Q89" s="1491"/>
      <c r="R89" s="488"/>
    </row>
    <row r="90" spans="2:18" ht="13" x14ac:dyDescent="0.3">
      <c r="B90" s="533">
        <v>10</v>
      </c>
      <c r="C90" s="563"/>
      <c r="D90" s="564"/>
      <c r="E90" s="1182"/>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t="s">
        <v>1896</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08"/>
      <c r="Q95" s="1409"/>
      <c r="R95" s="488"/>
    </row>
    <row r="96" spans="2:18" ht="25.5" customHeight="1" x14ac:dyDescent="0.3">
      <c r="B96" s="1188" t="s">
        <v>478</v>
      </c>
      <c r="C96" s="1402" t="s">
        <v>538</v>
      </c>
      <c r="D96" s="1431"/>
      <c r="E96" s="565" t="s">
        <v>1885</v>
      </c>
      <c r="F96" s="565" t="s">
        <v>534</v>
      </c>
      <c r="G96" s="565" t="s">
        <v>1897</v>
      </c>
      <c r="H96" s="565" t="s">
        <v>1894</v>
      </c>
      <c r="I96" s="565" t="s">
        <v>434</v>
      </c>
      <c r="J96" s="565" t="s">
        <v>1898</v>
      </c>
      <c r="K96" s="565"/>
      <c r="L96" s="565"/>
      <c r="M96" s="565"/>
      <c r="N96" s="566"/>
      <c r="O96" s="1410"/>
      <c r="P96" s="1411"/>
      <c r="Q96" s="1412"/>
      <c r="R96" s="488"/>
    </row>
    <row r="97" spans="2:18" ht="39" x14ac:dyDescent="0.3">
      <c r="B97" s="533">
        <v>1</v>
      </c>
      <c r="C97" s="546" t="s">
        <v>1899</v>
      </c>
      <c r="D97" s="1184"/>
      <c r="E97" s="1190">
        <v>100</v>
      </c>
      <c r="F97" s="1190">
        <v>75000</v>
      </c>
      <c r="G97" s="568">
        <v>0.74969999999999992</v>
      </c>
      <c r="H97" s="746">
        <v>0</v>
      </c>
      <c r="I97" s="1060">
        <v>440</v>
      </c>
      <c r="J97" s="1060">
        <v>1055</v>
      </c>
      <c r="K97" s="568"/>
      <c r="L97" s="568"/>
      <c r="M97" s="568"/>
      <c r="N97" s="568"/>
      <c r="O97" s="1501" t="s">
        <v>1879</v>
      </c>
      <c r="P97" s="1502"/>
      <c r="Q97" s="1503"/>
      <c r="R97" s="488"/>
    </row>
    <row r="98" spans="2:18" ht="39" x14ac:dyDescent="0.3">
      <c r="B98" s="533">
        <v>2</v>
      </c>
      <c r="C98" s="546" t="s">
        <v>1890</v>
      </c>
      <c r="D98" s="1184"/>
      <c r="E98" s="1190">
        <v>120</v>
      </c>
      <c r="F98" s="1190">
        <v>115000</v>
      </c>
      <c r="G98" s="568">
        <v>0.44430000000000003</v>
      </c>
      <c r="H98" s="746">
        <v>1</v>
      </c>
      <c r="I98" s="1060">
        <v>5500</v>
      </c>
      <c r="J98" s="1060">
        <v>700</v>
      </c>
      <c r="K98" s="568"/>
      <c r="L98" s="568"/>
      <c r="M98" s="568"/>
      <c r="N98" s="568"/>
      <c r="O98" s="1501" t="s">
        <v>1879</v>
      </c>
      <c r="P98" s="1502"/>
      <c r="Q98" s="1503"/>
      <c r="R98" s="488"/>
    </row>
    <row r="99" spans="2:18" ht="39" x14ac:dyDescent="0.3">
      <c r="B99" s="533">
        <v>3</v>
      </c>
      <c r="C99" s="546" t="s">
        <v>1900</v>
      </c>
      <c r="D99" s="1184"/>
      <c r="E99" s="1190">
        <v>120</v>
      </c>
      <c r="F99" s="1190">
        <v>155000</v>
      </c>
      <c r="G99" s="1190">
        <v>0.8</v>
      </c>
      <c r="H99" s="746">
        <v>1</v>
      </c>
      <c r="I99" s="1060">
        <v>5500</v>
      </c>
      <c r="J99" s="1060">
        <v>700</v>
      </c>
      <c r="K99" s="568"/>
      <c r="L99" s="568"/>
      <c r="M99" s="568"/>
      <c r="N99" s="568"/>
      <c r="O99" s="1501" t="s">
        <v>1879</v>
      </c>
      <c r="P99" s="1502"/>
      <c r="Q99" s="1503"/>
      <c r="R99" s="488"/>
    </row>
    <row r="100" spans="2:18" ht="13" x14ac:dyDescent="0.3">
      <c r="B100" s="533">
        <v>4</v>
      </c>
      <c r="C100" s="546"/>
      <c r="D100" s="570"/>
      <c r="E100" s="1190"/>
      <c r="F100" s="569"/>
      <c r="G100" s="569"/>
      <c r="H100" s="1190"/>
      <c r="I100" s="569"/>
      <c r="J100" s="569"/>
      <c r="K100" s="568"/>
      <c r="L100" s="568"/>
      <c r="M100" s="568"/>
      <c r="N100" s="568"/>
      <c r="O100" s="1501" t="s">
        <v>1879</v>
      </c>
      <c r="P100" s="1502"/>
      <c r="Q100" s="1503"/>
      <c r="R100" s="488"/>
    </row>
    <row r="101" spans="2:18" ht="13" x14ac:dyDescent="0.3">
      <c r="B101" s="533">
        <v>5</v>
      </c>
      <c r="C101" s="546"/>
      <c r="D101" s="570"/>
      <c r="E101" s="1190"/>
      <c r="F101" s="569"/>
      <c r="G101" s="569"/>
      <c r="H101" s="569"/>
      <c r="I101" s="569"/>
      <c r="J101" s="569"/>
      <c r="K101" s="568"/>
      <c r="L101" s="568"/>
      <c r="M101" s="568"/>
      <c r="N101" s="568"/>
      <c r="O101" s="1501" t="s">
        <v>1879</v>
      </c>
      <c r="P101" s="1502"/>
      <c r="Q101" s="1503"/>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sheetData>
  <sheetProtection algorithmName="SHA-512" hashValue="MkbGQ59ILOAvN/OCaNhccedTnC12RhlOUyl5Gnl14x7AQfeg6078lrljnfoefCa5OefUXXrn4I5w0Sqwn5N1/Q==" saltValue="0fb426Ll80JxYfGNzQhhdQ==" spinCount="100000" sheet="1" objects="1" scenarios="1" selectLockedCells="1" selectUnlockedCells="1"/>
  <mergeCells count="121">
    <mergeCell ref="J76:Q76"/>
    <mergeCell ref="D70:E70"/>
    <mergeCell ref="D72:E72"/>
    <mergeCell ref="D76:E76"/>
    <mergeCell ref="O113:Q113"/>
    <mergeCell ref="O114:Q114"/>
    <mergeCell ref="O115:Q115"/>
    <mergeCell ref="F90:Q90"/>
    <mergeCell ref="E94:N94"/>
    <mergeCell ref="O94:Q96"/>
    <mergeCell ref="F80:Q80"/>
    <mergeCell ref="F81:Q81"/>
    <mergeCell ref="F82:Q82"/>
    <mergeCell ref="F83:Q83"/>
    <mergeCell ref="F84:Q84"/>
    <mergeCell ref="F85:Q85"/>
    <mergeCell ref="D74:E74"/>
    <mergeCell ref="J74:Q74"/>
    <mergeCell ref="D75:E75"/>
    <mergeCell ref="J75:Q75"/>
    <mergeCell ref="D71:E71"/>
    <mergeCell ref="J71:Q71"/>
    <mergeCell ref="D73:E73"/>
    <mergeCell ref="J73:Q73"/>
    <mergeCell ref="O116:Q116"/>
    <mergeCell ref="D69:E69"/>
    <mergeCell ref="O107:Q107"/>
    <mergeCell ref="O108:Q108"/>
    <mergeCell ref="O109:Q109"/>
    <mergeCell ref="O110:Q110"/>
    <mergeCell ref="O111:Q111"/>
    <mergeCell ref="O112:Q112"/>
    <mergeCell ref="O101:Q101"/>
    <mergeCell ref="O102:Q102"/>
    <mergeCell ref="O103:Q103"/>
    <mergeCell ref="O104:Q104"/>
    <mergeCell ref="O105:Q105"/>
    <mergeCell ref="O106:Q106"/>
    <mergeCell ref="B95:D95"/>
    <mergeCell ref="C96:D96"/>
    <mergeCell ref="O97:Q97"/>
    <mergeCell ref="O98:Q98"/>
    <mergeCell ref="O99:Q99"/>
    <mergeCell ref="O100:Q100"/>
    <mergeCell ref="F86:Q86"/>
    <mergeCell ref="F87:Q87"/>
    <mergeCell ref="F88:Q88"/>
    <mergeCell ref="F89:Q89"/>
    <mergeCell ref="J70:Q70"/>
    <mergeCell ref="J72:Q72"/>
    <mergeCell ref="D62:E62"/>
    <mergeCell ref="J62:Q62"/>
    <mergeCell ref="D64:E64"/>
    <mergeCell ref="J64:Q64"/>
    <mergeCell ref="C56:M56"/>
    <mergeCell ref="P56:Q56"/>
    <mergeCell ref="C57:M57"/>
    <mergeCell ref="P57:Q57"/>
    <mergeCell ref="D61:E61"/>
    <mergeCell ref="J61:Q61"/>
    <mergeCell ref="D63:E63"/>
    <mergeCell ref="J63:Q63"/>
    <mergeCell ref="D68:E68"/>
    <mergeCell ref="J68:Q68"/>
    <mergeCell ref="J69:Q69"/>
    <mergeCell ref="D65:E65"/>
    <mergeCell ref="J65:Q65"/>
    <mergeCell ref="D66:E66"/>
    <mergeCell ref="J66:Q66"/>
    <mergeCell ref="D67:E67"/>
    <mergeCell ref="J67:Q67"/>
    <mergeCell ref="C53:M53"/>
    <mergeCell ref="P53:Q53"/>
    <mergeCell ref="C54:M54"/>
    <mergeCell ref="P54:Q54"/>
    <mergeCell ref="C55:M55"/>
    <mergeCell ref="P55:Q55"/>
    <mergeCell ref="C49:M49"/>
    <mergeCell ref="P49:Q49"/>
    <mergeCell ref="C50:M50"/>
    <mergeCell ref="P50:Q50"/>
    <mergeCell ref="C51:M51"/>
    <mergeCell ref="P51:Q51"/>
    <mergeCell ref="C45:M45"/>
    <mergeCell ref="P45:Q45"/>
    <mergeCell ref="C47:M47"/>
    <mergeCell ref="P47:Q47"/>
    <mergeCell ref="C48:M48"/>
    <mergeCell ref="P48:Q48"/>
    <mergeCell ref="C42:M42"/>
    <mergeCell ref="P42:Q42"/>
    <mergeCell ref="C43:M43"/>
    <mergeCell ref="P43:Q43"/>
    <mergeCell ref="C44:M44"/>
    <mergeCell ref="P44:Q44"/>
    <mergeCell ref="E34:Q34"/>
    <mergeCell ref="E35:Q35"/>
    <mergeCell ref="E36:Q36"/>
    <mergeCell ref="E37:Q37"/>
    <mergeCell ref="C41:M41"/>
    <mergeCell ref="P41:Q41"/>
    <mergeCell ref="D25:Q25"/>
    <mergeCell ref="D26:Q26"/>
    <mergeCell ref="D27:Q27"/>
    <mergeCell ref="D28:Q28"/>
    <mergeCell ref="E32:Q32"/>
    <mergeCell ref="E33:Q33"/>
    <mergeCell ref="D29:Q29"/>
    <mergeCell ref="D30:Q30"/>
    <mergeCell ref="D17:F17"/>
    <mergeCell ref="D18:F18"/>
    <mergeCell ref="B20:Q20"/>
    <mergeCell ref="C21:Q21"/>
    <mergeCell ref="C22:Q22"/>
    <mergeCell ref="C23:Q23"/>
    <mergeCell ref="C2:F2"/>
    <mergeCell ref="C3:F3"/>
    <mergeCell ref="C4:F4"/>
    <mergeCell ref="C5:F5"/>
    <mergeCell ref="D7:F7"/>
    <mergeCell ref="D8:F16"/>
  </mergeCells>
  <conditionalFormatting sqref="E106">
    <cfRule type="expression" dxfId="1696" priority="79">
      <formula>IF(OR(#REF!="L",#REF!="C"),TRUE,FALSE)</formula>
    </cfRule>
  </conditionalFormatting>
  <conditionalFormatting sqref="F109:F116 G102:G116 H104:H116">
    <cfRule type="expression" dxfId="1695" priority="84">
      <formula>IF(OR(#REF!="L",#REF!="C"),TRUE,FALSE)</formula>
    </cfRule>
  </conditionalFormatting>
  <conditionalFormatting sqref="E110:E116">
    <cfRule type="expression" dxfId="1694" priority="83">
      <formula>IF(OR(#REF!="L",#REF!="C"),TRUE,FALSE)</formula>
    </cfRule>
  </conditionalFormatting>
  <conditionalFormatting sqref="E107">
    <cfRule type="expression" dxfId="1693" priority="82">
      <formula>IF(OR(#REF!="L",#REF!="C"),TRUE,FALSE)</formula>
    </cfRule>
  </conditionalFormatting>
  <conditionalFormatting sqref="E108">
    <cfRule type="expression" dxfId="1692" priority="81">
      <formula>IF(OR(#REF!="L",#REF!="C"),TRUE,FALSE)</formula>
    </cfRule>
  </conditionalFormatting>
  <conditionalFormatting sqref="E109">
    <cfRule type="expression" dxfId="1691" priority="80">
      <formula>IF(OR(#REF!="L",#REF!="C"),TRUE,FALSE)</formula>
    </cfRule>
  </conditionalFormatting>
  <conditionalFormatting sqref="E95 G95 I95 K95 M95">
    <cfRule type="duplicateValues" dxfId="1690" priority="78"/>
  </conditionalFormatting>
  <conditionalFormatting sqref="M104:M116">
    <cfRule type="expression" dxfId="1689" priority="68">
      <formula>IF(OR(#REF!="L",#REF!="C"),TRUE,FALSE)</formula>
    </cfRule>
  </conditionalFormatting>
  <conditionalFormatting sqref="F102:F106">
    <cfRule type="expression" dxfId="1688" priority="77">
      <formula>IF(OR(#REF!="L",#REF!="C"),TRUE,FALSE)</formula>
    </cfRule>
  </conditionalFormatting>
  <conditionalFormatting sqref="I102:I103">
    <cfRule type="expression" dxfId="1687" priority="75">
      <formula>IF(OR(#REF!="L",#REF!="C"),TRUE,FALSE)</formula>
    </cfRule>
  </conditionalFormatting>
  <conditionalFormatting sqref="N102:N103">
    <cfRule type="expression" dxfId="1686" priority="65">
      <formula>IF(OR(#REF!="L",#REF!="C"),TRUE,FALSE)</formula>
    </cfRule>
  </conditionalFormatting>
  <conditionalFormatting sqref="I104:I116">
    <cfRule type="expression" dxfId="1685" priority="76">
      <formula>IF(OR(#REF!="L",#REF!="C"),TRUE,FALSE)</formula>
    </cfRule>
  </conditionalFormatting>
  <conditionalFormatting sqref="J102:J103">
    <cfRule type="expression" dxfId="1684" priority="73">
      <formula>IF(OR(#REF!="L",#REF!="C"),TRUE,FALSE)</formula>
    </cfRule>
  </conditionalFormatting>
  <conditionalFormatting sqref="J104:J116">
    <cfRule type="expression" dxfId="1683" priority="74">
      <formula>IF(OR(#REF!="L",#REF!="C"),TRUE,FALSE)</formula>
    </cfRule>
  </conditionalFormatting>
  <conditionalFormatting sqref="K102:K103">
    <cfRule type="expression" dxfId="1682" priority="71">
      <formula>IF(OR(#REF!="L",#REF!="C"),TRUE,FALSE)</formula>
    </cfRule>
  </conditionalFormatting>
  <conditionalFormatting sqref="K104:K116">
    <cfRule type="expression" dxfId="1681" priority="72">
      <formula>IF(OR(#REF!="L",#REF!="C"),TRUE,FALSE)</formula>
    </cfRule>
  </conditionalFormatting>
  <conditionalFormatting sqref="L102:L103">
    <cfRule type="expression" dxfId="1680" priority="69">
      <formula>IF(OR(#REF!="L",#REF!="C"),TRUE,FALSE)</formula>
    </cfRule>
  </conditionalFormatting>
  <conditionalFormatting sqref="L104:L116">
    <cfRule type="expression" dxfId="1679" priority="70">
      <formula>IF(OR(#REF!="L",#REF!="C"),TRUE,FALSE)</formula>
    </cfRule>
  </conditionalFormatting>
  <conditionalFormatting sqref="M102:M103">
    <cfRule type="expression" dxfId="1678" priority="67">
      <formula>IF(OR(#REF!="L",#REF!="C"),TRUE,FALSE)</formula>
    </cfRule>
  </conditionalFormatting>
  <conditionalFormatting sqref="N104:N116">
    <cfRule type="expression" dxfId="1677" priority="66">
      <formula>IF(OR(#REF!="L",#REF!="C"),TRUE,FALSE)</formula>
    </cfRule>
  </conditionalFormatting>
  <conditionalFormatting sqref="O102:O103">
    <cfRule type="expression" dxfId="1676" priority="63">
      <formula>IF(OR(#REF!="L",#REF!="C"),TRUE,FALSE)</formula>
    </cfRule>
  </conditionalFormatting>
  <conditionalFormatting sqref="O104:O116">
    <cfRule type="expression" dxfId="1675" priority="64">
      <formula>IF(OR(#REF!="L",#REF!="C"),TRUE,FALSE)</formula>
    </cfRule>
  </conditionalFormatting>
  <conditionalFormatting sqref="E96:N96">
    <cfRule type="duplicateValues" dxfId="1674" priority="62"/>
  </conditionalFormatting>
  <conditionalFormatting sqref="H71">
    <cfRule type="expression" dxfId="1673" priority="53">
      <formula>IF(OR(#REF!="L",#REF!="C"),TRUE,FALSE)</formula>
    </cfRule>
  </conditionalFormatting>
  <conditionalFormatting sqref="D86">
    <cfRule type="expression" dxfId="1672" priority="58">
      <formula>IF(OR(#REF!="L",#REF!="C"),TRUE,FALSE)</formula>
    </cfRule>
  </conditionalFormatting>
  <conditionalFormatting sqref="H62">
    <cfRule type="expression" dxfId="1671" priority="57">
      <formula>IF(OR(#REF!="L",#REF!="C"),TRUE,FALSE)</formula>
    </cfRule>
  </conditionalFormatting>
  <conditionalFormatting sqref="H70">
    <cfRule type="expression" dxfId="1670" priority="55">
      <formula>IF(OR(#REF!="L",#REF!="C"),TRUE,FALSE)</formula>
    </cfRule>
  </conditionalFormatting>
  <conditionalFormatting sqref="H73">
    <cfRule type="expression" dxfId="1669" priority="51">
      <formula>IF(OR(#REF!="L",#REF!="C"),TRUE,FALSE)</formula>
    </cfRule>
  </conditionalFormatting>
  <conditionalFormatting sqref="H72">
    <cfRule type="expression" dxfId="1668" priority="47">
      <formula>IF(OR(#REF!="L",#REF!="C"),TRUE,FALSE)</formula>
    </cfRule>
  </conditionalFormatting>
  <conditionalFormatting sqref="H63">
    <cfRule type="expression" dxfId="1667" priority="46">
      <formula>IF(OR(#REF!="L",#REF!="C"),TRUE,FALSE)</formula>
    </cfRule>
  </conditionalFormatting>
  <conditionalFormatting sqref="G100:G101 H101">
    <cfRule type="expression" dxfId="1666" priority="45">
      <formula>IF(OR(#REF!="L",#REF!="C"),TRUE,FALSE)</formula>
    </cfRule>
  </conditionalFormatting>
  <conditionalFormatting sqref="F100:F101">
    <cfRule type="expression" dxfId="1665" priority="44">
      <formula>IF(OR(#REF!="L",#REF!="C"),TRUE,FALSE)</formula>
    </cfRule>
  </conditionalFormatting>
  <conditionalFormatting sqref="I100">
    <cfRule type="expression" dxfId="1664" priority="42">
      <formula>IF(OR(#REF!="L",#REF!="C"),TRUE,FALSE)</formula>
    </cfRule>
  </conditionalFormatting>
  <conditionalFormatting sqref="I101">
    <cfRule type="expression" dxfId="1663" priority="43">
      <formula>IF(OR(#REF!="L",#REF!="C"),TRUE,FALSE)</formula>
    </cfRule>
  </conditionalFormatting>
  <conditionalFormatting sqref="J100">
    <cfRule type="expression" dxfId="1662" priority="40">
      <formula>IF(OR(#REF!="L",#REF!="C"),TRUE,FALSE)</formula>
    </cfRule>
  </conditionalFormatting>
  <conditionalFormatting sqref="J101">
    <cfRule type="expression" dxfId="1661" priority="41">
      <formula>IF(OR(#REF!="L",#REF!="C"),TRUE,FALSE)</formula>
    </cfRule>
  </conditionalFormatting>
  <conditionalFormatting sqref="H74">
    <cfRule type="expression" dxfId="1660" priority="10">
      <formula>IF(OR(#REF!="L",#REF!="C"),TRUE,FALSE)</formula>
    </cfRule>
  </conditionalFormatting>
  <conditionalFormatting sqref="H65">
    <cfRule type="expression" dxfId="1659" priority="2">
      <formula>IF(OR(#REF!="L",#REF!="C"),TRUE,FALSE)</formula>
    </cfRule>
  </conditionalFormatting>
  <conditionalFormatting sqref="H65">
    <cfRule type="expression" dxfId="1658" priority="1">
      <formula>IF(OR(#REF!="L",#REF!="C"),TRUE,FALSE)</formula>
    </cfRule>
  </conditionalFormatting>
  <conditionalFormatting sqref="H68">
    <cfRule type="expression" dxfId="1657" priority="7">
      <formula>IF(OR(#REF!="L",#REF!="C"),TRUE,FALSE)</formula>
    </cfRule>
  </conditionalFormatting>
  <conditionalFormatting sqref="H67">
    <cfRule type="expression" dxfId="1656" priority="6">
      <formula>IF(OR(#REF!="L",#REF!="C"),TRUE,FALSE)</formula>
    </cfRule>
  </conditionalFormatting>
  <conditionalFormatting sqref="H69">
    <cfRule type="expression" dxfId="1655" priority="5">
      <formula>IF(OR(#REF!="L",#REF!="C"),TRUE,FALSE)</formula>
    </cfRule>
  </conditionalFormatting>
  <conditionalFormatting sqref="H66">
    <cfRule type="expression" dxfId="1654" priority="4">
      <formula>IF(OR(#REF!="L",#REF!="C"),TRUE,FALSE)</formula>
    </cfRule>
  </conditionalFormatting>
  <conditionalFormatting sqref="H64">
    <cfRule type="expression" dxfId="1653" priority="3">
      <formula>IF(OR(#REF!="L",#REF!="C"),TRUE,FALSE)</formula>
    </cfRule>
  </conditionalFormatting>
  <dataValidations count="8">
    <dataValidation type="list" allowBlank="1" showInputMessage="1" showErrorMessage="1" sqref="F62:F64" xr:uid="{23E25B70-2C33-4DFA-B7F9-C52199376CB5}">
      <formula1>#REF!</formula1>
    </dataValidation>
    <dataValidation type="list" allowBlank="1" showInputMessage="1" showErrorMessage="1" sqref="C4" xr:uid="{88DB5953-191C-4625-9EA2-3D24DD9711A1}">
      <formula1>"COM,RES"</formula1>
    </dataValidation>
    <dataValidation type="list" allowBlank="1" showInputMessage="1" showErrorMessage="1" sqref="H73" xr:uid="{4F194BC1-E158-40FF-BE29-06030B40B41F}">
      <formula1>$C$97:$C$116</formula1>
    </dataValidation>
    <dataValidation type="list" allowBlank="1" showInputMessage="1" showErrorMessage="1" sqref="C9" xr:uid="{331C4835-1621-4AF3-B14A-086DD4085468}">
      <formula1>INDIRECT("MeasureTypeList[Index]")</formula1>
    </dataValidation>
    <dataValidation type="list" allowBlank="1" showInputMessage="1" showErrorMessage="1" sqref="C26" xr:uid="{4D820756-7B04-4DCA-8723-30FE962F9E75}">
      <formula1>INDIRECT("RegionList[Index]")</formula1>
    </dataValidation>
    <dataValidation type="list" allowBlank="1" showInputMessage="1" showErrorMessage="1" sqref="C27" xr:uid="{E93E8C79-705B-43FF-B84C-EE4020DCC61E}">
      <formula1>INDIRECT("ReplacementTypeList[Index]")</formula1>
    </dataValidation>
    <dataValidation type="list" allowBlank="1" showInputMessage="1" showErrorMessage="1" sqref="C28" xr:uid="{3434B4E3-24F0-48DF-91CD-8889AB9F78C0}">
      <formula1>INDIRECT("BuildingType[Building]")</formula1>
    </dataValidation>
    <dataValidation type="list" allowBlank="1" showInputMessage="1" showErrorMessage="1" sqref="C29 C30" xr:uid="{81A700F9-45E0-4D21-A4FE-C2F61EEF1F50}">
      <formula1>INDIRECT("FuelTypeList[Index]")</formula1>
    </dataValidation>
  </dataValidations>
  <hyperlinks>
    <hyperlink ref="F82" r:id="rId1" xr:uid="{1BBBF3EC-BEAD-42CC-97D8-7D54C4727C4C}"/>
    <hyperlink ref="F83" r:id="rId2" xr:uid="{EC1902DA-2FEC-49D0-9E18-756B23BA463C}"/>
    <hyperlink ref="F85" r:id="rId3" xr:uid="{ACCEDC4E-F74E-4A30-B07D-8DF902EFD6DF}"/>
    <hyperlink ref="F84" r:id="rId4" xr:uid="{C1D12A1A-3398-4683-8441-7C511265CCBC}"/>
  </hyperlinks>
  <pageMargins left="0.7" right="0.7" top="0.75" bottom="0.75" header="0.3" footer="0.3"/>
  <pageSetup orientation="portrait" r:id="rId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2BB62-4C94-4950-A15D-91AB70326487}">
  <sheetPr codeName="Sheet24"/>
  <dimension ref="A2:R116"/>
  <sheetViews>
    <sheetView workbookViewId="0"/>
  </sheetViews>
  <sheetFormatPr defaultColWidth="9.08984375" defaultRowHeight="13" x14ac:dyDescent="0.3"/>
  <cols>
    <col min="1" max="1" width="2.36328125" style="488" customWidth="1"/>
    <col min="2" max="2" width="40.7265625" style="488" customWidth="1"/>
    <col min="3" max="3" width="28" style="488" customWidth="1"/>
    <col min="4" max="4" width="21.6328125" style="488" customWidth="1"/>
    <col min="5" max="5" width="14.36328125" style="488" customWidth="1"/>
    <col min="6" max="6" width="15.6328125" style="488" customWidth="1"/>
    <col min="7" max="7" width="19.6328125" style="488" customWidth="1"/>
    <col min="8" max="9" width="16" style="488" customWidth="1"/>
    <col min="10" max="10" width="19" style="488" customWidth="1"/>
    <col min="11" max="11" width="15.6328125" style="488" customWidth="1"/>
    <col min="12" max="12" width="9.08984375" style="488" bestFit="1"/>
    <col min="13" max="13" width="11" style="488" customWidth="1"/>
    <col min="14" max="14" width="12.36328125" style="488" customWidth="1"/>
    <col min="15" max="15" width="10.6328125" style="488" customWidth="1"/>
    <col min="16" max="17" width="9.08984375" style="488" bestFit="1"/>
    <col min="18" max="18" width="9.81640625" style="489" customWidth="1"/>
    <col min="19" max="19" width="9.08984375" style="488" bestFit="1"/>
    <col min="20" max="20" width="8.6328125" style="488" customWidth="1"/>
    <col min="21" max="16384" width="9.08984375" style="488"/>
  </cols>
  <sheetData>
    <row r="2" spans="1:18" x14ac:dyDescent="0.3">
      <c r="B2" s="1193" t="s">
        <v>506</v>
      </c>
      <c r="C2" s="1366" t="s">
        <v>406</v>
      </c>
      <c r="D2" s="1366"/>
      <c r="E2" s="1366"/>
      <c r="F2" s="1366"/>
    </row>
    <row r="3" spans="1:18" x14ac:dyDescent="0.3">
      <c r="B3" s="490" t="s">
        <v>407</v>
      </c>
      <c r="C3" s="1367" t="str">
        <f>IF(ISBLANK(C8)+ISBLANK(C10),C8,C8&amp;"_"&amp;C10)</f>
        <v>C-W-003</v>
      </c>
      <c r="D3" s="1367"/>
      <c r="E3" s="1367"/>
      <c r="F3" s="1367"/>
    </row>
    <row r="4" spans="1:18" x14ac:dyDescent="0.3">
      <c r="B4" s="490" t="s">
        <v>11</v>
      </c>
      <c r="C4" s="1367" t="str" cm="1">
        <f t="array" ref="C4">_xlfn.SWITCH(LEFT(C8,1),"R","Residential","C","Commercial","ERROR")</f>
        <v>Commercial</v>
      </c>
      <c r="D4" s="1367"/>
      <c r="E4" s="1367"/>
      <c r="F4" s="1367"/>
    </row>
    <row r="5" spans="1:18" x14ac:dyDescent="0.3">
      <c r="B5" s="490" t="s">
        <v>408</v>
      </c>
      <c r="C5" s="1530" t="s">
        <v>313</v>
      </c>
      <c r="D5" s="1531"/>
      <c r="E5" s="1531"/>
      <c r="F5" s="1532"/>
      <c r="R5" s="488"/>
    </row>
    <row r="6" spans="1:18" x14ac:dyDescent="0.3">
      <c r="A6" s="573"/>
    </row>
    <row r="7" spans="1:18" x14ac:dyDescent="0.3">
      <c r="B7" s="1193" t="s">
        <v>507</v>
      </c>
      <c r="C7" s="493" t="s">
        <v>406</v>
      </c>
      <c r="D7" s="1366" t="s">
        <v>410</v>
      </c>
      <c r="E7" s="1366"/>
      <c r="F7" s="1366"/>
      <c r="R7" s="488"/>
    </row>
    <row r="8" spans="1:18" x14ac:dyDescent="0.3">
      <c r="B8" s="490" t="s">
        <v>411</v>
      </c>
      <c r="C8" s="1194" t="s">
        <v>143</v>
      </c>
      <c r="D8" s="1681"/>
      <c r="E8" s="1682"/>
      <c r="F8" s="1683"/>
      <c r="R8" s="488"/>
    </row>
    <row r="9" spans="1:18" x14ac:dyDescent="0.3">
      <c r="B9" s="490" t="s">
        <v>49</v>
      </c>
      <c r="C9" s="1194" t="s">
        <v>760</v>
      </c>
      <c r="D9" s="1684"/>
      <c r="E9" s="1908"/>
      <c r="F9" s="1686"/>
      <c r="R9" s="488"/>
    </row>
    <row r="10" spans="1:18" x14ac:dyDescent="0.3">
      <c r="B10" s="490" t="s">
        <v>412</v>
      </c>
      <c r="C10" s="1194"/>
      <c r="D10" s="1684"/>
      <c r="E10" s="1908"/>
      <c r="F10" s="1686"/>
      <c r="R10" s="488"/>
    </row>
    <row r="11" spans="1:18" x14ac:dyDescent="0.3">
      <c r="B11" s="490" t="s">
        <v>413</v>
      </c>
      <c r="C11" s="1194"/>
      <c r="D11" s="1684"/>
      <c r="E11" s="1908"/>
      <c r="F11" s="1686"/>
      <c r="R11" s="488"/>
    </row>
    <row r="12" spans="1:18" x14ac:dyDescent="0.3">
      <c r="B12" s="490" t="s">
        <v>414</v>
      </c>
      <c r="C12" s="602"/>
      <c r="D12" s="1684"/>
      <c r="E12" s="1908"/>
      <c r="F12" s="1686"/>
      <c r="R12" s="488"/>
    </row>
    <row r="13" spans="1:18" x14ac:dyDescent="0.3">
      <c r="B13" s="494" t="s">
        <v>415</v>
      </c>
      <c r="C13" s="495">
        <f>N43</f>
        <v>656</v>
      </c>
      <c r="D13" s="1684"/>
      <c r="E13" s="1908"/>
      <c r="F13" s="1686"/>
      <c r="R13" s="488"/>
    </row>
    <row r="14" spans="1:18" x14ac:dyDescent="0.3">
      <c r="B14" s="494" t="s">
        <v>416</v>
      </c>
      <c r="C14" s="495">
        <f>N42</f>
        <v>0</v>
      </c>
      <c r="D14" s="1684"/>
      <c r="E14" s="1908"/>
      <c r="F14" s="1686"/>
      <c r="R14" s="488"/>
    </row>
    <row r="15" spans="1:18" x14ac:dyDescent="0.3">
      <c r="B15" s="494" t="s">
        <v>417</v>
      </c>
      <c r="C15" s="495">
        <f>N44</f>
        <v>5.7550249999999998</v>
      </c>
      <c r="D15" s="1684"/>
      <c r="E15" s="1908"/>
      <c r="F15" s="1686"/>
      <c r="R15" s="488"/>
    </row>
    <row r="16" spans="1:18" x14ac:dyDescent="0.3">
      <c r="B16" s="494" t="s">
        <v>418</v>
      </c>
      <c r="C16" s="496">
        <f>C37</f>
        <v>0</v>
      </c>
      <c r="D16" s="1687"/>
      <c r="E16" s="1688"/>
      <c r="F16" s="1689"/>
      <c r="R16" s="488"/>
    </row>
    <row r="17" spans="2:18" x14ac:dyDescent="0.3">
      <c r="B17" s="490" t="s">
        <v>48</v>
      </c>
      <c r="C17" s="1194" t="s">
        <v>1901</v>
      </c>
      <c r="D17" s="1366" t="s">
        <v>419</v>
      </c>
      <c r="E17" s="1366"/>
      <c r="F17" s="1366"/>
      <c r="R17" s="488"/>
    </row>
    <row r="18" spans="2:18" x14ac:dyDescent="0.3">
      <c r="B18" s="490" t="s">
        <v>420</v>
      </c>
      <c r="C18" s="541">
        <v>15</v>
      </c>
      <c r="D18" s="1648" t="s">
        <v>1902</v>
      </c>
      <c r="E18" s="1648"/>
      <c r="F18" s="1648"/>
      <c r="R18" s="488"/>
    </row>
    <row r="19" spans="2:18" x14ac:dyDescent="0.3">
      <c r="B19" s="497"/>
      <c r="C19" s="576"/>
      <c r="F19" s="489"/>
      <c r="R19" s="488"/>
    </row>
    <row r="20" spans="2:18" x14ac:dyDescent="0.3">
      <c r="B20" s="1368" t="s">
        <v>421</v>
      </c>
      <c r="C20" s="1368"/>
      <c r="D20" s="1368"/>
      <c r="E20" s="1368"/>
      <c r="F20" s="1368"/>
      <c r="G20" s="1368"/>
      <c r="H20" s="1368"/>
      <c r="I20" s="1368"/>
      <c r="J20" s="1368"/>
      <c r="K20" s="1368"/>
      <c r="L20" s="1368"/>
      <c r="M20" s="1368"/>
      <c r="N20" s="1368"/>
      <c r="O20" s="1368"/>
      <c r="P20" s="1368"/>
      <c r="Q20" s="1368"/>
      <c r="R20" s="488"/>
    </row>
    <row r="21" spans="2:18" ht="25.5" customHeight="1" x14ac:dyDescent="0.3">
      <c r="B21" s="499" t="s">
        <v>422</v>
      </c>
      <c r="C21" s="1546" t="s">
        <v>314</v>
      </c>
      <c r="D21" s="1546"/>
      <c r="E21" s="1546"/>
      <c r="F21" s="1546"/>
      <c r="G21" s="1546"/>
      <c r="H21" s="1546"/>
      <c r="I21" s="1546"/>
      <c r="J21" s="1546"/>
      <c r="K21" s="1546"/>
      <c r="L21" s="1546"/>
      <c r="M21" s="1546"/>
      <c r="N21" s="1546"/>
      <c r="O21" s="1546"/>
      <c r="P21" s="1546"/>
      <c r="Q21" s="1546"/>
      <c r="R21" s="488"/>
    </row>
    <row r="22" spans="2:18" x14ac:dyDescent="0.3">
      <c r="B22" s="500" t="s">
        <v>423</v>
      </c>
      <c r="C22" s="1536" t="s">
        <v>315</v>
      </c>
      <c r="D22" s="1536"/>
      <c r="E22" s="1536"/>
      <c r="F22" s="1536"/>
      <c r="G22" s="1536"/>
      <c r="H22" s="1536"/>
      <c r="I22" s="1536"/>
      <c r="J22" s="1536"/>
      <c r="K22" s="1536"/>
      <c r="L22" s="1536"/>
      <c r="M22" s="1536"/>
      <c r="N22" s="1536"/>
      <c r="O22" s="1536"/>
      <c r="P22" s="1536"/>
      <c r="Q22" s="1536"/>
      <c r="R22" s="488"/>
    </row>
    <row r="23" spans="2:18" x14ac:dyDescent="0.3">
      <c r="B23" s="499" t="s">
        <v>424</v>
      </c>
      <c r="C23" s="1546"/>
      <c r="D23" s="1546"/>
      <c r="E23" s="1546"/>
      <c r="F23" s="1546"/>
      <c r="G23" s="1546"/>
      <c r="H23" s="1546"/>
      <c r="I23" s="1546"/>
      <c r="J23" s="1546"/>
      <c r="K23" s="1546"/>
      <c r="L23" s="1546"/>
      <c r="M23" s="1546"/>
      <c r="N23" s="1546"/>
      <c r="O23" s="1546"/>
      <c r="P23" s="1546"/>
      <c r="Q23" s="1546"/>
      <c r="R23" s="488"/>
    </row>
    <row r="25" spans="2:18"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x14ac:dyDescent="0.3">
      <c r="B31" s="577"/>
      <c r="C31" s="578"/>
      <c r="D31" s="578"/>
      <c r="E31" s="578"/>
      <c r="F31" s="578"/>
      <c r="G31" s="578"/>
      <c r="H31" s="578"/>
      <c r="I31" s="578"/>
      <c r="J31" s="578"/>
      <c r="K31" s="578"/>
      <c r="L31" s="578"/>
      <c r="M31" s="578"/>
      <c r="N31" s="578"/>
    </row>
    <row r="32" spans="2:18"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x14ac:dyDescent="0.3">
      <c r="B33" s="490" t="s">
        <v>429</v>
      </c>
      <c r="C33" s="542"/>
      <c r="D33" s="586" t="s">
        <v>430</v>
      </c>
      <c r="E33" s="1677"/>
      <c r="F33" s="1677"/>
      <c r="G33" s="1677"/>
      <c r="H33" s="1677"/>
      <c r="I33" s="1677"/>
      <c r="J33" s="1677"/>
      <c r="K33" s="1677"/>
      <c r="L33" s="1677"/>
      <c r="M33" s="1677"/>
      <c r="N33" s="1677"/>
      <c r="O33" s="1677"/>
      <c r="P33" s="1677"/>
      <c r="Q33" s="1677"/>
      <c r="R33" s="488"/>
    </row>
    <row r="34" spans="2:18" x14ac:dyDescent="0.3">
      <c r="B34" s="494" t="s">
        <v>431</v>
      </c>
      <c r="C34" s="542"/>
      <c r="D34" s="586" t="s">
        <v>430</v>
      </c>
      <c r="E34" s="1677"/>
      <c r="F34" s="1677"/>
      <c r="G34" s="1677"/>
      <c r="H34" s="1677"/>
      <c r="I34" s="1677"/>
      <c r="J34" s="1677"/>
      <c r="K34" s="1677"/>
      <c r="L34" s="1677"/>
      <c r="M34" s="1677"/>
      <c r="N34" s="1677"/>
      <c r="O34" s="1677"/>
      <c r="P34" s="1677"/>
      <c r="Q34" s="1677"/>
    </row>
    <row r="35" spans="2:18" x14ac:dyDescent="0.3">
      <c r="B35" s="490" t="s">
        <v>432</v>
      </c>
      <c r="C35" s="542"/>
      <c r="D35" s="586" t="s">
        <v>430</v>
      </c>
      <c r="E35" s="1677"/>
      <c r="F35" s="1677"/>
      <c r="G35" s="1677"/>
      <c r="H35" s="1677"/>
      <c r="I35" s="1677"/>
      <c r="J35" s="1677"/>
      <c r="K35" s="1677"/>
      <c r="L35" s="1677"/>
      <c r="M35" s="1677"/>
      <c r="N35" s="1677"/>
      <c r="O35" s="1677"/>
      <c r="P35" s="1677"/>
      <c r="Q35" s="1677"/>
    </row>
    <row r="36" spans="2:18" x14ac:dyDescent="0.3">
      <c r="B36" s="494" t="s">
        <v>433</v>
      </c>
      <c r="C36" s="905">
        <f>C34</f>
        <v>0</v>
      </c>
      <c r="D36" s="586" t="s">
        <v>430</v>
      </c>
      <c r="E36" s="1442"/>
      <c r="F36" s="1442"/>
      <c r="G36" s="1442"/>
      <c r="H36" s="1442"/>
      <c r="I36" s="1442"/>
      <c r="J36" s="1442"/>
      <c r="K36" s="1442"/>
      <c r="L36" s="1442"/>
      <c r="M36" s="1442"/>
      <c r="N36" s="1442"/>
      <c r="O36" s="1442"/>
      <c r="P36" s="1442"/>
      <c r="Q36" s="1442"/>
    </row>
    <row r="37" spans="2:18" x14ac:dyDescent="0.3">
      <c r="B37" s="494" t="s">
        <v>434</v>
      </c>
      <c r="C37" s="905">
        <f>IF(C27="RET",C33+(C34-C35),C34-C35)</f>
        <v>0</v>
      </c>
      <c r="D37" s="586" t="s">
        <v>430</v>
      </c>
      <c r="E37" s="1442"/>
      <c r="F37" s="1442"/>
      <c r="G37" s="1442"/>
      <c r="H37" s="1442"/>
      <c r="I37" s="1442"/>
      <c r="J37" s="1442"/>
      <c r="K37" s="1442"/>
      <c r="L37" s="1442"/>
      <c r="M37" s="1442"/>
      <c r="N37" s="1442"/>
      <c r="O37" s="1442"/>
      <c r="P37" s="1442"/>
      <c r="Q37" s="1442"/>
    </row>
    <row r="38" spans="2:18" x14ac:dyDescent="0.3">
      <c r="B38" s="577"/>
      <c r="C38" s="578"/>
      <c r="D38" s="580"/>
      <c r="E38" s="578"/>
      <c r="F38" s="578"/>
      <c r="G38" s="578"/>
      <c r="H38" s="578"/>
      <c r="I38" s="578"/>
      <c r="J38" s="578"/>
      <c r="K38" s="578"/>
      <c r="L38" s="578"/>
      <c r="M38" s="578"/>
      <c r="N38" s="578"/>
    </row>
    <row r="39" spans="2:18" x14ac:dyDescent="0.3">
      <c r="B39" s="511" t="s">
        <v>435</v>
      </c>
      <c r="C39" s="512"/>
      <c r="D39" s="512"/>
      <c r="E39" s="512"/>
      <c r="F39" s="512"/>
      <c r="G39" s="512"/>
      <c r="H39" s="513"/>
      <c r="I39" s="513"/>
      <c r="J39" s="513"/>
      <c r="K39" s="513"/>
      <c r="L39" s="513"/>
      <c r="M39" s="513"/>
      <c r="N39" s="513"/>
      <c r="O39" s="513"/>
      <c r="P39" s="513"/>
      <c r="Q39" s="514"/>
    </row>
    <row r="41" spans="2:18"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x14ac:dyDescent="0.3">
      <c r="B43" s="582" t="s">
        <v>441</v>
      </c>
      <c r="C43" s="1380" t="s">
        <v>442</v>
      </c>
      <c r="D43" s="1381"/>
      <c r="E43" s="1381"/>
      <c r="F43" s="1381"/>
      <c r="G43" s="1381"/>
      <c r="H43" s="1381"/>
      <c r="I43" s="1381"/>
      <c r="J43" s="1381"/>
      <c r="K43" s="1381"/>
      <c r="L43" s="1381"/>
      <c r="M43" s="1382"/>
      <c r="N43" s="585">
        <f>N49+N55</f>
        <v>656</v>
      </c>
      <c r="O43" s="1243" t="s">
        <v>443</v>
      </c>
      <c r="P43" s="1511"/>
      <c r="Q43" s="1511"/>
      <c r="R43" s="488"/>
    </row>
    <row r="44" spans="2:18" x14ac:dyDescent="0.3">
      <c r="B44" s="582" t="s">
        <v>444</v>
      </c>
      <c r="C44" s="1380" t="s">
        <v>445</v>
      </c>
      <c r="D44" s="1381"/>
      <c r="E44" s="1381"/>
      <c r="F44" s="1381"/>
      <c r="G44" s="1381"/>
      <c r="H44" s="1381"/>
      <c r="I44" s="1381"/>
      <c r="J44" s="1381"/>
      <c r="K44" s="1381"/>
      <c r="L44" s="1381"/>
      <c r="M44" s="1382"/>
      <c r="N44" s="584">
        <f>N50+N56</f>
        <v>5.7550249999999998</v>
      </c>
      <c r="O44" s="1243" t="s">
        <v>446</v>
      </c>
      <c r="P44" s="1511"/>
      <c r="Q44" s="1511"/>
      <c r="R44" s="488"/>
    </row>
    <row r="45" spans="2:18"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x14ac:dyDescent="0.3">
      <c r="B46" s="583"/>
      <c r="C46" s="578"/>
      <c r="D46" s="578"/>
      <c r="E46" s="578"/>
      <c r="F46" s="578"/>
      <c r="G46" s="578"/>
      <c r="H46" s="578"/>
      <c r="I46" s="578"/>
      <c r="J46" s="578"/>
      <c r="K46" s="578"/>
      <c r="L46" s="578"/>
      <c r="M46" s="578"/>
      <c r="Q46" s="489"/>
      <c r="R46" s="488"/>
    </row>
    <row r="47" spans="2:18"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29.25" customHeight="1" x14ac:dyDescent="0.3">
      <c r="B49" s="582" t="s">
        <v>454</v>
      </c>
      <c r="C49" s="1600" t="s">
        <v>1903</v>
      </c>
      <c r="D49" s="1505"/>
      <c r="E49" s="1505"/>
      <c r="F49" s="1505"/>
      <c r="G49" s="1505"/>
      <c r="H49" s="1505"/>
      <c r="I49" s="1505"/>
      <c r="J49" s="1505"/>
      <c r="K49" s="1505"/>
      <c r="L49" s="1505"/>
      <c r="M49" s="1506"/>
      <c r="N49" s="592">
        <v>656</v>
      </c>
      <c r="O49" s="1243" t="s">
        <v>443</v>
      </c>
      <c r="P49" s="1603" t="s">
        <v>1904</v>
      </c>
      <c r="Q49" s="1603"/>
      <c r="R49" s="488"/>
    </row>
    <row r="50" spans="2:18" ht="35.25" customHeight="1" x14ac:dyDescent="0.3">
      <c r="B50" s="582" t="s">
        <v>456</v>
      </c>
      <c r="C50" s="1600" t="s">
        <v>1905</v>
      </c>
      <c r="D50" s="1505"/>
      <c r="E50" s="1505"/>
      <c r="F50" s="1505"/>
      <c r="G50" s="1505"/>
      <c r="H50" s="1505"/>
      <c r="I50" s="1505"/>
      <c r="J50" s="1505"/>
      <c r="K50" s="1505"/>
      <c r="L50" s="1505"/>
      <c r="M50" s="1506"/>
      <c r="N50" s="592">
        <f>H63*H62*D84</f>
        <v>5.7550249999999998</v>
      </c>
      <c r="O50" s="1243" t="s">
        <v>446</v>
      </c>
      <c r="P50" s="1603"/>
      <c r="Q50" s="1603"/>
      <c r="R50" s="488"/>
    </row>
    <row r="51" spans="2:18"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x14ac:dyDescent="0.3">
      <c r="B52" s="583"/>
      <c r="C52" s="578"/>
      <c r="D52" s="578"/>
      <c r="E52" s="578"/>
      <c r="F52" s="578"/>
      <c r="G52" s="578"/>
      <c r="H52" s="578"/>
      <c r="I52" s="578"/>
      <c r="J52" s="578"/>
      <c r="K52" s="578"/>
      <c r="L52" s="578"/>
      <c r="M52" s="578"/>
      <c r="Q52" s="489"/>
      <c r="R52" s="488"/>
    </row>
    <row r="53" spans="2:18" s="491" customForma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x14ac:dyDescent="0.3">
      <c r="B56" s="531" t="s">
        <v>466</v>
      </c>
      <c r="C56" s="1504" t="s">
        <v>457</v>
      </c>
      <c r="D56" s="1505"/>
      <c r="E56" s="1505"/>
      <c r="F56" s="1505"/>
      <c r="G56" s="1505"/>
      <c r="H56" s="1505"/>
      <c r="I56" s="1505"/>
      <c r="J56" s="1505"/>
      <c r="K56" s="1505"/>
      <c r="L56" s="1505"/>
      <c r="M56" s="1506"/>
      <c r="N56" s="594"/>
      <c r="O56" s="509" t="s">
        <v>446</v>
      </c>
      <c r="P56" s="1447"/>
      <c r="Q56" s="1447"/>
    </row>
    <row r="57" spans="2:18" s="491" customForma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x14ac:dyDescent="0.3">
      <c r="B58" s="510"/>
      <c r="C58" s="502"/>
      <c r="D58" s="503"/>
      <c r="E58" s="503"/>
      <c r="F58" s="503"/>
      <c r="G58" s="503"/>
      <c r="H58" s="503"/>
      <c r="I58" s="503"/>
      <c r="J58" s="503"/>
      <c r="K58" s="503"/>
      <c r="L58" s="503"/>
      <c r="M58" s="503"/>
      <c r="N58" s="503"/>
      <c r="O58" s="503"/>
      <c r="R58" s="489"/>
    </row>
    <row r="59" spans="2:18" x14ac:dyDescent="0.3">
      <c r="B59" s="511" t="s">
        <v>470</v>
      </c>
      <c r="C59" s="512"/>
      <c r="D59" s="512"/>
      <c r="E59" s="512"/>
      <c r="F59" s="512"/>
      <c r="G59" s="512"/>
      <c r="H59" s="513"/>
      <c r="I59" s="513"/>
      <c r="J59" s="513"/>
      <c r="K59" s="513"/>
      <c r="L59" s="513"/>
      <c r="M59" s="513"/>
      <c r="N59" s="513"/>
      <c r="O59" s="513"/>
      <c r="P59" s="513"/>
      <c r="Q59" s="514"/>
    </row>
    <row r="61" spans="2:18" x14ac:dyDescent="0.3">
      <c r="B61" s="506" t="s">
        <v>471</v>
      </c>
      <c r="C61" s="506" t="s">
        <v>472</v>
      </c>
      <c r="D61" s="1395" t="s">
        <v>473</v>
      </c>
      <c r="E61" s="1395"/>
      <c r="F61" s="506" t="s">
        <v>474</v>
      </c>
      <c r="G61" s="506" t="s">
        <v>765</v>
      </c>
      <c r="H61" s="506" t="s">
        <v>406</v>
      </c>
      <c r="I61" s="506" t="s">
        <v>428</v>
      </c>
      <c r="J61" s="1396" t="s">
        <v>476</v>
      </c>
      <c r="K61" s="1397"/>
      <c r="L61" s="1397"/>
      <c r="M61" s="1397"/>
      <c r="N61" s="1397"/>
      <c r="O61" s="1397"/>
      <c r="P61" s="1397"/>
      <c r="Q61" s="1398"/>
    </row>
    <row r="62" spans="2:18" ht="49.5" customHeight="1" x14ac:dyDescent="0.3">
      <c r="B62" s="535">
        <v>1</v>
      </c>
      <c r="C62" s="551" t="s">
        <v>1906</v>
      </c>
      <c r="D62" s="1543" t="s">
        <v>1907</v>
      </c>
      <c r="E62" s="1543"/>
      <c r="F62" s="552"/>
      <c r="G62" s="552"/>
      <c r="H62" s="597">
        <v>1</v>
      </c>
      <c r="I62" s="552" t="s">
        <v>1908</v>
      </c>
      <c r="J62" s="1482" t="s">
        <v>1909</v>
      </c>
      <c r="K62" s="1544"/>
      <c r="L62" s="1544"/>
      <c r="M62" s="1544"/>
      <c r="N62" s="1544"/>
      <c r="O62" s="1544"/>
      <c r="P62" s="1544"/>
      <c r="Q62" s="1545"/>
      <c r="R62" s="488"/>
    </row>
    <row r="63" spans="2:18" ht="49.5" customHeight="1" x14ac:dyDescent="0.3">
      <c r="B63" s="533">
        <v>2</v>
      </c>
      <c r="C63" s="549" t="s">
        <v>1910</v>
      </c>
      <c r="D63" s="1556" t="s">
        <v>1911</v>
      </c>
      <c r="E63" s="1556"/>
      <c r="F63" s="1238" t="s">
        <v>1912</v>
      </c>
      <c r="G63" s="1238" t="str">
        <f t="shared" ref="G63:G68" si="0">IF(COUNTIF($C$97:$C$100,$C$28)&gt;0,$C$28,"Other")</f>
        <v>Other</v>
      </c>
      <c r="H63" s="688">
        <f>INDEX($C$96:$N$116,MATCH(G63,$C$96:$C$116,0),MATCH(F63,$C$96:$N$96,0))</f>
        <v>54.55</v>
      </c>
      <c r="I63" s="1238" t="s">
        <v>536</v>
      </c>
      <c r="J63" s="1462" t="s">
        <v>1913</v>
      </c>
      <c r="K63" s="1464"/>
      <c r="L63" s="1464"/>
      <c r="M63" s="1464"/>
      <c r="N63" s="1464"/>
      <c r="O63" s="1464"/>
      <c r="P63" s="1464"/>
      <c r="Q63" s="1463"/>
      <c r="R63" s="488"/>
    </row>
    <row r="64" spans="2:18" ht="49.5" customHeight="1" x14ac:dyDescent="0.3">
      <c r="B64" s="533">
        <v>3</v>
      </c>
      <c r="C64" s="549" t="s">
        <v>1914</v>
      </c>
      <c r="D64" s="1556" t="s">
        <v>1915</v>
      </c>
      <c r="E64" s="1556"/>
      <c r="F64" s="955" t="s">
        <v>1916</v>
      </c>
      <c r="G64" s="1238" t="str">
        <f t="shared" si="0"/>
        <v>Other</v>
      </c>
      <c r="H64" s="688">
        <f>INDEX($C$96:$N$116,MATCH($G$64,C96:$C$116,0),MATCH($F$64,$C$96:$N$96,0))</f>
        <v>10608</v>
      </c>
      <c r="I64" s="1238" t="s">
        <v>1917</v>
      </c>
      <c r="J64" s="1462" t="s">
        <v>1918</v>
      </c>
      <c r="K64" s="1464"/>
      <c r="L64" s="1464"/>
      <c r="M64" s="1464"/>
      <c r="N64" s="1464"/>
      <c r="O64" s="1464"/>
      <c r="P64" s="1464"/>
      <c r="Q64" s="1463"/>
      <c r="R64" s="488"/>
    </row>
    <row r="65" spans="2:18" ht="49.5" customHeight="1" x14ac:dyDescent="0.3">
      <c r="B65" s="533">
        <v>4</v>
      </c>
      <c r="C65" s="549" t="s">
        <v>1919</v>
      </c>
      <c r="D65" s="1556" t="s">
        <v>1920</v>
      </c>
      <c r="E65" s="1556"/>
      <c r="F65" s="1238" t="s">
        <v>1921</v>
      </c>
      <c r="G65" s="1238" t="str">
        <f t="shared" si="0"/>
        <v>Other</v>
      </c>
      <c r="H65" s="688">
        <f>INDEX($C$96:$N$116,MATCH(G65,$C$96:$C$116,0),MATCH(F65,$C$96:$N$96,0))</f>
        <v>1988.75</v>
      </c>
      <c r="I65" s="1238" t="s">
        <v>532</v>
      </c>
      <c r="J65" s="1462" t="s">
        <v>1922</v>
      </c>
      <c r="K65" s="1464"/>
      <c r="L65" s="1464"/>
      <c r="M65" s="1464"/>
      <c r="N65" s="1464"/>
      <c r="O65" s="1464"/>
      <c r="P65" s="1464"/>
      <c r="Q65" s="1463"/>
      <c r="R65" s="488"/>
    </row>
    <row r="66" spans="2:18" ht="49.5" customHeight="1" x14ac:dyDescent="0.3">
      <c r="B66" s="533">
        <v>5</v>
      </c>
      <c r="C66" s="549" t="s">
        <v>1923</v>
      </c>
      <c r="D66" s="1556" t="s">
        <v>1924</v>
      </c>
      <c r="E66" s="1556"/>
      <c r="F66" s="1238" t="s">
        <v>1925</v>
      </c>
      <c r="G66" s="1238" t="str">
        <f t="shared" si="0"/>
        <v>Other</v>
      </c>
      <c r="H66" s="688">
        <f>INDEX($C$96:$N$116,MATCH(G66,$C$96:$C$116,0),MATCH(F66,$C$96:$N$96,0))</f>
        <v>130</v>
      </c>
      <c r="I66" s="1238" t="s">
        <v>532</v>
      </c>
      <c r="J66" s="1462" t="s">
        <v>1926</v>
      </c>
      <c r="K66" s="1464"/>
      <c r="L66" s="1464"/>
      <c r="M66" s="1464"/>
      <c r="N66" s="1464"/>
      <c r="O66" s="1464"/>
      <c r="P66" s="1464"/>
      <c r="Q66" s="1463"/>
      <c r="R66" s="488"/>
    </row>
    <row r="67" spans="2:18" ht="49.5" customHeight="1" x14ac:dyDescent="0.3">
      <c r="B67" s="533">
        <v>6</v>
      </c>
      <c r="C67" s="549" t="s">
        <v>1927</v>
      </c>
      <c r="D67" s="1556" t="s">
        <v>1928</v>
      </c>
      <c r="E67" s="1556"/>
      <c r="F67" s="1238" t="s">
        <v>1929</v>
      </c>
      <c r="G67" s="1238" t="str">
        <f t="shared" si="0"/>
        <v>Other</v>
      </c>
      <c r="H67" s="672">
        <f>INDEX($C$96:$N$116,MATCH(G67,$C$96:$C$116,0),MATCH(F67,$C$96:$N$96,0))</f>
        <v>0.23624999999999999</v>
      </c>
      <c r="I67" s="1238" t="s">
        <v>519</v>
      </c>
      <c r="J67" s="1462" t="s">
        <v>1930</v>
      </c>
      <c r="K67" s="1464"/>
      <c r="L67" s="1464"/>
      <c r="M67" s="1464"/>
      <c r="N67" s="1464"/>
      <c r="O67" s="1464"/>
      <c r="P67" s="1464"/>
      <c r="Q67" s="1463"/>
      <c r="R67" s="488"/>
    </row>
    <row r="68" spans="2:18" ht="49.5" customHeight="1" x14ac:dyDescent="0.3">
      <c r="B68" s="533">
        <v>7</v>
      </c>
      <c r="C68" s="549" t="s">
        <v>1931</v>
      </c>
      <c r="D68" s="1556" t="s">
        <v>1932</v>
      </c>
      <c r="E68" s="1556"/>
      <c r="F68" s="1238" t="s">
        <v>1933</v>
      </c>
      <c r="G68" s="1238" t="str">
        <f t="shared" si="0"/>
        <v>Other</v>
      </c>
      <c r="H68" s="672">
        <f>INDEX($C$96:$N$116,MATCH(G68,$C$96:$C$116,0),MATCH(F68,$C$96:$N$96,0))</f>
        <v>0.111425</v>
      </c>
      <c r="I68" s="1238" t="s">
        <v>519</v>
      </c>
      <c r="J68" s="1462" t="s">
        <v>1934</v>
      </c>
      <c r="K68" s="1464"/>
      <c r="L68" s="1464"/>
      <c r="M68" s="1464"/>
      <c r="N68" s="1464"/>
      <c r="O68" s="1464"/>
      <c r="P68" s="1464"/>
      <c r="Q68" s="1463"/>
      <c r="R68" s="488"/>
    </row>
    <row r="69" spans="2:18" ht="59.25" customHeight="1" x14ac:dyDescent="0.3">
      <c r="B69" s="533">
        <v>8</v>
      </c>
      <c r="C69" s="549" t="s">
        <v>1935</v>
      </c>
      <c r="D69" s="1556" t="s">
        <v>1936</v>
      </c>
      <c r="E69" s="1556"/>
      <c r="F69" s="1238"/>
      <c r="G69" s="1238"/>
      <c r="H69" s="688">
        <f>H64*H62</f>
        <v>10608</v>
      </c>
      <c r="I69" s="1238" t="s">
        <v>536</v>
      </c>
      <c r="J69" s="1462" t="s">
        <v>1937</v>
      </c>
      <c r="K69" s="1464"/>
      <c r="L69" s="1464"/>
      <c r="M69" s="1464"/>
      <c r="N69" s="1464"/>
      <c r="O69" s="1464"/>
      <c r="P69" s="1464"/>
      <c r="Q69" s="1463"/>
      <c r="R69" s="488"/>
    </row>
    <row r="70" spans="2:18" ht="49.5" customHeight="1" x14ac:dyDescent="0.3">
      <c r="B70" s="533">
        <v>9</v>
      </c>
      <c r="C70" s="549"/>
      <c r="D70" s="1556"/>
      <c r="E70" s="1556"/>
      <c r="F70" s="1238"/>
      <c r="G70" s="1238"/>
      <c r="H70" s="606"/>
      <c r="I70" s="1238"/>
      <c r="J70" s="1462"/>
      <c r="K70" s="1464"/>
      <c r="L70" s="1464"/>
      <c r="M70" s="1464"/>
      <c r="N70" s="1464"/>
      <c r="O70" s="1464"/>
      <c r="P70" s="1464"/>
      <c r="Q70" s="1463"/>
      <c r="R70" s="488"/>
    </row>
    <row r="71" spans="2:18" ht="49.5" customHeight="1" x14ac:dyDescent="0.3">
      <c r="B71" s="533">
        <v>10</v>
      </c>
      <c r="C71" s="549"/>
      <c r="D71" s="1556"/>
      <c r="E71" s="1556"/>
      <c r="F71" s="1238"/>
      <c r="G71" s="1238"/>
      <c r="H71" s="606"/>
      <c r="I71" s="1238"/>
      <c r="J71" s="1462"/>
      <c r="K71" s="1464"/>
      <c r="L71" s="1464"/>
      <c r="M71" s="1464"/>
      <c r="N71" s="1464"/>
      <c r="O71" s="1464"/>
      <c r="P71" s="1464"/>
      <c r="Q71" s="1463"/>
      <c r="R71" s="488"/>
    </row>
    <row r="72" spans="2:18" ht="49.5" customHeight="1" x14ac:dyDescent="0.3">
      <c r="B72" s="533">
        <v>11</v>
      </c>
      <c r="C72" s="549"/>
      <c r="D72" s="1556"/>
      <c r="E72" s="1556"/>
      <c r="F72" s="1238"/>
      <c r="G72" s="1238"/>
      <c r="H72" s="688"/>
      <c r="I72" s="1238"/>
      <c r="J72" s="1462"/>
      <c r="K72" s="1464"/>
      <c r="L72" s="1464"/>
      <c r="M72" s="1464"/>
      <c r="N72" s="1464"/>
      <c r="O72" s="1464"/>
      <c r="P72" s="1464"/>
      <c r="Q72" s="1463"/>
      <c r="R72" s="488"/>
    </row>
    <row r="73" spans="2:18" ht="49.5" customHeight="1" x14ac:dyDescent="0.3">
      <c r="B73" s="533">
        <v>12</v>
      </c>
      <c r="C73" s="549"/>
      <c r="D73" s="1556"/>
      <c r="E73" s="1556"/>
      <c r="F73" s="1238"/>
      <c r="G73" s="1238"/>
      <c r="H73" s="688"/>
      <c r="I73" s="1238"/>
      <c r="J73" s="1462"/>
      <c r="K73" s="1464"/>
      <c r="L73" s="1464"/>
      <c r="M73" s="1464"/>
      <c r="N73" s="1464"/>
      <c r="O73" s="1464"/>
      <c r="P73" s="1464"/>
      <c r="Q73" s="1463"/>
      <c r="R73" s="488"/>
    </row>
    <row r="74" spans="2:18" ht="49.5" customHeight="1" x14ac:dyDescent="0.3">
      <c r="B74" s="533">
        <v>13</v>
      </c>
      <c r="C74" s="549"/>
      <c r="D74" s="1556"/>
      <c r="E74" s="1556"/>
      <c r="F74" s="1238"/>
      <c r="G74" s="1238"/>
      <c r="H74" s="688"/>
      <c r="I74" s="1238"/>
      <c r="J74" s="1462"/>
      <c r="K74" s="1464"/>
      <c r="L74" s="1464"/>
      <c r="M74" s="1464"/>
      <c r="N74" s="1464"/>
      <c r="O74" s="1464"/>
      <c r="P74" s="1464"/>
      <c r="Q74" s="1463"/>
      <c r="R74" s="488"/>
    </row>
    <row r="75" spans="2:18" ht="49.5" customHeight="1" x14ac:dyDescent="0.3">
      <c r="B75" s="533">
        <v>14</v>
      </c>
      <c r="C75" s="549"/>
      <c r="D75" s="1556"/>
      <c r="E75" s="1556"/>
      <c r="F75" s="1238"/>
      <c r="G75" s="1238"/>
      <c r="H75" s="688"/>
      <c r="I75" s="1238"/>
      <c r="J75" s="1462"/>
      <c r="K75" s="1464"/>
      <c r="L75" s="1464"/>
      <c r="M75" s="1464"/>
      <c r="N75" s="1464"/>
      <c r="O75" s="1464"/>
      <c r="P75" s="1464"/>
      <c r="Q75" s="1463"/>
      <c r="R75" s="488"/>
    </row>
    <row r="76" spans="2:18" ht="49.5" customHeight="1" x14ac:dyDescent="0.3">
      <c r="B76" s="533">
        <v>15</v>
      </c>
      <c r="C76" s="549"/>
      <c r="D76" s="1556"/>
      <c r="E76" s="1556"/>
      <c r="F76" s="1238"/>
      <c r="G76" s="1238"/>
      <c r="H76" s="548"/>
      <c r="I76" s="1238"/>
      <c r="J76" s="1462"/>
      <c r="K76" s="1464"/>
      <c r="L76" s="1464"/>
      <c r="M76" s="1464"/>
      <c r="N76" s="1464"/>
      <c r="O76" s="1464"/>
      <c r="P76" s="1464"/>
      <c r="Q76" s="1463"/>
      <c r="R76" s="488"/>
    </row>
    <row r="77" spans="2:18" x14ac:dyDescent="0.3">
      <c r="F77" s="1054"/>
      <c r="G77" s="1055"/>
      <c r="R77" s="488"/>
    </row>
    <row r="78" spans="2:18" x14ac:dyDescent="0.3">
      <c r="B78" s="511" t="s">
        <v>477</v>
      </c>
      <c r="C78" s="512"/>
      <c r="D78" s="512"/>
      <c r="E78" s="512"/>
      <c r="F78" s="512"/>
      <c r="G78" s="512"/>
      <c r="H78" s="513"/>
      <c r="I78" s="513"/>
      <c r="J78" s="513"/>
      <c r="K78" s="513"/>
      <c r="L78" s="513"/>
      <c r="M78" s="513"/>
      <c r="N78" s="513"/>
      <c r="O78" s="513"/>
      <c r="P78" s="513"/>
      <c r="Q78" s="514"/>
      <c r="R78" s="488"/>
    </row>
    <row r="79" spans="2:18" x14ac:dyDescent="0.3">
      <c r="R79" s="488"/>
    </row>
    <row r="80" spans="2:18"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x14ac:dyDescent="0.3">
      <c r="B81" s="533">
        <v>1</v>
      </c>
      <c r="C81" s="560" t="s">
        <v>480</v>
      </c>
      <c r="D81" s="561">
        <v>1000</v>
      </c>
      <c r="E81" s="1233" t="s">
        <v>481</v>
      </c>
      <c r="F81" s="1486" t="s">
        <v>482</v>
      </c>
      <c r="G81" s="1487"/>
      <c r="H81" s="1487"/>
      <c r="I81" s="1487"/>
      <c r="J81" s="1487"/>
      <c r="K81" s="1487"/>
      <c r="L81" s="1487"/>
      <c r="M81" s="1487"/>
      <c r="N81" s="1487"/>
      <c r="O81" s="1487"/>
      <c r="P81" s="1487"/>
      <c r="Q81" s="1488"/>
      <c r="R81" s="488"/>
    </row>
    <row r="82" spans="2:18" x14ac:dyDescent="0.3">
      <c r="B82" s="533">
        <v>2</v>
      </c>
      <c r="C82" s="560" t="s">
        <v>483</v>
      </c>
      <c r="D82" s="562">
        <f>0.03412*0.10548</f>
        <v>3.5989775999999999E-3</v>
      </c>
      <c r="E82" s="1233" t="s">
        <v>484</v>
      </c>
      <c r="F82" s="1489" t="s">
        <v>485</v>
      </c>
      <c r="G82" s="1490"/>
      <c r="H82" s="1490"/>
      <c r="I82" s="1490"/>
      <c r="J82" s="1490"/>
      <c r="K82" s="1490"/>
      <c r="L82" s="1490"/>
      <c r="M82" s="1490"/>
      <c r="N82" s="1490"/>
      <c r="O82" s="1490"/>
      <c r="P82" s="1490"/>
      <c r="Q82" s="1491"/>
      <c r="R82" s="488"/>
    </row>
    <row r="83" spans="2:18" x14ac:dyDescent="0.3">
      <c r="B83" s="533">
        <v>3</v>
      </c>
      <c r="C83" s="560" t="s">
        <v>486</v>
      </c>
      <c r="D83" s="562">
        <v>3.7854099999999999E-3</v>
      </c>
      <c r="E83" s="1233" t="s">
        <v>487</v>
      </c>
      <c r="F83" s="1489" t="s">
        <v>485</v>
      </c>
      <c r="G83" s="1490"/>
      <c r="H83" s="1490"/>
      <c r="I83" s="1490"/>
      <c r="J83" s="1490"/>
      <c r="K83" s="1490"/>
      <c r="L83" s="1490"/>
      <c r="M83" s="1490"/>
      <c r="N83" s="1490"/>
      <c r="O83" s="1490"/>
      <c r="P83" s="1490"/>
      <c r="Q83" s="1491"/>
      <c r="R83" s="488"/>
    </row>
    <row r="84" spans="2:18" x14ac:dyDescent="0.3">
      <c r="B84" s="533">
        <v>4</v>
      </c>
      <c r="C84" s="560" t="s">
        <v>488</v>
      </c>
      <c r="D84" s="562">
        <v>0.1055</v>
      </c>
      <c r="E84" s="1233" t="s">
        <v>489</v>
      </c>
      <c r="F84" s="1489" t="s">
        <v>485</v>
      </c>
      <c r="G84" s="1490"/>
      <c r="H84" s="1490"/>
      <c r="I84" s="1490"/>
      <c r="J84" s="1490"/>
      <c r="K84" s="1490"/>
      <c r="L84" s="1490"/>
      <c r="M84" s="1490"/>
      <c r="N84" s="1490"/>
      <c r="O84" s="1490"/>
      <c r="P84" s="1490"/>
      <c r="Q84" s="1491"/>
      <c r="R84" s="488"/>
    </row>
    <row r="85" spans="2:18" x14ac:dyDescent="0.3">
      <c r="B85" s="533">
        <v>5</v>
      </c>
      <c r="C85" s="560" t="s">
        <v>490</v>
      </c>
      <c r="D85" s="562">
        <v>1.0000000000000001E-5</v>
      </c>
      <c r="E85" s="1233" t="s">
        <v>491</v>
      </c>
      <c r="F85" s="1489" t="s">
        <v>485</v>
      </c>
      <c r="G85" s="1490"/>
      <c r="H85" s="1490"/>
      <c r="I85" s="1490"/>
      <c r="J85" s="1490"/>
      <c r="K85" s="1490"/>
      <c r="L85" s="1490"/>
      <c r="M85" s="1490"/>
      <c r="N85" s="1490"/>
      <c r="O85" s="1490"/>
      <c r="P85" s="1490"/>
      <c r="Q85" s="1491"/>
      <c r="R85" s="488"/>
    </row>
    <row r="86" spans="2:18" x14ac:dyDescent="0.3">
      <c r="B86" s="533">
        <v>6</v>
      </c>
      <c r="C86" s="560"/>
      <c r="D86" s="722"/>
      <c r="E86" s="1233"/>
      <c r="F86" s="1489"/>
      <c r="G86" s="1490"/>
      <c r="H86" s="1490"/>
      <c r="I86" s="1490"/>
      <c r="J86" s="1490"/>
      <c r="K86" s="1490"/>
      <c r="L86" s="1490"/>
      <c r="M86" s="1490"/>
      <c r="N86" s="1490"/>
      <c r="O86" s="1490"/>
      <c r="P86" s="1490"/>
      <c r="Q86" s="1491"/>
      <c r="R86" s="488"/>
    </row>
    <row r="87" spans="2:18" x14ac:dyDescent="0.3">
      <c r="B87" s="533">
        <v>7</v>
      </c>
      <c r="C87" s="563"/>
      <c r="D87" s="1233"/>
      <c r="E87" s="1233"/>
      <c r="F87" s="1489"/>
      <c r="G87" s="1490"/>
      <c r="H87" s="1490"/>
      <c r="I87" s="1490"/>
      <c r="J87" s="1490"/>
      <c r="K87" s="1490"/>
      <c r="L87" s="1490"/>
      <c r="M87" s="1490"/>
      <c r="N87" s="1490"/>
      <c r="O87" s="1490"/>
      <c r="P87" s="1490"/>
      <c r="Q87" s="1491"/>
      <c r="R87" s="488"/>
    </row>
    <row r="88" spans="2:18" x14ac:dyDescent="0.3">
      <c r="B88" s="533">
        <v>8</v>
      </c>
      <c r="C88" s="563"/>
      <c r="D88" s="564"/>
      <c r="E88" s="1233"/>
      <c r="F88" s="1489"/>
      <c r="G88" s="1490"/>
      <c r="H88" s="1490"/>
      <c r="I88" s="1490"/>
      <c r="J88" s="1490"/>
      <c r="K88" s="1490"/>
      <c r="L88" s="1490"/>
      <c r="M88" s="1490"/>
      <c r="N88" s="1490"/>
      <c r="O88" s="1490"/>
      <c r="P88" s="1490"/>
      <c r="Q88" s="1491"/>
      <c r="R88" s="488"/>
    </row>
    <row r="89" spans="2:18" x14ac:dyDescent="0.3">
      <c r="B89" s="533">
        <v>9</v>
      </c>
      <c r="C89" s="563"/>
      <c r="D89" s="1233"/>
      <c r="E89" s="1233"/>
      <c r="F89" s="1489"/>
      <c r="G89" s="1490"/>
      <c r="H89" s="1490"/>
      <c r="I89" s="1490"/>
      <c r="J89" s="1490"/>
      <c r="K89" s="1490"/>
      <c r="L89" s="1490"/>
      <c r="M89" s="1490"/>
      <c r="N89" s="1490"/>
      <c r="O89" s="1490"/>
      <c r="P89" s="1490"/>
      <c r="Q89" s="1491"/>
      <c r="R89" s="488"/>
    </row>
    <row r="90" spans="2:18" x14ac:dyDescent="0.3">
      <c r="B90" s="533">
        <v>10</v>
      </c>
      <c r="C90" s="563"/>
      <c r="D90" s="564"/>
      <c r="E90" s="1233"/>
      <c r="F90" s="1489"/>
      <c r="G90" s="1490"/>
      <c r="H90" s="1490"/>
      <c r="I90" s="1490"/>
      <c r="J90" s="1490"/>
      <c r="K90" s="1490"/>
      <c r="L90" s="1490"/>
      <c r="M90" s="1490"/>
      <c r="N90" s="1490"/>
      <c r="O90" s="1490"/>
      <c r="P90" s="1490"/>
      <c r="Q90" s="1491"/>
      <c r="R90" s="488"/>
    </row>
    <row r="91" spans="2:18" x14ac:dyDescent="0.3">
      <c r="R91" s="488"/>
    </row>
    <row r="92" spans="2:18" x14ac:dyDescent="0.3">
      <c r="B92" s="511" t="s">
        <v>492</v>
      </c>
      <c r="C92" s="512"/>
      <c r="D92" s="512"/>
      <c r="E92" s="512"/>
      <c r="F92" s="512"/>
      <c r="G92" s="512"/>
      <c r="H92" s="513"/>
      <c r="I92" s="513"/>
      <c r="J92" s="513"/>
      <c r="K92" s="513"/>
      <c r="L92" s="513"/>
      <c r="M92" s="513"/>
      <c r="N92" s="513"/>
      <c r="O92" s="513"/>
      <c r="P92" s="513"/>
      <c r="Q92" s="514"/>
      <c r="R92" s="488"/>
    </row>
    <row r="93" spans="2:18" x14ac:dyDescent="0.3">
      <c r="R93" s="488"/>
    </row>
    <row r="94" spans="2:18" x14ac:dyDescent="0.3">
      <c r="B94" s="523" t="s">
        <v>493</v>
      </c>
      <c r="E94" s="1402" t="s">
        <v>494</v>
      </c>
      <c r="F94" s="1403"/>
      <c r="G94" s="1403"/>
      <c r="H94" s="1403"/>
      <c r="I94" s="1403"/>
      <c r="J94" s="1403"/>
      <c r="K94" s="1403"/>
      <c r="L94" s="1403"/>
      <c r="M94" s="1403"/>
      <c r="N94" s="1403"/>
      <c r="O94" s="1404" t="s">
        <v>476</v>
      </c>
      <c r="P94" s="1405"/>
      <c r="Q94" s="1406"/>
      <c r="R94" s="488"/>
    </row>
    <row r="95" spans="2:18" x14ac:dyDescent="0.3">
      <c r="B95" s="1498" t="s">
        <v>1938</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c r="R95" s="488"/>
    </row>
    <row r="96" spans="2:18" ht="26" x14ac:dyDescent="0.3">
      <c r="B96" s="1188" t="s">
        <v>478</v>
      </c>
      <c r="C96" s="1402" t="s">
        <v>538</v>
      </c>
      <c r="D96" s="1431"/>
      <c r="E96" s="565" t="s">
        <v>1921</v>
      </c>
      <c r="F96" s="565" t="s">
        <v>1925</v>
      </c>
      <c r="G96" s="565" t="s">
        <v>1929</v>
      </c>
      <c r="H96" s="565" t="s">
        <v>1933</v>
      </c>
      <c r="I96" s="565" t="s">
        <v>1939</v>
      </c>
      <c r="J96" s="565" t="s">
        <v>1916</v>
      </c>
      <c r="K96" s="565" t="s">
        <v>1912</v>
      </c>
      <c r="L96" s="565"/>
      <c r="M96" s="565"/>
      <c r="N96" s="566"/>
      <c r="O96" s="1410"/>
      <c r="P96" s="1411"/>
      <c r="Q96" s="1412"/>
      <c r="R96" s="488"/>
    </row>
    <row r="97" spans="2:18" x14ac:dyDescent="0.3">
      <c r="B97" s="533">
        <v>1</v>
      </c>
      <c r="C97" s="546" t="s">
        <v>1366</v>
      </c>
      <c r="D97" s="1184"/>
      <c r="E97" s="567">
        <v>1688</v>
      </c>
      <c r="F97" s="567">
        <v>520</v>
      </c>
      <c r="G97" s="554">
        <v>0.22439999999999999</v>
      </c>
      <c r="H97" s="554">
        <v>0.44569999999999999</v>
      </c>
      <c r="I97" s="554">
        <v>0.22750000000000001</v>
      </c>
      <c r="J97" s="567">
        <v>4938</v>
      </c>
      <c r="K97" s="567">
        <v>30.1</v>
      </c>
      <c r="L97" s="568"/>
      <c r="M97" s="568"/>
      <c r="N97" s="568"/>
      <c r="O97" s="1501"/>
      <c r="P97" s="1502"/>
      <c r="Q97" s="1503"/>
      <c r="R97" s="488"/>
    </row>
    <row r="98" spans="2:18" x14ac:dyDescent="0.3">
      <c r="B98" s="533">
        <v>2</v>
      </c>
      <c r="C98" s="546" t="s">
        <v>811</v>
      </c>
      <c r="D98" s="1184"/>
      <c r="E98" s="567">
        <v>2089</v>
      </c>
      <c r="F98" s="567">
        <v>0</v>
      </c>
      <c r="G98" s="554">
        <v>0.2402</v>
      </c>
      <c r="H98" s="554">
        <v>0</v>
      </c>
      <c r="I98" s="554">
        <v>0.1648</v>
      </c>
      <c r="J98" s="567">
        <v>12498</v>
      </c>
      <c r="K98" s="567">
        <v>62.7</v>
      </c>
      <c r="L98" s="568"/>
      <c r="M98" s="568"/>
      <c r="N98" s="568"/>
      <c r="O98" s="1495"/>
      <c r="P98" s="1496"/>
      <c r="Q98" s="1497"/>
      <c r="R98" s="488"/>
    </row>
    <row r="99" spans="2:18" x14ac:dyDescent="0.3">
      <c r="B99" s="533">
        <v>3</v>
      </c>
      <c r="C99" s="546" t="s">
        <v>812</v>
      </c>
      <c r="D99" s="570"/>
      <c r="E99" s="567">
        <v>2089</v>
      </c>
      <c r="F99" s="567">
        <v>0</v>
      </c>
      <c r="G99" s="554">
        <v>0.2402</v>
      </c>
      <c r="H99" s="554">
        <v>0</v>
      </c>
      <c r="I99" s="554">
        <v>0.1648</v>
      </c>
      <c r="J99" s="567">
        <v>12498</v>
      </c>
      <c r="K99" s="567">
        <v>62.7</v>
      </c>
      <c r="L99" s="568"/>
      <c r="M99" s="568"/>
      <c r="N99" s="568"/>
      <c r="O99" s="1495"/>
      <c r="P99" s="1496"/>
      <c r="Q99" s="1497"/>
      <c r="R99" s="488"/>
    </row>
    <row r="100" spans="2:18" x14ac:dyDescent="0.3">
      <c r="B100" s="533">
        <v>4</v>
      </c>
      <c r="C100" s="546" t="s">
        <v>1367</v>
      </c>
      <c r="D100" s="570"/>
      <c r="E100" s="567">
        <v>2089</v>
      </c>
      <c r="F100" s="567">
        <v>0</v>
      </c>
      <c r="G100" s="554">
        <v>0.2402</v>
      </c>
      <c r="H100" s="554">
        <v>0</v>
      </c>
      <c r="I100" s="554">
        <v>0.1648</v>
      </c>
      <c r="J100" s="567">
        <v>12498</v>
      </c>
      <c r="K100" s="567">
        <v>62.7</v>
      </c>
      <c r="L100" s="568"/>
      <c r="M100" s="568"/>
      <c r="N100" s="568"/>
      <c r="O100" s="1495"/>
      <c r="P100" s="1496"/>
      <c r="Q100" s="1497"/>
      <c r="R100" s="488"/>
    </row>
    <row r="101" spans="2:18" x14ac:dyDescent="0.3">
      <c r="B101" s="533">
        <v>5</v>
      </c>
      <c r="C101" s="546" t="s">
        <v>32</v>
      </c>
      <c r="D101" s="1184"/>
      <c r="E101" s="567">
        <f>AVERAGE(E97:E100)</f>
        <v>1988.75</v>
      </c>
      <c r="F101" s="567">
        <f t="shared" ref="F101:K101" si="1">AVERAGE(F97:F100)</f>
        <v>130</v>
      </c>
      <c r="G101" s="554">
        <f t="shared" si="1"/>
        <v>0.23624999999999999</v>
      </c>
      <c r="H101" s="554">
        <f t="shared" si="1"/>
        <v>0.111425</v>
      </c>
      <c r="I101" s="554">
        <f t="shared" si="1"/>
        <v>0.180475</v>
      </c>
      <c r="J101" s="567">
        <f t="shared" si="1"/>
        <v>10608</v>
      </c>
      <c r="K101" s="567">
        <f t="shared" si="1"/>
        <v>54.55</v>
      </c>
      <c r="L101" s="568"/>
      <c r="M101" s="568"/>
      <c r="N101" s="568"/>
      <c r="O101" s="1495"/>
      <c r="P101" s="1496"/>
      <c r="Q101" s="1497"/>
      <c r="R101" s="488"/>
    </row>
    <row r="102" spans="2:18" x14ac:dyDescent="0.3">
      <c r="B102" s="533">
        <v>6</v>
      </c>
      <c r="C102" s="546"/>
      <c r="D102" s="570"/>
      <c r="E102" s="1190"/>
      <c r="F102" s="622"/>
      <c r="G102" s="1190"/>
      <c r="H102" s="1190"/>
      <c r="I102" s="569"/>
      <c r="J102" s="569"/>
      <c r="K102" s="569"/>
      <c r="L102" s="569"/>
      <c r="M102" s="569"/>
      <c r="N102" s="569"/>
      <c r="O102" s="1492"/>
      <c r="P102" s="1493"/>
      <c r="Q102" s="1494"/>
      <c r="R102" s="488"/>
    </row>
    <row r="103" spans="2:18" x14ac:dyDescent="0.3">
      <c r="B103" s="533">
        <v>7</v>
      </c>
      <c r="C103" s="546"/>
      <c r="D103" s="570"/>
      <c r="E103" s="1190"/>
      <c r="F103" s="569"/>
      <c r="G103" s="569"/>
      <c r="H103" s="1190"/>
      <c r="I103" s="569"/>
      <c r="J103" s="569"/>
      <c r="K103" s="569"/>
      <c r="L103" s="569"/>
      <c r="M103" s="569"/>
      <c r="N103" s="569"/>
      <c r="O103" s="1492"/>
      <c r="P103" s="1493"/>
      <c r="Q103" s="1494"/>
      <c r="R103" s="488"/>
    </row>
    <row r="104" spans="2:18" x14ac:dyDescent="0.3">
      <c r="B104" s="533">
        <v>8</v>
      </c>
      <c r="C104" s="546"/>
      <c r="D104" s="570"/>
      <c r="E104" s="1190"/>
      <c r="F104" s="569"/>
      <c r="G104" s="569"/>
      <c r="H104" s="569"/>
      <c r="I104" s="569"/>
      <c r="J104" s="569"/>
      <c r="K104" s="569"/>
      <c r="L104" s="569"/>
      <c r="M104" s="569"/>
      <c r="N104" s="569"/>
      <c r="O104" s="1492"/>
      <c r="P104" s="1493"/>
      <c r="Q104" s="1494"/>
      <c r="R104" s="488"/>
    </row>
    <row r="105" spans="2:18" x14ac:dyDescent="0.3">
      <c r="B105" s="533">
        <v>9</v>
      </c>
      <c r="C105" s="546"/>
      <c r="D105" s="570"/>
      <c r="E105" s="1190"/>
      <c r="F105" s="1217"/>
      <c r="G105" s="1217"/>
      <c r="H105" s="1217"/>
      <c r="I105" s="569"/>
      <c r="J105" s="569"/>
      <c r="K105" s="569"/>
      <c r="L105" s="569"/>
      <c r="M105" s="569"/>
      <c r="N105" s="569"/>
      <c r="O105" s="1492"/>
      <c r="P105" s="1493"/>
      <c r="Q105" s="1494"/>
      <c r="R105" s="488"/>
    </row>
    <row r="106" spans="2:18" x14ac:dyDescent="0.3">
      <c r="B106" s="533">
        <v>10</v>
      </c>
      <c r="C106" s="546"/>
      <c r="D106" s="570"/>
      <c r="E106" s="1217"/>
      <c r="F106" s="1217"/>
      <c r="G106" s="1217"/>
      <c r="H106" s="1217"/>
      <c r="I106" s="569"/>
      <c r="J106" s="569"/>
      <c r="K106" s="569"/>
      <c r="L106" s="569"/>
      <c r="M106" s="569"/>
      <c r="N106" s="569"/>
      <c r="O106" s="1492"/>
      <c r="P106" s="1493"/>
      <c r="Q106" s="1494"/>
      <c r="R106" s="488"/>
    </row>
    <row r="107" spans="2:18" x14ac:dyDescent="0.3">
      <c r="B107" s="533">
        <v>11</v>
      </c>
      <c r="C107" s="546"/>
      <c r="D107" s="570"/>
      <c r="E107" s="571"/>
      <c r="F107" s="1190"/>
      <c r="G107" s="571"/>
      <c r="H107" s="571"/>
      <c r="I107" s="569"/>
      <c r="J107" s="569"/>
      <c r="K107" s="569"/>
      <c r="L107" s="569"/>
      <c r="M107" s="569"/>
      <c r="N107" s="569"/>
      <c r="O107" s="1492"/>
      <c r="P107" s="1493"/>
      <c r="Q107" s="1494"/>
      <c r="R107" s="488"/>
    </row>
    <row r="108" spans="2:18" x14ac:dyDescent="0.3">
      <c r="B108" s="533">
        <v>12</v>
      </c>
      <c r="C108" s="546"/>
      <c r="D108" s="570"/>
      <c r="E108" s="1217"/>
      <c r="F108" s="1190"/>
      <c r="G108" s="1217"/>
      <c r="H108" s="1217"/>
      <c r="I108" s="569"/>
      <c r="J108" s="569"/>
      <c r="K108" s="569"/>
      <c r="L108" s="569"/>
      <c r="M108" s="569"/>
      <c r="N108" s="569"/>
      <c r="O108" s="1492"/>
      <c r="P108" s="1493"/>
      <c r="Q108" s="1494"/>
      <c r="R108" s="488"/>
    </row>
    <row r="109" spans="2:18" x14ac:dyDescent="0.3">
      <c r="B109" s="533">
        <v>13</v>
      </c>
      <c r="C109" s="546"/>
      <c r="D109" s="570"/>
      <c r="E109" s="1217"/>
      <c r="F109" s="1217"/>
      <c r="G109" s="1217"/>
      <c r="H109" s="1217"/>
      <c r="I109" s="569"/>
      <c r="J109" s="569"/>
      <c r="K109" s="569"/>
      <c r="L109" s="569"/>
      <c r="M109" s="569"/>
      <c r="N109" s="569"/>
      <c r="O109" s="1492"/>
      <c r="P109" s="1493"/>
      <c r="Q109" s="1494"/>
      <c r="R109" s="488"/>
    </row>
    <row r="110" spans="2:18" x14ac:dyDescent="0.3">
      <c r="B110" s="533">
        <v>14</v>
      </c>
      <c r="C110" s="546"/>
      <c r="D110" s="570"/>
      <c r="E110" s="572"/>
      <c r="F110" s="572"/>
      <c r="G110" s="572"/>
      <c r="H110" s="572"/>
      <c r="I110" s="569"/>
      <c r="J110" s="569"/>
      <c r="K110" s="569"/>
      <c r="L110" s="569"/>
      <c r="M110" s="569"/>
      <c r="N110" s="569"/>
      <c r="O110" s="1492"/>
      <c r="P110" s="1493"/>
      <c r="Q110" s="1494"/>
      <c r="R110" s="488"/>
    </row>
    <row r="111" spans="2:18" x14ac:dyDescent="0.3">
      <c r="B111" s="533">
        <v>15</v>
      </c>
      <c r="C111" s="546"/>
      <c r="D111" s="570"/>
      <c r="E111" s="572"/>
      <c r="F111" s="572"/>
      <c r="G111" s="572"/>
      <c r="H111" s="572"/>
      <c r="I111" s="569"/>
      <c r="J111" s="569"/>
      <c r="K111" s="569"/>
      <c r="L111" s="569"/>
      <c r="M111" s="569"/>
      <c r="N111" s="569"/>
      <c r="O111" s="1492"/>
      <c r="P111" s="1493"/>
      <c r="Q111" s="1494"/>
      <c r="R111" s="488"/>
    </row>
    <row r="112" spans="2:18" x14ac:dyDescent="0.3">
      <c r="B112" s="533">
        <v>16</v>
      </c>
      <c r="C112" s="546"/>
      <c r="D112" s="570"/>
      <c r="E112" s="572"/>
      <c r="F112" s="572"/>
      <c r="G112" s="572"/>
      <c r="H112" s="572"/>
      <c r="I112" s="569"/>
      <c r="J112" s="569"/>
      <c r="K112" s="569"/>
      <c r="L112" s="569"/>
      <c r="M112" s="569"/>
      <c r="N112" s="569"/>
      <c r="O112" s="1492"/>
      <c r="P112" s="1493"/>
      <c r="Q112" s="1494"/>
      <c r="R112" s="488"/>
    </row>
    <row r="113" spans="2:18" x14ac:dyDescent="0.3">
      <c r="B113" s="533">
        <v>17</v>
      </c>
      <c r="C113" s="546"/>
      <c r="D113" s="570"/>
      <c r="E113" s="572"/>
      <c r="F113" s="572"/>
      <c r="G113" s="572"/>
      <c r="H113" s="572"/>
      <c r="I113" s="569"/>
      <c r="J113" s="569"/>
      <c r="K113" s="569"/>
      <c r="L113" s="569"/>
      <c r="M113" s="569"/>
      <c r="N113" s="569"/>
      <c r="O113" s="1492"/>
      <c r="P113" s="1493"/>
      <c r="Q113" s="1494"/>
      <c r="R113" s="488"/>
    </row>
    <row r="114" spans="2:18" x14ac:dyDescent="0.3">
      <c r="B114" s="533">
        <v>18</v>
      </c>
      <c r="C114" s="546"/>
      <c r="D114" s="570"/>
      <c r="E114" s="572"/>
      <c r="F114" s="572"/>
      <c r="G114" s="572"/>
      <c r="H114" s="572"/>
      <c r="I114" s="569"/>
      <c r="J114" s="569"/>
      <c r="K114" s="569"/>
      <c r="L114" s="569"/>
      <c r="M114" s="569"/>
      <c r="N114" s="569"/>
      <c r="O114" s="1492"/>
      <c r="P114" s="1493"/>
      <c r="Q114" s="1494"/>
      <c r="R114" s="488"/>
    </row>
    <row r="115" spans="2:18" x14ac:dyDescent="0.3">
      <c r="B115" s="533">
        <v>19</v>
      </c>
      <c r="C115" s="546"/>
      <c r="D115" s="570"/>
      <c r="E115" s="572"/>
      <c r="F115" s="572"/>
      <c r="G115" s="572"/>
      <c r="H115" s="572"/>
      <c r="I115" s="569"/>
      <c r="J115" s="569"/>
      <c r="K115" s="569"/>
      <c r="L115" s="569"/>
      <c r="M115" s="569"/>
      <c r="N115" s="569"/>
      <c r="O115" s="1492"/>
      <c r="P115" s="1493"/>
      <c r="Q115" s="1494"/>
      <c r="R115" s="488"/>
    </row>
    <row r="116" spans="2:18" x14ac:dyDescent="0.3">
      <c r="B116" s="533">
        <v>20</v>
      </c>
      <c r="C116" s="546"/>
      <c r="D116" s="570"/>
      <c r="E116" s="572"/>
      <c r="F116" s="572"/>
      <c r="G116" s="572"/>
      <c r="H116" s="572"/>
      <c r="I116" s="569"/>
      <c r="J116" s="569"/>
      <c r="K116" s="569"/>
      <c r="L116" s="569"/>
      <c r="M116" s="569"/>
      <c r="N116" s="569"/>
      <c r="O116" s="1492"/>
      <c r="P116" s="1493"/>
      <c r="Q116" s="1494"/>
      <c r="R116" s="488"/>
    </row>
  </sheetData>
  <sheetProtection algorithmName="SHA-512" hashValue="528/D2FcGxM8ljw1wluCmv7XKVmQgxJuDGoLXWFIINg2hbzbP3CubBGGH4EluDJRapeG868OqZD4p/HNSdFBtw==" saltValue="nrY1PXIYBfy5ioBq9nxHZw==" spinCount="100000" sheet="1" objects="1" scenarios="1" selectLockedCells="1" selectUnlockedCells="1"/>
  <mergeCells count="121">
    <mergeCell ref="O113:Q113"/>
    <mergeCell ref="O114:Q114"/>
    <mergeCell ref="O115:Q115"/>
    <mergeCell ref="O116:Q116"/>
    <mergeCell ref="O107:Q107"/>
    <mergeCell ref="O108:Q108"/>
    <mergeCell ref="O109:Q109"/>
    <mergeCell ref="O110:Q110"/>
    <mergeCell ref="O111:Q111"/>
    <mergeCell ref="O112:Q112"/>
    <mergeCell ref="O102:Q102"/>
    <mergeCell ref="O103:Q103"/>
    <mergeCell ref="O104:Q104"/>
    <mergeCell ref="O105:Q105"/>
    <mergeCell ref="O106:Q106"/>
    <mergeCell ref="C96:D96"/>
    <mergeCell ref="O97:Q97"/>
    <mergeCell ref="O98:Q98"/>
    <mergeCell ref="O99:Q99"/>
    <mergeCell ref="O100:Q100"/>
    <mergeCell ref="E94:N94"/>
    <mergeCell ref="O94:Q96"/>
    <mergeCell ref="F80:Q80"/>
    <mergeCell ref="F81:Q81"/>
    <mergeCell ref="F82:Q82"/>
    <mergeCell ref="F83:Q83"/>
    <mergeCell ref="F84:Q84"/>
    <mergeCell ref="F85:Q85"/>
    <mergeCell ref="O101:Q101"/>
    <mergeCell ref="F89:Q89"/>
    <mergeCell ref="F90:Q90"/>
    <mergeCell ref="F86:Q86"/>
    <mergeCell ref="F87:Q87"/>
    <mergeCell ref="F88:Q88"/>
    <mergeCell ref="D73:E73"/>
    <mergeCell ref="J73:Q73"/>
    <mergeCell ref="D76:E76"/>
    <mergeCell ref="J76:Q76"/>
    <mergeCell ref="D64:E64"/>
    <mergeCell ref="J64:Q64"/>
    <mergeCell ref="D67:E67"/>
    <mergeCell ref="J67:Q67"/>
    <mergeCell ref="D68:E68"/>
    <mergeCell ref="J68:Q68"/>
    <mergeCell ref="J66:Q66"/>
    <mergeCell ref="D74:E74"/>
    <mergeCell ref="J74:Q74"/>
    <mergeCell ref="D72:E72"/>
    <mergeCell ref="J72:Q72"/>
    <mergeCell ref="D75:E75"/>
    <mergeCell ref="J75:Q75"/>
    <mergeCell ref="C56:M56"/>
    <mergeCell ref="P56:Q56"/>
    <mergeCell ref="C57:M57"/>
    <mergeCell ref="P57:Q57"/>
    <mergeCell ref="D61:E61"/>
    <mergeCell ref="J61:Q61"/>
    <mergeCell ref="D71:E71"/>
    <mergeCell ref="D70:E70"/>
    <mergeCell ref="J70:Q70"/>
    <mergeCell ref="D62:E62"/>
    <mergeCell ref="J62:Q62"/>
    <mergeCell ref="D69:E69"/>
    <mergeCell ref="J69:Q69"/>
    <mergeCell ref="J65:Q65"/>
    <mergeCell ref="D66:E66"/>
    <mergeCell ref="D63:E63"/>
    <mergeCell ref="J63:Q63"/>
    <mergeCell ref="J71:Q71"/>
    <mergeCell ref="D65:E65"/>
    <mergeCell ref="C54:M54"/>
    <mergeCell ref="P54:Q54"/>
    <mergeCell ref="C55:M55"/>
    <mergeCell ref="P55:Q55"/>
    <mergeCell ref="C49:M49"/>
    <mergeCell ref="P49:Q49"/>
    <mergeCell ref="C50:M50"/>
    <mergeCell ref="P50:Q50"/>
    <mergeCell ref="C51:M51"/>
    <mergeCell ref="P51:Q51"/>
    <mergeCell ref="C2:F2"/>
    <mergeCell ref="C3:F3"/>
    <mergeCell ref="C4:F4"/>
    <mergeCell ref="C5:F5"/>
    <mergeCell ref="D7:F7"/>
    <mergeCell ref="D8:F16"/>
    <mergeCell ref="E34:Q34"/>
    <mergeCell ref="E35:Q35"/>
    <mergeCell ref="E36:Q36"/>
    <mergeCell ref="D25:Q25"/>
    <mergeCell ref="D26:Q26"/>
    <mergeCell ref="D27:Q27"/>
    <mergeCell ref="D28:Q28"/>
    <mergeCell ref="E32:Q32"/>
    <mergeCell ref="E33:Q33"/>
    <mergeCell ref="D29:Q29"/>
    <mergeCell ref="D30:Q30"/>
    <mergeCell ref="B95:D95"/>
    <mergeCell ref="D17:F17"/>
    <mergeCell ref="D18:F18"/>
    <mergeCell ref="B20:Q20"/>
    <mergeCell ref="C21:Q21"/>
    <mergeCell ref="C22:Q22"/>
    <mergeCell ref="C23:Q23"/>
    <mergeCell ref="E37:Q37"/>
    <mergeCell ref="C41:M41"/>
    <mergeCell ref="P41:Q41"/>
    <mergeCell ref="C45:M45"/>
    <mergeCell ref="P45:Q45"/>
    <mergeCell ref="C47:M47"/>
    <mergeCell ref="P47:Q47"/>
    <mergeCell ref="C48:M48"/>
    <mergeCell ref="P48:Q48"/>
    <mergeCell ref="C42:M42"/>
    <mergeCell ref="P42:Q42"/>
    <mergeCell ref="C43:M43"/>
    <mergeCell ref="P43:Q43"/>
    <mergeCell ref="C44:M44"/>
    <mergeCell ref="P44:Q44"/>
    <mergeCell ref="C53:M53"/>
    <mergeCell ref="P53:Q53"/>
  </mergeCells>
  <conditionalFormatting sqref="F109:F116 G102:G116 H104:H116">
    <cfRule type="expression" dxfId="1652" priority="47">
      <formula>IF(OR(#REF!="L",#REF!="C"),TRUE,FALSE)</formula>
    </cfRule>
  </conditionalFormatting>
  <conditionalFormatting sqref="E110:E116">
    <cfRule type="expression" dxfId="1651" priority="46">
      <formula>IF(OR(#REF!="L",#REF!="C"),TRUE,FALSE)</formula>
    </cfRule>
  </conditionalFormatting>
  <conditionalFormatting sqref="E107">
    <cfRule type="expression" dxfId="1650" priority="45">
      <formula>IF(OR(#REF!="L",#REF!="C"),TRUE,FALSE)</formula>
    </cfRule>
  </conditionalFormatting>
  <conditionalFormatting sqref="E108">
    <cfRule type="expression" dxfId="1649" priority="44">
      <formula>IF(OR(#REF!="L",#REF!="C"),TRUE,FALSE)</formula>
    </cfRule>
  </conditionalFormatting>
  <conditionalFormatting sqref="E109">
    <cfRule type="expression" dxfId="1648" priority="43">
      <formula>IF(OR(#REF!="L",#REF!="C"),TRUE,FALSE)</formula>
    </cfRule>
  </conditionalFormatting>
  <conditionalFormatting sqref="E106">
    <cfRule type="expression" dxfId="1647" priority="42">
      <formula>IF(OR(#REF!="L",#REF!="C"),TRUE,FALSE)</formula>
    </cfRule>
  </conditionalFormatting>
  <conditionalFormatting sqref="E95 G95 I95 K95 M95">
    <cfRule type="duplicateValues" dxfId="1646" priority="41"/>
  </conditionalFormatting>
  <conditionalFormatting sqref="M104:M116">
    <cfRule type="expression" dxfId="1645" priority="31">
      <formula>IF(OR(#REF!="L",#REF!="C"),TRUE,FALSE)</formula>
    </cfRule>
  </conditionalFormatting>
  <conditionalFormatting sqref="F102:F106">
    <cfRule type="expression" dxfId="1644" priority="40">
      <formula>IF(OR(#REF!="L",#REF!="C"),TRUE,FALSE)</formula>
    </cfRule>
  </conditionalFormatting>
  <conditionalFormatting sqref="I102:I103">
    <cfRule type="expression" dxfId="1643" priority="38">
      <formula>IF(OR(#REF!="L",#REF!="C"),TRUE,FALSE)</formula>
    </cfRule>
  </conditionalFormatting>
  <conditionalFormatting sqref="N102:N103">
    <cfRule type="expression" dxfId="1642" priority="28">
      <formula>IF(OR(#REF!="L",#REF!="C"),TRUE,FALSE)</formula>
    </cfRule>
  </conditionalFormatting>
  <conditionalFormatting sqref="I104:I116">
    <cfRule type="expression" dxfId="1641" priority="39">
      <formula>IF(OR(#REF!="L",#REF!="C"),TRUE,FALSE)</formula>
    </cfRule>
  </conditionalFormatting>
  <conditionalFormatting sqref="J102:J103">
    <cfRule type="expression" dxfId="1640" priority="36">
      <formula>IF(OR(#REF!="L",#REF!="C"),TRUE,FALSE)</formula>
    </cfRule>
  </conditionalFormatting>
  <conditionalFormatting sqref="J104:J116">
    <cfRule type="expression" dxfId="1639" priority="37">
      <formula>IF(OR(#REF!="L",#REF!="C"),TRUE,FALSE)</formula>
    </cfRule>
  </conditionalFormatting>
  <conditionalFormatting sqref="K102:K103">
    <cfRule type="expression" dxfId="1638" priority="34">
      <formula>IF(OR(#REF!="L",#REF!="C"),TRUE,FALSE)</formula>
    </cfRule>
  </conditionalFormatting>
  <conditionalFormatting sqref="K104:K116">
    <cfRule type="expression" dxfId="1637" priority="35">
      <formula>IF(OR(#REF!="L",#REF!="C"),TRUE,FALSE)</formula>
    </cfRule>
  </conditionalFormatting>
  <conditionalFormatting sqref="L102:L103">
    <cfRule type="expression" dxfId="1636" priority="32">
      <formula>IF(OR(#REF!="L",#REF!="C"),TRUE,FALSE)</formula>
    </cfRule>
  </conditionalFormatting>
  <conditionalFormatting sqref="L104:L116">
    <cfRule type="expression" dxfId="1635" priority="33">
      <formula>IF(OR(#REF!="L",#REF!="C"),TRUE,FALSE)</formula>
    </cfRule>
  </conditionalFormatting>
  <conditionalFormatting sqref="M102:M103">
    <cfRule type="expression" dxfId="1634" priority="30">
      <formula>IF(OR(#REF!="L",#REF!="C"),TRUE,FALSE)</formula>
    </cfRule>
  </conditionalFormatting>
  <conditionalFormatting sqref="N104:N116">
    <cfRule type="expression" dxfId="1633" priority="29">
      <formula>IF(OR(#REF!="L",#REF!="C"),TRUE,FALSE)</formula>
    </cfRule>
  </conditionalFormatting>
  <conditionalFormatting sqref="O102:O103">
    <cfRule type="expression" dxfId="1632" priority="26">
      <formula>IF(OR(#REF!="L",#REF!="C"),TRUE,FALSE)</formula>
    </cfRule>
  </conditionalFormatting>
  <conditionalFormatting sqref="O104:O116">
    <cfRule type="expression" dxfId="1631" priority="27">
      <formula>IF(OR(#REF!="L",#REF!="C"),TRUE,FALSE)</formula>
    </cfRule>
  </conditionalFormatting>
  <conditionalFormatting sqref="E96:N96">
    <cfRule type="duplicateValues" dxfId="1630" priority="25"/>
  </conditionalFormatting>
  <conditionalFormatting sqref="H62:H67 H69:H76">
    <cfRule type="expression" dxfId="1629" priority="20">
      <formula>IF(OR(#REF!="L",#REF!="C"),TRUE,FALSE)</formula>
    </cfRule>
  </conditionalFormatting>
  <conditionalFormatting sqref="G99:G100">
    <cfRule type="expression" dxfId="1628" priority="11">
      <formula>IF(OR(#REF!="L",#REF!="C"),TRUE,FALSE)</formula>
    </cfRule>
  </conditionalFormatting>
  <conditionalFormatting sqref="F99:F100">
    <cfRule type="expression" dxfId="1627" priority="10">
      <formula>IF(OR(#REF!="L",#REF!="C"),TRUE,FALSE)</formula>
    </cfRule>
  </conditionalFormatting>
  <conditionalFormatting sqref="I99:I100">
    <cfRule type="expression" dxfId="1626" priority="9">
      <formula>IF(OR(#REF!="L",#REF!="C"),TRUE,FALSE)</formula>
    </cfRule>
  </conditionalFormatting>
  <conditionalFormatting sqref="H63">
    <cfRule type="expression" dxfId="1625" priority="6">
      <formula>IF(OR(#REF!="L",#REF!="C"),TRUE,FALSE)</formula>
    </cfRule>
  </conditionalFormatting>
  <conditionalFormatting sqref="F64">
    <cfRule type="duplicateValues" dxfId="1624" priority="5"/>
  </conditionalFormatting>
  <conditionalFormatting sqref="G101">
    <cfRule type="expression" dxfId="1623" priority="4">
      <formula>IF(OR(#REF!="L",#REF!="C"),TRUE,FALSE)</formula>
    </cfRule>
  </conditionalFormatting>
  <conditionalFormatting sqref="F101">
    <cfRule type="expression" dxfId="1622" priority="3">
      <formula>IF(OR(#REF!="L",#REF!="C"),TRUE,FALSE)</formula>
    </cfRule>
  </conditionalFormatting>
  <conditionalFormatting sqref="I101">
    <cfRule type="expression" dxfId="1621" priority="2">
      <formula>IF(OR(#REF!="L",#REF!="C"),TRUE,FALSE)</formula>
    </cfRule>
  </conditionalFormatting>
  <conditionalFormatting sqref="H68">
    <cfRule type="expression" dxfId="1620" priority="1">
      <formula>IF(OR(#REF!="L",#REF!="C"),TRUE,FALSE)</formula>
    </cfRule>
  </conditionalFormatting>
  <dataValidations count="8">
    <dataValidation type="list" allowBlank="1" showInputMessage="1" showErrorMessage="1" sqref="F62:F63" xr:uid="{41715EBA-69AD-4837-9AB6-42940BA1E0C6}">
      <formula1>#REF!</formula1>
    </dataValidation>
    <dataValidation type="list" allowBlank="1" showInputMessage="1" showErrorMessage="1" sqref="C4" xr:uid="{BA1D43A5-F71F-4FD5-BCDB-136BFAFEC0D1}">
      <formula1>"COM,RES"</formula1>
    </dataValidation>
    <dataValidation type="list" allowBlank="1" showInputMessage="1" showErrorMessage="1" sqref="F71 F62:F63" xr:uid="{8ACCF44C-F554-4520-8546-8BDD025F4DC8}">
      <formula1>$C$102:$C$107</formula1>
    </dataValidation>
    <dataValidation type="list" allowBlank="1" showInputMessage="1" showErrorMessage="1" sqref="C9" xr:uid="{F154C81B-C666-43B6-8AE9-385493CC0B24}">
      <formula1>INDIRECT("MeasureTypeList[Index]")</formula1>
    </dataValidation>
    <dataValidation type="list" allowBlank="1" showInputMessage="1" showErrorMessage="1" sqref="C26" xr:uid="{C31AF940-7F0C-43E6-8BA5-B24052A0E879}">
      <formula1>INDIRECT("RegionList[Index]")</formula1>
    </dataValidation>
    <dataValidation type="list" allowBlank="1" showInputMessage="1" showErrorMessage="1" sqref="C27" xr:uid="{5C0CB8E4-3B70-44A8-9152-CEE666CF61FA}">
      <formula1>INDIRECT("ReplacementTypeList[Index]")</formula1>
    </dataValidation>
    <dataValidation type="list" allowBlank="1" showInputMessage="1" showErrorMessage="1" sqref="C28" xr:uid="{4B596D13-A4C7-432E-B15B-1BF3E6465F36}">
      <formula1>INDIRECT("BuildingType[Building]")</formula1>
    </dataValidation>
    <dataValidation type="list" allowBlank="1" showInputMessage="1" showErrorMessage="1" sqref="C29 C30" xr:uid="{A5F20D80-D93B-492B-81D0-48A9980AB804}">
      <formula1>INDIRECT("FuelTypeList[Index]")</formula1>
    </dataValidation>
  </dataValidations>
  <hyperlinks>
    <hyperlink ref="F82" r:id="rId1" xr:uid="{4F9024F0-0E62-48BA-A396-C8ADFB21F50A}"/>
    <hyperlink ref="F83" r:id="rId2" xr:uid="{56B7667F-6960-42AC-B66C-890A67E02221}"/>
    <hyperlink ref="F85" r:id="rId3" xr:uid="{0373740E-C36A-49C1-98A5-4A675022206E}"/>
    <hyperlink ref="F84" r:id="rId4" xr:uid="{5BE8DEB3-CBC2-4F3C-8439-B63294CEB93A}"/>
  </hyperlinks>
  <pageMargins left="0.7" right="0.7" top="0.75" bottom="0.75" header="0.3" footer="0.3"/>
  <pageSetup orientation="portrait" horizontalDpi="4294967295" verticalDpi="4294967295" r:id="rId5"/>
  <extLst>
    <ext xmlns:x14="http://schemas.microsoft.com/office/spreadsheetml/2009/9/main" uri="{CCE6A557-97BC-4b89-ADB6-D9C93CAAB3DF}">
      <x14:dataValidations xmlns:xm="http://schemas.microsoft.com/office/excel/2006/main" count="1">
        <x14:dataValidation type="list" allowBlank="1" showInputMessage="1" showErrorMessage="1" xr:uid="{5E39A38A-821A-4DA4-A322-104B506E8197}">
          <x14:formula1>
            <xm:f>Validation!$B$85:$B$86</xm:f>
          </x14:formula1>
          <xm:sqref>H70:H71</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B39F9-1701-4F2A-8EEE-BB53526C8D53}">
  <sheetPr codeName="Sheet38"/>
  <dimension ref="A2:R140"/>
  <sheetViews>
    <sheetView workbookViewId="0"/>
  </sheetViews>
  <sheetFormatPr defaultColWidth="9.08984375" defaultRowHeight="18.75" customHeight="1" x14ac:dyDescent="0.3"/>
  <cols>
    <col min="1" max="1" width="2.36328125" style="488" customWidth="1"/>
    <col min="2" max="2" width="44.26953125" style="488" bestFit="1" customWidth="1"/>
    <col min="3" max="3" width="21.08984375" style="488" customWidth="1"/>
    <col min="4" max="4" width="21.7265625" style="488" customWidth="1"/>
    <col min="5" max="5" width="14.36328125" style="488" customWidth="1"/>
    <col min="6" max="6" width="15.7265625" style="488" customWidth="1"/>
    <col min="7" max="7" width="17.36328125" style="488" customWidth="1"/>
    <col min="8" max="8" width="16" style="488" customWidth="1"/>
    <col min="9" max="9" width="10.36328125" style="488" customWidth="1"/>
    <col min="10" max="10" width="14.7265625" style="488" customWidth="1"/>
    <col min="11" max="12" width="9.08984375" style="488"/>
    <col min="13" max="13" width="11" style="488" customWidth="1"/>
    <col min="14" max="14" width="12.36328125" style="488" customWidth="1"/>
    <col min="15" max="15" width="10.7265625" style="488" customWidth="1"/>
    <col min="16" max="17" width="9.08984375" style="488"/>
    <col min="18" max="18" width="9.7265625" style="489" customWidth="1"/>
    <col min="19" max="19" width="9.08984375" style="488"/>
    <col min="20" max="20" width="8.72656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C-W-004</v>
      </c>
      <c r="D3" s="1367"/>
      <c r="E3" s="1367"/>
      <c r="F3" s="1367"/>
    </row>
    <row r="4" spans="1:18" ht="18.75" customHeight="1" x14ac:dyDescent="0.3">
      <c r="B4" s="490" t="s">
        <v>11</v>
      </c>
      <c r="C4" s="1367" t="s">
        <v>12</v>
      </c>
      <c r="D4" s="1367"/>
      <c r="E4" s="1367"/>
      <c r="F4" s="1367"/>
    </row>
    <row r="5" spans="1:18" ht="44.25" customHeight="1" x14ac:dyDescent="0.3">
      <c r="B5" s="490" t="s">
        <v>408</v>
      </c>
      <c r="C5" s="1530" t="s">
        <v>316</v>
      </c>
      <c r="D5" s="1531"/>
      <c r="E5" s="1531"/>
      <c r="F5" s="1532"/>
      <c r="R5" s="488"/>
    </row>
    <row r="6" spans="1:18" ht="18.75" customHeight="1" x14ac:dyDescent="0.3">
      <c r="A6" s="573"/>
    </row>
    <row r="7" spans="1:18" ht="18.75" customHeight="1" x14ac:dyDescent="0.3">
      <c r="B7" s="1193" t="s">
        <v>507</v>
      </c>
      <c r="C7" s="493" t="s">
        <v>406</v>
      </c>
      <c r="D7" s="1366" t="s">
        <v>410</v>
      </c>
      <c r="E7" s="1366"/>
      <c r="F7" s="1366"/>
      <c r="R7" s="488"/>
    </row>
    <row r="8" spans="1:18" ht="18.75" customHeight="1" x14ac:dyDescent="0.3">
      <c r="B8" s="490" t="s">
        <v>411</v>
      </c>
      <c r="C8" s="1194" t="s">
        <v>144</v>
      </c>
      <c r="D8" s="1681" t="s">
        <v>1940</v>
      </c>
      <c r="E8" s="1682"/>
      <c r="F8" s="1683"/>
      <c r="R8" s="488"/>
    </row>
    <row r="9" spans="1:18" ht="18.75" customHeight="1" x14ac:dyDescent="0.3">
      <c r="B9" s="490" t="s">
        <v>49</v>
      </c>
      <c r="C9" s="1194" t="s">
        <v>760</v>
      </c>
      <c r="D9" s="1684"/>
      <c r="E9" s="1685"/>
      <c r="F9" s="1686"/>
      <c r="R9" s="488"/>
    </row>
    <row r="10" spans="1:18" ht="18.75" customHeight="1" x14ac:dyDescent="0.3">
      <c r="B10" s="490" t="s">
        <v>412</v>
      </c>
      <c r="C10" s="1194"/>
      <c r="D10" s="1684"/>
      <c r="E10" s="1685"/>
      <c r="F10" s="1686"/>
      <c r="R10" s="488"/>
    </row>
    <row r="11" spans="1:18" ht="18.75" customHeight="1" x14ac:dyDescent="0.3">
      <c r="B11" s="490" t="s">
        <v>413</v>
      </c>
      <c r="C11" s="1194"/>
      <c r="D11" s="1684"/>
      <c r="E11" s="1685"/>
      <c r="F11" s="1686"/>
      <c r="R11" s="488"/>
    </row>
    <row r="12" spans="1:18" ht="18.75" customHeight="1" x14ac:dyDescent="0.3">
      <c r="B12" s="490" t="s">
        <v>414</v>
      </c>
      <c r="C12" s="1194"/>
      <c r="D12" s="1684"/>
      <c r="E12" s="1685"/>
      <c r="F12" s="1686"/>
      <c r="R12" s="488"/>
    </row>
    <row r="13" spans="1:18" ht="18.75" customHeight="1" x14ac:dyDescent="0.3">
      <c r="B13" s="494" t="s">
        <v>415</v>
      </c>
      <c r="C13" s="495">
        <f>N43</f>
        <v>0</v>
      </c>
      <c r="D13" s="1684"/>
      <c r="E13" s="1685"/>
      <c r="F13" s="1686"/>
      <c r="R13" s="488"/>
    </row>
    <row r="14" spans="1:18" ht="18.75" customHeight="1" x14ac:dyDescent="0.3">
      <c r="B14" s="494" t="s">
        <v>416</v>
      </c>
      <c r="C14" s="495">
        <f>N42</f>
        <v>0</v>
      </c>
      <c r="D14" s="1684"/>
      <c r="E14" s="1685"/>
      <c r="F14" s="1686"/>
      <c r="R14" s="488"/>
    </row>
    <row r="15" spans="1:18" ht="18.75" customHeight="1" x14ac:dyDescent="0.3">
      <c r="B15" s="494" t="s">
        <v>417</v>
      </c>
      <c r="C15" s="495">
        <f>N44</f>
        <v>8.5080345969845279</v>
      </c>
      <c r="D15" s="1684"/>
      <c r="E15" s="1685"/>
      <c r="F15" s="1686"/>
      <c r="R15" s="488"/>
    </row>
    <row r="16" spans="1:18" ht="18.75" customHeight="1" x14ac:dyDescent="0.3">
      <c r="B16" s="494" t="s">
        <v>418</v>
      </c>
      <c r="C16" s="496">
        <f>C37</f>
        <v>0</v>
      </c>
      <c r="D16" s="1687"/>
      <c r="E16" s="1688"/>
      <c r="F16" s="1689"/>
      <c r="R16" s="488"/>
    </row>
    <row r="17" spans="2:18" ht="18.75" customHeight="1" x14ac:dyDescent="0.3">
      <c r="B17" s="490" t="s">
        <v>48</v>
      </c>
      <c r="C17" s="1194" t="s">
        <v>761</v>
      </c>
      <c r="D17" s="1366" t="s">
        <v>419</v>
      </c>
      <c r="E17" s="1366"/>
      <c r="F17" s="1366"/>
      <c r="R17" s="488"/>
    </row>
    <row r="18" spans="2:18" ht="18.75" customHeight="1" x14ac:dyDescent="0.3">
      <c r="B18" s="490" t="s">
        <v>420</v>
      </c>
      <c r="C18" s="541">
        <v>20</v>
      </c>
      <c r="D18" s="1520" t="s">
        <v>1941</v>
      </c>
      <c r="E18" s="1520"/>
      <c r="F18" s="1520"/>
      <c r="R18" s="488"/>
    </row>
    <row r="19" spans="2:18" ht="18.75" customHeight="1" x14ac:dyDescent="0.3">
      <c r="B19" s="497"/>
      <c r="C19" s="576"/>
      <c r="F19" s="489"/>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18.75" customHeight="1" x14ac:dyDescent="0.3">
      <c r="B21" s="499" t="s">
        <v>422</v>
      </c>
      <c r="C21" s="1546" t="s">
        <v>317</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46" t="s">
        <v>318</v>
      </c>
      <c r="D22" s="1546"/>
      <c r="E22" s="1546"/>
      <c r="F22" s="1546"/>
      <c r="G22" s="1546"/>
      <c r="H22" s="1546"/>
      <c r="I22" s="1546"/>
      <c r="J22" s="1546"/>
      <c r="K22" s="1546"/>
      <c r="L22" s="1546"/>
      <c r="M22" s="1546"/>
      <c r="N22" s="1546"/>
      <c r="O22" s="1546"/>
      <c r="P22" s="1546"/>
      <c r="Q22" s="1546"/>
      <c r="R22" s="488"/>
    </row>
    <row r="23" spans="2:18" ht="18.75" customHeight="1" x14ac:dyDescent="0.3">
      <c r="B23" s="500" t="s">
        <v>424</v>
      </c>
      <c r="C23" s="1546"/>
      <c r="D23" s="1546"/>
      <c r="E23" s="1546"/>
      <c r="F23" s="1546"/>
      <c r="G23" s="1546"/>
      <c r="H23" s="1546"/>
      <c r="I23" s="1546"/>
      <c r="J23" s="1546"/>
      <c r="K23" s="1546"/>
      <c r="L23" s="1546"/>
      <c r="M23" s="1546"/>
      <c r="N23" s="1546"/>
      <c r="O23" s="1546"/>
      <c r="P23" s="1546"/>
      <c r="Q23" s="154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677"/>
      <c r="F33" s="1677"/>
      <c r="G33" s="1677"/>
      <c r="H33" s="1677"/>
      <c r="I33" s="1677"/>
      <c r="J33" s="1677"/>
      <c r="K33" s="1677"/>
      <c r="L33" s="1677"/>
      <c r="M33" s="1677"/>
      <c r="N33" s="1677"/>
      <c r="O33" s="1677"/>
      <c r="P33" s="1677"/>
      <c r="Q33" s="1677"/>
      <c r="R33" s="488"/>
    </row>
    <row r="34" spans="2:18" ht="18.75" customHeight="1" x14ac:dyDescent="0.3">
      <c r="B34" s="494" t="s">
        <v>431</v>
      </c>
      <c r="C34" s="542"/>
      <c r="D34" s="586" t="s">
        <v>430</v>
      </c>
      <c r="E34" s="1677"/>
      <c r="F34" s="1677"/>
      <c r="G34" s="1677"/>
      <c r="H34" s="1677"/>
      <c r="I34" s="1677"/>
      <c r="J34" s="1677"/>
      <c r="K34" s="1677"/>
      <c r="L34" s="1677"/>
      <c r="M34" s="1677"/>
      <c r="N34" s="1677"/>
      <c r="O34" s="1677"/>
      <c r="P34" s="1677"/>
      <c r="Q34" s="1677"/>
    </row>
    <row r="35" spans="2:18" ht="18.75" customHeight="1" x14ac:dyDescent="0.3">
      <c r="B35" s="490" t="s">
        <v>432</v>
      </c>
      <c r="C35" s="542"/>
      <c r="D35" s="586" t="s">
        <v>430</v>
      </c>
      <c r="E35" s="1677"/>
      <c r="F35" s="1677"/>
      <c r="G35" s="1677"/>
      <c r="H35" s="1677"/>
      <c r="I35" s="1677"/>
      <c r="J35" s="1677"/>
      <c r="K35" s="1677"/>
      <c r="L35" s="1677"/>
      <c r="M35" s="1677"/>
      <c r="N35" s="1677"/>
      <c r="O35" s="1677"/>
      <c r="P35" s="1677"/>
      <c r="Q35" s="1677"/>
    </row>
    <row r="36" spans="2:18" ht="18.75" customHeight="1" x14ac:dyDescent="0.3">
      <c r="B36" s="494" t="s">
        <v>433</v>
      </c>
      <c r="C36" s="905"/>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905">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0</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8.5080345969845279</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1942</v>
      </c>
      <c r="D49" s="1505"/>
      <c r="E49" s="1505"/>
      <c r="F49" s="1505"/>
      <c r="G49" s="1505"/>
      <c r="H49" s="1505"/>
      <c r="I49" s="1505"/>
      <c r="J49" s="1505"/>
      <c r="K49" s="1505"/>
      <c r="L49" s="1505"/>
      <c r="M49" s="1506"/>
      <c r="N49" s="592">
        <f>H62*H63*Days_per_Year*H66*(H64-H65)*Water.HeatCapacity.SI/H67*H68*(1-H69) * kWh_per_GJ</f>
        <v>0</v>
      </c>
      <c r="O49" s="1243" t="s">
        <v>443</v>
      </c>
      <c r="P49" s="1511"/>
      <c r="Q49" s="1511"/>
      <c r="R49" s="488"/>
    </row>
    <row r="50" spans="2:18" ht="33.65" customHeight="1" x14ac:dyDescent="0.3">
      <c r="B50" s="582" t="s">
        <v>456</v>
      </c>
      <c r="C50" s="1600" t="s">
        <v>1943</v>
      </c>
      <c r="D50" s="1505"/>
      <c r="E50" s="1505"/>
      <c r="F50" s="1505"/>
      <c r="G50" s="1505"/>
      <c r="H50" s="1505"/>
      <c r="I50" s="1505"/>
      <c r="J50" s="1505"/>
      <c r="K50" s="1505"/>
      <c r="L50" s="1505"/>
      <c r="M50" s="1506"/>
      <c r="N50" s="592">
        <f>H62*H63*Days_per_Year*H66*(H64-H65)*Water.HeatCapacity.SI/H67*H68*H69</f>
        <v>8.5080345969845279</v>
      </c>
      <c r="O50" s="1243" t="s">
        <v>446</v>
      </c>
      <c r="P50" s="1537"/>
      <c r="Q50" s="1538"/>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c r="R53" s="488"/>
    </row>
    <row r="54" spans="2:18" ht="18.75" customHeight="1" x14ac:dyDescent="0.3">
      <c r="B54" s="582" t="s">
        <v>462</v>
      </c>
      <c r="C54" s="1504" t="s">
        <v>463</v>
      </c>
      <c r="D54" s="1505"/>
      <c r="E54" s="1505"/>
      <c r="F54" s="1505"/>
      <c r="G54" s="1505"/>
      <c r="H54" s="1505"/>
      <c r="I54" s="1505"/>
      <c r="J54" s="1505"/>
      <c r="K54" s="1505"/>
      <c r="L54" s="1505"/>
      <c r="M54" s="1506"/>
      <c r="N54" s="591"/>
      <c r="O54" s="1243" t="s">
        <v>440</v>
      </c>
      <c r="P54" s="1511"/>
      <c r="Q54" s="1511"/>
      <c r="R54" s="488"/>
    </row>
    <row r="55" spans="2:18" ht="18.75" customHeight="1" x14ac:dyDescent="0.3">
      <c r="B55" s="582" t="s">
        <v>464</v>
      </c>
      <c r="C55" s="1504" t="s">
        <v>465</v>
      </c>
      <c r="D55" s="1505"/>
      <c r="E55" s="1505"/>
      <c r="F55" s="1505"/>
      <c r="G55" s="1505"/>
      <c r="H55" s="1505"/>
      <c r="I55" s="1505"/>
      <c r="J55" s="1505"/>
      <c r="K55" s="1505"/>
      <c r="L55" s="1505"/>
      <c r="M55" s="1506"/>
      <c r="N55" s="620"/>
      <c r="O55" s="1243" t="s">
        <v>443</v>
      </c>
      <c r="P55" s="1511"/>
      <c r="Q55" s="1511"/>
      <c r="R55" s="488"/>
    </row>
    <row r="56" spans="2:18" ht="18.75" customHeight="1" x14ac:dyDescent="0.3">
      <c r="B56" s="582" t="s">
        <v>466</v>
      </c>
      <c r="C56" s="1504" t="s">
        <v>467</v>
      </c>
      <c r="D56" s="1505"/>
      <c r="E56" s="1505"/>
      <c r="F56" s="1505"/>
      <c r="G56" s="1505"/>
      <c r="H56" s="1505"/>
      <c r="I56" s="1505"/>
      <c r="J56" s="1505"/>
      <c r="K56" s="1505"/>
      <c r="L56" s="1505"/>
      <c r="M56" s="1506"/>
      <c r="N56" s="594"/>
      <c r="O56" s="1243" t="s">
        <v>446</v>
      </c>
      <c r="P56" s="1511"/>
      <c r="Q56" s="1511"/>
      <c r="R56" s="488"/>
    </row>
    <row r="57" spans="2:18" ht="18.75" customHeight="1" x14ac:dyDescent="0.3">
      <c r="B57" s="582" t="s">
        <v>468</v>
      </c>
      <c r="C57" s="1504" t="s">
        <v>469</v>
      </c>
      <c r="D57" s="1505"/>
      <c r="E57" s="1505"/>
      <c r="F57" s="1505"/>
      <c r="G57" s="1505"/>
      <c r="H57" s="1505"/>
      <c r="I57" s="1505"/>
      <c r="J57" s="1505"/>
      <c r="K57" s="1505"/>
      <c r="L57" s="1505"/>
      <c r="M57" s="1506"/>
      <c r="N57" s="709"/>
      <c r="O57" s="1243" t="s">
        <v>449</v>
      </c>
      <c r="P57" s="1511"/>
      <c r="Q57" s="1511"/>
      <c r="R57" s="488"/>
    </row>
    <row r="58" spans="2:18" ht="18.75" customHeight="1" x14ac:dyDescent="0.3">
      <c r="B58" s="599"/>
      <c r="C58" s="577"/>
      <c r="D58" s="578"/>
      <c r="E58" s="578"/>
      <c r="F58" s="578"/>
      <c r="G58" s="578"/>
      <c r="H58" s="578"/>
      <c r="I58" s="578"/>
      <c r="J58" s="578"/>
      <c r="K58" s="578"/>
      <c r="L58" s="578"/>
      <c r="M58" s="578"/>
      <c r="N58" s="578"/>
      <c r="O58" s="578"/>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765</v>
      </c>
      <c r="H61" s="506" t="s">
        <v>406</v>
      </c>
      <c r="I61" s="506" t="s">
        <v>428</v>
      </c>
      <c r="J61" s="1396" t="s">
        <v>476</v>
      </c>
      <c r="K61" s="1397"/>
      <c r="L61" s="1397"/>
      <c r="M61" s="1397"/>
      <c r="N61" s="1397"/>
      <c r="O61" s="1397"/>
      <c r="P61" s="1397"/>
      <c r="Q61" s="1398"/>
    </row>
    <row r="62" spans="2:18" ht="13.15" customHeight="1" x14ac:dyDescent="0.3">
      <c r="B62" s="533">
        <v>1</v>
      </c>
      <c r="C62" s="546" t="s">
        <v>766</v>
      </c>
      <c r="D62" s="1468" t="s">
        <v>767</v>
      </c>
      <c r="E62" s="1469"/>
      <c r="F62" s="1217"/>
      <c r="G62" s="1217"/>
      <c r="H62" s="710">
        <f>WaterHeating.CI.Shower.SI</f>
        <v>9.5</v>
      </c>
      <c r="I62" s="1217" t="s">
        <v>768</v>
      </c>
      <c r="J62" s="1468" t="s">
        <v>1944</v>
      </c>
      <c r="K62" s="1478"/>
      <c r="L62" s="1478"/>
      <c r="M62" s="1478"/>
      <c r="N62" s="1478"/>
      <c r="O62" s="1478"/>
      <c r="P62" s="1478"/>
      <c r="Q62" s="1469"/>
      <c r="R62" s="488"/>
    </row>
    <row r="63" spans="2:18" ht="13.15" customHeight="1" x14ac:dyDescent="0.3">
      <c r="B63" s="533">
        <v>2</v>
      </c>
      <c r="C63" s="546" t="s">
        <v>770</v>
      </c>
      <c r="D63" s="1468" t="s">
        <v>771</v>
      </c>
      <c r="E63" s="1469"/>
      <c r="F63" s="1217"/>
      <c r="G63" s="1217"/>
      <c r="H63" s="710">
        <v>8.1999999999999993</v>
      </c>
      <c r="I63" s="1217" t="s">
        <v>772</v>
      </c>
      <c r="J63" s="1468" t="s">
        <v>1945</v>
      </c>
      <c r="K63" s="1478"/>
      <c r="L63" s="1478"/>
      <c r="M63" s="1478"/>
      <c r="N63" s="1478"/>
      <c r="O63" s="1478"/>
      <c r="P63" s="1478"/>
      <c r="Q63" s="1469"/>
      <c r="R63" s="488"/>
    </row>
    <row r="64" spans="2:18" ht="14.5" customHeight="1" x14ac:dyDescent="0.3">
      <c r="B64" s="533">
        <v>3</v>
      </c>
      <c r="C64" s="546" t="s">
        <v>774</v>
      </c>
      <c r="D64" s="1468" t="s">
        <v>1946</v>
      </c>
      <c r="E64" s="1469"/>
      <c r="F64" s="1217"/>
      <c r="G64" s="1217"/>
      <c r="H64" s="710">
        <v>38</v>
      </c>
      <c r="I64" s="1217" t="s">
        <v>776</v>
      </c>
      <c r="J64" s="1468" t="s">
        <v>1947</v>
      </c>
      <c r="K64" s="1478"/>
      <c r="L64" s="1478"/>
      <c r="M64" s="1478"/>
      <c r="N64" s="1478"/>
      <c r="O64" s="1478"/>
      <c r="P64" s="1478"/>
      <c r="Q64" s="1469"/>
      <c r="R64" s="488"/>
    </row>
    <row r="65" spans="2:18" ht="14.5" customHeight="1" x14ac:dyDescent="0.3">
      <c r="B65" s="533">
        <v>4</v>
      </c>
      <c r="C65" s="546" t="s">
        <v>778</v>
      </c>
      <c r="D65" s="1468" t="s">
        <v>779</v>
      </c>
      <c r="E65" s="1469"/>
      <c r="F65" s="811" t="str">
        <f>$C$26</f>
        <v>Average</v>
      </c>
      <c r="G65" s="811" t="s">
        <v>780</v>
      </c>
      <c r="H65" s="836">
        <f>INDEX(ClimateData[#All],MATCH(F65,ClimateData[[#All],[Region]],0),MATCH(G65,ClimateData[#Headers],0))</f>
        <v>5.3782145782145783</v>
      </c>
      <c r="I65" s="811" t="s">
        <v>781</v>
      </c>
      <c r="J65" s="1437" t="s">
        <v>782</v>
      </c>
      <c r="K65" s="1560"/>
      <c r="L65" s="1560"/>
      <c r="M65" s="1560"/>
      <c r="N65" s="1560"/>
      <c r="O65" s="1560"/>
      <c r="P65" s="1560"/>
      <c r="Q65" s="1561"/>
      <c r="R65" s="488"/>
    </row>
    <row r="66" spans="2:18" ht="33" customHeight="1" x14ac:dyDescent="0.3">
      <c r="B66" s="535">
        <v>5</v>
      </c>
      <c r="C66" s="551" t="s">
        <v>1948</v>
      </c>
      <c r="D66" s="1482" t="s">
        <v>1949</v>
      </c>
      <c r="E66" s="1483"/>
      <c r="F66" s="552"/>
      <c r="G66" s="552"/>
      <c r="H66" s="1035">
        <v>3</v>
      </c>
      <c r="I66" s="552" t="s">
        <v>1950</v>
      </c>
      <c r="J66" s="1659" t="s">
        <v>1951</v>
      </c>
      <c r="K66" s="1660"/>
      <c r="L66" s="1660"/>
      <c r="M66" s="1660"/>
      <c r="N66" s="1660"/>
      <c r="O66" s="1660"/>
      <c r="P66" s="1660"/>
      <c r="Q66" s="1661"/>
      <c r="R66" s="488"/>
    </row>
    <row r="67" spans="2:18" ht="35.25" customHeight="1" x14ac:dyDescent="0.3">
      <c r="B67" s="533">
        <v>6</v>
      </c>
      <c r="C67" s="555" t="s">
        <v>1952</v>
      </c>
      <c r="D67" s="1437" t="s">
        <v>794</v>
      </c>
      <c r="E67" s="1438"/>
      <c r="F67" s="1217" t="str">
        <f>$C$30</f>
        <v>Natural gas</v>
      </c>
      <c r="G67" s="557" t="s">
        <v>795</v>
      </c>
      <c r="H67" s="559">
        <f>INDEX($B$96:$N$116,MATCH($F67,$C$96:$C$116,0),MATCH($G67,$B$96:$N$96,0))</f>
        <v>0.72500000000000009</v>
      </c>
      <c r="I67" s="557" t="s">
        <v>519</v>
      </c>
      <c r="J67" s="1472" t="s">
        <v>1953</v>
      </c>
      <c r="K67" s="1473"/>
      <c r="L67" s="1473"/>
      <c r="M67" s="1473"/>
      <c r="N67" s="1473"/>
      <c r="O67" s="1473"/>
      <c r="P67" s="1473"/>
      <c r="Q67" s="1474"/>
      <c r="R67" s="488"/>
    </row>
    <row r="68" spans="2:18" ht="30.65" customHeight="1" x14ac:dyDescent="0.3">
      <c r="B68" s="533">
        <v>7</v>
      </c>
      <c r="C68" s="555" t="s">
        <v>1954</v>
      </c>
      <c r="D68" s="1437" t="s">
        <v>797</v>
      </c>
      <c r="E68" s="1438"/>
      <c r="F68" s="1217"/>
      <c r="G68" s="557"/>
      <c r="H68" s="712">
        <v>0.53</v>
      </c>
      <c r="I68" s="557" t="s">
        <v>519</v>
      </c>
      <c r="J68" s="1472" t="s">
        <v>1955</v>
      </c>
      <c r="K68" s="1473"/>
      <c r="L68" s="1473"/>
      <c r="M68" s="1473"/>
      <c r="N68" s="1473"/>
      <c r="O68" s="1473"/>
      <c r="P68" s="1473"/>
      <c r="Q68" s="1474"/>
      <c r="R68" s="488"/>
    </row>
    <row r="69" spans="2:18" ht="13.15" customHeight="1" x14ac:dyDescent="0.3">
      <c r="B69" s="533">
        <v>8</v>
      </c>
      <c r="C69" s="555" t="s">
        <v>799</v>
      </c>
      <c r="D69" s="1437" t="s">
        <v>800</v>
      </c>
      <c r="E69" s="1438"/>
      <c r="F69" s="556"/>
      <c r="G69" s="557"/>
      <c r="H69" s="554">
        <f>IF($C$30="Natural gas", 1,0)</f>
        <v>1</v>
      </c>
      <c r="I69" s="557" t="s">
        <v>519</v>
      </c>
      <c r="J69" s="1472" t="s">
        <v>801</v>
      </c>
      <c r="K69" s="1473"/>
      <c r="L69" s="1473"/>
      <c r="M69" s="1473"/>
      <c r="N69" s="1473"/>
      <c r="O69" s="1473"/>
      <c r="P69" s="1473"/>
      <c r="Q69" s="1474"/>
      <c r="R69" s="488"/>
    </row>
    <row r="70" spans="2:18" ht="13.15" customHeight="1" x14ac:dyDescent="0.3">
      <c r="B70" s="533">
        <v>9</v>
      </c>
      <c r="C70" s="546"/>
      <c r="D70" s="1468"/>
      <c r="E70" s="1469"/>
      <c r="F70" s="1217"/>
      <c r="G70" s="1217"/>
      <c r="H70" s="559"/>
      <c r="I70" s="1217"/>
      <c r="J70" s="1468"/>
      <c r="K70" s="1478"/>
      <c r="L70" s="1478"/>
      <c r="M70" s="1478"/>
      <c r="N70" s="1478"/>
      <c r="O70" s="1478"/>
      <c r="P70" s="1478"/>
      <c r="Q70" s="1469"/>
      <c r="R70" s="488"/>
    </row>
    <row r="71" spans="2:18" ht="26.5" customHeight="1" x14ac:dyDescent="0.3">
      <c r="B71" s="533">
        <v>10</v>
      </c>
      <c r="C71" s="555"/>
      <c r="D71" s="1437"/>
      <c r="E71" s="1438"/>
      <c r="F71" s="556"/>
      <c r="G71" s="557"/>
      <c r="H71" s="710"/>
      <c r="I71" s="557"/>
      <c r="J71" s="1472"/>
      <c r="K71" s="1473"/>
      <c r="L71" s="1473"/>
      <c r="M71" s="1473"/>
      <c r="N71" s="1473"/>
      <c r="O71" s="1473"/>
      <c r="P71" s="1473"/>
      <c r="Q71" s="1474"/>
      <c r="R71" s="488"/>
    </row>
    <row r="72" spans="2:18" s="491" customFormat="1" ht="13" x14ac:dyDescent="0.3">
      <c r="B72" s="533">
        <v>11</v>
      </c>
      <c r="C72" s="555"/>
      <c r="D72" s="1437"/>
      <c r="E72" s="1438"/>
      <c r="F72" s="556"/>
      <c r="G72" s="557"/>
      <c r="H72" s="558"/>
      <c r="I72" s="557"/>
      <c r="J72" s="1472"/>
      <c r="K72" s="1473"/>
      <c r="L72" s="1473"/>
      <c r="M72" s="1473"/>
      <c r="N72" s="1473"/>
      <c r="O72" s="1473"/>
      <c r="P72" s="1473"/>
      <c r="Q72" s="1474"/>
    </row>
    <row r="73" spans="2:18" s="491" customFormat="1" ht="13" x14ac:dyDescent="0.3">
      <c r="B73" s="533">
        <v>12</v>
      </c>
      <c r="C73" s="555"/>
      <c r="D73" s="1437"/>
      <c r="E73" s="1438"/>
      <c r="F73" s="556"/>
      <c r="G73" s="557"/>
      <c r="H73" s="558"/>
      <c r="I73" s="557"/>
      <c r="J73" s="1472"/>
      <c r="K73" s="1473"/>
      <c r="L73" s="1473"/>
      <c r="M73" s="1473"/>
      <c r="N73" s="1473"/>
      <c r="O73" s="1473"/>
      <c r="P73" s="1473"/>
      <c r="Q73" s="1474"/>
    </row>
    <row r="74" spans="2:18" s="491" customFormat="1" ht="13" x14ac:dyDescent="0.3">
      <c r="B74" s="533">
        <v>13</v>
      </c>
      <c r="C74" s="555"/>
      <c r="D74" s="1437"/>
      <c r="E74" s="1438"/>
      <c r="F74" s="556"/>
      <c r="G74" s="557"/>
      <c r="H74" s="556"/>
      <c r="I74" s="557"/>
      <c r="J74" s="1472"/>
      <c r="K74" s="1473"/>
      <c r="L74" s="1473"/>
      <c r="M74" s="1473"/>
      <c r="N74" s="1473"/>
      <c r="O74" s="1473"/>
      <c r="P74" s="1473"/>
      <c r="Q74" s="1474"/>
    </row>
    <row r="75" spans="2:18" s="489" customFormat="1" ht="13.15" customHeight="1" x14ac:dyDescent="0.3">
      <c r="B75" s="533">
        <v>14</v>
      </c>
      <c r="C75" s="555"/>
      <c r="D75" s="1437"/>
      <c r="E75" s="1438"/>
      <c r="F75" s="556"/>
      <c r="G75" s="557"/>
      <c r="H75" s="556"/>
      <c r="I75" s="557"/>
      <c r="J75" s="1472"/>
      <c r="K75" s="1473"/>
      <c r="L75" s="1473"/>
      <c r="M75" s="1473"/>
      <c r="N75" s="1473"/>
      <c r="O75" s="1473"/>
      <c r="P75" s="1473"/>
      <c r="Q75" s="1474"/>
    </row>
    <row r="76" spans="2:18" s="489" customFormat="1" ht="13" x14ac:dyDescent="0.3">
      <c r="B76" s="533">
        <v>15</v>
      </c>
      <c r="C76" s="555"/>
      <c r="D76" s="1437"/>
      <c r="E76" s="1438"/>
      <c r="F76" s="556"/>
      <c r="G76" s="557"/>
      <c r="H76" s="559"/>
      <c r="I76" s="557"/>
      <c r="J76" s="1472"/>
      <c r="K76" s="1473"/>
      <c r="L76" s="1473"/>
      <c r="M76" s="1473"/>
      <c r="N76" s="1473"/>
      <c r="O76" s="1473"/>
      <c r="P76" s="1473"/>
      <c r="Q76" s="1474"/>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182"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182"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182"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182"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182" t="s">
        <v>491</v>
      </c>
      <c r="F85" s="1489" t="s">
        <v>485</v>
      </c>
      <c r="G85" s="1490"/>
      <c r="H85" s="1490"/>
      <c r="I85" s="1490"/>
      <c r="J85" s="1490"/>
      <c r="K85" s="1490"/>
      <c r="L85" s="1490"/>
      <c r="M85" s="1490"/>
      <c r="N85" s="1490"/>
      <c r="O85" s="1490"/>
      <c r="P85" s="1490"/>
      <c r="Q85" s="1491"/>
      <c r="R85" s="488"/>
    </row>
    <row r="86" spans="2:18" ht="13" x14ac:dyDescent="0.3">
      <c r="B86" s="533">
        <v>6</v>
      </c>
      <c r="C86" s="560"/>
      <c r="D86" s="713"/>
      <c r="E86" s="1182"/>
      <c r="F86" s="1489"/>
      <c r="G86" s="1490"/>
      <c r="H86" s="1490"/>
      <c r="I86" s="1490"/>
      <c r="J86" s="1490"/>
      <c r="K86" s="1490"/>
      <c r="L86" s="1490"/>
      <c r="M86" s="1490"/>
      <c r="N86" s="1490"/>
      <c r="O86" s="1490"/>
      <c r="P86" s="1490"/>
      <c r="Q86" s="1491"/>
      <c r="R86" s="488"/>
    </row>
    <row r="87" spans="2:18" ht="13" x14ac:dyDescent="0.3">
      <c r="B87" s="533">
        <v>7</v>
      </c>
      <c r="C87" s="563"/>
      <c r="D87" s="713"/>
      <c r="E87" s="1182"/>
      <c r="F87" s="1489"/>
      <c r="G87" s="1490"/>
      <c r="H87" s="1490"/>
      <c r="I87" s="1490"/>
      <c r="J87" s="1490"/>
      <c r="K87" s="1490"/>
      <c r="L87" s="1490"/>
      <c r="M87" s="1490"/>
      <c r="N87" s="1490"/>
      <c r="O87" s="1490"/>
      <c r="P87" s="1490"/>
      <c r="Q87" s="1491"/>
      <c r="R87" s="488"/>
    </row>
    <row r="88" spans="2:18" ht="13" x14ac:dyDescent="0.3">
      <c r="B88" s="533">
        <v>8</v>
      </c>
      <c r="C88" s="563"/>
      <c r="D88" s="564"/>
      <c r="E88" s="1182"/>
      <c r="F88" s="1489"/>
      <c r="G88" s="1490"/>
      <c r="H88" s="1490"/>
      <c r="I88" s="1490"/>
      <c r="J88" s="1490"/>
      <c r="K88" s="1490"/>
      <c r="L88" s="1490"/>
      <c r="M88" s="1490"/>
      <c r="N88" s="1490"/>
      <c r="O88" s="1490"/>
      <c r="P88" s="1490"/>
      <c r="Q88" s="1491"/>
      <c r="R88" s="488"/>
    </row>
    <row r="89" spans="2:18" ht="13" x14ac:dyDescent="0.3">
      <c r="B89" s="533">
        <v>9</v>
      </c>
      <c r="C89" s="563"/>
      <c r="D89" s="1233"/>
      <c r="E89" s="1182"/>
      <c r="F89" s="1489"/>
      <c r="G89" s="1490"/>
      <c r="H89" s="1490"/>
      <c r="I89" s="1490"/>
      <c r="J89" s="1490"/>
      <c r="K89" s="1490"/>
      <c r="L89" s="1490"/>
      <c r="M89" s="1490"/>
      <c r="N89" s="1490"/>
      <c r="O89" s="1490"/>
      <c r="P89" s="1490"/>
      <c r="Q89" s="1491"/>
      <c r="R89" s="488"/>
    </row>
    <row r="90" spans="2:18" ht="13" x14ac:dyDescent="0.3">
      <c r="B90" s="533">
        <v>10</v>
      </c>
      <c r="C90" s="563"/>
      <c r="D90" s="564"/>
      <c r="E90" s="1182"/>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t="s">
        <v>804</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c r="R95" s="488"/>
    </row>
    <row r="96" spans="2:18" ht="25.5" customHeight="1" x14ac:dyDescent="0.3">
      <c r="B96" s="1188" t="s">
        <v>478</v>
      </c>
      <c r="C96" s="1402" t="s">
        <v>538</v>
      </c>
      <c r="D96" s="1431"/>
      <c r="E96" s="714" t="s">
        <v>795</v>
      </c>
      <c r="F96" s="565"/>
      <c r="G96" s="565"/>
      <c r="H96" s="565"/>
      <c r="I96" s="565"/>
      <c r="J96" s="565"/>
      <c r="K96" s="565"/>
      <c r="L96" s="565"/>
      <c r="M96" s="565"/>
      <c r="N96" s="566"/>
      <c r="O96" s="1410"/>
      <c r="P96" s="1411"/>
      <c r="Q96" s="1412"/>
      <c r="R96" s="488"/>
    </row>
    <row r="97" spans="2:18" ht="13" x14ac:dyDescent="0.3">
      <c r="B97" s="533">
        <v>1</v>
      </c>
      <c r="C97" s="546" t="s">
        <v>805</v>
      </c>
      <c r="D97" s="1184"/>
      <c r="E97" s="715">
        <v>0.78</v>
      </c>
      <c r="F97" s="1190"/>
      <c r="G97" s="1190"/>
      <c r="H97" s="1190"/>
      <c r="I97" s="568"/>
      <c r="J97" s="568"/>
      <c r="K97" s="568"/>
      <c r="L97" s="568"/>
      <c r="M97" s="568"/>
      <c r="N97" s="568"/>
      <c r="O97" s="1501"/>
      <c r="P97" s="1502"/>
      <c r="Q97" s="1503"/>
      <c r="R97" s="488"/>
    </row>
    <row r="98" spans="2:18" ht="13" x14ac:dyDescent="0.3">
      <c r="B98" s="533">
        <v>2</v>
      </c>
      <c r="C98" s="546" t="s">
        <v>806</v>
      </c>
      <c r="D98" s="1184"/>
      <c r="E98" s="715">
        <v>0.67</v>
      </c>
      <c r="F98" s="1190"/>
      <c r="G98" s="1190"/>
      <c r="H98" s="1190"/>
      <c r="I98" s="568"/>
      <c r="J98" s="568"/>
      <c r="K98" s="568"/>
      <c r="L98" s="568"/>
      <c r="M98" s="568"/>
      <c r="N98" s="568"/>
      <c r="O98" s="1495"/>
      <c r="P98" s="1496"/>
      <c r="Q98" s="1497"/>
      <c r="R98" s="488"/>
    </row>
    <row r="99" spans="2:18" ht="13" x14ac:dyDescent="0.3">
      <c r="B99" s="533">
        <v>3</v>
      </c>
      <c r="C99" s="546" t="s">
        <v>807</v>
      </c>
      <c r="D99" s="1184"/>
      <c r="E99" s="715">
        <v>0.98</v>
      </c>
      <c r="F99" s="1190"/>
      <c r="G99" s="1190"/>
      <c r="H99" s="1190"/>
      <c r="I99" s="568"/>
      <c r="J99" s="568"/>
      <c r="K99" s="568"/>
      <c r="L99" s="568"/>
      <c r="M99" s="568"/>
      <c r="N99" s="568"/>
      <c r="O99" s="1495"/>
      <c r="P99" s="1496"/>
      <c r="Q99" s="1497"/>
      <c r="R99" s="488"/>
    </row>
    <row r="100" spans="2:18" ht="26" x14ac:dyDescent="0.3">
      <c r="B100" s="533">
        <v>4</v>
      </c>
      <c r="C100" s="546" t="s">
        <v>34</v>
      </c>
      <c r="D100" s="1184" t="s">
        <v>808</v>
      </c>
      <c r="E100" s="609">
        <f>AVERAGE(E97:E98)</f>
        <v>0.72500000000000009</v>
      </c>
      <c r="F100" s="1190"/>
      <c r="G100" s="1190"/>
      <c r="H100" s="1190"/>
      <c r="I100" s="568"/>
      <c r="J100" s="568"/>
      <c r="K100" s="568"/>
      <c r="L100" s="568"/>
      <c r="M100" s="568"/>
      <c r="N100" s="568"/>
      <c r="O100" s="1495"/>
      <c r="P100" s="1496"/>
      <c r="Q100" s="1497"/>
      <c r="R100" s="488"/>
    </row>
    <row r="101" spans="2:18" ht="13" x14ac:dyDescent="0.3">
      <c r="B101" s="533">
        <v>5</v>
      </c>
      <c r="C101" s="546"/>
      <c r="D101" s="1184"/>
      <c r="E101" s="609"/>
      <c r="F101" s="1190"/>
      <c r="G101" s="1190"/>
      <c r="H101" s="1190"/>
      <c r="I101" s="568"/>
      <c r="J101" s="568"/>
      <c r="K101" s="568"/>
      <c r="L101" s="568"/>
      <c r="M101" s="568"/>
      <c r="N101" s="568"/>
      <c r="O101" s="1495"/>
      <c r="P101" s="1496"/>
      <c r="Q101" s="1497"/>
      <c r="R101" s="488"/>
    </row>
    <row r="102" spans="2:18" ht="13" x14ac:dyDescent="0.3">
      <c r="B102" s="533">
        <v>6</v>
      </c>
      <c r="C102" s="546"/>
      <c r="D102" s="570"/>
      <c r="E102" s="609"/>
      <c r="F102" s="622"/>
      <c r="G102" s="1190"/>
      <c r="H102" s="1190"/>
      <c r="I102" s="569"/>
      <c r="J102" s="569"/>
      <c r="K102" s="569"/>
      <c r="L102" s="569"/>
      <c r="M102" s="569"/>
      <c r="N102" s="569"/>
      <c r="O102" s="1492"/>
      <c r="P102" s="1493"/>
      <c r="Q102" s="1494"/>
      <c r="R102" s="488"/>
    </row>
    <row r="103" spans="2:18" ht="13" x14ac:dyDescent="0.3">
      <c r="B103" s="533">
        <v>7</v>
      </c>
      <c r="C103" s="546"/>
      <c r="D103" s="570"/>
      <c r="E103" s="609"/>
      <c r="F103" s="569"/>
      <c r="G103" s="569"/>
      <c r="H103" s="1190"/>
      <c r="I103" s="569"/>
      <c r="J103" s="569"/>
      <c r="K103" s="569"/>
      <c r="L103" s="569"/>
      <c r="M103" s="569"/>
      <c r="N103" s="569"/>
      <c r="O103" s="1492"/>
      <c r="P103" s="1493"/>
      <c r="Q103" s="1494"/>
      <c r="R103" s="488"/>
    </row>
    <row r="104" spans="2:18" ht="13" x14ac:dyDescent="0.3">
      <c r="B104" s="533">
        <v>8</v>
      </c>
      <c r="C104" s="546"/>
      <c r="D104" s="570"/>
      <c r="E104" s="609"/>
      <c r="F104" s="569"/>
      <c r="G104" s="569"/>
      <c r="H104" s="569"/>
      <c r="I104" s="569"/>
      <c r="J104" s="569"/>
      <c r="K104" s="569"/>
      <c r="L104" s="569"/>
      <c r="M104" s="569"/>
      <c r="N104" s="569"/>
      <c r="O104" s="1492"/>
      <c r="P104" s="1493"/>
      <c r="Q104" s="1494"/>
      <c r="R104" s="488"/>
    </row>
    <row r="105" spans="2:18" ht="13" x14ac:dyDescent="0.3">
      <c r="B105" s="533">
        <v>9</v>
      </c>
      <c r="C105" s="546"/>
      <c r="D105" s="570"/>
      <c r="E105" s="609"/>
      <c r="F105" s="1217"/>
      <c r="G105" s="1217"/>
      <c r="H105" s="1217"/>
      <c r="I105" s="569"/>
      <c r="J105" s="569"/>
      <c r="K105" s="569"/>
      <c r="L105" s="569"/>
      <c r="M105" s="569"/>
      <c r="N105" s="569"/>
      <c r="O105" s="1492"/>
      <c r="P105" s="1493"/>
      <c r="Q105" s="1494"/>
      <c r="R105" s="488"/>
    </row>
    <row r="106" spans="2:18" ht="13" x14ac:dyDescent="0.3">
      <c r="B106" s="533">
        <v>10</v>
      </c>
      <c r="C106" s="546"/>
      <c r="D106" s="570"/>
      <c r="E106" s="609"/>
      <c r="F106" s="1217"/>
      <c r="G106" s="1217"/>
      <c r="H106" s="1217"/>
      <c r="I106" s="569"/>
      <c r="J106" s="569"/>
      <c r="K106" s="569"/>
      <c r="L106" s="569"/>
      <c r="M106" s="569"/>
      <c r="N106" s="569"/>
      <c r="O106" s="1492"/>
      <c r="P106" s="1493"/>
      <c r="Q106" s="1494"/>
      <c r="R106" s="488"/>
    </row>
    <row r="107" spans="2:18" ht="13" x14ac:dyDescent="0.3">
      <c r="B107" s="533">
        <v>11</v>
      </c>
      <c r="C107" s="546"/>
      <c r="D107" s="570"/>
      <c r="E107" s="609"/>
      <c r="F107" s="1190"/>
      <c r="G107" s="571"/>
      <c r="H107" s="571"/>
      <c r="I107" s="569"/>
      <c r="J107" s="569"/>
      <c r="K107" s="569"/>
      <c r="L107" s="569"/>
      <c r="M107" s="569"/>
      <c r="N107" s="569"/>
      <c r="O107" s="1492"/>
      <c r="P107" s="1493"/>
      <c r="Q107" s="1494"/>
      <c r="R107" s="488"/>
    </row>
    <row r="108" spans="2:18" ht="13" x14ac:dyDescent="0.3">
      <c r="B108" s="533">
        <v>12</v>
      </c>
      <c r="C108" s="546"/>
      <c r="D108" s="570"/>
      <c r="E108" s="609"/>
      <c r="F108" s="1190"/>
      <c r="G108" s="1217"/>
      <c r="H108" s="1217"/>
      <c r="I108" s="569"/>
      <c r="J108" s="569"/>
      <c r="K108" s="569"/>
      <c r="L108" s="569"/>
      <c r="M108" s="569"/>
      <c r="N108" s="569"/>
      <c r="O108" s="1492"/>
      <c r="P108" s="1493"/>
      <c r="Q108" s="1494"/>
      <c r="R108" s="488"/>
    </row>
    <row r="109" spans="2:18" ht="13" x14ac:dyDescent="0.3">
      <c r="B109" s="533">
        <v>13</v>
      </c>
      <c r="C109" s="546"/>
      <c r="D109" s="570"/>
      <c r="E109" s="609"/>
      <c r="F109" s="1217"/>
      <c r="G109" s="1217"/>
      <c r="H109" s="1217"/>
      <c r="I109" s="569"/>
      <c r="J109" s="569"/>
      <c r="K109" s="569"/>
      <c r="L109" s="569"/>
      <c r="M109" s="569"/>
      <c r="N109" s="569"/>
      <c r="O109" s="1492"/>
      <c r="P109" s="1493"/>
      <c r="Q109" s="1494"/>
      <c r="R109" s="488"/>
    </row>
    <row r="110" spans="2:18" ht="13" x14ac:dyDescent="0.3">
      <c r="B110" s="533">
        <v>14</v>
      </c>
      <c r="C110" s="546"/>
      <c r="D110" s="570"/>
      <c r="E110" s="609"/>
      <c r="F110" s="572"/>
      <c r="G110" s="572"/>
      <c r="H110" s="572"/>
      <c r="I110" s="569"/>
      <c r="J110" s="569"/>
      <c r="K110" s="569"/>
      <c r="L110" s="569"/>
      <c r="M110" s="569"/>
      <c r="N110" s="569"/>
      <c r="O110" s="1492"/>
      <c r="P110" s="1493"/>
      <c r="Q110" s="1494"/>
      <c r="R110" s="488"/>
    </row>
    <row r="111" spans="2:18" ht="13" x14ac:dyDescent="0.3">
      <c r="B111" s="533">
        <v>15</v>
      </c>
      <c r="C111" s="546"/>
      <c r="D111" s="570"/>
      <c r="E111" s="609"/>
      <c r="F111" s="572"/>
      <c r="G111" s="572"/>
      <c r="H111" s="572"/>
      <c r="I111" s="569"/>
      <c r="J111" s="569"/>
      <c r="K111" s="569"/>
      <c r="L111" s="569"/>
      <c r="M111" s="569"/>
      <c r="N111" s="569"/>
      <c r="O111" s="1492"/>
      <c r="P111" s="1493"/>
      <c r="Q111" s="1494"/>
      <c r="R111" s="488"/>
    </row>
    <row r="112" spans="2:18" ht="13" x14ac:dyDescent="0.3">
      <c r="B112" s="533">
        <v>16</v>
      </c>
      <c r="C112" s="546"/>
      <c r="D112" s="570"/>
      <c r="E112" s="609"/>
      <c r="F112" s="572"/>
      <c r="G112" s="572"/>
      <c r="H112" s="572"/>
      <c r="I112" s="569"/>
      <c r="J112" s="569"/>
      <c r="K112" s="569"/>
      <c r="L112" s="569"/>
      <c r="M112" s="569"/>
      <c r="N112" s="569"/>
      <c r="O112" s="1492"/>
      <c r="P112" s="1493"/>
      <c r="Q112" s="1494"/>
      <c r="R112" s="488"/>
    </row>
    <row r="113" spans="2:18" ht="13" x14ac:dyDescent="0.3">
      <c r="B113" s="533">
        <v>17</v>
      </c>
      <c r="C113" s="546"/>
      <c r="D113" s="570"/>
      <c r="E113" s="609"/>
      <c r="F113" s="572"/>
      <c r="G113" s="572"/>
      <c r="H113" s="572"/>
      <c r="I113" s="569"/>
      <c r="J113" s="569"/>
      <c r="K113" s="569"/>
      <c r="L113" s="569"/>
      <c r="M113" s="569"/>
      <c r="N113" s="569"/>
      <c r="O113" s="1492"/>
      <c r="P113" s="1493"/>
      <c r="Q113" s="1494"/>
      <c r="R113" s="488"/>
    </row>
    <row r="114" spans="2:18" ht="13" x14ac:dyDescent="0.3">
      <c r="B114" s="533">
        <v>18</v>
      </c>
      <c r="C114" s="546"/>
      <c r="D114" s="570"/>
      <c r="E114" s="609"/>
      <c r="F114" s="572"/>
      <c r="G114" s="572"/>
      <c r="H114" s="572"/>
      <c r="I114" s="569"/>
      <c r="J114" s="569"/>
      <c r="K114" s="569"/>
      <c r="L114" s="569"/>
      <c r="M114" s="569"/>
      <c r="N114" s="569"/>
      <c r="O114" s="1492"/>
      <c r="P114" s="1493"/>
      <c r="Q114" s="1494"/>
      <c r="R114" s="488"/>
    </row>
    <row r="115" spans="2:18" ht="13" x14ac:dyDescent="0.3">
      <c r="B115" s="533">
        <v>19</v>
      </c>
      <c r="C115" s="546"/>
      <c r="D115" s="570"/>
      <c r="E115" s="609"/>
      <c r="F115" s="572"/>
      <c r="G115" s="572"/>
      <c r="H115" s="572"/>
      <c r="I115" s="569"/>
      <c r="J115" s="569"/>
      <c r="K115" s="569"/>
      <c r="L115" s="569"/>
      <c r="M115" s="569"/>
      <c r="N115" s="569"/>
      <c r="O115" s="1492"/>
      <c r="P115" s="1493"/>
      <c r="Q115" s="1494"/>
      <c r="R115" s="488"/>
    </row>
    <row r="116" spans="2:18" ht="13" x14ac:dyDescent="0.3">
      <c r="B116" s="533">
        <v>20</v>
      </c>
      <c r="C116" s="546"/>
      <c r="D116" s="570"/>
      <c r="E116" s="609"/>
      <c r="F116" s="572"/>
      <c r="G116" s="572"/>
      <c r="H116" s="572"/>
      <c r="I116" s="569"/>
      <c r="J116" s="569"/>
      <c r="K116" s="569"/>
      <c r="L116" s="569"/>
      <c r="M116" s="569"/>
      <c r="N116" s="569"/>
      <c r="O116" s="1492"/>
      <c r="P116" s="1493"/>
      <c r="Q116" s="1494"/>
      <c r="R116" s="488"/>
    </row>
    <row r="117" spans="2:18" ht="13" x14ac:dyDescent="0.3">
      <c r="B117" s="697"/>
      <c r="C117" s="698"/>
      <c r="D117" s="699"/>
      <c r="E117" s="700"/>
      <c r="F117" s="700"/>
      <c r="G117" s="700"/>
      <c r="H117" s="700"/>
      <c r="I117" s="701"/>
      <c r="J117" s="701"/>
      <c r="K117" s="701"/>
      <c r="L117" s="701"/>
      <c r="M117" s="701"/>
      <c r="N117" s="701"/>
      <c r="O117" s="701"/>
      <c r="P117" s="701"/>
      <c r="Q117" s="701"/>
      <c r="R117" s="488"/>
    </row>
    <row r="118" spans="2:18" ht="18.75" customHeight="1" x14ac:dyDescent="0.3">
      <c r="B118" s="702" t="s">
        <v>493</v>
      </c>
      <c r="E118" s="1662" t="s">
        <v>494</v>
      </c>
      <c r="F118" s="1663"/>
      <c r="G118" s="1663"/>
      <c r="H118" s="1663"/>
      <c r="I118" s="1663"/>
      <c r="J118" s="1663"/>
      <c r="K118" s="1663"/>
      <c r="L118" s="1663"/>
      <c r="M118" s="1663"/>
      <c r="N118" s="1663"/>
      <c r="O118" s="1664" t="s">
        <v>476</v>
      </c>
      <c r="P118" s="1665"/>
      <c r="Q118" s="1666"/>
      <c r="R118" s="488"/>
    </row>
    <row r="119" spans="2:18" ht="25.5" customHeight="1" x14ac:dyDescent="0.3">
      <c r="B119" s="1673" t="s">
        <v>809</v>
      </c>
      <c r="C119" s="1674"/>
      <c r="D119" s="1675"/>
      <c r="E119" s="703" t="s">
        <v>495</v>
      </c>
      <c r="F119" s="703" t="s">
        <v>496</v>
      </c>
      <c r="G119" s="703" t="s">
        <v>497</v>
      </c>
      <c r="H119" s="703" t="s">
        <v>498</v>
      </c>
      <c r="I119" s="703" t="s">
        <v>499</v>
      </c>
      <c r="J119" s="703" t="s">
        <v>500</v>
      </c>
      <c r="K119" s="703" t="s">
        <v>501</v>
      </c>
      <c r="L119" s="703" t="s">
        <v>502</v>
      </c>
      <c r="M119" s="703" t="s">
        <v>503</v>
      </c>
      <c r="N119" s="1213" t="s">
        <v>504</v>
      </c>
      <c r="O119" s="1667"/>
      <c r="P119" s="1668"/>
      <c r="Q119" s="1669"/>
      <c r="R119" s="488"/>
    </row>
    <row r="120" spans="2:18" ht="25.5" customHeight="1" x14ac:dyDescent="0.3">
      <c r="B120" s="704" t="s">
        <v>478</v>
      </c>
      <c r="C120" s="1662" t="s">
        <v>538</v>
      </c>
      <c r="D120" s="1676"/>
      <c r="E120" s="705" t="s">
        <v>810</v>
      </c>
      <c r="F120" s="525"/>
      <c r="G120" s="525"/>
      <c r="H120" s="525"/>
      <c r="I120" s="525"/>
      <c r="J120" s="525"/>
      <c r="K120" s="525"/>
      <c r="L120" s="525"/>
      <c r="M120" s="525"/>
      <c r="N120" s="1214"/>
      <c r="O120" s="1670"/>
      <c r="P120" s="1671"/>
      <c r="Q120" s="1672"/>
      <c r="R120" s="488"/>
    </row>
    <row r="121" spans="2:18" ht="13" x14ac:dyDescent="0.3">
      <c r="B121" s="1240">
        <v>1</v>
      </c>
      <c r="C121" s="515" t="s">
        <v>811</v>
      </c>
      <c r="D121" s="600"/>
      <c r="E121" s="706">
        <v>1.3</v>
      </c>
      <c r="F121" s="1239"/>
      <c r="G121" s="1239"/>
      <c r="H121" s="1239"/>
      <c r="I121" s="527"/>
      <c r="J121" s="527"/>
      <c r="K121" s="527"/>
      <c r="L121" s="527"/>
      <c r="M121" s="527"/>
      <c r="N121" s="527"/>
      <c r="O121" s="1432"/>
      <c r="P121" s="1433"/>
      <c r="Q121" s="1434"/>
      <c r="R121" s="488"/>
    </row>
    <row r="122" spans="2:18" ht="13" x14ac:dyDescent="0.3">
      <c r="B122" s="1240">
        <v>2</v>
      </c>
      <c r="C122" s="515" t="s">
        <v>812</v>
      </c>
      <c r="D122" s="600"/>
      <c r="E122" s="706">
        <v>1.3</v>
      </c>
      <c r="F122" s="1239"/>
      <c r="G122" s="1239"/>
      <c r="H122" s="1239"/>
      <c r="I122" s="527"/>
      <c r="J122" s="527"/>
      <c r="K122" s="527"/>
      <c r="L122" s="527"/>
      <c r="M122" s="527"/>
      <c r="N122" s="527"/>
      <c r="O122" s="1422"/>
      <c r="P122" s="1423"/>
      <c r="Q122" s="1424"/>
      <c r="R122" s="488"/>
    </row>
    <row r="123" spans="2:18" ht="13" x14ac:dyDescent="0.3">
      <c r="B123" s="1240">
        <v>3</v>
      </c>
      <c r="C123" s="515" t="s">
        <v>813</v>
      </c>
      <c r="D123" s="600"/>
      <c r="E123" s="706">
        <v>1.3</v>
      </c>
      <c r="F123" s="1239"/>
      <c r="G123" s="1239"/>
      <c r="H123" s="1239"/>
      <c r="I123" s="527"/>
      <c r="J123" s="527"/>
      <c r="K123" s="527"/>
      <c r="L123" s="527"/>
      <c r="M123" s="527"/>
      <c r="N123" s="527"/>
      <c r="O123" s="1422"/>
      <c r="P123" s="1423"/>
      <c r="Q123" s="1424"/>
      <c r="R123" s="488"/>
    </row>
    <row r="124" spans="2:18" ht="13" x14ac:dyDescent="0.3">
      <c r="B124" s="1240">
        <v>4</v>
      </c>
      <c r="C124" s="515" t="s">
        <v>569</v>
      </c>
      <c r="D124" s="600"/>
      <c r="E124" s="706">
        <v>1.3</v>
      </c>
      <c r="F124" s="1239"/>
      <c r="G124" s="1239"/>
      <c r="H124" s="1239"/>
      <c r="I124" s="527"/>
      <c r="J124" s="527"/>
      <c r="K124" s="527"/>
      <c r="L124" s="527"/>
      <c r="M124" s="527"/>
      <c r="N124" s="527"/>
      <c r="O124" s="1422"/>
      <c r="P124" s="1423"/>
      <c r="Q124" s="1424"/>
      <c r="R124" s="488"/>
    </row>
    <row r="125" spans="2:18" ht="13" x14ac:dyDescent="0.3">
      <c r="B125" s="1240">
        <v>5</v>
      </c>
      <c r="C125" s="515" t="s">
        <v>30</v>
      </c>
      <c r="D125" s="600"/>
      <c r="E125" s="706">
        <v>1.79</v>
      </c>
      <c r="F125" s="1239"/>
      <c r="G125" s="1239"/>
      <c r="H125" s="1239"/>
      <c r="I125" s="527"/>
      <c r="J125" s="527"/>
      <c r="K125" s="527"/>
      <c r="L125" s="527"/>
      <c r="M125" s="527"/>
      <c r="N125" s="527"/>
      <c r="O125" s="1422"/>
      <c r="P125" s="1423"/>
      <c r="Q125" s="1424"/>
      <c r="R125" s="488"/>
    </row>
    <row r="126" spans="2:18" ht="13" x14ac:dyDescent="0.3">
      <c r="B126" s="1240">
        <v>6</v>
      </c>
      <c r="C126" s="515" t="s">
        <v>814</v>
      </c>
      <c r="D126" s="1189"/>
      <c r="E126" s="706">
        <v>1.64</v>
      </c>
      <c r="F126" s="619"/>
      <c r="G126" s="1239"/>
      <c r="H126" s="1239"/>
      <c r="I126" s="528"/>
      <c r="J126" s="528"/>
      <c r="K126" s="528"/>
      <c r="L126" s="528"/>
      <c r="M126" s="528"/>
      <c r="N126" s="528"/>
      <c r="O126" s="1425"/>
      <c r="P126" s="1426"/>
      <c r="Q126" s="1427"/>
      <c r="R126" s="488"/>
    </row>
    <row r="127" spans="2:18" ht="13" x14ac:dyDescent="0.3">
      <c r="B127" s="1240">
        <v>7</v>
      </c>
      <c r="C127" s="515"/>
      <c r="D127" s="1189"/>
      <c r="E127" s="707"/>
      <c r="F127" s="528"/>
      <c r="G127" s="528"/>
      <c r="H127" s="1239"/>
      <c r="I127" s="528"/>
      <c r="J127" s="528"/>
      <c r="K127" s="528"/>
      <c r="L127" s="528"/>
      <c r="M127" s="528"/>
      <c r="N127" s="528"/>
      <c r="O127" s="1425"/>
      <c r="P127" s="1426"/>
      <c r="Q127" s="1427"/>
      <c r="R127" s="488"/>
    </row>
    <row r="128" spans="2:18" ht="13" x14ac:dyDescent="0.3">
      <c r="B128" s="1240">
        <v>8</v>
      </c>
      <c r="C128" s="515"/>
      <c r="D128" s="1189"/>
      <c r="E128" s="707"/>
      <c r="F128" s="528"/>
      <c r="G128" s="528"/>
      <c r="H128" s="528"/>
      <c r="I128" s="528"/>
      <c r="J128" s="528"/>
      <c r="K128" s="528"/>
      <c r="L128" s="528"/>
      <c r="M128" s="528"/>
      <c r="N128" s="528"/>
      <c r="O128" s="1425"/>
      <c r="P128" s="1426"/>
      <c r="Q128" s="1427"/>
      <c r="R128" s="488"/>
    </row>
    <row r="129" spans="2:18" ht="13" x14ac:dyDescent="0.3">
      <c r="B129" s="1240">
        <v>9</v>
      </c>
      <c r="C129" s="515"/>
      <c r="D129" s="1189"/>
      <c r="E129" s="707"/>
      <c r="F129" s="1240"/>
      <c r="G129" s="1240"/>
      <c r="H129" s="1240"/>
      <c r="I129" s="528"/>
      <c r="J129" s="528"/>
      <c r="K129" s="528"/>
      <c r="L129" s="528"/>
      <c r="M129" s="528"/>
      <c r="N129" s="528"/>
      <c r="O129" s="1425"/>
      <c r="P129" s="1426"/>
      <c r="Q129" s="1427"/>
      <c r="R129" s="488"/>
    </row>
    <row r="130" spans="2:18" ht="13" x14ac:dyDescent="0.3">
      <c r="B130" s="1240">
        <v>10</v>
      </c>
      <c r="C130" s="515"/>
      <c r="D130" s="1189"/>
      <c r="E130" s="707"/>
      <c r="F130" s="1240"/>
      <c r="G130" s="1240"/>
      <c r="H130" s="1240"/>
      <c r="I130" s="528"/>
      <c r="J130" s="528"/>
      <c r="K130" s="528"/>
      <c r="L130" s="528"/>
      <c r="M130" s="528"/>
      <c r="N130" s="528"/>
      <c r="O130" s="1425"/>
      <c r="P130" s="1426"/>
      <c r="Q130" s="1427"/>
      <c r="R130" s="488"/>
    </row>
    <row r="131" spans="2:18" ht="13" x14ac:dyDescent="0.3">
      <c r="B131" s="1240">
        <v>11</v>
      </c>
      <c r="C131" s="515"/>
      <c r="D131" s="1189"/>
      <c r="E131" s="707"/>
      <c r="F131" s="1239"/>
      <c r="G131" s="529"/>
      <c r="H131" s="529"/>
      <c r="I131" s="528"/>
      <c r="J131" s="528"/>
      <c r="K131" s="528"/>
      <c r="L131" s="528"/>
      <c r="M131" s="528"/>
      <c r="N131" s="528"/>
      <c r="O131" s="1425"/>
      <c r="P131" s="1426"/>
      <c r="Q131" s="1427"/>
      <c r="R131" s="488"/>
    </row>
    <row r="132" spans="2:18" ht="13" x14ac:dyDescent="0.3">
      <c r="B132" s="1240">
        <v>12</v>
      </c>
      <c r="C132" s="515"/>
      <c r="D132" s="1189"/>
      <c r="E132" s="707"/>
      <c r="F132" s="1239"/>
      <c r="G132" s="1240"/>
      <c r="H132" s="1240"/>
      <c r="I132" s="528"/>
      <c r="J132" s="528"/>
      <c r="K132" s="528"/>
      <c r="L132" s="528"/>
      <c r="M132" s="528"/>
      <c r="N132" s="528"/>
      <c r="O132" s="1425"/>
      <c r="P132" s="1426"/>
      <c r="Q132" s="1427"/>
      <c r="R132" s="488"/>
    </row>
    <row r="133" spans="2:18" ht="13" x14ac:dyDescent="0.3">
      <c r="B133" s="1240">
        <v>13</v>
      </c>
      <c r="C133" s="515"/>
      <c r="D133" s="1189"/>
      <c r="E133" s="707"/>
      <c r="F133" s="1240"/>
      <c r="G133" s="1240"/>
      <c r="H133" s="1240"/>
      <c r="I133" s="528"/>
      <c r="J133" s="528"/>
      <c r="K133" s="528"/>
      <c r="L133" s="528"/>
      <c r="M133" s="528"/>
      <c r="N133" s="528"/>
      <c r="O133" s="1425"/>
      <c r="P133" s="1426"/>
      <c r="Q133" s="1427"/>
      <c r="R133" s="488"/>
    </row>
    <row r="134" spans="2:18" ht="13" x14ac:dyDescent="0.3">
      <c r="B134" s="1240">
        <v>14</v>
      </c>
      <c r="C134" s="515"/>
      <c r="D134" s="1189"/>
      <c r="E134" s="707"/>
      <c r="F134" s="530"/>
      <c r="G134" s="530"/>
      <c r="H134" s="530"/>
      <c r="I134" s="528"/>
      <c r="J134" s="528"/>
      <c r="K134" s="528"/>
      <c r="L134" s="528"/>
      <c r="M134" s="528"/>
      <c r="N134" s="528"/>
      <c r="O134" s="1425"/>
      <c r="P134" s="1426"/>
      <c r="Q134" s="1427"/>
      <c r="R134" s="488"/>
    </row>
    <row r="135" spans="2:18" ht="13" x14ac:dyDescent="0.3">
      <c r="B135" s="1240">
        <v>15</v>
      </c>
      <c r="C135" s="515"/>
      <c r="D135" s="1189"/>
      <c r="E135" s="707"/>
      <c r="F135" s="530"/>
      <c r="G135" s="530"/>
      <c r="H135" s="530"/>
      <c r="I135" s="528"/>
      <c r="J135" s="528"/>
      <c r="K135" s="528"/>
      <c r="L135" s="528"/>
      <c r="M135" s="528"/>
      <c r="N135" s="528"/>
      <c r="O135" s="1425"/>
      <c r="P135" s="1426"/>
      <c r="Q135" s="1427"/>
      <c r="R135" s="488"/>
    </row>
    <row r="136" spans="2:18" ht="13" x14ac:dyDescent="0.3">
      <c r="B136" s="1240">
        <v>16</v>
      </c>
      <c r="C136" s="515"/>
      <c r="D136" s="1189"/>
      <c r="E136" s="707"/>
      <c r="F136" s="530"/>
      <c r="G136" s="530"/>
      <c r="H136" s="530"/>
      <c r="I136" s="528"/>
      <c r="J136" s="528"/>
      <c r="K136" s="528"/>
      <c r="L136" s="528"/>
      <c r="M136" s="528"/>
      <c r="N136" s="528"/>
      <c r="O136" s="1425"/>
      <c r="P136" s="1426"/>
      <c r="Q136" s="1427"/>
      <c r="R136" s="488"/>
    </row>
    <row r="137" spans="2:18" ht="13" x14ac:dyDescent="0.3">
      <c r="B137" s="1240">
        <v>17</v>
      </c>
      <c r="C137" s="515"/>
      <c r="D137" s="1189"/>
      <c r="E137" s="707"/>
      <c r="F137" s="530"/>
      <c r="G137" s="530"/>
      <c r="H137" s="530"/>
      <c r="I137" s="528"/>
      <c r="J137" s="528"/>
      <c r="K137" s="528"/>
      <c r="L137" s="528"/>
      <c r="M137" s="528"/>
      <c r="N137" s="528"/>
      <c r="O137" s="1425"/>
      <c r="P137" s="1426"/>
      <c r="Q137" s="1427"/>
      <c r="R137" s="488"/>
    </row>
    <row r="138" spans="2:18" ht="13" x14ac:dyDescent="0.3">
      <c r="B138" s="1240">
        <v>18</v>
      </c>
      <c r="C138" s="515"/>
      <c r="D138" s="1189"/>
      <c r="E138" s="707"/>
      <c r="F138" s="530"/>
      <c r="G138" s="530"/>
      <c r="H138" s="530"/>
      <c r="I138" s="528"/>
      <c r="J138" s="528"/>
      <c r="K138" s="528"/>
      <c r="L138" s="528"/>
      <c r="M138" s="528"/>
      <c r="N138" s="528"/>
      <c r="O138" s="1425"/>
      <c r="P138" s="1426"/>
      <c r="Q138" s="1427"/>
      <c r="R138" s="488"/>
    </row>
    <row r="139" spans="2:18" ht="13" x14ac:dyDescent="0.3">
      <c r="B139" s="1240">
        <v>19</v>
      </c>
      <c r="C139" s="515"/>
      <c r="D139" s="1189"/>
      <c r="E139" s="707"/>
      <c r="F139" s="530"/>
      <c r="G139" s="530"/>
      <c r="H139" s="530"/>
      <c r="I139" s="528"/>
      <c r="J139" s="528"/>
      <c r="K139" s="528"/>
      <c r="L139" s="528"/>
      <c r="M139" s="528"/>
      <c r="N139" s="528"/>
      <c r="O139" s="1425"/>
      <c r="P139" s="1426"/>
      <c r="Q139" s="1427"/>
      <c r="R139" s="488"/>
    </row>
    <row r="140" spans="2:18" ht="13" x14ac:dyDescent="0.3">
      <c r="B140" s="1240">
        <v>20</v>
      </c>
      <c r="C140" s="515"/>
      <c r="D140" s="1189"/>
      <c r="E140" s="707"/>
      <c r="F140" s="530"/>
      <c r="G140" s="530"/>
      <c r="H140" s="530"/>
      <c r="I140" s="528"/>
      <c r="J140" s="528"/>
      <c r="K140" s="528"/>
      <c r="L140" s="528"/>
      <c r="M140" s="528"/>
      <c r="N140" s="528"/>
      <c r="O140" s="1425"/>
      <c r="P140" s="1426"/>
      <c r="Q140" s="1427"/>
      <c r="R140" s="488"/>
    </row>
  </sheetData>
  <sheetProtection algorithmName="SHA-512" hashValue="LGIouw59spWQZte2j6I5fCweqd7YRw1WkarQyCFVNmb8Iv7+tDBeNy0aX7X356UKhWN/q6VaTFgfOdhtHhDpZw==" saltValue="LIvEU1paOXwC68Kj2jD60A==" spinCount="100000" sheet="1" objects="1" scenarios="1" selectLockedCells="1" selectUnlockedCells="1"/>
  <mergeCells count="145">
    <mergeCell ref="O137:Q137"/>
    <mergeCell ref="O138:Q138"/>
    <mergeCell ref="O139:Q139"/>
    <mergeCell ref="O140:Q140"/>
    <mergeCell ref="D69:E69"/>
    <mergeCell ref="J69:Q69"/>
    <mergeCell ref="O131:Q131"/>
    <mergeCell ref="O132:Q132"/>
    <mergeCell ref="O133:Q133"/>
    <mergeCell ref="O134:Q134"/>
    <mergeCell ref="O135:Q135"/>
    <mergeCell ref="O136:Q136"/>
    <mergeCell ref="O125:Q125"/>
    <mergeCell ref="O126:Q126"/>
    <mergeCell ref="O127:Q127"/>
    <mergeCell ref="O128:Q128"/>
    <mergeCell ref="O129:Q129"/>
    <mergeCell ref="O130:Q130"/>
    <mergeCell ref="B119:D119"/>
    <mergeCell ref="C120:D120"/>
    <mergeCell ref="O121:Q121"/>
    <mergeCell ref="O122:Q122"/>
    <mergeCell ref="O123:Q123"/>
    <mergeCell ref="O124:Q124"/>
    <mergeCell ref="O113:Q113"/>
    <mergeCell ref="O114:Q114"/>
    <mergeCell ref="O115:Q115"/>
    <mergeCell ref="O116:Q116"/>
    <mergeCell ref="E118:N118"/>
    <mergeCell ref="O118:Q120"/>
    <mergeCell ref="O107:Q107"/>
    <mergeCell ref="O108:Q108"/>
    <mergeCell ref="O109:Q109"/>
    <mergeCell ref="O110:Q110"/>
    <mergeCell ref="O111:Q111"/>
    <mergeCell ref="O112:Q112"/>
    <mergeCell ref="O101:Q101"/>
    <mergeCell ref="O102:Q102"/>
    <mergeCell ref="O103:Q103"/>
    <mergeCell ref="O104:Q104"/>
    <mergeCell ref="O105:Q105"/>
    <mergeCell ref="O106:Q106"/>
    <mergeCell ref="B95:D95"/>
    <mergeCell ref="C96:D96"/>
    <mergeCell ref="O97:Q97"/>
    <mergeCell ref="O98:Q98"/>
    <mergeCell ref="O99:Q99"/>
    <mergeCell ref="O100:Q100"/>
    <mergeCell ref="F86:Q86"/>
    <mergeCell ref="F87:Q87"/>
    <mergeCell ref="F88:Q88"/>
    <mergeCell ref="F89:Q89"/>
    <mergeCell ref="F90:Q90"/>
    <mergeCell ref="E94:N94"/>
    <mergeCell ref="O94:Q96"/>
    <mergeCell ref="F80:Q80"/>
    <mergeCell ref="F81:Q81"/>
    <mergeCell ref="F82:Q82"/>
    <mergeCell ref="F83:Q83"/>
    <mergeCell ref="F84:Q84"/>
    <mergeCell ref="F85:Q85"/>
    <mergeCell ref="D74:E74"/>
    <mergeCell ref="J74:Q74"/>
    <mergeCell ref="D75:E75"/>
    <mergeCell ref="J75:Q75"/>
    <mergeCell ref="D76:E76"/>
    <mergeCell ref="J76:Q76"/>
    <mergeCell ref="D71:E71"/>
    <mergeCell ref="J71:Q71"/>
    <mergeCell ref="D72:E72"/>
    <mergeCell ref="J72:Q72"/>
    <mergeCell ref="D73:E73"/>
    <mergeCell ref="J73:Q73"/>
    <mergeCell ref="D67:E67"/>
    <mergeCell ref="J67:Q67"/>
    <mergeCell ref="D68:E68"/>
    <mergeCell ref="J68:Q68"/>
    <mergeCell ref="D65:E65"/>
    <mergeCell ref="J65:Q65"/>
    <mergeCell ref="D70:E70"/>
    <mergeCell ref="J70:Q70"/>
    <mergeCell ref="D66:E66"/>
    <mergeCell ref="J66:Q66"/>
    <mergeCell ref="D62:E62"/>
    <mergeCell ref="J62:Q62"/>
    <mergeCell ref="D63:E63"/>
    <mergeCell ref="J63:Q63"/>
    <mergeCell ref="D64:E64"/>
    <mergeCell ref="J64:Q64"/>
    <mergeCell ref="C56:M56"/>
    <mergeCell ref="P56:Q56"/>
    <mergeCell ref="C57:M57"/>
    <mergeCell ref="P57:Q57"/>
    <mergeCell ref="D61:E61"/>
    <mergeCell ref="J61:Q61"/>
    <mergeCell ref="C53:M53"/>
    <mergeCell ref="P53:Q53"/>
    <mergeCell ref="C54:M54"/>
    <mergeCell ref="P54:Q54"/>
    <mergeCell ref="C55:M55"/>
    <mergeCell ref="P55:Q55"/>
    <mergeCell ref="C49:M49"/>
    <mergeCell ref="P49:Q49"/>
    <mergeCell ref="C50:M50"/>
    <mergeCell ref="P50:Q50"/>
    <mergeCell ref="C51:M51"/>
    <mergeCell ref="P51:Q51"/>
    <mergeCell ref="C45:M45"/>
    <mergeCell ref="P45:Q45"/>
    <mergeCell ref="C47:M47"/>
    <mergeCell ref="P47:Q47"/>
    <mergeCell ref="C48:M48"/>
    <mergeCell ref="P48:Q48"/>
    <mergeCell ref="C42:M42"/>
    <mergeCell ref="P42:Q42"/>
    <mergeCell ref="C43:M43"/>
    <mergeCell ref="P43:Q43"/>
    <mergeCell ref="C44:M44"/>
    <mergeCell ref="P44:Q44"/>
    <mergeCell ref="E34:Q34"/>
    <mergeCell ref="E35:Q35"/>
    <mergeCell ref="E36:Q36"/>
    <mergeCell ref="E37:Q37"/>
    <mergeCell ref="C41:M41"/>
    <mergeCell ref="P41:Q41"/>
    <mergeCell ref="D25:Q25"/>
    <mergeCell ref="D26:Q26"/>
    <mergeCell ref="D27:Q27"/>
    <mergeCell ref="D28:Q28"/>
    <mergeCell ref="E32:Q32"/>
    <mergeCell ref="E33:Q33"/>
    <mergeCell ref="D29:Q29"/>
    <mergeCell ref="D30:Q30"/>
    <mergeCell ref="D17:F17"/>
    <mergeCell ref="D18:F18"/>
    <mergeCell ref="B20:Q20"/>
    <mergeCell ref="C21:Q21"/>
    <mergeCell ref="C22:Q22"/>
    <mergeCell ref="C23:Q23"/>
    <mergeCell ref="C2:F2"/>
    <mergeCell ref="C3:F3"/>
    <mergeCell ref="C4:F4"/>
    <mergeCell ref="C5:F5"/>
    <mergeCell ref="D7:F7"/>
    <mergeCell ref="D8:F16"/>
  </mergeCells>
  <conditionalFormatting sqref="E108">
    <cfRule type="expression" dxfId="1619" priority="52">
      <formula>IF(OR(#REF!="L",#REF!="C"),TRUE,FALSE)</formula>
    </cfRule>
  </conditionalFormatting>
  <conditionalFormatting sqref="H70">
    <cfRule type="expression" dxfId="1618" priority="66">
      <formula>IF(OR(#REF!="L",#REF!="C"),TRUE,FALSE)</formula>
    </cfRule>
  </conditionalFormatting>
  <conditionalFormatting sqref="H70">
    <cfRule type="expression" dxfId="1617" priority="68">
      <formula>IF(OR(#REF!="L",#REF!="C"),TRUE,FALSE)</formula>
    </cfRule>
  </conditionalFormatting>
  <conditionalFormatting sqref="H66 H72 H68">
    <cfRule type="expression" dxfId="1616" priority="60">
      <formula>IF(OR(#REF!="L",#REF!="C"),TRUE,FALSE)</formula>
    </cfRule>
  </conditionalFormatting>
  <conditionalFormatting sqref="H63">
    <cfRule type="expression" dxfId="1615" priority="63">
      <formula>IF(OR(#REF!="L",#REF!="C"),TRUE,FALSE)</formula>
    </cfRule>
  </conditionalFormatting>
  <conditionalFormatting sqref="F109:F117 G102:G117 H104:H117">
    <cfRule type="expression" dxfId="1614" priority="55">
      <formula>IF(OR(#REF!="L",#REF!="C"),TRUE,FALSE)</formula>
    </cfRule>
  </conditionalFormatting>
  <conditionalFormatting sqref="H63">
    <cfRule type="expression" dxfId="1613" priority="61">
      <formula>IF(OR(#REF!="L",#REF!="C"),TRUE,FALSE)</formula>
    </cfRule>
  </conditionalFormatting>
  <conditionalFormatting sqref="H63">
    <cfRule type="expression" dxfId="1612" priority="62">
      <formula>IF(OR(#REF!="L",#REF!="C"),TRUE,FALSE)</formula>
    </cfRule>
  </conditionalFormatting>
  <conditionalFormatting sqref="H67">
    <cfRule type="expression" dxfId="1611" priority="56">
      <formula>IF(OR(#REF!="L",#REF!="C"),TRUE,FALSE)</formula>
    </cfRule>
  </conditionalFormatting>
  <conditionalFormatting sqref="E130">
    <cfRule type="expression" dxfId="1610" priority="27">
      <formula>IF(OR(#REF!="L",#REF!="C"),TRUE,FALSE)</formula>
    </cfRule>
  </conditionalFormatting>
  <conditionalFormatting sqref="I128:I140">
    <cfRule type="expression" dxfId="1609" priority="24">
      <formula>IF(OR(#REF!="L",#REF!="C"),TRUE,FALSE)</formula>
    </cfRule>
  </conditionalFormatting>
  <conditionalFormatting sqref="L128:L140">
    <cfRule type="expression" dxfId="1608" priority="18">
      <formula>IF(OR(#REF!="L",#REF!="C"),TRUE,FALSE)</formula>
    </cfRule>
  </conditionalFormatting>
  <conditionalFormatting sqref="M128:M140">
    <cfRule type="expression" dxfId="1607" priority="16">
      <formula>IF(OR(#REF!="L",#REF!="C"),TRUE,FALSE)</formula>
    </cfRule>
  </conditionalFormatting>
  <conditionalFormatting sqref="N128:N140">
    <cfRule type="expression" dxfId="1606" priority="14">
      <formula>IF(OR(#REF!="L",#REF!="C"),TRUE,FALSE)</formula>
    </cfRule>
  </conditionalFormatting>
  <conditionalFormatting sqref="H73">
    <cfRule type="expression" dxfId="1605" priority="76">
      <formula>IF(OR(#REF!="L",#REF!="C"),TRUE,FALSE)</formula>
    </cfRule>
  </conditionalFormatting>
  <conditionalFormatting sqref="H74">
    <cfRule type="expression" dxfId="1604" priority="75">
      <formula>IF(OR(#REF!="L",#REF!="C"),TRUE,FALSE)</formula>
    </cfRule>
  </conditionalFormatting>
  <conditionalFormatting sqref="H75">
    <cfRule type="expression" dxfId="1603" priority="74">
      <formula>IF(OR(#REF!="L",#REF!="C"),TRUE,FALSE)</formula>
    </cfRule>
  </conditionalFormatting>
  <conditionalFormatting sqref="H76">
    <cfRule type="expression" dxfId="1602" priority="73">
      <formula>IF(OR(#REF!="L",#REF!="C"),TRUE,FALSE)</formula>
    </cfRule>
  </conditionalFormatting>
  <conditionalFormatting sqref="H64">
    <cfRule type="expression" dxfId="1601" priority="72">
      <formula>IF(OR(#REF!="L",#REF!="C"),TRUE,FALSE)</formula>
    </cfRule>
  </conditionalFormatting>
  <conditionalFormatting sqref="H64">
    <cfRule type="expression" dxfId="1600" priority="71">
      <formula>IF(OR(#REF!="L",#REF!="C"),TRUE,FALSE)</formula>
    </cfRule>
  </conditionalFormatting>
  <conditionalFormatting sqref="H63">
    <cfRule type="expression" dxfId="1599" priority="64">
      <formula>IF(OR(#REF!="L",#REF!="C"),TRUE,FALSE)</formula>
    </cfRule>
  </conditionalFormatting>
  <conditionalFormatting sqref="H66">
    <cfRule type="expression" dxfId="1598" priority="59">
      <formula>IF(OR(#REF!="L",#REF!="C"),TRUE,FALSE)</formula>
    </cfRule>
  </conditionalFormatting>
  <conditionalFormatting sqref="E110:E117">
    <cfRule type="expression" dxfId="1597" priority="54">
      <formula>IF(OR(#REF!="L",#REF!="C"),TRUE,FALSE)</formula>
    </cfRule>
  </conditionalFormatting>
  <conditionalFormatting sqref="E107">
    <cfRule type="expression" dxfId="1596" priority="53">
      <formula>IF(OR(#REF!="L",#REF!="C"),TRUE,FALSE)</formula>
    </cfRule>
  </conditionalFormatting>
  <conditionalFormatting sqref="E109">
    <cfRule type="expression" dxfId="1595" priority="51">
      <formula>IF(OR(#REF!="L",#REF!="C"),TRUE,FALSE)</formula>
    </cfRule>
  </conditionalFormatting>
  <conditionalFormatting sqref="E106">
    <cfRule type="expression" dxfId="1594" priority="50">
      <formula>IF(OR(#REF!="L",#REF!="C"),TRUE,FALSE)</formula>
    </cfRule>
  </conditionalFormatting>
  <conditionalFormatting sqref="E95 G95 I95 K95 M95">
    <cfRule type="duplicateValues" dxfId="1593" priority="49"/>
  </conditionalFormatting>
  <conditionalFormatting sqref="M104:M117">
    <cfRule type="expression" dxfId="1592" priority="39">
      <formula>IF(OR(#REF!="L",#REF!="C"),TRUE,FALSE)</formula>
    </cfRule>
  </conditionalFormatting>
  <conditionalFormatting sqref="F102:F106">
    <cfRule type="expression" dxfId="1591" priority="48">
      <formula>IF(OR(#REF!="L",#REF!="C"),TRUE,FALSE)</formula>
    </cfRule>
  </conditionalFormatting>
  <conditionalFormatting sqref="I102:I103">
    <cfRule type="expression" dxfId="1590" priority="46">
      <formula>IF(OR(#REF!="L",#REF!="C"),TRUE,FALSE)</formula>
    </cfRule>
  </conditionalFormatting>
  <conditionalFormatting sqref="N102:N103">
    <cfRule type="expression" dxfId="1589" priority="36">
      <formula>IF(OR(#REF!="L",#REF!="C"),TRUE,FALSE)</formula>
    </cfRule>
  </conditionalFormatting>
  <conditionalFormatting sqref="I104:I117">
    <cfRule type="expression" dxfId="1588" priority="47">
      <formula>IF(OR(#REF!="L",#REF!="C"),TRUE,FALSE)</formula>
    </cfRule>
  </conditionalFormatting>
  <conditionalFormatting sqref="J102:J103">
    <cfRule type="expression" dxfId="1587" priority="44">
      <formula>IF(OR(#REF!="L",#REF!="C"),TRUE,FALSE)</formula>
    </cfRule>
  </conditionalFormatting>
  <conditionalFormatting sqref="J104:J117">
    <cfRule type="expression" dxfId="1586" priority="45">
      <formula>IF(OR(#REF!="L",#REF!="C"),TRUE,FALSE)</formula>
    </cfRule>
  </conditionalFormatting>
  <conditionalFormatting sqref="K102:K103">
    <cfRule type="expression" dxfId="1585" priority="42">
      <formula>IF(OR(#REF!="L",#REF!="C"),TRUE,FALSE)</formula>
    </cfRule>
  </conditionalFormatting>
  <conditionalFormatting sqref="K104:K117">
    <cfRule type="expression" dxfId="1584" priority="43">
      <formula>IF(OR(#REF!="L",#REF!="C"),TRUE,FALSE)</formula>
    </cfRule>
  </conditionalFormatting>
  <conditionalFormatting sqref="L102:L103">
    <cfRule type="expression" dxfId="1583" priority="40">
      <formula>IF(OR(#REF!="L",#REF!="C"),TRUE,FALSE)</formula>
    </cfRule>
  </conditionalFormatting>
  <conditionalFormatting sqref="L104:L117">
    <cfRule type="expression" dxfId="1582" priority="41">
      <formula>IF(OR(#REF!="L",#REF!="C"),TRUE,FALSE)</formula>
    </cfRule>
  </conditionalFormatting>
  <conditionalFormatting sqref="M102:M103">
    <cfRule type="expression" dxfId="1581" priority="38">
      <formula>IF(OR(#REF!="L",#REF!="C"),TRUE,FALSE)</formula>
    </cfRule>
  </conditionalFormatting>
  <conditionalFormatting sqref="N104:N117">
    <cfRule type="expression" dxfId="1580" priority="37">
      <formula>IF(OR(#REF!="L",#REF!="C"),TRUE,FALSE)</formula>
    </cfRule>
  </conditionalFormatting>
  <conditionalFormatting sqref="O102:O103">
    <cfRule type="expression" dxfId="1579" priority="34">
      <formula>IF(OR(#REF!="L",#REF!="C"),TRUE,FALSE)</formula>
    </cfRule>
  </conditionalFormatting>
  <conditionalFormatting sqref="O104:O117">
    <cfRule type="expression" dxfId="1578" priority="35">
      <formula>IF(OR(#REF!="L",#REF!="C"),TRUE,FALSE)</formula>
    </cfRule>
  </conditionalFormatting>
  <conditionalFormatting sqref="E96:N96">
    <cfRule type="duplicateValues" dxfId="1577" priority="33"/>
  </conditionalFormatting>
  <conditionalFormatting sqref="E134:E140">
    <cfRule type="expression" dxfId="1576" priority="31">
      <formula>IF(OR(#REF!="L",#REF!="C"),TRUE,FALSE)</formula>
    </cfRule>
  </conditionalFormatting>
  <conditionalFormatting sqref="K128:K140">
    <cfRule type="expression" dxfId="1575" priority="20">
      <formula>IF(OR(#REF!="L",#REF!="C"),TRUE,FALSE)</formula>
    </cfRule>
  </conditionalFormatting>
  <conditionalFormatting sqref="N126:N127">
    <cfRule type="expression" dxfId="1574" priority="13">
      <formula>IF(OR(#REF!="L",#REF!="C"),TRUE,FALSE)</formula>
    </cfRule>
  </conditionalFormatting>
  <conditionalFormatting sqref="F133:F140 G126:G140 H128:H140">
    <cfRule type="expression" dxfId="1573" priority="32">
      <formula>IF(OR(#REF!="L",#REF!="C"),TRUE,FALSE)</formula>
    </cfRule>
  </conditionalFormatting>
  <conditionalFormatting sqref="E131">
    <cfRule type="expression" dxfId="1572" priority="30">
      <formula>IF(OR(#REF!="L",#REF!="C"),TRUE,FALSE)</formula>
    </cfRule>
  </conditionalFormatting>
  <conditionalFormatting sqref="E132">
    <cfRule type="expression" dxfId="1571" priority="29">
      <formula>IF(OR(#REF!="L",#REF!="C"),TRUE,FALSE)</formula>
    </cfRule>
  </conditionalFormatting>
  <conditionalFormatting sqref="E133">
    <cfRule type="expression" dxfId="1570" priority="28">
      <formula>IF(OR(#REF!="L",#REF!="C"),TRUE,FALSE)</formula>
    </cfRule>
  </conditionalFormatting>
  <conditionalFormatting sqref="E119 G119 I119 K119 M119">
    <cfRule type="duplicateValues" dxfId="1569" priority="26"/>
  </conditionalFormatting>
  <conditionalFormatting sqref="M126:M127">
    <cfRule type="expression" dxfId="1568" priority="15">
      <formula>IF(OR(#REF!="L",#REF!="C"),TRUE,FALSE)</formula>
    </cfRule>
  </conditionalFormatting>
  <conditionalFormatting sqref="F126:F130">
    <cfRule type="expression" dxfId="1567" priority="25">
      <formula>IF(OR(#REF!="L",#REF!="C"),TRUE,FALSE)</formula>
    </cfRule>
  </conditionalFormatting>
  <conditionalFormatting sqref="I126:I127">
    <cfRule type="expression" dxfId="1566" priority="23">
      <formula>IF(OR(#REF!="L",#REF!="C"),TRUE,FALSE)</formula>
    </cfRule>
  </conditionalFormatting>
  <conditionalFormatting sqref="J126:J127">
    <cfRule type="expression" dxfId="1565" priority="21">
      <formula>IF(OR(#REF!="L",#REF!="C"),TRUE,FALSE)</formula>
    </cfRule>
  </conditionalFormatting>
  <conditionalFormatting sqref="J128:J140">
    <cfRule type="expression" dxfId="1564" priority="22">
      <formula>IF(OR(#REF!="L",#REF!="C"),TRUE,FALSE)</formula>
    </cfRule>
  </conditionalFormatting>
  <conditionalFormatting sqref="K126:K127">
    <cfRule type="expression" dxfId="1563" priority="19">
      <formula>IF(OR(#REF!="L",#REF!="C"),TRUE,FALSE)</formula>
    </cfRule>
  </conditionalFormatting>
  <conditionalFormatting sqref="L126:L127">
    <cfRule type="expression" dxfId="1562" priority="17">
      <formula>IF(OR(#REF!="L",#REF!="C"),TRUE,FALSE)</formula>
    </cfRule>
  </conditionalFormatting>
  <conditionalFormatting sqref="O126:O127">
    <cfRule type="expression" dxfId="1561" priority="11">
      <formula>IF(OR(#REF!="L",#REF!="C"),TRUE,FALSE)</formula>
    </cfRule>
  </conditionalFormatting>
  <conditionalFormatting sqref="O128:O140">
    <cfRule type="expression" dxfId="1560" priority="12">
      <formula>IF(OR(#REF!="L",#REF!="C"),TRUE,FALSE)</formula>
    </cfRule>
  </conditionalFormatting>
  <conditionalFormatting sqref="E120:N120">
    <cfRule type="duplicateValues" dxfId="1559" priority="10"/>
  </conditionalFormatting>
  <conditionalFormatting sqref="H71">
    <cfRule type="expression" dxfId="1558" priority="9">
      <formula>IF(OR(#REF!="L",#REF!="C"),TRUE,FALSE)</formula>
    </cfRule>
  </conditionalFormatting>
  <conditionalFormatting sqref="H71">
    <cfRule type="expression" dxfId="1557" priority="8">
      <formula>IF(OR(#REF!="L",#REF!="C"),TRUE,FALSE)</formula>
    </cfRule>
  </conditionalFormatting>
  <conditionalFormatting sqref="H69:H70">
    <cfRule type="expression" dxfId="1556" priority="7">
      <formula>IF(OR(#REF!="L",#REF!="C"),TRUE,FALSE)</formula>
    </cfRule>
  </conditionalFormatting>
  <conditionalFormatting sqref="H69:H70">
    <cfRule type="expression" dxfId="1555" priority="6">
      <formula>IF(OR(#REF!="L",#REF!="C"),TRUE,FALSE)</formula>
    </cfRule>
  </conditionalFormatting>
  <conditionalFormatting sqref="H62">
    <cfRule type="expression" dxfId="1554" priority="2">
      <formula>IF(OR(#REF!="L",#REF!="C"),TRUE,FALSE)</formula>
    </cfRule>
  </conditionalFormatting>
  <conditionalFormatting sqref="H62">
    <cfRule type="expression" dxfId="1553" priority="5">
      <formula>IF(OR(#REF!="L",#REF!="C"),TRUE,FALSE)</formula>
    </cfRule>
  </conditionalFormatting>
  <conditionalFormatting sqref="H62">
    <cfRule type="expression" dxfId="1552" priority="4">
      <formula>IF(OR(#REF!="L",#REF!="C"),TRUE,FALSE)</formula>
    </cfRule>
  </conditionalFormatting>
  <conditionalFormatting sqref="H62">
    <cfRule type="expression" dxfId="1551" priority="3">
      <formula>IF(OR(#REF!="L",#REF!="C"),TRUE,FALSE)</formula>
    </cfRule>
  </conditionalFormatting>
  <conditionalFormatting sqref="H65">
    <cfRule type="expression" dxfId="1550" priority="1">
      <formula>IF(OR(#REF!="L",#REF!="C"),TRUE,FALSE)</formula>
    </cfRule>
  </conditionalFormatting>
  <dataValidations count="8">
    <dataValidation type="list" allowBlank="1" showInputMessage="1" showErrorMessage="1" sqref="F62:F64" xr:uid="{4E70904D-69E4-4199-99F4-7F06AA88CE55}">
      <formula1>#REF!</formula1>
    </dataValidation>
    <dataValidation type="list" allowBlank="1" showInputMessage="1" showErrorMessage="1" sqref="F69:F74" xr:uid="{8DE65785-BF8C-4101-A93D-3F47F0673174}">
      <formula1>$C$102:$C$107</formula1>
    </dataValidation>
    <dataValidation type="list" allowBlank="1" showInputMessage="1" showErrorMessage="1" sqref="C4:F4" xr:uid="{FCAE0BD4-97CD-40A5-88E9-EC7F1C2E560F}">
      <formula1>"Commercial, Residential"</formula1>
    </dataValidation>
    <dataValidation type="list" allowBlank="1" showInputMessage="1" showErrorMessage="1" sqref="C9" xr:uid="{228C5BD3-29F7-4DED-B819-BD69FD66C6EA}">
      <formula1>INDIRECT("MeasureTypeList[Index]")</formula1>
    </dataValidation>
    <dataValidation type="list" allowBlank="1" showInputMessage="1" showErrorMessage="1" sqref="C26" xr:uid="{95EFDE8A-E0C8-4DE4-A54E-54A700821FA8}">
      <formula1>INDIRECT("RegionList[Index]")</formula1>
    </dataValidation>
    <dataValidation type="list" allowBlank="1" showInputMessage="1" showErrorMessage="1" sqref="C27" xr:uid="{5DEE584C-0691-4711-8115-4FF4D1A76BFB}">
      <formula1>INDIRECT("ReplacementTypeList[Index]")</formula1>
    </dataValidation>
    <dataValidation type="list" allowBlank="1" showInputMessage="1" showErrorMessage="1" sqref="C28" xr:uid="{D47E80C8-3708-4A64-A398-06F030A33E69}">
      <formula1>INDIRECT("BuildingType[Building]")</formula1>
    </dataValidation>
    <dataValidation type="list" allowBlank="1" showInputMessage="1" showErrorMessage="1" sqref="C29 C30" xr:uid="{B8C66C6E-6CFE-4F07-B5C0-B5435CE62D37}">
      <formula1>INDIRECT("FuelTypeList[Index]")</formula1>
    </dataValidation>
  </dataValidations>
  <hyperlinks>
    <hyperlink ref="F82" r:id="rId1" xr:uid="{4F189F76-1EAE-47D1-892A-FB8816E83E65}"/>
    <hyperlink ref="F83" r:id="rId2" xr:uid="{3B0B2222-DC0E-4075-97EF-6D6EA0AB40C4}"/>
    <hyperlink ref="F85" r:id="rId3" xr:uid="{BE942AC6-CBFB-4126-9F5D-354333CEAD35}"/>
    <hyperlink ref="F84" r:id="rId4" xr:uid="{CCAC0B46-CBF8-420C-9432-1900E9778F62}"/>
  </hyperlinks>
  <pageMargins left="0.7" right="0.7" top="0.75" bottom="0.75" header="0.3" footer="0.3"/>
  <pageSetup orientation="portrait" r:id="rId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3BF91-1081-48F0-875F-1C564FF822DE}">
  <sheetPr codeName="Sheet39"/>
  <dimension ref="A2:R154"/>
  <sheetViews>
    <sheetView workbookViewId="0"/>
  </sheetViews>
  <sheetFormatPr defaultColWidth="9.08984375" defaultRowHeight="18.75" customHeight="1" x14ac:dyDescent="0.3"/>
  <cols>
    <col min="1" max="1" width="2.36328125" style="488" customWidth="1"/>
    <col min="2" max="2" width="40.26953125" style="488" customWidth="1"/>
    <col min="3" max="3" width="26.7265625" style="488" customWidth="1"/>
    <col min="4" max="4" width="21.6328125" style="488" customWidth="1"/>
    <col min="5" max="5" width="18" style="488" customWidth="1"/>
    <col min="6" max="6" width="15.6328125" style="488" customWidth="1"/>
    <col min="7" max="7" width="19.6328125" style="488" customWidth="1"/>
    <col min="8" max="8" width="16" style="488" customWidth="1"/>
    <col min="9" max="10" width="14.6328125" style="488" customWidth="1"/>
    <col min="11" max="12" width="9.08984375" style="488" bestFit="1"/>
    <col min="13" max="13" width="11" style="488" customWidth="1"/>
    <col min="14" max="14" width="12.36328125" style="488" customWidth="1"/>
    <col min="15" max="15" width="10.6328125" style="488" customWidth="1"/>
    <col min="16" max="17" width="9.08984375" style="488" bestFit="1"/>
    <col min="18" max="18" width="9.81640625" style="489" customWidth="1"/>
    <col min="19" max="19" width="9.08984375" style="488" bestFit="1"/>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C-WB-001</v>
      </c>
      <c r="D3" s="1367"/>
      <c r="E3" s="1367"/>
      <c r="F3" s="1367"/>
    </row>
    <row r="4" spans="1:18" ht="18.75" customHeight="1" x14ac:dyDescent="0.3">
      <c r="B4" s="490" t="s">
        <v>11</v>
      </c>
      <c r="C4" s="1367" t="str" cm="1">
        <f t="array" ref="C4">_xlfn.SWITCH(LEFT(C8,1),"R","Residential","C","Commercial","ERROR")</f>
        <v>Commercial</v>
      </c>
      <c r="D4" s="1367"/>
      <c r="E4" s="1367"/>
      <c r="F4" s="1367"/>
    </row>
    <row r="5" spans="1:18" ht="19.5" customHeight="1" x14ac:dyDescent="0.3">
      <c r="B5" s="490" t="s">
        <v>408</v>
      </c>
      <c r="C5" s="1530" t="s">
        <v>319</v>
      </c>
      <c r="D5" s="1531"/>
      <c r="E5" s="1531"/>
      <c r="F5" s="1532"/>
      <c r="R5" s="488"/>
    </row>
    <row r="6" spans="1:18" ht="18.75" customHeight="1" x14ac:dyDescent="0.3">
      <c r="A6" s="573"/>
    </row>
    <row r="7" spans="1:18" ht="18.75" customHeight="1" x14ac:dyDescent="0.3">
      <c r="B7" s="1193" t="s">
        <v>409</v>
      </c>
      <c r="C7" s="1192" t="s">
        <v>406</v>
      </c>
      <c r="D7" s="1363" t="s">
        <v>410</v>
      </c>
      <c r="E7" s="1363"/>
      <c r="F7" s="1363"/>
      <c r="R7" s="488"/>
    </row>
    <row r="8" spans="1:18" ht="18.75" customHeight="1" x14ac:dyDescent="0.3">
      <c r="B8" s="490" t="s">
        <v>411</v>
      </c>
      <c r="C8" s="1218" t="s">
        <v>145</v>
      </c>
      <c r="D8" s="1957"/>
      <c r="E8" s="1957"/>
      <c r="F8" s="1957"/>
      <c r="R8" s="488"/>
    </row>
    <row r="9" spans="1:18" ht="18.75" customHeight="1" x14ac:dyDescent="0.3">
      <c r="B9" s="490" t="s">
        <v>49</v>
      </c>
      <c r="C9" s="1218" t="s">
        <v>891</v>
      </c>
      <c r="D9" s="1957"/>
      <c r="E9" s="1957"/>
      <c r="F9" s="1957"/>
      <c r="R9" s="488"/>
    </row>
    <row r="10" spans="1:18" ht="18.75" customHeight="1" x14ac:dyDescent="0.3">
      <c r="B10" s="490" t="s">
        <v>412</v>
      </c>
      <c r="C10" s="1218"/>
      <c r="D10" s="1957"/>
      <c r="E10" s="1957"/>
      <c r="F10" s="1957"/>
      <c r="R10" s="488"/>
    </row>
    <row r="11" spans="1:18" ht="18.75" customHeight="1" x14ac:dyDescent="0.3">
      <c r="B11" s="490" t="s">
        <v>413</v>
      </c>
      <c r="C11" s="1218"/>
      <c r="D11" s="1957"/>
      <c r="E11" s="1957"/>
      <c r="F11" s="1957"/>
      <c r="R11" s="488"/>
    </row>
    <row r="12" spans="1:18" ht="18.75" customHeight="1" x14ac:dyDescent="0.3">
      <c r="B12" s="490" t="s">
        <v>414</v>
      </c>
      <c r="C12" s="665"/>
      <c r="D12" s="1957"/>
      <c r="E12" s="1957"/>
      <c r="F12" s="1957"/>
      <c r="R12" s="488"/>
    </row>
    <row r="13" spans="1:18" ht="18.75" customHeight="1" x14ac:dyDescent="0.3">
      <c r="B13" s="494" t="s">
        <v>415</v>
      </c>
      <c r="C13" s="658">
        <f>N43</f>
        <v>0</v>
      </c>
      <c r="D13" s="1957"/>
      <c r="E13" s="1957"/>
      <c r="F13" s="1957"/>
      <c r="R13" s="488"/>
    </row>
    <row r="14" spans="1:18" ht="18.75" customHeight="1" x14ac:dyDescent="0.3">
      <c r="B14" s="494" t="s">
        <v>416</v>
      </c>
      <c r="C14" s="658">
        <f>N42</f>
        <v>0</v>
      </c>
      <c r="D14" s="1957"/>
      <c r="E14" s="1957"/>
      <c r="F14" s="1957"/>
      <c r="R14" s="488"/>
    </row>
    <row r="15" spans="1:18" ht="18.75" customHeight="1" x14ac:dyDescent="0.3">
      <c r="B15" s="494" t="s">
        <v>417</v>
      </c>
      <c r="C15" s="658">
        <f>N44</f>
        <v>1.6927418907055651</v>
      </c>
      <c r="D15" s="1957"/>
      <c r="E15" s="1957"/>
      <c r="F15" s="1957"/>
      <c r="R15" s="488"/>
    </row>
    <row r="16" spans="1:18" ht="18.75" customHeight="1" x14ac:dyDescent="0.3">
      <c r="B16" s="494" t="s">
        <v>418</v>
      </c>
      <c r="C16" s="659">
        <f>C37</f>
        <v>0</v>
      </c>
      <c r="D16" s="1957"/>
      <c r="E16" s="1957"/>
      <c r="F16" s="1957"/>
      <c r="R16" s="488"/>
    </row>
    <row r="17" spans="2:18" ht="18.75" customHeight="1" x14ac:dyDescent="0.3">
      <c r="B17" s="490" t="s">
        <v>48</v>
      </c>
      <c r="C17" s="1218" t="s">
        <v>1647</v>
      </c>
      <c r="D17" s="1363" t="s">
        <v>419</v>
      </c>
      <c r="E17" s="1363"/>
      <c r="F17" s="1363"/>
      <c r="R17" s="488"/>
    </row>
    <row r="18" spans="2:18" ht="18.75" customHeight="1" x14ac:dyDescent="0.3">
      <c r="B18" s="490" t="s">
        <v>420</v>
      </c>
      <c r="C18" s="666">
        <v>15</v>
      </c>
      <c r="D18" s="1513" t="s">
        <v>1956</v>
      </c>
      <c r="E18" s="1513"/>
      <c r="F18" s="1513"/>
      <c r="R18" s="488"/>
    </row>
    <row r="19" spans="2:18" ht="18.75" customHeight="1" x14ac:dyDescent="0.3">
      <c r="B19" s="497"/>
      <c r="C19" s="576"/>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36.75" customHeight="1" x14ac:dyDescent="0.3">
      <c r="B21" s="499" t="s">
        <v>422</v>
      </c>
      <c r="C21" s="1546" t="s">
        <v>320</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36" t="s">
        <v>321</v>
      </c>
      <c r="D22" s="1536"/>
      <c r="E22" s="1536"/>
      <c r="F22" s="1536"/>
      <c r="G22" s="1536"/>
      <c r="H22" s="1536"/>
      <c r="I22" s="1536"/>
      <c r="J22" s="1536"/>
      <c r="K22" s="1536"/>
      <c r="L22" s="1536"/>
      <c r="M22" s="1536"/>
      <c r="N22" s="1536"/>
      <c r="O22" s="1536"/>
      <c r="P22" s="1536"/>
      <c r="Q22" s="1536"/>
      <c r="R22" s="488"/>
    </row>
    <row r="23" spans="2:18" ht="18.75" customHeight="1"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512"/>
      <c r="F33" s="1512"/>
      <c r="G33" s="1512"/>
      <c r="H33" s="1512"/>
      <c r="I33" s="1512"/>
      <c r="J33" s="1512"/>
      <c r="K33" s="1512"/>
      <c r="L33" s="1512"/>
      <c r="M33" s="1512"/>
      <c r="N33" s="1512"/>
      <c r="O33" s="1512"/>
      <c r="P33" s="1512"/>
      <c r="Q33" s="1512"/>
      <c r="R33" s="488"/>
    </row>
    <row r="34" spans="2:18" ht="18.75" customHeight="1" x14ac:dyDescent="0.3">
      <c r="B34" s="494" t="s">
        <v>431</v>
      </c>
      <c r="C34" s="542"/>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905"/>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905">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0</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1.6927418907055651</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455</v>
      </c>
      <c r="D49" s="1505"/>
      <c r="E49" s="1505"/>
      <c r="F49" s="1505"/>
      <c r="G49" s="1505"/>
      <c r="H49" s="1505"/>
      <c r="I49" s="1505"/>
      <c r="J49" s="1505"/>
      <c r="K49" s="1505"/>
      <c r="L49" s="1505"/>
      <c r="M49" s="1506"/>
      <c r="N49" s="592"/>
      <c r="O49" s="1243" t="s">
        <v>443</v>
      </c>
      <c r="P49" s="1511"/>
      <c r="Q49" s="1511"/>
      <c r="R49" s="488"/>
    </row>
    <row r="50" spans="2:18" ht="18.75" customHeight="1" x14ac:dyDescent="0.3">
      <c r="B50" s="582" t="s">
        <v>456</v>
      </c>
      <c r="C50" s="1504" t="s">
        <v>1957</v>
      </c>
      <c r="D50" s="1505"/>
      <c r="E50" s="1505"/>
      <c r="F50" s="1505"/>
      <c r="G50" s="1505"/>
      <c r="H50" s="1505"/>
      <c r="I50" s="1505"/>
      <c r="J50" s="1505"/>
      <c r="K50" s="1505"/>
      <c r="L50" s="1505"/>
      <c r="M50" s="1506"/>
      <c r="N50" s="592">
        <f>(1-H73)*(Air.HeatCapacity.IMP*H65*(H74-H75)*GJ_per_BTU)/D83*H62*H63/Days_per_Year</f>
        <v>1.6927418907055651</v>
      </c>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467</v>
      </c>
      <c r="D56" s="1505"/>
      <c r="E56" s="1505"/>
      <c r="F56" s="1505"/>
      <c r="G56" s="1505"/>
      <c r="H56" s="1505"/>
      <c r="I56" s="1505"/>
      <c r="J56" s="1505"/>
      <c r="K56" s="1505"/>
      <c r="L56" s="1505"/>
      <c r="M56" s="1506"/>
      <c r="N56" s="594"/>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1061" t="s">
        <v>471</v>
      </c>
      <c r="C61" s="1061" t="s">
        <v>472</v>
      </c>
      <c r="D61" s="2022" t="s">
        <v>473</v>
      </c>
      <c r="E61" s="2022"/>
      <c r="F61" s="1061" t="s">
        <v>474</v>
      </c>
      <c r="G61" s="1061" t="s">
        <v>475</v>
      </c>
      <c r="H61" s="1062" t="s">
        <v>406</v>
      </c>
      <c r="I61" s="1062" t="s">
        <v>428</v>
      </c>
      <c r="J61" s="2023" t="s">
        <v>476</v>
      </c>
      <c r="K61" s="2024"/>
      <c r="L61" s="2024"/>
      <c r="M61" s="2024"/>
      <c r="N61" s="2024"/>
      <c r="O61" s="2024"/>
      <c r="P61" s="2024"/>
      <c r="Q61" s="2025"/>
    </row>
    <row r="62" spans="2:18" ht="28.15" customHeight="1" x14ac:dyDescent="0.3">
      <c r="B62" s="534">
        <v>1</v>
      </c>
      <c r="C62" s="549" t="s">
        <v>1958</v>
      </c>
      <c r="D62" s="1539" t="s">
        <v>1959</v>
      </c>
      <c r="E62" s="1539"/>
      <c r="F62" s="1217" t="s">
        <v>789</v>
      </c>
      <c r="G62" s="1217" t="s">
        <v>1340</v>
      </c>
      <c r="H62" s="974">
        <f>INDEX(BuildingType[],MATCH($C$28,BuildingType[Building],0),MATCH($G$62,BuildingType[#Headers],0))</f>
        <v>2857</v>
      </c>
      <c r="I62" s="1217" t="s">
        <v>532</v>
      </c>
      <c r="J62" s="1462" t="s">
        <v>1960</v>
      </c>
      <c r="K62" s="1470"/>
      <c r="L62" s="1470"/>
      <c r="M62" s="1470"/>
      <c r="N62" s="1470"/>
      <c r="O62" s="1470"/>
      <c r="P62" s="1470"/>
      <c r="Q62" s="1471"/>
      <c r="R62" s="488"/>
    </row>
    <row r="63" spans="2:18" ht="63" customHeight="1" x14ac:dyDescent="0.3">
      <c r="B63" s="534">
        <v>2</v>
      </c>
      <c r="C63" s="546" t="s">
        <v>1961</v>
      </c>
      <c r="D63" s="1539" t="s">
        <v>1962</v>
      </c>
      <c r="E63" s="1539"/>
      <c r="F63" s="765" t="str">
        <f>$H$64</f>
        <v>50 °F</v>
      </c>
      <c r="G63" s="1217" t="str">
        <f>$C$26</f>
        <v>Average</v>
      </c>
      <c r="H63" s="1063">
        <f>INDEX(HeatingDays[#All],MATCH($F$63,HeatingDays[[#All],[Indoor Setpoint]],0),MATCH($G$63,HeatingDays[#Headers],0))</f>
        <v>245.08809754963147</v>
      </c>
      <c r="I63" s="1217" t="s">
        <v>1963</v>
      </c>
      <c r="J63" s="1468" t="s">
        <v>1964</v>
      </c>
      <c r="K63" s="1478"/>
      <c r="L63" s="1478"/>
      <c r="M63" s="1478"/>
      <c r="N63" s="1478"/>
      <c r="O63" s="1478"/>
      <c r="P63" s="1478"/>
      <c r="Q63" s="1469"/>
      <c r="R63" s="488"/>
    </row>
    <row r="64" spans="2:18" ht="40.5" customHeight="1" x14ac:dyDescent="0.3">
      <c r="B64" s="534">
        <v>3</v>
      </c>
      <c r="C64" s="549" t="s">
        <v>1965</v>
      </c>
      <c r="D64" s="1556" t="s">
        <v>1966</v>
      </c>
      <c r="E64" s="1556"/>
      <c r="F64" s="1238"/>
      <c r="G64" s="1238"/>
      <c r="H64" s="1064" t="s">
        <v>1967</v>
      </c>
      <c r="I64" s="1238" t="s">
        <v>597</v>
      </c>
      <c r="J64" s="1701" t="s">
        <v>1968</v>
      </c>
      <c r="K64" s="1917"/>
      <c r="L64" s="1917"/>
      <c r="M64" s="1917"/>
      <c r="N64" s="1917"/>
      <c r="O64" s="1917"/>
      <c r="P64" s="1917"/>
      <c r="Q64" s="1918"/>
      <c r="R64" s="488"/>
    </row>
    <row r="65" spans="2:18" ht="36.75" customHeight="1" x14ac:dyDescent="0.3">
      <c r="B65" s="534">
        <v>4</v>
      </c>
      <c r="C65" s="546" t="s">
        <v>1969</v>
      </c>
      <c r="D65" s="1539" t="s">
        <v>1970</v>
      </c>
      <c r="E65" s="1539"/>
      <c r="F65" s="1217"/>
      <c r="G65" s="1217"/>
      <c r="H65" s="1065">
        <f>SQRT((H75^2)+(H66^2))</f>
        <v>77.111397169982538</v>
      </c>
      <c r="I65" s="1217" t="s">
        <v>1322</v>
      </c>
      <c r="J65" s="1507" t="s">
        <v>1971</v>
      </c>
      <c r="K65" s="1514"/>
      <c r="L65" s="1514"/>
      <c r="M65" s="1514"/>
      <c r="N65" s="1514"/>
      <c r="O65" s="1514"/>
      <c r="P65" s="1514"/>
      <c r="Q65" s="1515"/>
      <c r="R65" s="488"/>
    </row>
    <row r="66" spans="2:18" ht="39" customHeight="1" x14ac:dyDescent="0.3">
      <c r="B66" s="534">
        <v>5</v>
      </c>
      <c r="C66" s="546" t="s">
        <v>1972</v>
      </c>
      <c r="D66" s="1468" t="s">
        <v>1973</v>
      </c>
      <c r="E66" s="1469"/>
      <c r="F66" s="765"/>
      <c r="G66" s="569"/>
      <c r="H66" s="1065">
        <f>H68*H69*H70*H71*FPM_per_MPH</f>
        <v>71.593287463546588</v>
      </c>
      <c r="I66" s="1217" t="s">
        <v>1322</v>
      </c>
      <c r="J66" s="1507" t="s">
        <v>1974</v>
      </c>
      <c r="K66" s="1514"/>
      <c r="L66" s="1514"/>
      <c r="M66" s="1514"/>
      <c r="N66" s="1514"/>
      <c r="O66" s="1514"/>
      <c r="P66" s="1514"/>
      <c r="Q66" s="1515"/>
      <c r="R66" s="488"/>
    </row>
    <row r="67" spans="2:18" ht="36" customHeight="1" x14ac:dyDescent="0.3">
      <c r="B67" s="534">
        <v>6</v>
      </c>
      <c r="C67" s="555" t="s">
        <v>1975</v>
      </c>
      <c r="D67" s="1437" t="s">
        <v>1976</v>
      </c>
      <c r="E67" s="1438"/>
      <c r="F67" s="765"/>
      <c r="G67" s="569"/>
      <c r="H67" s="1065" cm="1">
        <f t="array" ref="H67">H71*H72*Seconds_per_Minute*SQRT(2*Gravity.IMP*D82/2*(H74-H75)/($D$81+H74))</f>
        <v>99.915765574494571</v>
      </c>
      <c r="I67" s="1217" t="s">
        <v>1322</v>
      </c>
      <c r="J67" s="1437" t="s">
        <v>1977</v>
      </c>
      <c r="K67" s="1448"/>
      <c r="L67" s="1448"/>
      <c r="M67" s="1448"/>
      <c r="N67" s="1448"/>
      <c r="O67" s="1448"/>
      <c r="P67" s="1448"/>
      <c r="Q67" s="1438"/>
      <c r="R67" s="488"/>
    </row>
    <row r="68" spans="2:18" ht="36.75" customHeight="1" x14ac:dyDescent="0.3">
      <c r="B68" s="534">
        <v>7</v>
      </c>
      <c r="C68" s="549" t="s">
        <v>1978</v>
      </c>
      <c r="D68" s="1462" t="s">
        <v>1979</v>
      </c>
      <c r="E68" s="1463"/>
      <c r="F68" s="1066" t="s">
        <v>10</v>
      </c>
      <c r="G68" s="1224" t="str">
        <f>$C$26</f>
        <v>Average</v>
      </c>
      <c r="H68" s="1067">
        <f>INDEX(WindspeedMPH[#All],MATCH($F$68,WindspeedMPH[[#All],[Entryway Orientation]],0),MATCH($G$68,WindspeedMPH[#Headers],0))</f>
        <v>7.6972980636681134</v>
      </c>
      <c r="I68" s="1238" t="s">
        <v>1980</v>
      </c>
      <c r="J68" s="1886" t="s">
        <v>1981</v>
      </c>
      <c r="K68" s="1887"/>
      <c r="L68" s="1887"/>
      <c r="M68" s="1887"/>
      <c r="N68" s="1887"/>
      <c r="O68" s="1887"/>
      <c r="P68" s="1887"/>
      <c r="Q68" s="1888"/>
      <c r="R68" s="488"/>
    </row>
    <row r="69" spans="2:18" ht="33" customHeight="1" x14ac:dyDescent="0.3">
      <c r="B69" s="534">
        <v>8</v>
      </c>
      <c r="C69" s="555" t="s">
        <v>1982</v>
      </c>
      <c r="D69" s="1437" t="s">
        <v>1983</v>
      </c>
      <c r="E69" s="1438"/>
      <c r="F69" s="569" t="s">
        <v>10</v>
      </c>
      <c r="G69" s="1217" t="str">
        <f>$C$26</f>
        <v>Average</v>
      </c>
      <c r="H69" s="559">
        <f>INDEX(WindspeedCF[#All],MATCH($F$69,WindspeedCF[[#All],[Entryway Orientation]],0),MATCH($G$69,WindspeedCF[#Headers],0))</f>
        <v>0.35231414022759522</v>
      </c>
      <c r="I69" s="557" t="s">
        <v>519</v>
      </c>
      <c r="J69" s="1886" t="s">
        <v>1981</v>
      </c>
      <c r="K69" s="1887"/>
      <c r="L69" s="1887"/>
      <c r="M69" s="1887"/>
      <c r="N69" s="1887"/>
      <c r="O69" s="1887"/>
      <c r="P69" s="1887"/>
      <c r="Q69" s="1888"/>
      <c r="R69" s="488"/>
    </row>
    <row r="70" spans="2:18" ht="40.5" customHeight="1" x14ac:dyDescent="0.3">
      <c r="B70" s="534">
        <v>9</v>
      </c>
      <c r="C70" s="555" t="s">
        <v>1984</v>
      </c>
      <c r="D70" s="1437" t="s">
        <v>1985</v>
      </c>
      <c r="E70" s="1438"/>
      <c r="F70" s="556"/>
      <c r="G70" s="557"/>
      <c r="H70" s="559">
        <v>0.3</v>
      </c>
      <c r="I70" s="557" t="s">
        <v>519</v>
      </c>
      <c r="J70" s="1472" t="s">
        <v>1986</v>
      </c>
      <c r="K70" s="1473"/>
      <c r="L70" s="1473"/>
      <c r="M70" s="1473"/>
      <c r="N70" s="1473"/>
      <c r="O70" s="1473"/>
      <c r="P70" s="1473"/>
      <c r="Q70" s="1474"/>
      <c r="R70" s="488"/>
    </row>
    <row r="71" spans="2:18" s="491" customFormat="1" ht="22.5" customHeight="1" x14ac:dyDescent="0.3">
      <c r="B71" s="535">
        <v>10</v>
      </c>
      <c r="C71" s="551" t="s">
        <v>907</v>
      </c>
      <c r="D71" s="1482" t="s">
        <v>1987</v>
      </c>
      <c r="E71" s="1483"/>
      <c r="F71" s="758"/>
      <c r="G71" s="552"/>
      <c r="H71" s="758">
        <v>1</v>
      </c>
      <c r="I71" s="552" t="s">
        <v>909</v>
      </c>
      <c r="J71" s="1482" t="s">
        <v>1078</v>
      </c>
      <c r="K71" s="1544"/>
      <c r="L71" s="1544"/>
      <c r="M71" s="1544"/>
      <c r="N71" s="1544"/>
      <c r="O71" s="1544"/>
      <c r="P71" s="1544"/>
      <c r="Q71" s="1545"/>
    </row>
    <row r="72" spans="2:18" s="491" customFormat="1" ht="32.25" customHeight="1" x14ac:dyDescent="0.3">
      <c r="B72" s="534">
        <v>11</v>
      </c>
      <c r="C72" s="555" t="s">
        <v>1988</v>
      </c>
      <c r="D72" s="1437" t="s">
        <v>1989</v>
      </c>
      <c r="E72" s="1438"/>
      <c r="F72" s="556"/>
      <c r="G72" s="557"/>
      <c r="H72" s="556">
        <f>0.4+ 0.0025*ABS(H74-H75)</f>
        <v>0.45338607137623416</v>
      </c>
      <c r="I72" s="557" t="s">
        <v>519</v>
      </c>
      <c r="J72" s="1472" t="s">
        <v>1990</v>
      </c>
      <c r="K72" s="1473"/>
      <c r="L72" s="1473"/>
      <c r="M72" s="1473"/>
      <c r="N72" s="1473"/>
      <c r="O72" s="1473"/>
      <c r="P72" s="1473"/>
      <c r="Q72" s="1474"/>
    </row>
    <row r="73" spans="2:18" s="491" customFormat="1" ht="27.65" customHeight="1" x14ac:dyDescent="0.3">
      <c r="B73" s="534">
        <v>12</v>
      </c>
      <c r="C73" s="555" t="s">
        <v>1991</v>
      </c>
      <c r="D73" s="1437" t="s">
        <v>1992</v>
      </c>
      <c r="E73" s="1438"/>
      <c r="F73" s="556"/>
      <c r="G73" s="557"/>
      <c r="H73" s="559">
        <v>0.6</v>
      </c>
      <c r="I73" s="557" t="s">
        <v>519</v>
      </c>
      <c r="J73" s="1472" t="s">
        <v>1993</v>
      </c>
      <c r="K73" s="1473"/>
      <c r="L73" s="1473"/>
      <c r="M73" s="1473"/>
      <c r="N73" s="1473"/>
      <c r="O73" s="1473"/>
      <c r="P73" s="1473"/>
      <c r="Q73" s="1474"/>
    </row>
    <row r="74" spans="2:18" s="489" customFormat="1" ht="32.5" customHeight="1" x14ac:dyDescent="0.3">
      <c r="B74" s="534">
        <v>13</v>
      </c>
      <c r="C74" s="549" t="s">
        <v>1994</v>
      </c>
      <c r="D74" s="1462" t="s">
        <v>1995</v>
      </c>
      <c r="E74" s="1463"/>
      <c r="F74" s="1238"/>
      <c r="G74" s="1238"/>
      <c r="H74" s="596">
        <f>VLOOKUP(H64,$C$120:$E$140,3,FALSE)</f>
        <v>50</v>
      </c>
      <c r="I74" s="1238" t="s">
        <v>825</v>
      </c>
      <c r="J74" s="1701" t="s">
        <v>1996</v>
      </c>
      <c r="K74" s="1917"/>
      <c r="L74" s="1917"/>
      <c r="M74" s="1917"/>
      <c r="N74" s="1917"/>
      <c r="O74" s="1917"/>
      <c r="P74" s="1917"/>
      <c r="Q74" s="1918"/>
    </row>
    <row r="75" spans="2:18" s="489" customFormat="1" ht="36" customHeight="1" x14ac:dyDescent="0.3">
      <c r="B75" s="534">
        <v>14</v>
      </c>
      <c r="C75" s="546" t="s">
        <v>1997</v>
      </c>
      <c r="D75" s="1468" t="s">
        <v>1998</v>
      </c>
      <c r="E75" s="1469"/>
      <c r="F75" s="765" t="str">
        <f>$H$64</f>
        <v>50 °F</v>
      </c>
      <c r="G75" s="1217" t="str">
        <f>$C$26</f>
        <v>Average</v>
      </c>
      <c r="H75" s="1065">
        <f>INDEX(OutdoorTemperature[#All],MATCH($F$75,OutdoorTemperature[[#All],[Indoor Setpoint]],0),MATCH($G$75,OutdoorTemperature[#Headers],0))</f>
        <v>28.645571449506349</v>
      </c>
      <c r="I75" s="1217" t="s">
        <v>825</v>
      </c>
      <c r="J75" s="1462" t="s">
        <v>1999</v>
      </c>
      <c r="K75" s="1470"/>
      <c r="L75" s="1470"/>
      <c r="M75" s="1470"/>
      <c r="N75" s="1470"/>
      <c r="O75" s="1470"/>
      <c r="P75" s="1470"/>
      <c r="Q75" s="1471"/>
    </row>
    <row r="76" spans="2:18" s="489" customFormat="1" ht="24" customHeight="1" x14ac:dyDescent="0.3">
      <c r="B76" s="534">
        <v>15</v>
      </c>
      <c r="C76" s="546"/>
      <c r="D76" s="1468"/>
      <c r="E76" s="1469"/>
      <c r="F76" s="765"/>
      <c r="G76" s="1217"/>
      <c r="H76" s="1065"/>
      <c r="I76" s="1217"/>
      <c r="J76" s="1507"/>
      <c r="K76" s="1514"/>
      <c r="L76" s="1514"/>
      <c r="M76" s="1514"/>
      <c r="N76" s="1514"/>
      <c r="O76" s="1514"/>
      <c r="P76" s="1514"/>
      <c r="Q76" s="1515"/>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3" t="s">
        <v>2000</v>
      </c>
      <c r="D81" s="562">
        <v>459.7</v>
      </c>
      <c r="E81" s="734" t="s">
        <v>2001</v>
      </c>
      <c r="F81" s="1886" t="s">
        <v>2002</v>
      </c>
      <c r="G81" s="1887"/>
      <c r="H81" s="1887"/>
      <c r="I81" s="1887"/>
      <c r="J81" s="1887"/>
      <c r="K81" s="1887"/>
      <c r="L81" s="1887"/>
      <c r="M81" s="1887"/>
      <c r="N81" s="1887"/>
      <c r="O81" s="1887"/>
      <c r="P81" s="1887"/>
      <c r="Q81" s="1888"/>
      <c r="R81" s="488"/>
    </row>
    <row r="82" spans="2:18" ht="15" customHeight="1" x14ac:dyDescent="0.3">
      <c r="B82" s="533">
        <v>2</v>
      </c>
      <c r="C82" s="563" t="s">
        <v>2003</v>
      </c>
      <c r="D82" s="598">
        <v>10</v>
      </c>
      <c r="E82" s="1238" t="s">
        <v>1233</v>
      </c>
      <c r="F82" s="1886" t="s">
        <v>1993</v>
      </c>
      <c r="G82" s="1887"/>
      <c r="H82" s="1887"/>
      <c r="I82" s="1887"/>
      <c r="J82" s="1887"/>
      <c r="K82" s="1887"/>
      <c r="L82" s="1887"/>
      <c r="M82" s="1887"/>
      <c r="N82" s="1887"/>
      <c r="O82" s="1887"/>
      <c r="P82" s="1887"/>
      <c r="Q82" s="1888"/>
      <c r="R82" s="488"/>
    </row>
    <row r="83" spans="2:18" ht="13" x14ac:dyDescent="0.3">
      <c r="B83" s="533">
        <v>3</v>
      </c>
      <c r="C83" s="1183" t="s">
        <v>517</v>
      </c>
      <c r="D83" s="715">
        <f>SpaceHeatingEfficiency.CI.NG</f>
        <v>0.85</v>
      </c>
      <c r="E83" s="1217" t="s">
        <v>519</v>
      </c>
      <c r="F83" s="1886" t="s">
        <v>1029</v>
      </c>
      <c r="G83" s="1887"/>
      <c r="H83" s="1887"/>
      <c r="I83" s="1887"/>
      <c r="J83" s="1887"/>
      <c r="K83" s="1887"/>
      <c r="L83" s="1887"/>
      <c r="M83" s="1887"/>
      <c r="N83" s="1887"/>
      <c r="O83" s="1887"/>
      <c r="P83" s="1887"/>
      <c r="Q83" s="1888"/>
      <c r="R83" s="488"/>
    </row>
    <row r="84" spans="2:18" ht="13" x14ac:dyDescent="0.3">
      <c r="B84" s="533">
        <v>4</v>
      </c>
      <c r="C84" s="560"/>
      <c r="D84" s="562"/>
      <c r="E84" s="1233"/>
      <c r="F84" s="1886"/>
      <c r="G84" s="1887"/>
      <c r="H84" s="1887"/>
      <c r="I84" s="1887"/>
      <c r="J84" s="1887"/>
      <c r="K84" s="1887"/>
      <c r="L84" s="1887"/>
      <c r="M84" s="1887"/>
      <c r="N84" s="1887"/>
      <c r="O84" s="1887"/>
      <c r="P84" s="1887"/>
      <c r="Q84" s="1888"/>
      <c r="R84" s="488"/>
    </row>
    <row r="85" spans="2:18" ht="13" x14ac:dyDescent="0.3">
      <c r="B85" s="533">
        <v>5</v>
      </c>
      <c r="C85" s="560"/>
      <c r="D85" s="562"/>
      <c r="E85" s="1233"/>
      <c r="F85" s="1886"/>
      <c r="G85" s="1887"/>
      <c r="H85" s="1887"/>
      <c r="I85" s="1887"/>
      <c r="J85" s="1887"/>
      <c r="K85" s="1887"/>
      <c r="L85" s="1887"/>
      <c r="M85" s="1887"/>
      <c r="N85" s="1887"/>
      <c r="O85" s="1887"/>
      <c r="P85" s="1887"/>
      <c r="Q85" s="1888"/>
      <c r="R85" s="488"/>
    </row>
    <row r="86" spans="2:18" ht="13" x14ac:dyDescent="0.3">
      <c r="B86" s="533">
        <v>6</v>
      </c>
      <c r="C86" s="560"/>
      <c r="D86" s="562"/>
      <c r="E86" s="1233"/>
      <c r="F86" s="1886"/>
      <c r="G86" s="1887"/>
      <c r="H86" s="1887"/>
      <c r="I86" s="1887"/>
      <c r="J86" s="1887"/>
      <c r="K86" s="1887"/>
      <c r="L86" s="1887"/>
      <c r="M86" s="1887"/>
      <c r="N86" s="1887"/>
      <c r="O86" s="1887"/>
      <c r="P86" s="1887"/>
      <c r="Q86" s="1888"/>
      <c r="R86" s="488"/>
    </row>
    <row r="87" spans="2:18" ht="13" x14ac:dyDescent="0.3">
      <c r="B87" s="533">
        <v>7</v>
      </c>
      <c r="C87" s="560"/>
      <c r="D87" s="562"/>
      <c r="E87" s="1233"/>
      <c r="F87" s="1886"/>
      <c r="G87" s="1887"/>
      <c r="H87" s="1887"/>
      <c r="I87" s="1887"/>
      <c r="J87" s="1887"/>
      <c r="K87" s="1887"/>
      <c r="L87" s="1887"/>
      <c r="M87" s="1887"/>
      <c r="N87" s="1887"/>
      <c r="O87" s="1887"/>
      <c r="P87" s="1887"/>
      <c r="Q87" s="1888"/>
      <c r="R87" s="488"/>
    </row>
    <row r="88" spans="2:18" ht="13" x14ac:dyDescent="0.3">
      <c r="B88" s="533">
        <v>8</v>
      </c>
      <c r="C88" s="563"/>
      <c r="D88" s="562"/>
      <c r="E88" s="1233"/>
      <c r="F88" s="1886"/>
      <c r="G88" s="1887"/>
      <c r="H88" s="1887"/>
      <c r="I88" s="1887"/>
      <c r="J88" s="1887"/>
      <c r="K88" s="1887"/>
      <c r="L88" s="1887"/>
      <c r="M88" s="1887"/>
      <c r="N88" s="1887"/>
      <c r="O88" s="1887"/>
      <c r="P88" s="1887"/>
      <c r="Q88" s="1888"/>
      <c r="R88" s="488"/>
    </row>
    <row r="89" spans="2:18" ht="13" x14ac:dyDescent="0.3">
      <c r="B89" s="533">
        <v>9</v>
      </c>
      <c r="C89" s="563"/>
      <c r="D89" s="562"/>
      <c r="E89" s="1233"/>
      <c r="F89" s="1886"/>
      <c r="G89" s="1887"/>
      <c r="H89" s="1887"/>
      <c r="I89" s="1887"/>
      <c r="J89" s="1887"/>
      <c r="K89" s="1887"/>
      <c r="L89" s="1887"/>
      <c r="M89" s="1887"/>
      <c r="N89" s="1887"/>
      <c r="O89" s="1887"/>
      <c r="P89" s="1887"/>
      <c r="Q89" s="1888"/>
      <c r="R89" s="488"/>
    </row>
    <row r="90" spans="2:18" ht="13" x14ac:dyDescent="0.3">
      <c r="B90" s="533">
        <v>10</v>
      </c>
      <c r="C90" s="563"/>
      <c r="D90" s="562"/>
      <c r="E90" s="1233"/>
      <c r="F90" s="1886"/>
      <c r="G90" s="1887"/>
      <c r="H90" s="1887"/>
      <c r="I90" s="1887"/>
      <c r="J90" s="1887"/>
      <c r="K90" s="1887"/>
      <c r="L90" s="1887"/>
      <c r="M90" s="1887"/>
      <c r="N90" s="1887"/>
      <c r="O90" s="1887"/>
      <c r="P90" s="1887"/>
      <c r="Q90" s="1888"/>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t="s">
        <v>2004</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c r="R95" s="488"/>
    </row>
    <row r="96" spans="2:18" ht="25.5" customHeight="1" x14ac:dyDescent="0.3">
      <c r="B96" s="1188" t="s">
        <v>478</v>
      </c>
      <c r="C96" s="1402" t="s">
        <v>505</v>
      </c>
      <c r="D96" s="1431"/>
      <c r="E96" s="565" t="s">
        <v>434</v>
      </c>
      <c r="F96" s="565" t="s">
        <v>2005</v>
      </c>
      <c r="G96" s="565"/>
      <c r="H96" s="565"/>
      <c r="I96" s="565"/>
      <c r="J96" s="565"/>
      <c r="K96" s="565"/>
      <c r="L96" s="565"/>
      <c r="M96" s="565"/>
      <c r="N96" s="566"/>
      <c r="O96" s="1410"/>
      <c r="P96" s="1411"/>
      <c r="Q96" s="1412"/>
      <c r="R96" s="488"/>
    </row>
    <row r="97" spans="2:18" ht="13" x14ac:dyDescent="0.3">
      <c r="B97" s="533">
        <v>1</v>
      </c>
      <c r="C97" s="546" t="s">
        <v>2006</v>
      </c>
      <c r="D97" s="1184"/>
      <c r="E97" s="1068">
        <v>3600</v>
      </c>
      <c r="F97" s="1190">
        <v>1</v>
      </c>
      <c r="G97" s="1190"/>
      <c r="H97" s="1190"/>
      <c r="I97" s="568"/>
      <c r="J97" s="568"/>
      <c r="K97" s="568"/>
      <c r="L97" s="568"/>
      <c r="M97" s="568"/>
      <c r="N97" s="568"/>
      <c r="O97" s="1501" t="s">
        <v>1956</v>
      </c>
      <c r="P97" s="1502"/>
      <c r="Q97" s="1503"/>
      <c r="R97" s="488"/>
    </row>
    <row r="98" spans="2:18" ht="13" x14ac:dyDescent="0.3">
      <c r="B98" s="533">
        <v>2</v>
      </c>
      <c r="C98" s="546" t="s">
        <v>2007</v>
      </c>
      <c r="D98" s="1184"/>
      <c r="E98" s="1068">
        <v>4500</v>
      </c>
      <c r="F98" s="1190">
        <v>1.5</v>
      </c>
      <c r="G98" s="1190"/>
      <c r="H98" s="1190"/>
      <c r="I98" s="568"/>
      <c r="J98" s="568"/>
      <c r="K98" s="568"/>
      <c r="L98" s="568"/>
      <c r="M98" s="568"/>
      <c r="N98" s="568"/>
      <c r="O98" s="1501" t="s">
        <v>1956</v>
      </c>
      <c r="P98" s="1502"/>
      <c r="Q98" s="1503"/>
      <c r="R98" s="488"/>
    </row>
    <row r="99" spans="2:18" ht="13" x14ac:dyDescent="0.3">
      <c r="B99" s="533">
        <v>3</v>
      </c>
      <c r="C99" s="546" t="s">
        <v>2008</v>
      </c>
      <c r="D99" s="1184"/>
      <c r="E99" s="1068">
        <v>5400</v>
      </c>
      <c r="F99" s="1190">
        <v>4</v>
      </c>
      <c r="G99" s="1190"/>
      <c r="H99" s="1190"/>
      <c r="I99" s="568"/>
      <c r="J99" s="568"/>
      <c r="K99" s="568"/>
      <c r="L99" s="568"/>
      <c r="M99" s="568"/>
      <c r="N99" s="568"/>
      <c r="O99" s="1501" t="s">
        <v>1956</v>
      </c>
      <c r="P99" s="1502"/>
      <c r="Q99" s="1503"/>
      <c r="R99" s="488"/>
    </row>
    <row r="100" spans="2:18" ht="13" x14ac:dyDescent="0.3">
      <c r="B100" s="533">
        <v>4</v>
      </c>
      <c r="C100" s="546" t="s">
        <v>2009</v>
      </c>
      <c r="D100" s="1184"/>
      <c r="E100" s="1068">
        <v>8000</v>
      </c>
      <c r="F100" s="1190">
        <v>6</v>
      </c>
      <c r="G100" s="1190"/>
      <c r="H100" s="1190"/>
      <c r="I100" s="568"/>
      <c r="J100" s="568"/>
      <c r="K100" s="568"/>
      <c r="L100" s="568"/>
      <c r="M100" s="568"/>
      <c r="N100" s="568"/>
      <c r="O100" s="1501" t="s">
        <v>1956</v>
      </c>
      <c r="P100" s="1502"/>
      <c r="Q100" s="1503"/>
      <c r="R100" s="488"/>
    </row>
    <row r="101" spans="2:18" ht="13" x14ac:dyDescent="0.3">
      <c r="B101" s="533">
        <v>5</v>
      </c>
      <c r="C101" s="546" t="s">
        <v>2010</v>
      </c>
      <c r="D101" s="1184"/>
      <c r="E101" s="1068">
        <v>13300</v>
      </c>
      <c r="F101" s="1190">
        <v>12</v>
      </c>
      <c r="G101" s="1190"/>
      <c r="H101" s="1190"/>
      <c r="I101" s="568"/>
      <c r="J101" s="568"/>
      <c r="K101" s="568"/>
      <c r="L101" s="568"/>
      <c r="M101" s="568"/>
      <c r="N101" s="568"/>
      <c r="O101" s="1501" t="s">
        <v>1956</v>
      </c>
      <c r="P101" s="1502"/>
      <c r="Q101" s="1503"/>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row r="117" spans="2:18" ht="18.75" customHeight="1" x14ac:dyDescent="0.3">
      <c r="R117" s="488"/>
    </row>
    <row r="118" spans="2:18" ht="18.75" customHeight="1" x14ac:dyDescent="0.3">
      <c r="B118" s="702" t="s">
        <v>493</v>
      </c>
      <c r="E118" s="1662" t="s">
        <v>494</v>
      </c>
      <c r="F118" s="1663"/>
      <c r="G118" s="1663"/>
      <c r="H118" s="1663"/>
      <c r="I118" s="1663"/>
      <c r="J118" s="1663"/>
      <c r="K118" s="1663"/>
      <c r="L118" s="1663"/>
      <c r="M118" s="1663"/>
      <c r="N118" s="1663"/>
      <c r="O118" s="1664" t="s">
        <v>476</v>
      </c>
      <c r="P118" s="1665"/>
      <c r="Q118" s="1666"/>
      <c r="R118" s="488"/>
    </row>
    <row r="119" spans="2:18" ht="25.5" customHeight="1" x14ac:dyDescent="0.3">
      <c r="B119" s="1673" t="s">
        <v>2011</v>
      </c>
      <c r="C119" s="1674"/>
      <c r="D119" s="1675"/>
      <c r="E119" s="703" t="s">
        <v>495</v>
      </c>
      <c r="F119" s="703" t="s">
        <v>496</v>
      </c>
      <c r="G119" s="703" t="s">
        <v>497</v>
      </c>
      <c r="H119" s="703" t="s">
        <v>498</v>
      </c>
      <c r="I119" s="703" t="s">
        <v>499</v>
      </c>
      <c r="J119" s="703" t="s">
        <v>500</v>
      </c>
      <c r="K119" s="703" t="s">
        <v>501</v>
      </c>
      <c r="L119" s="703" t="s">
        <v>502</v>
      </c>
      <c r="M119" s="703" t="s">
        <v>503</v>
      </c>
      <c r="N119" s="1213" t="s">
        <v>504</v>
      </c>
      <c r="O119" s="1667"/>
      <c r="P119" s="1668"/>
      <c r="Q119" s="1669"/>
      <c r="R119" s="488"/>
    </row>
    <row r="120" spans="2:18" ht="25.5" customHeight="1" x14ac:dyDescent="0.3">
      <c r="B120" s="704" t="s">
        <v>478</v>
      </c>
      <c r="C120" s="1662" t="s">
        <v>505</v>
      </c>
      <c r="D120" s="1676"/>
      <c r="E120" s="525" t="s">
        <v>2012</v>
      </c>
      <c r="F120" s="525"/>
      <c r="G120" s="525"/>
      <c r="H120" s="525"/>
      <c r="I120" s="525"/>
      <c r="J120" s="525"/>
      <c r="K120" s="525"/>
      <c r="L120" s="525"/>
      <c r="M120" s="525"/>
      <c r="N120" s="1214"/>
      <c r="O120" s="1670"/>
      <c r="P120" s="1671"/>
      <c r="Q120" s="1672"/>
      <c r="R120" s="488"/>
    </row>
    <row r="121" spans="2:18" ht="13" x14ac:dyDescent="0.3">
      <c r="B121" s="1240">
        <v>1</v>
      </c>
      <c r="C121" s="515" t="s">
        <v>2013</v>
      </c>
      <c r="D121" s="600"/>
      <c r="E121" s="633">
        <v>45</v>
      </c>
      <c r="F121" s="1239"/>
      <c r="G121" s="1239"/>
      <c r="H121" s="1239"/>
      <c r="I121" s="527"/>
      <c r="J121" s="527"/>
      <c r="K121" s="527"/>
      <c r="L121" s="527"/>
      <c r="M121" s="527"/>
      <c r="N121" s="527"/>
      <c r="O121" s="1432" t="s">
        <v>1956</v>
      </c>
      <c r="P121" s="1433"/>
      <c r="Q121" s="1434"/>
      <c r="R121" s="488"/>
    </row>
    <row r="122" spans="2:18" ht="13" x14ac:dyDescent="0.3">
      <c r="B122" s="1240">
        <v>2</v>
      </c>
      <c r="C122" s="515" t="s">
        <v>1967</v>
      </c>
      <c r="D122" s="600"/>
      <c r="E122" s="633">
        <v>50</v>
      </c>
      <c r="F122" s="1239"/>
      <c r="G122" s="1239"/>
      <c r="H122" s="1239"/>
      <c r="I122" s="527"/>
      <c r="J122" s="527"/>
      <c r="K122" s="527"/>
      <c r="L122" s="527"/>
      <c r="M122" s="527"/>
      <c r="N122" s="527"/>
      <c r="O122" s="1432" t="s">
        <v>1956</v>
      </c>
      <c r="P122" s="1433"/>
      <c r="Q122" s="1434"/>
      <c r="R122" s="488"/>
    </row>
    <row r="123" spans="2:18" ht="13" x14ac:dyDescent="0.3">
      <c r="B123" s="1240">
        <v>3</v>
      </c>
      <c r="C123" s="515" t="s">
        <v>2014</v>
      </c>
      <c r="D123" s="600"/>
      <c r="E123" s="633">
        <v>55</v>
      </c>
      <c r="F123" s="1239"/>
      <c r="G123" s="1239"/>
      <c r="H123" s="1239"/>
      <c r="I123" s="527"/>
      <c r="J123" s="527"/>
      <c r="K123" s="527"/>
      <c r="L123" s="527"/>
      <c r="M123" s="527"/>
      <c r="N123" s="527"/>
      <c r="O123" s="1432" t="s">
        <v>1956</v>
      </c>
      <c r="P123" s="1433"/>
      <c r="Q123" s="1434"/>
      <c r="R123" s="488"/>
    </row>
    <row r="124" spans="2:18" ht="13" x14ac:dyDescent="0.3">
      <c r="B124" s="1240">
        <v>4</v>
      </c>
      <c r="C124" s="515" t="s">
        <v>2015</v>
      </c>
      <c r="D124" s="600"/>
      <c r="E124" s="633">
        <v>60</v>
      </c>
      <c r="F124" s="1239"/>
      <c r="G124" s="1239"/>
      <c r="H124" s="1239"/>
      <c r="I124" s="527"/>
      <c r="J124" s="527"/>
      <c r="K124" s="527"/>
      <c r="L124" s="527"/>
      <c r="M124" s="527"/>
      <c r="N124" s="527"/>
      <c r="O124" s="1432" t="s">
        <v>1956</v>
      </c>
      <c r="P124" s="1433"/>
      <c r="Q124" s="1434"/>
      <c r="R124" s="488"/>
    </row>
    <row r="125" spans="2:18" ht="13" x14ac:dyDescent="0.3">
      <c r="B125" s="1240">
        <v>5</v>
      </c>
      <c r="C125" s="515" t="s">
        <v>2016</v>
      </c>
      <c r="D125" s="600"/>
      <c r="E125" s="633">
        <v>65</v>
      </c>
      <c r="F125" s="1239"/>
      <c r="G125" s="1239"/>
      <c r="H125" s="1239"/>
      <c r="I125" s="527"/>
      <c r="J125" s="527"/>
      <c r="K125" s="527"/>
      <c r="L125" s="527"/>
      <c r="M125" s="527"/>
      <c r="N125" s="527"/>
      <c r="O125" s="1432" t="s">
        <v>1956</v>
      </c>
      <c r="P125" s="1433"/>
      <c r="Q125" s="1434"/>
      <c r="R125" s="488"/>
    </row>
    <row r="126" spans="2:18" ht="13" x14ac:dyDescent="0.3">
      <c r="B126" s="1240">
        <v>6</v>
      </c>
      <c r="C126" s="515" t="s">
        <v>10</v>
      </c>
      <c r="D126" s="1189"/>
      <c r="E126" s="633">
        <f>AVERAGE(E121:E125)</f>
        <v>55</v>
      </c>
      <c r="F126" s="619"/>
      <c r="G126" s="1239"/>
      <c r="H126" s="1239"/>
      <c r="I126" s="528"/>
      <c r="J126" s="528"/>
      <c r="K126" s="528"/>
      <c r="L126" s="528"/>
      <c r="M126" s="528"/>
      <c r="N126" s="528"/>
      <c r="O126" s="1425"/>
      <c r="P126" s="1426"/>
      <c r="Q126" s="1427"/>
      <c r="R126" s="488"/>
    </row>
    <row r="127" spans="2:18" ht="13" x14ac:dyDescent="0.3">
      <c r="B127" s="1240">
        <v>7</v>
      </c>
      <c r="C127" s="515"/>
      <c r="D127" s="1189"/>
      <c r="E127" s="1239"/>
      <c r="F127" s="528"/>
      <c r="G127" s="528"/>
      <c r="H127" s="1239"/>
      <c r="I127" s="528"/>
      <c r="J127" s="528"/>
      <c r="K127" s="528"/>
      <c r="L127" s="528"/>
      <c r="M127" s="528"/>
      <c r="N127" s="528"/>
      <c r="O127" s="1425"/>
      <c r="P127" s="1426"/>
      <c r="Q127" s="1427"/>
      <c r="R127" s="488"/>
    </row>
    <row r="128" spans="2:18" ht="13" x14ac:dyDescent="0.3">
      <c r="B128" s="1240">
        <v>8</v>
      </c>
      <c r="C128" s="515"/>
      <c r="D128" s="1189"/>
      <c r="E128" s="1239"/>
      <c r="F128" s="528"/>
      <c r="G128" s="528"/>
      <c r="H128" s="528"/>
      <c r="I128" s="528"/>
      <c r="J128" s="528"/>
      <c r="K128" s="528"/>
      <c r="L128" s="528"/>
      <c r="M128" s="528"/>
      <c r="N128" s="528"/>
      <c r="O128" s="1425"/>
      <c r="P128" s="1426"/>
      <c r="Q128" s="1427"/>
      <c r="R128" s="488"/>
    </row>
    <row r="129" spans="2:18" ht="13" x14ac:dyDescent="0.3">
      <c r="B129" s="1240">
        <v>9</v>
      </c>
      <c r="C129" s="515"/>
      <c r="D129" s="1189"/>
      <c r="E129" s="1239"/>
      <c r="F129" s="1240"/>
      <c r="G129" s="1240"/>
      <c r="H129" s="1240"/>
      <c r="I129" s="528"/>
      <c r="J129" s="528"/>
      <c r="K129" s="528"/>
      <c r="L129" s="528"/>
      <c r="M129" s="528"/>
      <c r="N129" s="528"/>
      <c r="O129" s="1425"/>
      <c r="P129" s="1426"/>
      <c r="Q129" s="1427"/>
      <c r="R129" s="488"/>
    </row>
    <row r="130" spans="2:18" ht="13" x14ac:dyDescent="0.3">
      <c r="B130" s="1240">
        <v>10</v>
      </c>
      <c r="C130" s="515"/>
      <c r="D130" s="1189"/>
      <c r="E130" s="1240"/>
      <c r="F130" s="1240"/>
      <c r="G130" s="1240"/>
      <c r="H130" s="1240"/>
      <c r="I130" s="528"/>
      <c r="J130" s="528"/>
      <c r="K130" s="528"/>
      <c r="L130" s="528"/>
      <c r="M130" s="528"/>
      <c r="N130" s="528"/>
      <c r="O130" s="1425"/>
      <c r="P130" s="1426"/>
      <c r="Q130" s="1427"/>
      <c r="R130" s="488"/>
    </row>
    <row r="131" spans="2:18" ht="13" x14ac:dyDescent="0.3">
      <c r="B131" s="1240">
        <v>11</v>
      </c>
      <c r="C131" s="515"/>
      <c r="D131" s="1189"/>
      <c r="E131" s="529"/>
      <c r="F131" s="1239"/>
      <c r="G131" s="529"/>
      <c r="H131" s="529"/>
      <c r="I131" s="528"/>
      <c r="J131" s="528"/>
      <c r="K131" s="528"/>
      <c r="L131" s="528"/>
      <c r="M131" s="528"/>
      <c r="N131" s="528"/>
      <c r="O131" s="1425"/>
      <c r="P131" s="1426"/>
      <c r="Q131" s="1427"/>
      <c r="R131" s="488"/>
    </row>
    <row r="132" spans="2:18" ht="13" x14ac:dyDescent="0.3">
      <c r="B132" s="1240">
        <v>12</v>
      </c>
      <c r="C132" s="515"/>
      <c r="D132" s="1189"/>
      <c r="E132" s="1240"/>
      <c r="F132" s="1239"/>
      <c r="G132" s="1240"/>
      <c r="H132" s="1240"/>
      <c r="I132" s="528"/>
      <c r="J132" s="528"/>
      <c r="K132" s="528"/>
      <c r="L132" s="528"/>
      <c r="M132" s="528"/>
      <c r="N132" s="528"/>
      <c r="O132" s="1425"/>
      <c r="P132" s="1426"/>
      <c r="Q132" s="1427"/>
      <c r="R132" s="488"/>
    </row>
    <row r="133" spans="2:18" ht="13" x14ac:dyDescent="0.3">
      <c r="B133" s="1240">
        <v>13</v>
      </c>
      <c r="C133" s="515"/>
      <c r="D133" s="1189"/>
      <c r="E133" s="1240"/>
      <c r="F133" s="1240"/>
      <c r="G133" s="1240"/>
      <c r="H133" s="1240"/>
      <c r="I133" s="528"/>
      <c r="J133" s="528"/>
      <c r="K133" s="528"/>
      <c r="L133" s="528"/>
      <c r="M133" s="528"/>
      <c r="N133" s="528"/>
      <c r="O133" s="1425"/>
      <c r="P133" s="1426"/>
      <c r="Q133" s="1427"/>
      <c r="R133" s="488"/>
    </row>
    <row r="134" spans="2:18" ht="13" x14ac:dyDescent="0.3">
      <c r="B134" s="1240">
        <v>14</v>
      </c>
      <c r="C134" s="515"/>
      <c r="D134" s="1189"/>
      <c r="E134" s="530"/>
      <c r="F134" s="530"/>
      <c r="G134" s="530"/>
      <c r="H134" s="530"/>
      <c r="I134" s="528"/>
      <c r="J134" s="528"/>
      <c r="K134" s="528"/>
      <c r="L134" s="528"/>
      <c r="M134" s="528"/>
      <c r="N134" s="528"/>
      <c r="O134" s="1425"/>
      <c r="P134" s="1426"/>
      <c r="Q134" s="1427"/>
      <c r="R134" s="488"/>
    </row>
    <row r="135" spans="2:18" ht="13" x14ac:dyDescent="0.3">
      <c r="B135" s="1240">
        <v>15</v>
      </c>
      <c r="C135" s="515"/>
      <c r="D135" s="1189"/>
      <c r="E135" s="530"/>
      <c r="F135" s="530"/>
      <c r="G135" s="530"/>
      <c r="H135" s="530"/>
      <c r="I135" s="528"/>
      <c r="J135" s="528"/>
      <c r="K135" s="528"/>
      <c r="L135" s="528"/>
      <c r="M135" s="528"/>
      <c r="N135" s="528"/>
      <c r="O135" s="1425"/>
      <c r="P135" s="1426"/>
      <c r="Q135" s="1427"/>
      <c r="R135" s="488"/>
    </row>
    <row r="136" spans="2:18" ht="13" x14ac:dyDescent="0.3">
      <c r="B136" s="1240">
        <v>16</v>
      </c>
      <c r="C136" s="515"/>
      <c r="D136" s="1189"/>
      <c r="E136" s="530"/>
      <c r="F136" s="530"/>
      <c r="G136" s="530"/>
      <c r="H136" s="530"/>
      <c r="I136" s="528"/>
      <c r="J136" s="528"/>
      <c r="K136" s="528"/>
      <c r="L136" s="528"/>
      <c r="M136" s="528"/>
      <c r="N136" s="528"/>
      <c r="O136" s="1425"/>
      <c r="P136" s="1426"/>
      <c r="Q136" s="1427"/>
      <c r="R136" s="488"/>
    </row>
    <row r="137" spans="2:18" ht="13" x14ac:dyDescent="0.3">
      <c r="B137" s="1240">
        <v>17</v>
      </c>
      <c r="C137" s="515"/>
      <c r="D137" s="1189"/>
      <c r="E137" s="530"/>
      <c r="F137" s="530"/>
      <c r="G137" s="530"/>
      <c r="H137" s="530"/>
      <c r="I137" s="528"/>
      <c r="J137" s="528"/>
      <c r="K137" s="528"/>
      <c r="L137" s="528"/>
      <c r="M137" s="528"/>
      <c r="N137" s="528"/>
      <c r="O137" s="1425"/>
      <c r="P137" s="1426"/>
      <c r="Q137" s="1427"/>
      <c r="R137" s="488"/>
    </row>
    <row r="138" spans="2:18" ht="13" x14ac:dyDescent="0.3">
      <c r="B138" s="1240">
        <v>18</v>
      </c>
      <c r="C138" s="515"/>
      <c r="D138" s="1189"/>
      <c r="E138" s="530"/>
      <c r="F138" s="530"/>
      <c r="G138" s="530"/>
      <c r="H138" s="530"/>
      <c r="I138" s="528"/>
      <c r="J138" s="528"/>
      <c r="K138" s="528"/>
      <c r="L138" s="528"/>
      <c r="M138" s="528"/>
      <c r="N138" s="528"/>
      <c r="O138" s="1425"/>
      <c r="P138" s="1426"/>
      <c r="Q138" s="1427"/>
      <c r="R138" s="488"/>
    </row>
    <row r="139" spans="2:18" ht="13" x14ac:dyDescent="0.3">
      <c r="B139" s="1240">
        <v>19</v>
      </c>
      <c r="C139" s="515"/>
      <c r="D139" s="1189"/>
      <c r="E139" s="530"/>
      <c r="F139" s="530"/>
      <c r="G139" s="530"/>
      <c r="H139" s="530"/>
      <c r="I139" s="528"/>
      <c r="J139" s="528"/>
      <c r="K139" s="528"/>
      <c r="L139" s="528"/>
      <c r="M139" s="528"/>
      <c r="N139" s="528"/>
      <c r="O139" s="1425"/>
      <c r="P139" s="1426"/>
      <c r="Q139" s="1427"/>
      <c r="R139" s="488"/>
    </row>
    <row r="140" spans="2:18" ht="13" x14ac:dyDescent="0.3">
      <c r="B140" s="1240">
        <v>20</v>
      </c>
      <c r="C140" s="515"/>
      <c r="D140" s="1189"/>
      <c r="E140" s="530"/>
      <c r="F140" s="530"/>
      <c r="G140" s="530"/>
      <c r="H140" s="530"/>
      <c r="I140" s="528"/>
      <c r="J140" s="528"/>
      <c r="K140" s="528"/>
      <c r="L140" s="528"/>
      <c r="M140" s="528"/>
      <c r="N140" s="528"/>
      <c r="O140" s="1425"/>
      <c r="P140" s="1426"/>
      <c r="Q140" s="1427"/>
      <c r="R140" s="488"/>
    </row>
    <row r="149" spans="3:3" ht="18.75" customHeight="1" x14ac:dyDescent="0.3">
      <c r="C149" s="488" t="s">
        <v>2013</v>
      </c>
    </row>
    <row r="150" spans="3:3" ht="18.75" customHeight="1" x14ac:dyDescent="0.3">
      <c r="C150" s="488" t="s">
        <v>1967</v>
      </c>
    </row>
    <row r="151" spans="3:3" ht="18.75" customHeight="1" x14ac:dyDescent="0.3">
      <c r="C151" s="488" t="s">
        <v>2014</v>
      </c>
    </row>
    <row r="152" spans="3:3" ht="18.75" customHeight="1" x14ac:dyDescent="0.3">
      <c r="C152" s="488" t="s">
        <v>2015</v>
      </c>
    </row>
    <row r="153" spans="3:3" ht="18.75" customHeight="1" x14ac:dyDescent="0.3">
      <c r="C153" s="488" t="s">
        <v>2016</v>
      </c>
    </row>
    <row r="154" spans="3:3" ht="18.75" customHeight="1" x14ac:dyDescent="0.3">
      <c r="C154" s="488" t="s">
        <v>10</v>
      </c>
    </row>
  </sheetData>
  <sheetProtection algorithmName="SHA-512" hashValue="k57f5Iqenh+7imjAz/HMnYZzAEBrv42Rt9IShojFx7DlsSLMzrC81X6ymjSqu0Yu2JS2t4yeXtJ2tPl9Iivv3w==" saltValue="IT+2HHmt29GSrH8GDZjMMg==" spinCount="100000" sheet="1" objects="1" scenarios="1" selectLockedCells="1" selectUnlockedCells="1"/>
  <mergeCells count="145">
    <mergeCell ref="C2:F2"/>
    <mergeCell ref="C3:F3"/>
    <mergeCell ref="C4:F4"/>
    <mergeCell ref="C5:F5"/>
    <mergeCell ref="D7:F7"/>
    <mergeCell ref="D8:F16"/>
    <mergeCell ref="D25:Q25"/>
    <mergeCell ref="D26:Q26"/>
    <mergeCell ref="D27:Q27"/>
    <mergeCell ref="D28:Q28"/>
    <mergeCell ref="E32:Q32"/>
    <mergeCell ref="E33:Q33"/>
    <mergeCell ref="D29:Q29"/>
    <mergeCell ref="D30:Q30"/>
    <mergeCell ref="D17:F17"/>
    <mergeCell ref="D18:F18"/>
    <mergeCell ref="B20:Q20"/>
    <mergeCell ref="C21:Q21"/>
    <mergeCell ref="C22:Q22"/>
    <mergeCell ref="C23:Q23"/>
    <mergeCell ref="C42:M42"/>
    <mergeCell ref="P42:Q42"/>
    <mergeCell ref="C43:M43"/>
    <mergeCell ref="P43:Q43"/>
    <mergeCell ref="C44:M44"/>
    <mergeCell ref="P44:Q44"/>
    <mergeCell ref="E34:Q34"/>
    <mergeCell ref="E35:Q35"/>
    <mergeCell ref="E36:Q36"/>
    <mergeCell ref="E37:Q37"/>
    <mergeCell ref="C41:M41"/>
    <mergeCell ref="P41:Q41"/>
    <mergeCell ref="C49:M49"/>
    <mergeCell ref="P49:Q49"/>
    <mergeCell ref="C50:M50"/>
    <mergeCell ref="P50:Q50"/>
    <mergeCell ref="C51:M51"/>
    <mergeCell ref="P51:Q51"/>
    <mergeCell ref="C45:M45"/>
    <mergeCell ref="P45:Q45"/>
    <mergeCell ref="C47:M47"/>
    <mergeCell ref="P47:Q47"/>
    <mergeCell ref="C48:M48"/>
    <mergeCell ref="P48:Q48"/>
    <mergeCell ref="C56:M56"/>
    <mergeCell ref="P56:Q56"/>
    <mergeCell ref="C57:M57"/>
    <mergeCell ref="P57:Q57"/>
    <mergeCell ref="D61:E61"/>
    <mergeCell ref="J61:Q61"/>
    <mergeCell ref="C53:M53"/>
    <mergeCell ref="P53:Q53"/>
    <mergeCell ref="C54:M54"/>
    <mergeCell ref="P54:Q54"/>
    <mergeCell ref="C55:M55"/>
    <mergeCell ref="P55:Q55"/>
    <mergeCell ref="D62:E62"/>
    <mergeCell ref="J62:Q62"/>
    <mergeCell ref="J75:Q75"/>
    <mergeCell ref="D68:E68"/>
    <mergeCell ref="J68:Q68"/>
    <mergeCell ref="D69:E69"/>
    <mergeCell ref="J69:Q69"/>
    <mergeCell ref="D64:E64"/>
    <mergeCell ref="J64:Q64"/>
    <mergeCell ref="D65:E65"/>
    <mergeCell ref="J65:Q65"/>
    <mergeCell ref="D66:E66"/>
    <mergeCell ref="D67:E67"/>
    <mergeCell ref="J66:Q66"/>
    <mergeCell ref="J67:Q67"/>
    <mergeCell ref="D63:E63"/>
    <mergeCell ref="J63:Q63"/>
    <mergeCell ref="D73:E73"/>
    <mergeCell ref="D74:E74"/>
    <mergeCell ref="J74:Q74"/>
    <mergeCell ref="D70:E70"/>
    <mergeCell ref="J70:Q70"/>
    <mergeCell ref="D71:E71"/>
    <mergeCell ref="J71:Q71"/>
    <mergeCell ref="D72:E72"/>
    <mergeCell ref="J72:Q72"/>
    <mergeCell ref="D76:E76"/>
    <mergeCell ref="D75:E75"/>
    <mergeCell ref="J73:Q73"/>
    <mergeCell ref="J76:Q76"/>
    <mergeCell ref="F86:Q86"/>
    <mergeCell ref="F87:Q87"/>
    <mergeCell ref="F88:Q88"/>
    <mergeCell ref="F89:Q89"/>
    <mergeCell ref="F90:Q90"/>
    <mergeCell ref="E94:N94"/>
    <mergeCell ref="O94:Q96"/>
    <mergeCell ref="F80:Q80"/>
    <mergeCell ref="F81:Q81"/>
    <mergeCell ref="F82:Q82"/>
    <mergeCell ref="F83:Q83"/>
    <mergeCell ref="F84:Q84"/>
    <mergeCell ref="F85:Q85"/>
    <mergeCell ref="O101:Q101"/>
    <mergeCell ref="O102:Q102"/>
    <mergeCell ref="O103:Q103"/>
    <mergeCell ref="O104:Q104"/>
    <mergeCell ref="O105:Q105"/>
    <mergeCell ref="O106:Q106"/>
    <mergeCell ref="B95:D95"/>
    <mergeCell ref="C96:D96"/>
    <mergeCell ref="O97:Q97"/>
    <mergeCell ref="O98:Q98"/>
    <mergeCell ref="O99:Q99"/>
    <mergeCell ref="O100:Q100"/>
    <mergeCell ref="O113:Q113"/>
    <mergeCell ref="O114:Q114"/>
    <mergeCell ref="O115:Q115"/>
    <mergeCell ref="O116:Q116"/>
    <mergeCell ref="O107:Q107"/>
    <mergeCell ref="O108:Q108"/>
    <mergeCell ref="O109:Q109"/>
    <mergeCell ref="O110:Q110"/>
    <mergeCell ref="O111:Q111"/>
    <mergeCell ref="O112:Q112"/>
    <mergeCell ref="E118:N118"/>
    <mergeCell ref="O118:Q120"/>
    <mergeCell ref="B119:D119"/>
    <mergeCell ref="C120:D120"/>
    <mergeCell ref="O121:Q121"/>
    <mergeCell ref="O122:Q122"/>
    <mergeCell ref="O123:Q123"/>
    <mergeCell ref="O124:Q124"/>
    <mergeCell ref="O125:Q125"/>
    <mergeCell ref="O135:Q135"/>
    <mergeCell ref="O136:Q136"/>
    <mergeCell ref="O137:Q137"/>
    <mergeCell ref="O138:Q138"/>
    <mergeCell ref="O139:Q139"/>
    <mergeCell ref="O140:Q140"/>
    <mergeCell ref="O126:Q126"/>
    <mergeCell ref="O127:Q127"/>
    <mergeCell ref="O128:Q128"/>
    <mergeCell ref="O129:Q129"/>
    <mergeCell ref="O130:Q130"/>
    <mergeCell ref="O131:Q131"/>
    <mergeCell ref="O132:Q132"/>
    <mergeCell ref="O133:Q133"/>
    <mergeCell ref="O134:Q134"/>
  </mergeCells>
  <conditionalFormatting sqref="H63">
    <cfRule type="expression" dxfId="1549" priority="69">
      <formula>IF(OR(#REF!="L",#REF!="C"),TRUE,FALSE)</formula>
    </cfRule>
  </conditionalFormatting>
  <conditionalFormatting sqref="D83">
    <cfRule type="expression" dxfId="1548" priority="68">
      <formula>IF(OR(#REF!="L",#REF!="C"),TRUE,FALSE)</formula>
    </cfRule>
  </conditionalFormatting>
  <conditionalFormatting sqref="H64">
    <cfRule type="expression" dxfId="1547" priority="67">
      <formula>IF(OR(#REF!="L",#REF!="C"),TRUE,FALSE)</formula>
    </cfRule>
  </conditionalFormatting>
  <conditionalFormatting sqref="H74">
    <cfRule type="expression" dxfId="1546" priority="65">
      <formula>IF(OR(#REF!="L",#REF!="C"),TRUE,FALSE)</formula>
    </cfRule>
  </conditionalFormatting>
  <conditionalFormatting sqref="F109:F116 G102:G116 H104:H116">
    <cfRule type="expression" dxfId="1545" priority="63">
      <formula>IF(OR(#REF!="L",#REF!="C"),TRUE,FALSE)</formula>
    </cfRule>
  </conditionalFormatting>
  <conditionalFormatting sqref="E106">
    <cfRule type="expression" dxfId="1544" priority="58">
      <formula>IF(OR(#REF!="L",#REF!="C"),TRUE,FALSE)</formula>
    </cfRule>
  </conditionalFormatting>
  <conditionalFormatting sqref="E110:E116">
    <cfRule type="expression" dxfId="1543" priority="62">
      <formula>IF(OR(#REF!="L",#REF!="C"),TRUE,FALSE)</formula>
    </cfRule>
  </conditionalFormatting>
  <conditionalFormatting sqref="E107">
    <cfRule type="expression" dxfId="1542" priority="61">
      <formula>IF(OR(#REF!="L",#REF!="C"),TRUE,FALSE)</formula>
    </cfRule>
  </conditionalFormatting>
  <conditionalFormatting sqref="E108">
    <cfRule type="expression" dxfId="1541" priority="60">
      <formula>IF(OR(#REF!="L",#REF!="C"),TRUE,FALSE)</formula>
    </cfRule>
  </conditionalFormatting>
  <conditionalFormatting sqref="E109">
    <cfRule type="expression" dxfId="1540" priority="59">
      <formula>IF(OR(#REF!="L",#REF!="C"),TRUE,FALSE)</formula>
    </cfRule>
  </conditionalFormatting>
  <conditionalFormatting sqref="E95 G95 I95 K95 M95">
    <cfRule type="duplicateValues" dxfId="1539" priority="57"/>
  </conditionalFormatting>
  <conditionalFormatting sqref="M104:M116">
    <cfRule type="expression" dxfId="1538" priority="47">
      <formula>IF(OR(#REF!="L",#REF!="C"),TRUE,FALSE)</formula>
    </cfRule>
  </conditionalFormatting>
  <conditionalFormatting sqref="F102:F106">
    <cfRule type="expression" dxfId="1537" priority="56">
      <formula>IF(OR(#REF!="L",#REF!="C"),TRUE,FALSE)</formula>
    </cfRule>
  </conditionalFormatting>
  <conditionalFormatting sqref="I102:I103">
    <cfRule type="expression" dxfId="1536" priority="54">
      <formula>IF(OR(#REF!="L",#REF!="C"),TRUE,FALSE)</formula>
    </cfRule>
  </conditionalFormatting>
  <conditionalFormatting sqref="N102:N103">
    <cfRule type="expression" dxfId="1535" priority="44">
      <formula>IF(OR(#REF!="L",#REF!="C"),TRUE,FALSE)</formula>
    </cfRule>
  </conditionalFormatting>
  <conditionalFormatting sqref="I104:I116">
    <cfRule type="expression" dxfId="1534" priority="55">
      <formula>IF(OR(#REF!="L",#REF!="C"),TRUE,FALSE)</formula>
    </cfRule>
  </conditionalFormatting>
  <conditionalFormatting sqref="J102:J103">
    <cfRule type="expression" dxfId="1533" priority="52">
      <formula>IF(OR(#REF!="L",#REF!="C"),TRUE,FALSE)</formula>
    </cfRule>
  </conditionalFormatting>
  <conditionalFormatting sqref="J104:J116">
    <cfRule type="expression" dxfId="1532" priority="53">
      <formula>IF(OR(#REF!="L",#REF!="C"),TRUE,FALSE)</formula>
    </cfRule>
  </conditionalFormatting>
  <conditionalFormatting sqref="K102:K103">
    <cfRule type="expression" dxfId="1531" priority="50">
      <formula>IF(OR(#REF!="L",#REF!="C"),TRUE,FALSE)</formula>
    </cfRule>
  </conditionalFormatting>
  <conditionalFormatting sqref="K104:K116">
    <cfRule type="expression" dxfId="1530" priority="51">
      <formula>IF(OR(#REF!="L",#REF!="C"),TRUE,FALSE)</formula>
    </cfRule>
  </conditionalFormatting>
  <conditionalFormatting sqref="L102:L103">
    <cfRule type="expression" dxfId="1529" priority="48">
      <formula>IF(OR(#REF!="L",#REF!="C"),TRUE,FALSE)</formula>
    </cfRule>
  </conditionalFormatting>
  <conditionalFormatting sqref="L104:L116">
    <cfRule type="expression" dxfId="1528" priority="49">
      <formula>IF(OR(#REF!="L",#REF!="C"),TRUE,FALSE)</formula>
    </cfRule>
  </conditionalFormatting>
  <conditionalFormatting sqref="M102:M103">
    <cfRule type="expression" dxfId="1527" priority="46">
      <formula>IF(OR(#REF!="L",#REF!="C"),TRUE,FALSE)</formula>
    </cfRule>
  </conditionalFormatting>
  <conditionalFormatting sqref="N104:N116">
    <cfRule type="expression" dxfId="1526" priority="45">
      <formula>IF(OR(#REF!="L",#REF!="C"),TRUE,FALSE)</formula>
    </cfRule>
  </conditionalFormatting>
  <conditionalFormatting sqref="O102:O103">
    <cfRule type="expression" dxfId="1525" priority="41">
      <formula>IF(OR(#REF!="L",#REF!="C"),TRUE,FALSE)</formula>
    </cfRule>
  </conditionalFormatting>
  <conditionalFormatting sqref="O104:O116">
    <cfRule type="expression" dxfId="1524" priority="42">
      <formula>IF(OR(#REF!="L",#REF!="C"),TRUE,FALSE)</formula>
    </cfRule>
  </conditionalFormatting>
  <conditionalFormatting sqref="E96:N96">
    <cfRule type="duplicateValues" dxfId="1523" priority="40"/>
  </conditionalFormatting>
  <conditionalFormatting sqref="H66:H67 H75 H70:H73 D82">
    <cfRule type="expression" dxfId="1522" priority="35">
      <formula>IF(OR(#REF!="L",#REF!="C"),TRUE,FALSE)</formula>
    </cfRule>
  </conditionalFormatting>
  <conditionalFormatting sqref="H68">
    <cfRule type="expression" dxfId="1521" priority="37">
      <formula>IF(OR(#REF!="L",#REF!="C"),TRUE,FALSE)</formula>
    </cfRule>
  </conditionalFormatting>
  <conditionalFormatting sqref="H69">
    <cfRule type="expression" dxfId="1520" priority="36">
      <formula>IF(OR(#REF!="L",#REF!="C"),TRUE,FALSE)</formula>
    </cfRule>
  </conditionalFormatting>
  <conditionalFormatting sqref="H75">
    <cfRule type="expression" dxfId="1519" priority="33">
      <formula>IF(OR(#REF!="L",#REF!="C"),TRUE,FALSE)</formula>
    </cfRule>
  </conditionalFormatting>
  <conditionalFormatting sqref="H65">
    <cfRule type="expression" dxfId="1518" priority="29">
      <formula>IF(OR(#REF!="L",#REF!="C"),TRUE,FALSE)</formula>
    </cfRule>
  </conditionalFormatting>
  <conditionalFormatting sqref="H65">
    <cfRule type="expression" dxfId="1517" priority="28">
      <formula>IF(OR(#REF!="L",#REF!="C"),TRUE,FALSE)</formula>
    </cfRule>
  </conditionalFormatting>
  <conditionalFormatting sqref="F133:F140 G126:G140 H128:H140">
    <cfRule type="expression" dxfId="1516" priority="27">
      <formula>IF(OR(#REF!="L",#REF!="C"),TRUE,FALSE)</formula>
    </cfRule>
  </conditionalFormatting>
  <conditionalFormatting sqref="E130">
    <cfRule type="expression" dxfId="1515" priority="22">
      <formula>IF(OR(#REF!="L",#REF!="C"),TRUE,FALSE)</formula>
    </cfRule>
  </conditionalFormatting>
  <conditionalFormatting sqref="E134:E140">
    <cfRule type="expression" dxfId="1514" priority="26">
      <formula>IF(OR(#REF!="L",#REF!="C"),TRUE,FALSE)</formula>
    </cfRule>
  </conditionalFormatting>
  <conditionalFormatting sqref="E131">
    <cfRule type="expression" dxfId="1513" priority="25">
      <formula>IF(OR(#REF!="L",#REF!="C"),TRUE,FALSE)</formula>
    </cfRule>
  </conditionalFormatting>
  <conditionalFormatting sqref="E132">
    <cfRule type="expression" dxfId="1512" priority="24">
      <formula>IF(OR(#REF!="L",#REF!="C"),TRUE,FALSE)</formula>
    </cfRule>
  </conditionalFormatting>
  <conditionalFormatting sqref="E133">
    <cfRule type="expression" dxfId="1511" priority="23">
      <formula>IF(OR(#REF!="L",#REF!="C"),TRUE,FALSE)</formula>
    </cfRule>
  </conditionalFormatting>
  <conditionalFormatting sqref="E119 G119 I119 K119 M119">
    <cfRule type="duplicateValues" dxfId="1510" priority="21"/>
  </conditionalFormatting>
  <conditionalFormatting sqref="M128:M140">
    <cfRule type="expression" dxfId="1509" priority="11">
      <formula>IF(OR(#REF!="L",#REF!="C"),TRUE,FALSE)</formula>
    </cfRule>
  </conditionalFormatting>
  <conditionalFormatting sqref="F126:F130">
    <cfRule type="expression" dxfId="1508" priority="20">
      <formula>IF(OR(#REF!="L",#REF!="C"),TRUE,FALSE)</formula>
    </cfRule>
  </conditionalFormatting>
  <conditionalFormatting sqref="I126:I127">
    <cfRule type="expression" dxfId="1507" priority="18">
      <formula>IF(OR(#REF!="L",#REF!="C"),TRUE,FALSE)</formula>
    </cfRule>
  </conditionalFormatting>
  <conditionalFormatting sqref="N126:N127">
    <cfRule type="expression" dxfId="1506" priority="8">
      <formula>IF(OR(#REF!="L",#REF!="C"),TRUE,FALSE)</formula>
    </cfRule>
  </conditionalFormatting>
  <conditionalFormatting sqref="I128:I140">
    <cfRule type="expression" dxfId="1505" priority="19">
      <formula>IF(OR(#REF!="L",#REF!="C"),TRUE,FALSE)</formula>
    </cfRule>
  </conditionalFormatting>
  <conditionalFormatting sqref="J126:J127">
    <cfRule type="expression" dxfId="1504" priority="16">
      <formula>IF(OR(#REF!="L",#REF!="C"),TRUE,FALSE)</formula>
    </cfRule>
  </conditionalFormatting>
  <conditionalFormatting sqref="J128:J140">
    <cfRule type="expression" dxfId="1503" priority="17">
      <formula>IF(OR(#REF!="L",#REF!="C"),TRUE,FALSE)</formula>
    </cfRule>
  </conditionalFormatting>
  <conditionalFormatting sqref="K126:K127">
    <cfRule type="expression" dxfId="1502" priority="14">
      <formula>IF(OR(#REF!="L",#REF!="C"),TRUE,FALSE)</formula>
    </cfRule>
  </conditionalFormatting>
  <conditionalFormatting sqref="K128:K140">
    <cfRule type="expression" dxfId="1501" priority="15">
      <formula>IF(OR(#REF!="L",#REF!="C"),TRUE,FALSE)</formula>
    </cfRule>
  </conditionalFormatting>
  <conditionalFormatting sqref="L126:L127">
    <cfRule type="expression" dxfId="1500" priority="12">
      <formula>IF(OR(#REF!="L",#REF!="C"),TRUE,FALSE)</formula>
    </cfRule>
  </conditionalFormatting>
  <conditionalFormatting sqref="L128:L140">
    <cfRule type="expression" dxfId="1499" priority="13">
      <formula>IF(OR(#REF!="L",#REF!="C"),TRUE,FALSE)</formula>
    </cfRule>
  </conditionalFormatting>
  <conditionalFormatting sqref="M126:M127">
    <cfRule type="expression" dxfId="1498" priority="10">
      <formula>IF(OR(#REF!="L",#REF!="C"),TRUE,FALSE)</formula>
    </cfRule>
  </conditionalFormatting>
  <conditionalFormatting sqref="N128:N140">
    <cfRule type="expression" dxfId="1497" priority="9">
      <formula>IF(OR(#REF!="L",#REF!="C"),TRUE,FALSE)</formula>
    </cfRule>
  </conditionalFormatting>
  <conditionalFormatting sqref="O126:O127">
    <cfRule type="expression" dxfId="1496" priority="6">
      <formula>IF(OR(#REF!="L",#REF!="C"),TRUE,FALSE)</formula>
    </cfRule>
  </conditionalFormatting>
  <conditionalFormatting sqref="O128:O140">
    <cfRule type="expression" dxfId="1495" priority="7">
      <formula>IF(OR(#REF!="L",#REF!="C"),TRUE,FALSE)</formula>
    </cfRule>
  </conditionalFormatting>
  <conditionalFormatting sqref="E120:N120">
    <cfRule type="duplicateValues" dxfId="1494" priority="5"/>
  </conditionalFormatting>
  <conditionalFormatting sqref="H62">
    <cfRule type="expression" dxfId="1493" priority="4">
      <formula>IF(OR(#REF!="L",#REF!="C"),TRUE,FALSE)</formula>
    </cfRule>
  </conditionalFormatting>
  <conditionalFormatting sqref="H76">
    <cfRule type="expression" dxfId="1492" priority="2">
      <formula>IF(OR(#REF!="L",#REF!="C"),TRUE,FALSE)</formula>
    </cfRule>
  </conditionalFormatting>
  <conditionalFormatting sqref="H76">
    <cfRule type="expression" dxfId="1491" priority="1">
      <formula>IF(OR(#REF!="L",#REF!="C"),TRUE,FALSE)</formula>
    </cfRule>
  </conditionalFormatting>
  <dataValidations count="6">
    <dataValidation type="list" allowBlank="1" showInputMessage="1" showErrorMessage="1" sqref="C4" xr:uid="{0A69A29B-E6D6-4C72-A85E-F1DAEA545378}">
      <formula1>"COM,RES"</formula1>
    </dataValidation>
    <dataValidation type="list" allowBlank="1" showInputMessage="1" showErrorMessage="1" sqref="C9" xr:uid="{E84FCCFF-E6C2-4786-8523-E9943C4DA6ED}">
      <formula1>INDIRECT("MeasureTypeList[Index]")</formula1>
    </dataValidation>
    <dataValidation type="list" allowBlank="1" showInputMessage="1" showErrorMessage="1" sqref="C26" xr:uid="{26BBA6A9-262A-4B54-8FE6-17F67F949E00}">
      <formula1>INDIRECT("RegionList[Index]")</formula1>
    </dataValidation>
    <dataValidation type="list" allowBlank="1" showInputMessage="1" showErrorMessage="1" sqref="C27" xr:uid="{7E971824-5E50-482E-B369-5C00DD149681}">
      <formula1>INDIRECT("ReplacementTypeList[Index]")</formula1>
    </dataValidation>
    <dataValidation type="list" allowBlank="1" showInputMessage="1" showErrorMessage="1" sqref="C28" xr:uid="{A09035D1-68BA-4412-8628-93CF40039391}">
      <formula1>INDIRECT("BuildingType[Building]")</formula1>
    </dataValidation>
    <dataValidation type="list" allowBlank="1" showInputMessage="1" showErrorMessage="1" sqref="C29 C30" xr:uid="{30F12DC0-C737-4CD3-A410-9552EE7104F8}">
      <formula1>INDIRECT("FuelTypeList[Index]")</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4CC87E3-C09A-45E7-A360-32134EF3B76D}">
          <x14:formula1>
            <xm:f>'Climate Data'!$B$286:$B$291</xm:f>
          </x14:formula1>
          <xm:sqref>H64</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30873-CA79-4C7F-9CB2-11256CDD82C4}">
  <sheetPr codeName="Sheet51"/>
  <dimension ref="A2:R116"/>
  <sheetViews>
    <sheetView workbookViewId="0"/>
  </sheetViews>
  <sheetFormatPr defaultColWidth="9.08984375" defaultRowHeight="18.75" customHeight="1" x14ac:dyDescent="0.3"/>
  <cols>
    <col min="1" max="1" width="2.36328125" style="488" customWidth="1"/>
    <col min="2" max="2" width="40.26953125" style="488" customWidth="1"/>
    <col min="3" max="3" width="26.7265625" style="488" customWidth="1"/>
    <col min="4" max="4" width="21.6328125" style="488" customWidth="1"/>
    <col min="5" max="5" width="18" style="488" customWidth="1"/>
    <col min="6" max="6" width="15.6328125" style="488" customWidth="1"/>
    <col min="7" max="7" width="19.6328125" style="488" customWidth="1"/>
    <col min="8" max="8" width="16"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C-WB-002</v>
      </c>
      <c r="D3" s="1367"/>
      <c r="E3" s="1367"/>
      <c r="F3" s="1367"/>
    </row>
    <row r="4" spans="1:18" ht="18.75" customHeight="1" x14ac:dyDescent="0.3">
      <c r="B4" s="490" t="s">
        <v>11</v>
      </c>
      <c r="C4" s="1367" t="str" cm="1">
        <f t="array" ref="C4">_xlfn.SWITCH(LEFT(C8,1),"R","Residential","C","Commercial","ERROR")</f>
        <v>Commercial</v>
      </c>
      <c r="D4" s="1367"/>
      <c r="E4" s="1367"/>
      <c r="F4" s="1367"/>
    </row>
    <row r="5" spans="1:18" ht="19.5" customHeight="1" x14ac:dyDescent="0.3">
      <c r="B5" s="490" t="s">
        <v>408</v>
      </c>
      <c r="C5" s="1530" t="s">
        <v>322</v>
      </c>
      <c r="D5" s="1531"/>
      <c r="E5" s="1531"/>
      <c r="F5" s="1532"/>
      <c r="R5" s="488"/>
    </row>
    <row r="6" spans="1:18" ht="18.75" customHeight="1" x14ac:dyDescent="0.3">
      <c r="A6" s="573"/>
    </row>
    <row r="7" spans="1:18" ht="18.75" customHeight="1" x14ac:dyDescent="0.3">
      <c r="B7" s="1193" t="s">
        <v>409</v>
      </c>
      <c r="C7" s="1192" t="s">
        <v>406</v>
      </c>
      <c r="D7" s="1363" t="s">
        <v>410</v>
      </c>
      <c r="E7" s="1363"/>
      <c r="F7" s="1363"/>
      <c r="R7" s="488"/>
    </row>
    <row r="8" spans="1:18" ht="18.75" customHeight="1" x14ac:dyDescent="0.3">
      <c r="B8" s="490" t="s">
        <v>411</v>
      </c>
      <c r="C8" s="1218" t="s">
        <v>150</v>
      </c>
      <c r="D8" s="1957"/>
      <c r="E8" s="1957"/>
      <c r="F8" s="1957"/>
      <c r="R8" s="488"/>
    </row>
    <row r="9" spans="1:18" ht="18.75" customHeight="1" x14ac:dyDescent="0.3">
      <c r="B9" s="490" t="s">
        <v>49</v>
      </c>
      <c r="C9" s="1218" t="s">
        <v>891</v>
      </c>
      <c r="D9" s="1957"/>
      <c r="E9" s="1957"/>
      <c r="F9" s="1957"/>
      <c r="R9" s="488"/>
    </row>
    <row r="10" spans="1:18" ht="18.75" customHeight="1" x14ac:dyDescent="0.3">
      <c r="B10" s="490" t="s">
        <v>412</v>
      </c>
      <c r="C10" s="1218"/>
      <c r="D10" s="1957"/>
      <c r="E10" s="1957"/>
      <c r="F10" s="1957"/>
      <c r="R10" s="488"/>
    </row>
    <row r="11" spans="1:18" ht="18.75" customHeight="1" x14ac:dyDescent="0.3">
      <c r="B11" s="490" t="s">
        <v>413</v>
      </c>
      <c r="C11" s="1218"/>
      <c r="D11" s="1957"/>
      <c r="E11" s="1957"/>
      <c r="F11" s="1957"/>
      <c r="R11" s="488"/>
    </row>
    <row r="12" spans="1:18" ht="18.75" customHeight="1" x14ac:dyDescent="0.3">
      <c r="B12" s="490" t="s">
        <v>414</v>
      </c>
      <c r="C12" s="665"/>
      <c r="D12" s="1957"/>
      <c r="E12" s="1957"/>
      <c r="F12" s="1957"/>
      <c r="R12" s="488"/>
    </row>
    <row r="13" spans="1:18" ht="18.75" customHeight="1" x14ac:dyDescent="0.3">
      <c r="B13" s="494" t="s">
        <v>415</v>
      </c>
      <c r="C13" s="658">
        <f>N43</f>
        <v>0</v>
      </c>
      <c r="D13" s="1957"/>
      <c r="E13" s="1957"/>
      <c r="F13" s="1957"/>
      <c r="R13" s="488"/>
    </row>
    <row r="14" spans="1:18" ht="18.75" customHeight="1" x14ac:dyDescent="0.3">
      <c r="B14" s="494" t="s">
        <v>416</v>
      </c>
      <c r="C14" s="658">
        <f>N42</f>
        <v>0</v>
      </c>
      <c r="D14" s="1957"/>
      <c r="E14" s="1957"/>
      <c r="F14" s="1957"/>
      <c r="R14" s="488"/>
    </row>
    <row r="15" spans="1:18" ht="18.75" customHeight="1" x14ac:dyDescent="0.3">
      <c r="B15" s="494" t="s">
        <v>417</v>
      </c>
      <c r="C15" s="658">
        <f>N44</f>
        <v>0</v>
      </c>
      <c r="D15" s="1957"/>
      <c r="E15" s="1957"/>
      <c r="F15" s="1957"/>
      <c r="R15" s="488"/>
    </row>
    <row r="16" spans="1:18" ht="18.75" customHeight="1" x14ac:dyDescent="0.3">
      <c r="B16" s="494" t="s">
        <v>418</v>
      </c>
      <c r="C16" s="659">
        <f>C37</f>
        <v>0</v>
      </c>
      <c r="D16" s="1957"/>
      <c r="E16" s="1957"/>
      <c r="F16" s="1957"/>
      <c r="R16" s="488"/>
    </row>
    <row r="17" spans="2:18" ht="18.75" customHeight="1" x14ac:dyDescent="0.3">
      <c r="B17" s="490" t="s">
        <v>48</v>
      </c>
      <c r="C17" s="1218" t="s">
        <v>673</v>
      </c>
      <c r="D17" s="1363" t="s">
        <v>419</v>
      </c>
      <c r="E17" s="1363"/>
      <c r="F17" s="1363"/>
      <c r="R17" s="488"/>
    </row>
    <row r="18" spans="2:18" ht="18.75" customHeight="1" x14ac:dyDescent="0.3">
      <c r="B18" s="490" t="s">
        <v>420</v>
      </c>
      <c r="C18" s="666">
        <v>15</v>
      </c>
      <c r="D18" s="2026" t="s">
        <v>674</v>
      </c>
      <c r="E18" s="2026"/>
      <c r="F18" s="2026"/>
      <c r="R18" s="488"/>
    </row>
    <row r="19" spans="2:18" ht="18.75" customHeight="1" x14ac:dyDescent="0.3">
      <c r="B19" s="497"/>
      <c r="C19" s="576"/>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36.75" customHeight="1" x14ac:dyDescent="0.3">
      <c r="B21" s="499" t="s">
        <v>422</v>
      </c>
      <c r="C21" s="1546" t="s">
        <v>323</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36" t="s">
        <v>324</v>
      </c>
      <c r="D22" s="1536"/>
      <c r="E22" s="1536"/>
      <c r="F22" s="1536"/>
      <c r="G22" s="1536"/>
      <c r="H22" s="1536"/>
      <c r="I22" s="1536"/>
      <c r="J22" s="1536"/>
      <c r="K22" s="1536"/>
      <c r="L22" s="1536"/>
      <c r="M22" s="1536"/>
      <c r="N22" s="1536"/>
      <c r="O22" s="1536"/>
      <c r="P22" s="1536"/>
      <c r="Q22" s="1536"/>
      <c r="R22" s="488"/>
    </row>
    <row r="23" spans="2:18" ht="18.75" customHeight="1" x14ac:dyDescent="0.3">
      <c r="B23" s="500" t="s">
        <v>424</v>
      </c>
      <c r="C23" s="1440"/>
      <c r="D23" s="1440"/>
      <c r="E23" s="1440"/>
      <c r="F23" s="1440"/>
      <c r="G23" s="1440"/>
      <c r="H23" s="1440"/>
      <c r="I23" s="1440"/>
      <c r="J23" s="1440"/>
      <c r="K23" s="1440"/>
      <c r="L23" s="1440"/>
      <c r="M23" s="1440"/>
      <c r="N23" s="1440"/>
      <c r="O23" s="1440"/>
      <c r="P23" s="1440"/>
      <c r="Q23" s="1440"/>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512"/>
      <c r="F33" s="1512"/>
      <c r="G33" s="1512"/>
      <c r="H33" s="1512"/>
      <c r="I33" s="1512"/>
      <c r="J33" s="1512"/>
      <c r="K33" s="1512"/>
      <c r="L33" s="1512"/>
      <c r="M33" s="1512"/>
      <c r="N33" s="1512"/>
      <c r="O33" s="1512"/>
      <c r="P33" s="1512"/>
      <c r="Q33" s="1512"/>
      <c r="R33" s="488"/>
    </row>
    <row r="34" spans="2:18" ht="18.75" customHeight="1" x14ac:dyDescent="0.3">
      <c r="B34" s="494" t="s">
        <v>431</v>
      </c>
      <c r="C34" s="542"/>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905"/>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905">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0</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1004</v>
      </c>
      <c r="D49" s="1505"/>
      <c r="E49" s="1505"/>
      <c r="F49" s="1505"/>
      <c r="G49" s="1505"/>
      <c r="H49" s="1505"/>
      <c r="I49" s="1505"/>
      <c r="J49" s="1505"/>
      <c r="K49" s="1505"/>
      <c r="L49" s="1505"/>
      <c r="M49" s="1506"/>
      <c r="N49" s="592"/>
      <c r="O49" s="1243" t="s">
        <v>443</v>
      </c>
      <c r="P49" s="1511"/>
      <c r="Q49" s="1511"/>
      <c r="R49" s="488"/>
    </row>
    <row r="50" spans="2:18" ht="18.75" customHeight="1" x14ac:dyDescent="0.3">
      <c r="B50" s="582" t="s">
        <v>456</v>
      </c>
      <c r="C50" s="1504" t="s">
        <v>1005</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467</v>
      </c>
      <c r="D56" s="1505"/>
      <c r="E56" s="1505"/>
      <c r="F56" s="1505"/>
      <c r="G56" s="1505"/>
      <c r="H56" s="1505"/>
      <c r="I56" s="1505"/>
      <c r="J56" s="1505"/>
      <c r="K56" s="1505"/>
      <c r="L56" s="1505"/>
      <c r="M56" s="1506"/>
      <c r="N56" s="594"/>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765</v>
      </c>
      <c r="H61" s="506" t="s">
        <v>406</v>
      </c>
      <c r="I61" s="506" t="s">
        <v>428</v>
      </c>
      <c r="J61" s="1396" t="s">
        <v>476</v>
      </c>
      <c r="K61" s="1397"/>
      <c r="L61" s="1397"/>
      <c r="M61" s="1397"/>
      <c r="N61" s="1397"/>
      <c r="O61" s="1397"/>
      <c r="P61" s="1397"/>
      <c r="Q61" s="1398"/>
    </row>
    <row r="62" spans="2:18" ht="15" customHeight="1" x14ac:dyDescent="0.3">
      <c r="B62" s="719">
        <v>1</v>
      </c>
      <c r="C62" s="1069"/>
      <c r="D62" s="2027"/>
      <c r="E62" s="2027"/>
      <c r="F62" s="1070"/>
      <c r="G62" s="1070"/>
      <c r="H62" s="1071"/>
      <c r="I62" s="1070"/>
      <c r="J62" s="2028"/>
      <c r="K62" s="2029"/>
      <c r="L62" s="2029"/>
      <c r="M62" s="2029"/>
      <c r="N62" s="2029"/>
      <c r="O62" s="2029"/>
      <c r="P62" s="2029"/>
      <c r="Q62" s="2030"/>
      <c r="R62" s="488"/>
    </row>
    <row r="63" spans="2:18" ht="15" customHeight="1" x14ac:dyDescent="0.3">
      <c r="B63" s="719">
        <v>2</v>
      </c>
      <c r="C63" s="1069"/>
      <c r="D63" s="2027"/>
      <c r="E63" s="2027"/>
      <c r="F63" s="1070"/>
      <c r="G63" s="1070"/>
      <c r="H63" s="1071"/>
      <c r="I63" s="1070"/>
      <c r="J63" s="2028"/>
      <c r="K63" s="2029"/>
      <c r="L63" s="2029"/>
      <c r="M63" s="2029"/>
      <c r="N63" s="2029"/>
      <c r="O63" s="2029"/>
      <c r="P63" s="2029"/>
      <c r="Q63" s="2030"/>
      <c r="R63" s="488"/>
    </row>
    <row r="64" spans="2:18" ht="15" customHeight="1" x14ac:dyDescent="0.3">
      <c r="B64" s="719">
        <v>3</v>
      </c>
      <c r="C64" s="1069"/>
      <c r="D64" s="2027"/>
      <c r="E64" s="2027"/>
      <c r="F64" s="1070"/>
      <c r="G64" s="1070"/>
      <c r="H64" s="1071"/>
      <c r="I64" s="1070"/>
      <c r="J64" s="2028"/>
      <c r="K64" s="2029"/>
      <c r="L64" s="2029"/>
      <c r="M64" s="2029"/>
      <c r="N64" s="2029"/>
      <c r="O64" s="2029"/>
      <c r="P64" s="2029"/>
      <c r="Q64" s="2030"/>
      <c r="R64" s="488"/>
    </row>
    <row r="65" spans="2:18" ht="15" customHeight="1" x14ac:dyDescent="0.3">
      <c r="B65" s="719">
        <v>4</v>
      </c>
      <c r="C65" s="1069"/>
      <c r="D65" s="2027"/>
      <c r="E65" s="2027"/>
      <c r="F65" s="1070"/>
      <c r="G65" s="1070"/>
      <c r="H65" s="1071"/>
      <c r="I65" s="1070"/>
      <c r="J65" s="2028"/>
      <c r="K65" s="2029"/>
      <c r="L65" s="2029"/>
      <c r="M65" s="2029"/>
      <c r="N65" s="2029"/>
      <c r="O65" s="2029"/>
      <c r="P65" s="2029"/>
      <c r="Q65" s="2030"/>
      <c r="R65" s="488"/>
    </row>
    <row r="66" spans="2:18" ht="15" customHeight="1" x14ac:dyDescent="0.3">
      <c r="B66" s="719">
        <v>5</v>
      </c>
      <c r="C66" s="1069"/>
      <c r="D66" s="2027"/>
      <c r="E66" s="2027"/>
      <c r="F66" s="1070"/>
      <c r="G66" s="1070"/>
      <c r="H66" s="1071"/>
      <c r="I66" s="1070"/>
      <c r="J66" s="2028"/>
      <c r="K66" s="2029"/>
      <c r="L66" s="2029"/>
      <c r="M66" s="2029"/>
      <c r="N66" s="2029"/>
      <c r="O66" s="2029"/>
      <c r="P66" s="2029"/>
      <c r="Q66" s="2030"/>
      <c r="R66" s="488"/>
    </row>
    <row r="67" spans="2:18" ht="15" customHeight="1" x14ac:dyDescent="0.3">
      <c r="B67" s="719">
        <v>6</v>
      </c>
      <c r="C67" s="1069"/>
      <c r="D67" s="2027"/>
      <c r="E67" s="2027"/>
      <c r="F67" s="1070"/>
      <c r="G67" s="1070"/>
      <c r="H67" s="1071"/>
      <c r="I67" s="1070"/>
      <c r="J67" s="2028"/>
      <c r="K67" s="2029"/>
      <c r="L67" s="2029"/>
      <c r="M67" s="2029"/>
      <c r="N67" s="2029"/>
      <c r="O67" s="2029"/>
      <c r="P67" s="2029"/>
      <c r="Q67" s="2030"/>
      <c r="R67" s="488"/>
    </row>
    <row r="68" spans="2:18" ht="15" customHeight="1" x14ac:dyDescent="0.3">
      <c r="B68" s="719">
        <v>7</v>
      </c>
      <c r="C68" s="1069"/>
      <c r="D68" s="2027"/>
      <c r="E68" s="2027"/>
      <c r="F68" s="1070"/>
      <c r="G68" s="1070"/>
      <c r="H68" s="1071"/>
      <c r="I68" s="1070"/>
      <c r="J68" s="2028"/>
      <c r="K68" s="2029"/>
      <c r="L68" s="2029"/>
      <c r="M68" s="2029"/>
      <c r="N68" s="2029"/>
      <c r="O68" s="2029"/>
      <c r="P68" s="2029"/>
      <c r="Q68" s="2030"/>
      <c r="R68" s="488"/>
    </row>
    <row r="69" spans="2:18" ht="15" customHeight="1" x14ac:dyDescent="0.3">
      <c r="B69" s="719">
        <v>8</v>
      </c>
      <c r="C69" s="1069"/>
      <c r="D69" s="2027"/>
      <c r="E69" s="2027"/>
      <c r="F69" s="1070"/>
      <c r="G69" s="1070"/>
      <c r="H69" s="1071"/>
      <c r="I69" s="1070"/>
      <c r="J69" s="2028"/>
      <c r="K69" s="2029"/>
      <c r="L69" s="2029"/>
      <c r="M69" s="2029"/>
      <c r="N69" s="2029"/>
      <c r="O69" s="2029"/>
      <c r="P69" s="2029"/>
      <c r="Q69" s="2030"/>
      <c r="R69" s="488"/>
    </row>
    <row r="70" spans="2:18" ht="15" customHeight="1" x14ac:dyDescent="0.3">
      <c r="B70" s="719">
        <v>9</v>
      </c>
      <c r="C70" s="1069"/>
      <c r="D70" s="2027"/>
      <c r="E70" s="2027"/>
      <c r="F70" s="1070"/>
      <c r="G70" s="1070"/>
      <c r="H70" s="1071"/>
      <c r="I70" s="1070"/>
      <c r="J70" s="2028"/>
      <c r="K70" s="2029"/>
      <c r="L70" s="2029"/>
      <c r="M70" s="2029"/>
      <c r="N70" s="2029"/>
      <c r="O70" s="2029"/>
      <c r="P70" s="2029"/>
      <c r="Q70" s="2030"/>
      <c r="R70" s="488"/>
    </row>
    <row r="71" spans="2:18" ht="15" customHeight="1" x14ac:dyDescent="0.3">
      <c r="B71" s="719">
        <v>10</v>
      </c>
      <c r="C71" s="1069"/>
      <c r="D71" s="2027"/>
      <c r="E71" s="2027"/>
      <c r="F71" s="1070"/>
      <c r="G71" s="1070"/>
      <c r="H71" s="1071"/>
      <c r="I71" s="1070"/>
      <c r="J71" s="2028"/>
      <c r="K71" s="2029"/>
      <c r="L71" s="2029"/>
      <c r="M71" s="2029"/>
      <c r="N71" s="2029"/>
      <c r="O71" s="2029"/>
      <c r="P71" s="2029"/>
      <c r="Q71" s="2030"/>
      <c r="R71" s="488"/>
    </row>
    <row r="72" spans="2:18" ht="15" customHeight="1" x14ac:dyDescent="0.3">
      <c r="B72" s="719">
        <v>11</v>
      </c>
      <c r="C72" s="1069"/>
      <c r="D72" s="2027"/>
      <c r="E72" s="2027"/>
      <c r="F72" s="1070"/>
      <c r="G72" s="1070"/>
      <c r="H72" s="1071"/>
      <c r="I72" s="1070"/>
      <c r="J72" s="2028"/>
      <c r="K72" s="2029"/>
      <c r="L72" s="2029"/>
      <c r="M72" s="2029"/>
      <c r="N72" s="2029"/>
      <c r="O72" s="2029"/>
      <c r="P72" s="2029"/>
      <c r="Q72" s="2030"/>
      <c r="R72" s="488"/>
    </row>
    <row r="73" spans="2:18" ht="15" customHeight="1" x14ac:dyDescent="0.3">
      <c r="B73" s="719">
        <v>12</v>
      </c>
      <c r="C73" s="1069"/>
      <c r="D73" s="2027"/>
      <c r="E73" s="2027"/>
      <c r="F73" s="1070"/>
      <c r="G73" s="1070"/>
      <c r="H73" s="1071"/>
      <c r="I73" s="1070"/>
      <c r="J73" s="2028"/>
      <c r="K73" s="2029"/>
      <c r="L73" s="2029"/>
      <c r="M73" s="2029"/>
      <c r="N73" s="2029"/>
      <c r="O73" s="2029"/>
      <c r="P73" s="2029"/>
      <c r="Q73" s="2030"/>
      <c r="R73" s="488"/>
    </row>
    <row r="74" spans="2:18" ht="15" customHeight="1" x14ac:dyDescent="0.3">
      <c r="B74" s="719">
        <v>13</v>
      </c>
      <c r="C74" s="1069"/>
      <c r="D74" s="2027"/>
      <c r="E74" s="2027"/>
      <c r="F74" s="1070"/>
      <c r="G74" s="1070"/>
      <c r="H74" s="1071"/>
      <c r="I74" s="1070"/>
      <c r="J74" s="2028"/>
      <c r="K74" s="2029"/>
      <c r="L74" s="2029"/>
      <c r="M74" s="2029"/>
      <c r="N74" s="2029"/>
      <c r="O74" s="2029"/>
      <c r="P74" s="2029"/>
      <c r="Q74" s="2030"/>
      <c r="R74" s="488"/>
    </row>
    <row r="75" spans="2:18" ht="15" customHeight="1" x14ac:dyDescent="0.3">
      <c r="B75" s="719">
        <v>14</v>
      </c>
      <c r="C75" s="1069"/>
      <c r="D75" s="2027"/>
      <c r="E75" s="2027"/>
      <c r="F75" s="1070"/>
      <c r="G75" s="1070"/>
      <c r="H75" s="1071"/>
      <c r="I75" s="1070"/>
      <c r="J75" s="2028"/>
      <c r="K75" s="2029"/>
      <c r="L75" s="2029"/>
      <c r="M75" s="2029"/>
      <c r="N75" s="2029"/>
      <c r="O75" s="2029"/>
      <c r="P75" s="2029"/>
      <c r="Q75" s="2030"/>
      <c r="R75" s="488"/>
    </row>
    <row r="76" spans="2:18" ht="15" customHeight="1" x14ac:dyDescent="0.3">
      <c r="B76" s="719">
        <v>15</v>
      </c>
      <c r="C76" s="1069"/>
      <c r="D76" s="2027"/>
      <c r="E76" s="2027"/>
      <c r="F76" s="1070"/>
      <c r="G76" s="1070"/>
      <c r="H76" s="1071"/>
      <c r="I76" s="1070"/>
      <c r="J76" s="2028"/>
      <c r="K76" s="2029"/>
      <c r="L76" s="2029"/>
      <c r="M76" s="2029"/>
      <c r="N76" s="2029"/>
      <c r="O76" s="2029"/>
      <c r="P76" s="2029"/>
      <c r="Q76" s="2030"/>
      <c r="R76" s="488"/>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t="s">
        <v>480</v>
      </c>
      <c r="D81" s="561">
        <v>1000</v>
      </c>
      <c r="E81" s="1233" t="s">
        <v>481</v>
      </c>
      <c r="F81" s="1486" t="s">
        <v>482</v>
      </c>
      <c r="G81" s="1487"/>
      <c r="H81" s="1487"/>
      <c r="I81" s="1487"/>
      <c r="J81" s="1487"/>
      <c r="K81" s="1487"/>
      <c r="L81" s="1487"/>
      <c r="M81" s="1487"/>
      <c r="N81" s="1487"/>
      <c r="O81" s="1487"/>
      <c r="P81" s="1487"/>
      <c r="Q81" s="1488"/>
      <c r="R81" s="488"/>
    </row>
    <row r="82" spans="2:18" ht="13" x14ac:dyDescent="0.3">
      <c r="B82" s="533">
        <v>2</v>
      </c>
      <c r="C82" s="560" t="s">
        <v>483</v>
      </c>
      <c r="D82" s="562">
        <f>0.03412*0.10548</f>
        <v>3.5989775999999999E-3</v>
      </c>
      <c r="E82" s="1233" t="s">
        <v>484</v>
      </c>
      <c r="F82" s="1489" t="s">
        <v>485</v>
      </c>
      <c r="G82" s="1490"/>
      <c r="H82" s="1490"/>
      <c r="I82" s="1490"/>
      <c r="J82" s="1490"/>
      <c r="K82" s="1490"/>
      <c r="L82" s="1490"/>
      <c r="M82" s="1490"/>
      <c r="N82" s="1490"/>
      <c r="O82" s="1490"/>
      <c r="P82" s="1490"/>
      <c r="Q82" s="1491"/>
      <c r="R82" s="488"/>
    </row>
    <row r="83" spans="2:18" ht="13" x14ac:dyDescent="0.3">
      <c r="B83" s="533">
        <v>3</v>
      </c>
      <c r="C83" s="560" t="s">
        <v>486</v>
      </c>
      <c r="D83" s="562">
        <v>3.7854099999999999E-3</v>
      </c>
      <c r="E83" s="1233" t="s">
        <v>487</v>
      </c>
      <c r="F83" s="1489" t="s">
        <v>485</v>
      </c>
      <c r="G83" s="1490"/>
      <c r="H83" s="1490"/>
      <c r="I83" s="1490"/>
      <c r="J83" s="1490"/>
      <c r="K83" s="1490"/>
      <c r="L83" s="1490"/>
      <c r="M83" s="1490"/>
      <c r="N83" s="1490"/>
      <c r="O83" s="1490"/>
      <c r="P83" s="1490"/>
      <c r="Q83" s="1491"/>
      <c r="R83" s="488"/>
    </row>
    <row r="84" spans="2:18" ht="13" x14ac:dyDescent="0.3">
      <c r="B84" s="533">
        <v>4</v>
      </c>
      <c r="C84" s="560" t="s">
        <v>488</v>
      </c>
      <c r="D84" s="562">
        <v>0.1055</v>
      </c>
      <c r="E84" s="1233" t="s">
        <v>489</v>
      </c>
      <c r="F84" s="1489" t="s">
        <v>485</v>
      </c>
      <c r="G84" s="1490"/>
      <c r="H84" s="1490"/>
      <c r="I84" s="1490"/>
      <c r="J84" s="1490"/>
      <c r="K84" s="1490"/>
      <c r="L84" s="1490"/>
      <c r="M84" s="1490"/>
      <c r="N84" s="1490"/>
      <c r="O84" s="1490"/>
      <c r="P84" s="1490"/>
      <c r="Q84" s="1491"/>
      <c r="R84" s="488"/>
    </row>
    <row r="85" spans="2:18" ht="13" x14ac:dyDescent="0.3">
      <c r="B85" s="533">
        <v>5</v>
      </c>
      <c r="C85" s="560" t="s">
        <v>490</v>
      </c>
      <c r="D85" s="562">
        <v>1.0000000000000001E-5</v>
      </c>
      <c r="E85" s="1233" t="s">
        <v>491</v>
      </c>
      <c r="F85" s="1489" t="s">
        <v>485</v>
      </c>
      <c r="G85" s="1490"/>
      <c r="H85" s="1490"/>
      <c r="I85" s="1490"/>
      <c r="J85" s="1490"/>
      <c r="K85" s="1490"/>
      <c r="L85" s="1490"/>
      <c r="M85" s="1490"/>
      <c r="N85" s="1490"/>
      <c r="O85" s="1490"/>
      <c r="P85" s="1490"/>
      <c r="Q85" s="1491"/>
      <c r="R85" s="488"/>
    </row>
    <row r="86" spans="2:18" ht="13" x14ac:dyDescent="0.3">
      <c r="B86" s="992">
        <v>6</v>
      </c>
      <c r="C86" s="1072" t="s">
        <v>2017</v>
      </c>
      <c r="D86" s="994">
        <v>32.200000000000003</v>
      </c>
      <c r="E86" s="1073" t="s">
        <v>2018</v>
      </c>
      <c r="F86" s="1941" t="s">
        <v>482</v>
      </c>
      <c r="G86" s="1942"/>
      <c r="H86" s="1942"/>
      <c r="I86" s="1942"/>
      <c r="J86" s="1942"/>
      <c r="K86" s="1942"/>
      <c r="L86" s="1942"/>
      <c r="M86" s="1942"/>
      <c r="N86" s="1942"/>
      <c r="O86" s="1942"/>
      <c r="P86" s="1942"/>
      <c r="Q86" s="1943"/>
      <c r="R86" s="488"/>
    </row>
    <row r="87" spans="2:18" ht="13" x14ac:dyDescent="0.3">
      <c r="B87" s="757">
        <v>7</v>
      </c>
      <c r="C87" s="563"/>
      <c r="D87" s="1074"/>
      <c r="E87" s="1075"/>
      <c r="F87" s="2031"/>
      <c r="G87" s="2031"/>
      <c r="H87" s="2031"/>
      <c r="I87" s="2031"/>
      <c r="J87" s="2031"/>
      <c r="K87" s="2031"/>
      <c r="L87" s="2031"/>
      <c r="M87" s="2031"/>
      <c r="N87" s="2031"/>
      <c r="O87" s="2031"/>
      <c r="P87" s="2031"/>
      <c r="Q87" s="2031"/>
      <c r="R87" s="488"/>
    </row>
    <row r="88" spans="2:18" ht="13" x14ac:dyDescent="0.3">
      <c r="B88" s="757">
        <v>8</v>
      </c>
      <c r="C88" s="563"/>
      <c r="D88" s="1074"/>
      <c r="E88" s="1076"/>
      <c r="F88" s="2031"/>
      <c r="G88" s="2031"/>
      <c r="H88" s="2031"/>
      <c r="I88" s="2031"/>
      <c r="J88" s="2031"/>
      <c r="K88" s="2031"/>
      <c r="L88" s="2031"/>
      <c r="M88" s="2031"/>
      <c r="N88" s="2031"/>
      <c r="O88" s="2031"/>
      <c r="P88" s="2031"/>
      <c r="Q88" s="2031"/>
      <c r="R88" s="488"/>
    </row>
    <row r="89" spans="2:18" ht="13" x14ac:dyDescent="0.3">
      <c r="B89" s="757">
        <v>9</v>
      </c>
      <c r="C89" s="563"/>
      <c r="D89" s="1074"/>
      <c r="E89" s="1076"/>
      <c r="F89" s="2031"/>
      <c r="G89" s="2031"/>
      <c r="H89" s="2031"/>
      <c r="I89" s="2031"/>
      <c r="J89" s="2031"/>
      <c r="K89" s="2031"/>
      <c r="L89" s="2031"/>
      <c r="M89" s="2031"/>
      <c r="N89" s="2031"/>
      <c r="O89" s="2031"/>
      <c r="P89" s="2031"/>
      <c r="Q89" s="2031"/>
      <c r="R89" s="488"/>
    </row>
    <row r="90" spans="2:18" ht="13" x14ac:dyDescent="0.3">
      <c r="B90" s="757">
        <v>10</v>
      </c>
      <c r="C90" s="563"/>
      <c r="D90" s="1074"/>
      <c r="E90" s="1077"/>
      <c r="F90" s="2032"/>
      <c r="G90" s="2032"/>
      <c r="H90" s="2032"/>
      <c r="I90" s="2032"/>
      <c r="J90" s="2032"/>
      <c r="K90" s="2032"/>
      <c r="L90" s="2032"/>
      <c r="M90" s="2032"/>
      <c r="N90" s="2032"/>
      <c r="O90" s="2032"/>
      <c r="P90" s="2032"/>
      <c r="Q90" s="2032"/>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c r="R95" s="488"/>
    </row>
    <row r="96" spans="2:18" ht="25.5" customHeight="1" x14ac:dyDescent="0.3">
      <c r="B96" s="1188" t="s">
        <v>478</v>
      </c>
      <c r="C96" s="1402" t="s">
        <v>505</v>
      </c>
      <c r="D96" s="1431"/>
      <c r="E96" s="565"/>
      <c r="F96" s="565"/>
      <c r="G96" s="565"/>
      <c r="H96" s="565"/>
      <c r="I96" s="565"/>
      <c r="J96" s="565"/>
      <c r="K96" s="565"/>
      <c r="L96" s="565"/>
      <c r="M96" s="565"/>
      <c r="N96" s="566"/>
      <c r="O96" s="1410"/>
      <c r="P96" s="1411"/>
      <c r="Q96" s="1412"/>
      <c r="R96" s="488"/>
    </row>
    <row r="97" spans="2:18" ht="13" x14ac:dyDescent="0.3">
      <c r="B97" s="533">
        <v>1</v>
      </c>
      <c r="C97" s="546"/>
      <c r="D97" s="1184"/>
      <c r="E97" s="1068"/>
      <c r="F97" s="1190"/>
      <c r="G97" s="1190"/>
      <c r="H97" s="1190"/>
      <c r="I97" s="568"/>
      <c r="J97" s="568"/>
      <c r="K97" s="568"/>
      <c r="L97" s="568"/>
      <c r="M97" s="568"/>
      <c r="N97" s="568"/>
      <c r="O97" s="1501"/>
      <c r="P97" s="1502"/>
      <c r="Q97" s="1503"/>
      <c r="R97" s="488"/>
    </row>
    <row r="98" spans="2:18" ht="13" x14ac:dyDescent="0.3">
      <c r="B98" s="533">
        <v>2</v>
      </c>
      <c r="C98" s="546"/>
      <c r="D98" s="1184"/>
      <c r="E98" s="1068"/>
      <c r="F98" s="1190"/>
      <c r="G98" s="1190"/>
      <c r="H98" s="1190"/>
      <c r="I98" s="568"/>
      <c r="J98" s="568"/>
      <c r="K98" s="568"/>
      <c r="L98" s="568"/>
      <c r="M98" s="568"/>
      <c r="N98" s="568"/>
      <c r="O98" s="1501"/>
      <c r="P98" s="1502"/>
      <c r="Q98" s="1503"/>
      <c r="R98" s="488"/>
    </row>
    <row r="99" spans="2:18" ht="13" x14ac:dyDescent="0.3">
      <c r="B99" s="533">
        <v>3</v>
      </c>
      <c r="C99" s="546"/>
      <c r="D99" s="1184"/>
      <c r="E99" s="1068"/>
      <c r="F99" s="1190"/>
      <c r="G99" s="1190"/>
      <c r="H99" s="1190"/>
      <c r="I99" s="568"/>
      <c r="J99" s="568"/>
      <c r="K99" s="568"/>
      <c r="L99" s="568"/>
      <c r="M99" s="568"/>
      <c r="N99" s="568"/>
      <c r="O99" s="1501"/>
      <c r="P99" s="1502"/>
      <c r="Q99" s="1503"/>
      <c r="R99" s="488"/>
    </row>
    <row r="100" spans="2:18" ht="13" x14ac:dyDescent="0.3">
      <c r="B100" s="533">
        <v>4</v>
      </c>
      <c r="C100" s="546"/>
      <c r="D100" s="1184"/>
      <c r="E100" s="1068"/>
      <c r="F100" s="1190"/>
      <c r="G100" s="1190"/>
      <c r="H100" s="1190"/>
      <c r="I100" s="568"/>
      <c r="J100" s="568"/>
      <c r="K100" s="568"/>
      <c r="L100" s="568"/>
      <c r="M100" s="568"/>
      <c r="N100" s="568"/>
      <c r="O100" s="1501"/>
      <c r="P100" s="1502"/>
      <c r="Q100" s="1503"/>
      <c r="R100" s="488"/>
    </row>
    <row r="101" spans="2:18" ht="13" x14ac:dyDescent="0.3">
      <c r="B101" s="533">
        <v>5</v>
      </c>
      <c r="C101" s="546"/>
      <c r="D101" s="1184"/>
      <c r="E101" s="1068"/>
      <c r="F101" s="1190"/>
      <c r="G101" s="1190"/>
      <c r="H101" s="1190"/>
      <c r="I101" s="568"/>
      <c r="J101" s="568"/>
      <c r="K101" s="568"/>
      <c r="L101" s="568"/>
      <c r="M101" s="568"/>
      <c r="N101" s="568"/>
      <c r="O101" s="1501"/>
      <c r="P101" s="1502"/>
      <c r="Q101" s="1503"/>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sheetData>
  <sheetProtection algorithmName="SHA-512" hashValue="Jx+vlutHnkWGZSXcPFYPS5jfrvUpbwfDd8UE+BBGuv3aSbvICUU1U4YRvTHQwUm8jwWatDvZnbBMeYgyF2N/JQ==" saltValue="9svkX397k3Kctfv3YKz6jw==" spinCount="100000" sheet="1" objects="1" scenarios="1" selectLockedCells="1" selectUnlockedCells="1"/>
  <mergeCells count="121">
    <mergeCell ref="O113:Q113"/>
    <mergeCell ref="O114:Q114"/>
    <mergeCell ref="O115:Q115"/>
    <mergeCell ref="O116:Q116"/>
    <mergeCell ref="O107:Q107"/>
    <mergeCell ref="O108:Q108"/>
    <mergeCell ref="O109:Q109"/>
    <mergeCell ref="O110:Q110"/>
    <mergeCell ref="O111:Q111"/>
    <mergeCell ref="O112:Q112"/>
    <mergeCell ref="O101:Q101"/>
    <mergeCell ref="O102:Q102"/>
    <mergeCell ref="O103:Q103"/>
    <mergeCell ref="O104:Q104"/>
    <mergeCell ref="O105:Q105"/>
    <mergeCell ref="O106:Q106"/>
    <mergeCell ref="B95:D95"/>
    <mergeCell ref="C96:D96"/>
    <mergeCell ref="O97:Q97"/>
    <mergeCell ref="O98:Q98"/>
    <mergeCell ref="O99:Q99"/>
    <mergeCell ref="O100:Q100"/>
    <mergeCell ref="D76:E76"/>
    <mergeCell ref="J76:Q76"/>
    <mergeCell ref="F86:Q86"/>
    <mergeCell ref="F87:Q87"/>
    <mergeCell ref="F88:Q88"/>
    <mergeCell ref="F89:Q89"/>
    <mergeCell ref="F90:Q90"/>
    <mergeCell ref="E94:N94"/>
    <mergeCell ref="O94:Q96"/>
    <mergeCell ref="F80:Q80"/>
    <mergeCell ref="F81:Q81"/>
    <mergeCell ref="F82:Q82"/>
    <mergeCell ref="F83:Q83"/>
    <mergeCell ref="F84:Q84"/>
    <mergeCell ref="F85:Q85"/>
    <mergeCell ref="D73:E73"/>
    <mergeCell ref="J73:Q73"/>
    <mergeCell ref="D74:E74"/>
    <mergeCell ref="J74:Q74"/>
    <mergeCell ref="D75:E75"/>
    <mergeCell ref="J75:Q75"/>
    <mergeCell ref="D70:E70"/>
    <mergeCell ref="J70:Q70"/>
    <mergeCell ref="D71:E71"/>
    <mergeCell ref="J71:Q71"/>
    <mergeCell ref="D72:E72"/>
    <mergeCell ref="J72:Q72"/>
    <mergeCell ref="D67:E67"/>
    <mergeCell ref="J67:Q67"/>
    <mergeCell ref="D68:E68"/>
    <mergeCell ref="J68:Q68"/>
    <mergeCell ref="D69:E69"/>
    <mergeCell ref="J69:Q69"/>
    <mergeCell ref="D64:E64"/>
    <mergeCell ref="J64:Q64"/>
    <mergeCell ref="D65:E65"/>
    <mergeCell ref="J65:Q65"/>
    <mergeCell ref="D66:E66"/>
    <mergeCell ref="J66:Q66"/>
    <mergeCell ref="D61:E61"/>
    <mergeCell ref="J61:Q61"/>
    <mergeCell ref="D62:E62"/>
    <mergeCell ref="J62:Q62"/>
    <mergeCell ref="D63:E63"/>
    <mergeCell ref="J63:Q63"/>
    <mergeCell ref="C55:M55"/>
    <mergeCell ref="P55:Q55"/>
    <mergeCell ref="C56:M56"/>
    <mergeCell ref="P56:Q56"/>
    <mergeCell ref="C57:M57"/>
    <mergeCell ref="P57:Q57"/>
    <mergeCell ref="C51:M51"/>
    <mergeCell ref="P51:Q51"/>
    <mergeCell ref="C53:M53"/>
    <mergeCell ref="P53:Q53"/>
    <mergeCell ref="C54:M54"/>
    <mergeCell ref="P54:Q54"/>
    <mergeCell ref="C48:M48"/>
    <mergeCell ref="P48:Q48"/>
    <mergeCell ref="C49:M49"/>
    <mergeCell ref="P49:Q49"/>
    <mergeCell ref="C50:M50"/>
    <mergeCell ref="P50:Q50"/>
    <mergeCell ref="C44:M44"/>
    <mergeCell ref="P44:Q44"/>
    <mergeCell ref="C45:M45"/>
    <mergeCell ref="P45:Q45"/>
    <mergeCell ref="C47:M47"/>
    <mergeCell ref="P47:Q47"/>
    <mergeCell ref="C41:M41"/>
    <mergeCell ref="P41:Q41"/>
    <mergeCell ref="C42:M42"/>
    <mergeCell ref="P42:Q42"/>
    <mergeCell ref="C43:M43"/>
    <mergeCell ref="P43:Q43"/>
    <mergeCell ref="E32:Q32"/>
    <mergeCell ref="E33:Q33"/>
    <mergeCell ref="E34:Q34"/>
    <mergeCell ref="E35:Q35"/>
    <mergeCell ref="E36:Q36"/>
    <mergeCell ref="E37:Q37"/>
    <mergeCell ref="D25:Q25"/>
    <mergeCell ref="D26:Q26"/>
    <mergeCell ref="D27:Q27"/>
    <mergeCell ref="D28:Q28"/>
    <mergeCell ref="D29:Q29"/>
    <mergeCell ref="D30:Q30"/>
    <mergeCell ref="D17:F17"/>
    <mergeCell ref="D18:F18"/>
    <mergeCell ref="B20:Q20"/>
    <mergeCell ref="C21:Q21"/>
    <mergeCell ref="C22:Q22"/>
    <mergeCell ref="C23:Q23"/>
    <mergeCell ref="C2:F2"/>
    <mergeCell ref="C3:F3"/>
    <mergeCell ref="C4:F4"/>
    <mergeCell ref="C5:F5"/>
    <mergeCell ref="D7:F7"/>
    <mergeCell ref="D8:F16"/>
  </mergeCells>
  <conditionalFormatting sqref="F109:F116 G102:G116 H104:H116">
    <cfRule type="expression" dxfId="1490" priority="24">
      <formula>IF(OR(#REF!="L",#REF!="C"),TRUE,FALSE)</formula>
    </cfRule>
  </conditionalFormatting>
  <conditionalFormatting sqref="E110:E116">
    <cfRule type="expression" dxfId="1489" priority="23">
      <formula>IF(OR(#REF!="L",#REF!="C"),TRUE,FALSE)</formula>
    </cfRule>
  </conditionalFormatting>
  <conditionalFormatting sqref="E107">
    <cfRule type="expression" dxfId="1488" priority="22">
      <formula>IF(OR(#REF!="L",#REF!="C"),TRUE,FALSE)</formula>
    </cfRule>
  </conditionalFormatting>
  <conditionalFormatting sqref="E106">
    <cfRule type="expression" dxfId="1487" priority="19">
      <formula>IF(OR(#REF!="L",#REF!="C"),TRUE,FALSE)</formula>
    </cfRule>
  </conditionalFormatting>
  <conditionalFormatting sqref="E108">
    <cfRule type="expression" dxfId="1486" priority="21">
      <formula>IF(OR(#REF!="L",#REF!="C"),TRUE,FALSE)</formula>
    </cfRule>
  </conditionalFormatting>
  <conditionalFormatting sqref="E109">
    <cfRule type="expression" dxfId="1485" priority="20">
      <formula>IF(OR(#REF!="L",#REF!="C"),TRUE,FALSE)</formula>
    </cfRule>
  </conditionalFormatting>
  <conditionalFormatting sqref="E95 G95 I95 K95 M95">
    <cfRule type="duplicateValues" dxfId="1484" priority="18"/>
  </conditionalFormatting>
  <conditionalFormatting sqref="M104:M116">
    <cfRule type="expression" dxfId="1483" priority="8">
      <formula>IF(OR(#REF!="L",#REF!="C"),TRUE,FALSE)</formula>
    </cfRule>
  </conditionalFormatting>
  <conditionalFormatting sqref="F102:F106">
    <cfRule type="expression" dxfId="1482" priority="17">
      <formula>IF(OR(#REF!="L",#REF!="C"),TRUE,FALSE)</formula>
    </cfRule>
  </conditionalFormatting>
  <conditionalFormatting sqref="I102:I103">
    <cfRule type="expression" dxfId="1481" priority="15">
      <formula>IF(OR(#REF!="L",#REF!="C"),TRUE,FALSE)</formula>
    </cfRule>
  </conditionalFormatting>
  <conditionalFormatting sqref="N102:N103">
    <cfRule type="expression" dxfId="1480" priority="5">
      <formula>IF(OR(#REF!="L",#REF!="C"),TRUE,FALSE)</formula>
    </cfRule>
  </conditionalFormatting>
  <conditionalFormatting sqref="I104:I116">
    <cfRule type="expression" dxfId="1479" priority="16">
      <formula>IF(OR(#REF!="L",#REF!="C"),TRUE,FALSE)</formula>
    </cfRule>
  </conditionalFormatting>
  <conditionalFormatting sqref="J102:J103">
    <cfRule type="expression" dxfId="1478" priority="13">
      <formula>IF(OR(#REF!="L",#REF!="C"),TRUE,FALSE)</formula>
    </cfRule>
  </conditionalFormatting>
  <conditionalFormatting sqref="J104:J116">
    <cfRule type="expression" dxfId="1477" priority="14">
      <formula>IF(OR(#REF!="L",#REF!="C"),TRUE,FALSE)</formula>
    </cfRule>
  </conditionalFormatting>
  <conditionalFormatting sqref="K102:K103">
    <cfRule type="expression" dxfId="1476" priority="11">
      <formula>IF(OR(#REF!="L",#REF!="C"),TRUE,FALSE)</formula>
    </cfRule>
  </conditionalFormatting>
  <conditionalFormatting sqref="K104:K116">
    <cfRule type="expression" dxfId="1475" priority="12">
      <formula>IF(OR(#REF!="L",#REF!="C"),TRUE,FALSE)</formula>
    </cfRule>
  </conditionalFormatting>
  <conditionalFormatting sqref="L102:L103">
    <cfRule type="expression" dxfId="1474" priority="9">
      <formula>IF(OR(#REF!="L",#REF!="C"),TRUE,FALSE)</formula>
    </cfRule>
  </conditionalFormatting>
  <conditionalFormatting sqref="L104:L116">
    <cfRule type="expression" dxfId="1473" priority="10">
      <formula>IF(OR(#REF!="L",#REF!="C"),TRUE,FALSE)</formula>
    </cfRule>
  </conditionalFormatting>
  <conditionalFormatting sqref="M102:M103">
    <cfRule type="expression" dxfId="1472" priority="7">
      <formula>IF(OR(#REF!="L",#REF!="C"),TRUE,FALSE)</formula>
    </cfRule>
  </conditionalFormatting>
  <conditionalFormatting sqref="N104:N116">
    <cfRule type="expression" dxfId="1471" priority="6">
      <formula>IF(OR(#REF!="L",#REF!="C"),TRUE,FALSE)</formula>
    </cfRule>
  </conditionalFormatting>
  <conditionalFormatting sqref="O102:O103">
    <cfRule type="expression" dxfId="1470" priority="3">
      <formula>IF(OR(#REF!="L",#REF!="C"),TRUE,FALSE)</formula>
    </cfRule>
  </conditionalFormatting>
  <conditionalFormatting sqref="O104:O116">
    <cfRule type="expression" dxfId="1469" priority="4">
      <formula>IF(OR(#REF!="L",#REF!="C"),TRUE,FALSE)</formula>
    </cfRule>
  </conditionalFormatting>
  <conditionalFormatting sqref="E96:N96">
    <cfRule type="duplicateValues" dxfId="1468" priority="2"/>
  </conditionalFormatting>
  <conditionalFormatting sqref="H62:H76">
    <cfRule type="expression" dxfId="1467" priority="1">
      <formula>IF(OR(#REF!="L",#REF!="C"),TRUE,FALSE)</formula>
    </cfRule>
  </conditionalFormatting>
  <dataValidations count="6">
    <dataValidation type="list" allowBlank="1" showInputMessage="1" showErrorMessage="1" sqref="C4" xr:uid="{78C20871-A432-4FE6-B2F7-A6915BF70498}">
      <formula1>"COM,RES"</formula1>
    </dataValidation>
    <dataValidation type="list" allowBlank="1" showInputMessage="1" showErrorMessage="1" sqref="C9" xr:uid="{2CDDB3E7-53D1-456D-88C1-6580EB6339EC}">
      <formula1>INDIRECT("MeasureTypeList[Index]")</formula1>
    </dataValidation>
    <dataValidation type="list" allowBlank="1" showInputMessage="1" showErrorMessage="1" sqref="C26" xr:uid="{FB4D6E85-DE1D-40B1-8C49-7156906899BD}">
      <formula1>INDIRECT("RegionList[Index]")</formula1>
    </dataValidation>
    <dataValidation type="list" allowBlank="1" showInputMessage="1" showErrorMessage="1" sqref="C27" xr:uid="{80BDD02F-54CC-4E21-8FCE-130BEE730033}">
      <formula1>INDIRECT("ReplacementTypeList[Index]")</formula1>
    </dataValidation>
    <dataValidation type="list" allowBlank="1" showInputMessage="1" showErrorMessage="1" sqref="C28" xr:uid="{E6CD3B60-011D-4951-BBB3-ED6B555C494A}">
      <formula1>INDIRECT("BuildingType[Building]")</formula1>
    </dataValidation>
    <dataValidation type="list" allowBlank="1" showInputMessage="1" showErrorMessage="1" sqref="C29 C30" xr:uid="{65B81393-763E-4E02-B86C-435CCC65D411}">
      <formula1>INDIRECT("FuelTypeList[Index]")</formula1>
    </dataValidation>
  </dataValidations>
  <hyperlinks>
    <hyperlink ref="F83" r:id="rId1" xr:uid="{CB65CC2A-10FB-48CF-9F0E-E08BF65B14C1}"/>
    <hyperlink ref="F85" r:id="rId2" xr:uid="{A381BD24-8BD6-4407-A7DF-1F5AE1C61AAF}"/>
    <hyperlink ref="F84" r:id="rId3" xr:uid="{7D281C6F-1641-4DA9-B8D4-66E3CB397A8F}"/>
    <hyperlink ref="F82" r:id="rId4" xr:uid="{8131D220-460A-4118-922C-C0253C78C56D}"/>
  </hyperlinks>
  <pageMargins left="0.7" right="0.7" top="0.75" bottom="0.75" header="0.3" footer="0.3"/>
  <pageSetup orientation="portrait" r:id="rId5"/>
  <extLst>
    <ext xmlns:x14="http://schemas.microsoft.com/office/spreadsheetml/2009/9/main" uri="{CCE6A557-97BC-4b89-ADB6-D9C93CAAB3DF}">
      <x14:dataValidations xmlns:xm="http://schemas.microsoft.com/office/excel/2006/main" count="1">
        <x14:dataValidation type="list" allowBlank="1" showInputMessage="1" showErrorMessage="1" xr:uid="{9FC7BE00-895A-4187-B723-B8BAFD98F0BE}">
          <x14:formula1>
            <xm:f>'Climate Data'!$B$286:$B$291</xm:f>
          </x14:formula1>
          <xm:sqref>H65</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702A2-2753-413B-ABE8-F1148A6B5A28}">
  <sheetPr codeName="Sheet48"/>
  <dimension ref="A2:R116"/>
  <sheetViews>
    <sheetView workbookViewId="0"/>
  </sheetViews>
  <sheetFormatPr defaultColWidth="9.08984375" defaultRowHeight="18.75" customHeight="1" x14ac:dyDescent="0.3"/>
  <cols>
    <col min="1" max="1" width="2.36328125" style="488" customWidth="1"/>
    <col min="2" max="2" width="40.26953125" style="488" customWidth="1"/>
    <col min="3" max="3" width="26.7265625" style="488" customWidth="1"/>
    <col min="4" max="4" width="21.6328125" style="488" customWidth="1"/>
    <col min="5" max="5" width="18" style="488" customWidth="1"/>
    <col min="6" max="6" width="15.6328125" style="488" customWidth="1"/>
    <col min="7" max="7" width="19.6328125" style="488" customWidth="1"/>
    <col min="8" max="8" width="16"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C-WB-003</v>
      </c>
      <c r="D3" s="1367"/>
      <c r="E3" s="1367"/>
      <c r="F3" s="1367"/>
    </row>
    <row r="4" spans="1:18" ht="18.75" customHeight="1" x14ac:dyDescent="0.3">
      <c r="B4" s="490" t="s">
        <v>11</v>
      </c>
      <c r="C4" s="1367" t="str" cm="1">
        <f t="array" ref="C4">_xlfn.SWITCH(LEFT(C8,1),"R","Residential","C","Commercial","ERROR")</f>
        <v>Commercial</v>
      </c>
      <c r="D4" s="1367"/>
      <c r="E4" s="1367"/>
      <c r="F4" s="1367"/>
    </row>
    <row r="5" spans="1:18" ht="19.5" customHeight="1" x14ac:dyDescent="0.3">
      <c r="B5" s="490" t="s">
        <v>408</v>
      </c>
      <c r="C5" s="1530" t="s">
        <v>325</v>
      </c>
      <c r="D5" s="1531"/>
      <c r="E5" s="1531"/>
      <c r="F5" s="1532"/>
      <c r="R5" s="488"/>
    </row>
    <row r="6" spans="1:18" ht="18.75" customHeight="1" x14ac:dyDescent="0.3">
      <c r="A6" s="573"/>
    </row>
    <row r="7" spans="1:18" ht="18.75" customHeight="1" x14ac:dyDescent="0.3">
      <c r="B7" s="1193" t="s">
        <v>409</v>
      </c>
      <c r="C7" s="1192" t="s">
        <v>406</v>
      </c>
      <c r="D7" s="1363" t="s">
        <v>410</v>
      </c>
      <c r="E7" s="1363"/>
      <c r="F7" s="1363"/>
      <c r="R7" s="488"/>
    </row>
    <row r="8" spans="1:18" ht="18.75" customHeight="1" x14ac:dyDescent="0.3">
      <c r="B8" s="490" t="s">
        <v>411</v>
      </c>
      <c r="C8" s="1218" t="s">
        <v>147</v>
      </c>
      <c r="D8" s="1957"/>
      <c r="E8" s="1957"/>
      <c r="F8" s="1957"/>
      <c r="R8" s="488"/>
    </row>
    <row r="9" spans="1:18" ht="18.75" customHeight="1" x14ac:dyDescent="0.3">
      <c r="B9" s="490" t="s">
        <v>49</v>
      </c>
      <c r="C9" s="1218" t="s">
        <v>891</v>
      </c>
      <c r="D9" s="1957"/>
      <c r="E9" s="1957"/>
      <c r="F9" s="1957"/>
      <c r="R9" s="488"/>
    </row>
    <row r="10" spans="1:18" ht="18.75" customHeight="1" x14ac:dyDescent="0.3">
      <c r="B10" s="490" t="s">
        <v>412</v>
      </c>
      <c r="C10" s="1218"/>
      <c r="D10" s="1957"/>
      <c r="E10" s="1957"/>
      <c r="F10" s="1957"/>
      <c r="R10" s="488"/>
    </row>
    <row r="11" spans="1:18" ht="18.75" customHeight="1" x14ac:dyDescent="0.3">
      <c r="B11" s="490" t="s">
        <v>413</v>
      </c>
      <c r="C11" s="1218"/>
      <c r="D11" s="1957"/>
      <c r="E11" s="1957"/>
      <c r="F11" s="1957"/>
      <c r="R11" s="488"/>
    </row>
    <row r="12" spans="1:18" ht="18.75" customHeight="1" x14ac:dyDescent="0.3">
      <c r="B12" s="490" t="s">
        <v>414</v>
      </c>
      <c r="C12" s="665"/>
      <c r="D12" s="1957"/>
      <c r="E12" s="1957"/>
      <c r="F12" s="1957"/>
      <c r="R12" s="488"/>
    </row>
    <row r="13" spans="1:18" ht="18.75" customHeight="1" x14ac:dyDescent="0.3">
      <c r="B13" s="494" t="s">
        <v>415</v>
      </c>
      <c r="C13" s="658">
        <f>N43</f>
        <v>0</v>
      </c>
      <c r="D13" s="1957"/>
      <c r="E13" s="1957"/>
      <c r="F13" s="1957"/>
      <c r="R13" s="488"/>
    </row>
    <row r="14" spans="1:18" ht="18.75" customHeight="1" x14ac:dyDescent="0.3">
      <c r="B14" s="494" t="s">
        <v>416</v>
      </c>
      <c r="C14" s="658">
        <f>N42</f>
        <v>0</v>
      </c>
      <c r="D14" s="1957"/>
      <c r="E14" s="1957"/>
      <c r="F14" s="1957"/>
      <c r="R14" s="488"/>
    </row>
    <row r="15" spans="1:18" ht="18.75" customHeight="1" x14ac:dyDescent="0.3">
      <c r="B15" s="494" t="s">
        <v>417</v>
      </c>
      <c r="C15" s="658">
        <f>N44</f>
        <v>0</v>
      </c>
      <c r="D15" s="1957"/>
      <c r="E15" s="1957"/>
      <c r="F15" s="1957"/>
      <c r="R15" s="488"/>
    </row>
    <row r="16" spans="1:18" ht="18.75" customHeight="1" x14ac:dyDescent="0.3">
      <c r="B16" s="494" t="s">
        <v>418</v>
      </c>
      <c r="C16" s="659">
        <f>C37</f>
        <v>0</v>
      </c>
      <c r="D16" s="1957"/>
      <c r="E16" s="1957"/>
      <c r="F16" s="1957"/>
      <c r="R16" s="488"/>
    </row>
    <row r="17" spans="2:18" ht="18.75" customHeight="1" x14ac:dyDescent="0.3">
      <c r="B17" s="490" t="s">
        <v>48</v>
      </c>
      <c r="C17" s="1218" t="s">
        <v>673</v>
      </c>
      <c r="D17" s="1363" t="s">
        <v>419</v>
      </c>
      <c r="E17" s="1363"/>
      <c r="F17" s="1363"/>
      <c r="R17" s="488"/>
    </row>
    <row r="18" spans="2:18" ht="18.75" customHeight="1" x14ac:dyDescent="0.3">
      <c r="B18" s="490" t="s">
        <v>420</v>
      </c>
      <c r="C18" s="666">
        <v>15</v>
      </c>
      <c r="D18" s="2026" t="s">
        <v>674</v>
      </c>
      <c r="E18" s="2026"/>
      <c r="F18" s="2026"/>
      <c r="R18" s="488"/>
    </row>
    <row r="19" spans="2:18" ht="18.75" customHeight="1" x14ac:dyDescent="0.3">
      <c r="B19" s="497"/>
      <c r="C19" s="576"/>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36.75" customHeight="1" x14ac:dyDescent="0.3">
      <c r="B21" s="499" t="s">
        <v>422</v>
      </c>
      <c r="C21" s="1546" t="s">
        <v>326</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36" t="s">
        <v>327</v>
      </c>
      <c r="D22" s="1536"/>
      <c r="E22" s="1536"/>
      <c r="F22" s="1536"/>
      <c r="G22" s="1536"/>
      <c r="H22" s="1536"/>
      <c r="I22" s="1536"/>
      <c r="J22" s="1536"/>
      <c r="K22" s="1536"/>
      <c r="L22" s="1536"/>
      <c r="M22" s="1536"/>
      <c r="N22" s="1536"/>
      <c r="O22" s="1536"/>
      <c r="P22" s="1536"/>
      <c r="Q22" s="1536"/>
      <c r="R22" s="488"/>
    </row>
    <row r="23" spans="2:18" ht="18.75" customHeight="1" x14ac:dyDescent="0.3">
      <c r="B23" s="500" t="s">
        <v>424</v>
      </c>
      <c r="C23" s="1536"/>
      <c r="D23" s="1536"/>
      <c r="E23" s="1536"/>
      <c r="F23" s="1536"/>
      <c r="G23" s="1536"/>
      <c r="H23" s="1536"/>
      <c r="I23" s="1536"/>
      <c r="J23" s="1536"/>
      <c r="K23" s="1536"/>
      <c r="L23" s="1536"/>
      <c r="M23" s="1536"/>
      <c r="N23" s="1536"/>
      <c r="O23" s="1536"/>
      <c r="P23" s="1536"/>
      <c r="Q23" s="1536"/>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512"/>
      <c r="F33" s="1512"/>
      <c r="G33" s="1512"/>
      <c r="H33" s="1512"/>
      <c r="I33" s="1512"/>
      <c r="J33" s="1512"/>
      <c r="K33" s="1512"/>
      <c r="L33" s="1512"/>
      <c r="M33" s="1512"/>
      <c r="N33" s="1512"/>
      <c r="O33" s="1512"/>
      <c r="P33" s="1512"/>
      <c r="Q33" s="1512"/>
      <c r="R33" s="488"/>
    </row>
    <row r="34" spans="2:18" ht="18.75" customHeight="1" x14ac:dyDescent="0.3">
      <c r="B34" s="494" t="s">
        <v>431</v>
      </c>
      <c r="C34" s="542"/>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905"/>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905">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0</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1004</v>
      </c>
      <c r="D49" s="1505"/>
      <c r="E49" s="1505"/>
      <c r="F49" s="1505"/>
      <c r="G49" s="1505"/>
      <c r="H49" s="1505"/>
      <c r="I49" s="1505"/>
      <c r="J49" s="1505"/>
      <c r="K49" s="1505"/>
      <c r="L49" s="1505"/>
      <c r="M49" s="1506"/>
      <c r="N49" s="592"/>
      <c r="O49" s="1243" t="s">
        <v>443</v>
      </c>
      <c r="P49" s="1511"/>
      <c r="Q49" s="1511"/>
      <c r="R49" s="488"/>
    </row>
    <row r="50" spans="2:18" ht="18.75" customHeight="1" x14ac:dyDescent="0.3">
      <c r="B50" s="582" t="s">
        <v>456</v>
      </c>
      <c r="C50" s="1504" t="s">
        <v>1005</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467</v>
      </c>
      <c r="D56" s="1505"/>
      <c r="E56" s="1505"/>
      <c r="F56" s="1505"/>
      <c r="G56" s="1505"/>
      <c r="H56" s="1505"/>
      <c r="I56" s="1505"/>
      <c r="J56" s="1505"/>
      <c r="K56" s="1505"/>
      <c r="L56" s="1505"/>
      <c r="M56" s="1506"/>
      <c r="N56" s="594"/>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765</v>
      </c>
      <c r="H61" s="506" t="s">
        <v>406</v>
      </c>
      <c r="I61" s="506" t="s">
        <v>428</v>
      </c>
      <c r="J61" s="1396" t="s">
        <v>476</v>
      </c>
      <c r="K61" s="1397"/>
      <c r="L61" s="1397"/>
      <c r="M61" s="1397"/>
      <c r="N61" s="1397"/>
      <c r="O61" s="1397"/>
      <c r="P61" s="1397"/>
      <c r="Q61" s="1398"/>
    </row>
    <row r="62" spans="2:18" ht="15" customHeight="1" x14ac:dyDescent="0.3">
      <c r="B62" s="719">
        <v>1</v>
      </c>
      <c r="C62" s="1069"/>
      <c r="D62" s="2027"/>
      <c r="E62" s="2027"/>
      <c r="F62" s="1070"/>
      <c r="G62" s="1070"/>
      <c r="H62" s="1071"/>
      <c r="I62" s="1070"/>
      <c r="J62" s="2028"/>
      <c r="K62" s="2029"/>
      <c r="L62" s="2029"/>
      <c r="M62" s="2029"/>
      <c r="N62" s="2029"/>
      <c r="O62" s="2029"/>
      <c r="P62" s="2029"/>
      <c r="Q62" s="2030"/>
      <c r="R62" s="488"/>
    </row>
    <row r="63" spans="2:18" ht="15" customHeight="1" x14ac:dyDescent="0.3">
      <c r="B63" s="719">
        <v>2</v>
      </c>
      <c r="C63" s="1069"/>
      <c r="D63" s="2027"/>
      <c r="E63" s="2027"/>
      <c r="F63" s="1070"/>
      <c r="G63" s="1070"/>
      <c r="H63" s="1071"/>
      <c r="I63" s="1070"/>
      <c r="J63" s="2028"/>
      <c r="K63" s="2029"/>
      <c r="L63" s="2029"/>
      <c r="M63" s="2029"/>
      <c r="N63" s="2029"/>
      <c r="O63" s="2029"/>
      <c r="P63" s="2029"/>
      <c r="Q63" s="2030"/>
      <c r="R63" s="488"/>
    </row>
    <row r="64" spans="2:18" ht="15" customHeight="1" x14ac:dyDescent="0.3">
      <c r="B64" s="719">
        <v>3</v>
      </c>
      <c r="C64" s="1069"/>
      <c r="D64" s="2027"/>
      <c r="E64" s="2027"/>
      <c r="F64" s="1070"/>
      <c r="G64" s="1070"/>
      <c r="H64" s="1071"/>
      <c r="I64" s="1070"/>
      <c r="J64" s="2028"/>
      <c r="K64" s="2029"/>
      <c r="L64" s="2029"/>
      <c r="M64" s="2029"/>
      <c r="N64" s="2029"/>
      <c r="O64" s="2029"/>
      <c r="P64" s="2029"/>
      <c r="Q64" s="2030"/>
      <c r="R64" s="488"/>
    </row>
    <row r="65" spans="2:18" ht="15" customHeight="1" x14ac:dyDescent="0.3">
      <c r="B65" s="719">
        <v>4</v>
      </c>
      <c r="C65" s="1069"/>
      <c r="D65" s="2027"/>
      <c r="E65" s="2027"/>
      <c r="F65" s="1070"/>
      <c r="G65" s="1070"/>
      <c r="H65" s="1071"/>
      <c r="I65" s="1070"/>
      <c r="J65" s="2028"/>
      <c r="K65" s="2029"/>
      <c r="L65" s="2029"/>
      <c r="M65" s="2029"/>
      <c r="N65" s="2029"/>
      <c r="O65" s="2029"/>
      <c r="P65" s="2029"/>
      <c r="Q65" s="2030"/>
      <c r="R65" s="488"/>
    </row>
    <row r="66" spans="2:18" ht="15" customHeight="1" x14ac:dyDescent="0.3">
      <c r="B66" s="719">
        <v>5</v>
      </c>
      <c r="C66" s="1069"/>
      <c r="D66" s="2027"/>
      <c r="E66" s="2027"/>
      <c r="F66" s="1070"/>
      <c r="G66" s="1070"/>
      <c r="H66" s="1071"/>
      <c r="I66" s="1070"/>
      <c r="J66" s="2028"/>
      <c r="K66" s="2029"/>
      <c r="L66" s="2029"/>
      <c r="M66" s="2029"/>
      <c r="N66" s="2029"/>
      <c r="O66" s="2029"/>
      <c r="P66" s="2029"/>
      <c r="Q66" s="2030"/>
      <c r="R66" s="488"/>
    </row>
    <row r="67" spans="2:18" ht="15" customHeight="1" x14ac:dyDescent="0.3">
      <c r="B67" s="719">
        <v>6</v>
      </c>
      <c r="C67" s="1069"/>
      <c r="D67" s="2027"/>
      <c r="E67" s="2027"/>
      <c r="F67" s="1070"/>
      <c r="G67" s="1070"/>
      <c r="H67" s="1071"/>
      <c r="I67" s="1070"/>
      <c r="J67" s="2028"/>
      <c r="K67" s="2029"/>
      <c r="L67" s="2029"/>
      <c r="M67" s="2029"/>
      <c r="N67" s="2029"/>
      <c r="O67" s="2029"/>
      <c r="P67" s="2029"/>
      <c r="Q67" s="2030"/>
      <c r="R67" s="488"/>
    </row>
    <row r="68" spans="2:18" ht="15" customHeight="1" x14ac:dyDescent="0.3">
      <c r="B68" s="719">
        <v>7</v>
      </c>
      <c r="C68" s="1069"/>
      <c r="D68" s="2027"/>
      <c r="E68" s="2027"/>
      <c r="F68" s="1070"/>
      <c r="G68" s="1070"/>
      <c r="H68" s="1071"/>
      <c r="I68" s="1070"/>
      <c r="J68" s="2028"/>
      <c r="K68" s="2029"/>
      <c r="L68" s="2029"/>
      <c r="M68" s="2029"/>
      <c r="N68" s="2029"/>
      <c r="O68" s="2029"/>
      <c r="P68" s="2029"/>
      <c r="Q68" s="2030"/>
      <c r="R68" s="488"/>
    </row>
    <row r="69" spans="2:18" ht="15" customHeight="1" x14ac:dyDescent="0.3">
      <c r="B69" s="719">
        <v>8</v>
      </c>
      <c r="C69" s="1069"/>
      <c r="D69" s="2027"/>
      <c r="E69" s="2027"/>
      <c r="F69" s="1070"/>
      <c r="G69" s="1070"/>
      <c r="H69" s="1071"/>
      <c r="I69" s="1070"/>
      <c r="J69" s="2028"/>
      <c r="K69" s="2029"/>
      <c r="L69" s="2029"/>
      <c r="M69" s="2029"/>
      <c r="N69" s="2029"/>
      <c r="O69" s="2029"/>
      <c r="P69" s="2029"/>
      <c r="Q69" s="2030"/>
      <c r="R69" s="488"/>
    </row>
    <row r="70" spans="2:18" ht="15" customHeight="1" x14ac:dyDescent="0.3">
      <c r="B70" s="719">
        <v>9</v>
      </c>
      <c r="C70" s="1069"/>
      <c r="D70" s="2027"/>
      <c r="E70" s="2027"/>
      <c r="F70" s="1070"/>
      <c r="G70" s="1070"/>
      <c r="H70" s="1071"/>
      <c r="I70" s="1070"/>
      <c r="J70" s="2028"/>
      <c r="K70" s="2029"/>
      <c r="L70" s="2029"/>
      <c r="M70" s="2029"/>
      <c r="N70" s="2029"/>
      <c r="O70" s="2029"/>
      <c r="P70" s="2029"/>
      <c r="Q70" s="2030"/>
      <c r="R70" s="488"/>
    </row>
    <row r="71" spans="2:18" ht="15" customHeight="1" x14ac:dyDescent="0.3">
      <c r="B71" s="719">
        <v>10</v>
      </c>
      <c r="C71" s="1069"/>
      <c r="D71" s="2027"/>
      <c r="E71" s="2027"/>
      <c r="F71" s="1070"/>
      <c r="G71" s="1070"/>
      <c r="H71" s="1071"/>
      <c r="I71" s="1070"/>
      <c r="J71" s="2028"/>
      <c r="K71" s="2029"/>
      <c r="L71" s="2029"/>
      <c r="M71" s="2029"/>
      <c r="N71" s="2029"/>
      <c r="O71" s="2029"/>
      <c r="P71" s="2029"/>
      <c r="Q71" s="2030"/>
      <c r="R71" s="488"/>
    </row>
    <row r="72" spans="2:18" ht="15" customHeight="1" x14ac:dyDescent="0.3">
      <c r="B72" s="719">
        <v>11</v>
      </c>
      <c r="C72" s="1069"/>
      <c r="D72" s="2027"/>
      <c r="E72" s="2027"/>
      <c r="F72" s="1070"/>
      <c r="G72" s="1070"/>
      <c r="H72" s="1071"/>
      <c r="I72" s="1070"/>
      <c r="J72" s="2028"/>
      <c r="K72" s="2029"/>
      <c r="L72" s="2029"/>
      <c r="M72" s="2029"/>
      <c r="N72" s="2029"/>
      <c r="O72" s="2029"/>
      <c r="P72" s="2029"/>
      <c r="Q72" s="2030"/>
      <c r="R72" s="488"/>
    </row>
    <row r="73" spans="2:18" ht="15" customHeight="1" x14ac:dyDescent="0.3">
      <c r="B73" s="719">
        <v>12</v>
      </c>
      <c r="C73" s="1069"/>
      <c r="D73" s="2027"/>
      <c r="E73" s="2027"/>
      <c r="F73" s="1070"/>
      <c r="G73" s="1070"/>
      <c r="H73" s="1071"/>
      <c r="I73" s="1070"/>
      <c r="J73" s="2028"/>
      <c r="K73" s="2029"/>
      <c r="L73" s="2029"/>
      <c r="M73" s="2029"/>
      <c r="N73" s="2029"/>
      <c r="O73" s="2029"/>
      <c r="P73" s="2029"/>
      <c r="Q73" s="2030"/>
      <c r="R73" s="488"/>
    </row>
    <row r="74" spans="2:18" ht="15" customHeight="1" x14ac:dyDescent="0.3">
      <c r="B74" s="719">
        <v>13</v>
      </c>
      <c r="C74" s="1069"/>
      <c r="D74" s="2027"/>
      <c r="E74" s="2027"/>
      <c r="F74" s="1070"/>
      <c r="G74" s="1070"/>
      <c r="H74" s="1071"/>
      <c r="I74" s="1070"/>
      <c r="J74" s="2028"/>
      <c r="K74" s="2029"/>
      <c r="L74" s="2029"/>
      <c r="M74" s="2029"/>
      <c r="N74" s="2029"/>
      <c r="O74" s="2029"/>
      <c r="P74" s="2029"/>
      <c r="Q74" s="2030"/>
      <c r="R74" s="488"/>
    </row>
    <row r="75" spans="2:18" ht="15" customHeight="1" x14ac:dyDescent="0.3">
      <c r="B75" s="719">
        <v>14</v>
      </c>
      <c r="C75" s="1069"/>
      <c r="D75" s="2027"/>
      <c r="E75" s="2027"/>
      <c r="F75" s="1070"/>
      <c r="G75" s="1070"/>
      <c r="H75" s="1071"/>
      <c r="I75" s="1070"/>
      <c r="J75" s="2028"/>
      <c r="K75" s="2029"/>
      <c r="L75" s="2029"/>
      <c r="M75" s="2029"/>
      <c r="N75" s="2029"/>
      <c r="O75" s="2029"/>
      <c r="P75" s="2029"/>
      <c r="Q75" s="2030"/>
      <c r="R75" s="488"/>
    </row>
    <row r="76" spans="2:18" ht="15" customHeight="1" x14ac:dyDescent="0.3">
      <c r="B76" s="719">
        <v>15</v>
      </c>
      <c r="C76" s="1069"/>
      <c r="D76" s="2027"/>
      <c r="E76" s="2027"/>
      <c r="F76" s="1070"/>
      <c r="G76" s="1070"/>
      <c r="H76" s="1071"/>
      <c r="I76" s="1070"/>
      <c r="J76" s="2028"/>
      <c r="K76" s="2029"/>
      <c r="L76" s="2029"/>
      <c r="M76" s="2029"/>
      <c r="N76" s="2029"/>
      <c r="O76" s="2029"/>
      <c r="P76" s="2029"/>
      <c r="Q76" s="2030"/>
      <c r="R76" s="488"/>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c r="D81" s="561"/>
      <c r="E81" s="1233"/>
      <c r="F81" s="1486"/>
      <c r="G81" s="1487"/>
      <c r="H81" s="1487"/>
      <c r="I81" s="1487"/>
      <c r="J81" s="1487"/>
      <c r="K81" s="1487"/>
      <c r="L81" s="1487"/>
      <c r="M81" s="1487"/>
      <c r="N81" s="1487"/>
      <c r="O81" s="1487"/>
      <c r="P81" s="1487"/>
      <c r="Q81" s="1488"/>
      <c r="R81" s="488"/>
    </row>
    <row r="82" spans="2:18" ht="13" x14ac:dyDescent="0.3">
      <c r="B82" s="533">
        <v>2</v>
      </c>
      <c r="C82" s="560"/>
      <c r="D82" s="562"/>
      <c r="E82" s="1233"/>
      <c r="F82" s="1489"/>
      <c r="G82" s="1490"/>
      <c r="H82" s="1490"/>
      <c r="I82" s="1490"/>
      <c r="J82" s="1490"/>
      <c r="K82" s="1490"/>
      <c r="L82" s="1490"/>
      <c r="M82" s="1490"/>
      <c r="N82" s="1490"/>
      <c r="O82" s="1490"/>
      <c r="P82" s="1490"/>
      <c r="Q82" s="1491"/>
      <c r="R82" s="488"/>
    </row>
    <row r="83" spans="2:18" ht="13" x14ac:dyDescent="0.3">
      <c r="B83" s="533">
        <v>3</v>
      </c>
      <c r="C83" s="560"/>
      <c r="D83" s="562"/>
      <c r="E83" s="1233"/>
      <c r="F83" s="1489"/>
      <c r="G83" s="1490"/>
      <c r="H83" s="1490"/>
      <c r="I83" s="1490"/>
      <c r="J83" s="1490"/>
      <c r="K83" s="1490"/>
      <c r="L83" s="1490"/>
      <c r="M83" s="1490"/>
      <c r="N83" s="1490"/>
      <c r="O83" s="1490"/>
      <c r="P83" s="1490"/>
      <c r="Q83" s="1491"/>
      <c r="R83" s="488"/>
    </row>
    <row r="84" spans="2:18" ht="13" x14ac:dyDescent="0.3">
      <c r="B84" s="533">
        <v>4</v>
      </c>
      <c r="C84" s="560"/>
      <c r="D84" s="562"/>
      <c r="E84" s="1233"/>
      <c r="F84" s="1489"/>
      <c r="G84" s="1490"/>
      <c r="H84" s="1490"/>
      <c r="I84" s="1490"/>
      <c r="J84" s="1490"/>
      <c r="K84" s="1490"/>
      <c r="L84" s="1490"/>
      <c r="M84" s="1490"/>
      <c r="N84" s="1490"/>
      <c r="O84" s="1490"/>
      <c r="P84" s="1490"/>
      <c r="Q84" s="1491"/>
      <c r="R84" s="488"/>
    </row>
    <row r="85" spans="2:18" ht="13" x14ac:dyDescent="0.3">
      <c r="B85" s="533">
        <v>5</v>
      </c>
      <c r="C85" s="560"/>
      <c r="D85" s="562"/>
      <c r="E85" s="1233"/>
      <c r="F85" s="1489"/>
      <c r="G85" s="1490"/>
      <c r="H85" s="1490"/>
      <c r="I85" s="1490"/>
      <c r="J85" s="1490"/>
      <c r="K85" s="1490"/>
      <c r="L85" s="1490"/>
      <c r="M85" s="1490"/>
      <c r="N85" s="1490"/>
      <c r="O85" s="1490"/>
      <c r="P85" s="1490"/>
      <c r="Q85" s="1491"/>
      <c r="R85" s="488"/>
    </row>
    <row r="86" spans="2:18" ht="13" x14ac:dyDescent="0.3">
      <c r="B86" s="533">
        <v>6</v>
      </c>
      <c r="C86" s="560"/>
      <c r="D86" s="562"/>
      <c r="E86" s="1233"/>
      <c r="F86" s="1486"/>
      <c r="G86" s="1487"/>
      <c r="H86" s="1487"/>
      <c r="I86" s="1487"/>
      <c r="J86" s="1487"/>
      <c r="K86" s="1487"/>
      <c r="L86" s="1487"/>
      <c r="M86" s="1487"/>
      <c r="N86" s="1487"/>
      <c r="O86" s="1487"/>
      <c r="P86" s="1487"/>
      <c r="Q86" s="1488"/>
      <c r="R86" s="488"/>
    </row>
    <row r="87" spans="2:18" ht="13" x14ac:dyDescent="0.3">
      <c r="B87" s="533">
        <v>7</v>
      </c>
      <c r="C87" s="563"/>
      <c r="D87" s="562"/>
      <c r="E87" s="1078"/>
      <c r="F87" s="1486"/>
      <c r="G87" s="1487"/>
      <c r="H87" s="1487"/>
      <c r="I87" s="1487"/>
      <c r="J87" s="1487"/>
      <c r="K87" s="1487"/>
      <c r="L87" s="1487"/>
      <c r="M87" s="1487"/>
      <c r="N87" s="1487"/>
      <c r="O87" s="1487"/>
      <c r="P87" s="1487"/>
      <c r="Q87" s="1488"/>
      <c r="R87" s="488"/>
    </row>
    <row r="88" spans="2:18" ht="13" x14ac:dyDescent="0.3">
      <c r="B88" s="533">
        <v>8</v>
      </c>
      <c r="C88" s="563"/>
      <c r="D88" s="562"/>
      <c r="E88" s="1233"/>
      <c r="F88" s="1486"/>
      <c r="G88" s="1487"/>
      <c r="H88" s="1487"/>
      <c r="I88" s="1487"/>
      <c r="J88" s="1487"/>
      <c r="K88" s="1487"/>
      <c r="L88" s="1487"/>
      <c r="M88" s="1487"/>
      <c r="N88" s="1487"/>
      <c r="O88" s="1487"/>
      <c r="P88" s="1487"/>
      <c r="Q88" s="1488"/>
      <c r="R88" s="488"/>
    </row>
    <row r="89" spans="2:18" ht="13" x14ac:dyDescent="0.3">
      <c r="B89" s="533">
        <v>9</v>
      </c>
      <c r="C89" s="563"/>
      <c r="D89" s="562"/>
      <c r="E89" s="1233"/>
      <c r="F89" s="1486"/>
      <c r="G89" s="1487"/>
      <c r="H89" s="1487"/>
      <c r="I89" s="1487"/>
      <c r="J89" s="1487"/>
      <c r="K89" s="1487"/>
      <c r="L89" s="1487"/>
      <c r="M89" s="1487"/>
      <c r="N89" s="1487"/>
      <c r="O89" s="1487"/>
      <c r="P89" s="1487"/>
      <c r="Q89" s="1488"/>
      <c r="R89" s="488"/>
    </row>
    <row r="90" spans="2:18" ht="13" x14ac:dyDescent="0.3">
      <c r="B90" s="533">
        <v>10</v>
      </c>
      <c r="C90" s="563"/>
      <c r="D90" s="562"/>
      <c r="E90" s="734"/>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c r="R95" s="488"/>
    </row>
    <row r="96" spans="2:18" ht="25.5" customHeight="1" x14ac:dyDescent="0.3">
      <c r="B96" s="1188" t="s">
        <v>478</v>
      </c>
      <c r="C96" s="1402" t="s">
        <v>505</v>
      </c>
      <c r="D96" s="1431"/>
      <c r="E96" s="565"/>
      <c r="F96" s="565"/>
      <c r="G96" s="565"/>
      <c r="H96" s="565"/>
      <c r="I96" s="565"/>
      <c r="J96" s="565"/>
      <c r="K96" s="565"/>
      <c r="L96" s="565"/>
      <c r="M96" s="565"/>
      <c r="N96" s="566"/>
      <c r="O96" s="1410"/>
      <c r="P96" s="1411"/>
      <c r="Q96" s="1412"/>
      <c r="R96" s="488"/>
    </row>
    <row r="97" spans="2:18" ht="13" x14ac:dyDescent="0.3">
      <c r="B97" s="533">
        <v>1</v>
      </c>
      <c r="C97" s="546"/>
      <c r="D97" s="1184"/>
      <c r="E97" s="1068"/>
      <c r="F97" s="1190"/>
      <c r="G97" s="1190"/>
      <c r="H97" s="1190"/>
      <c r="I97" s="568"/>
      <c r="J97" s="568"/>
      <c r="K97" s="568"/>
      <c r="L97" s="568"/>
      <c r="M97" s="568"/>
      <c r="N97" s="568"/>
      <c r="O97" s="1501"/>
      <c r="P97" s="1502"/>
      <c r="Q97" s="1503"/>
      <c r="R97" s="488"/>
    </row>
    <row r="98" spans="2:18" ht="13" x14ac:dyDescent="0.3">
      <c r="B98" s="533">
        <v>2</v>
      </c>
      <c r="C98" s="546"/>
      <c r="D98" s="1184"/>
      <c r="E98" s="1068"/>
      <c r="F98" s="1190"/>
      <c r="G98" s="1190"/>
      <c r="H98" s="1190"/>
      <c r="I98" s="568"/>
      <c r="J98" s="568"/>
      <c r="K98" s="568"/>
      <c r="L98" s="568"/>
      <c r="M98" s="568"/>
      <c r="N98" s="568"/>
      <c r="O98" s="1501"/>
      <c r="P98" s="1502"/>
      <c r="Q98" s="1503"/>
      <c r="R98" s="488"/>
    </row>
    <row r="99" spans="2:18" ht="13" x14ac:dyDescent="0.3">
      <c r="B99" s="533">
        <v>3</v>
      </c>
      <c r="C99" s="546"/>
      <c r="D99" s="1184"/>
      <c r="E99" s="1068"/>
      <c r="F99" s="1190"/>
      <c r="G99" s="1190"/>
      <c r="H99" s="1190"/>
      <c r="I99" s="568"/>
      <c r="J99" s="568"/>
      <c r="K99" s="568"/>
      <c r="L99" s="568"/>
      <c r="M99" s="568"/>
      <c r="N99" s="568"/>
      <c r="O99" s="1501"/>
      <c r="P99" s="1502"/>
      <c r="Q99" s="1503"/>
      <c r="R99" s="488"/>
    </row>
    <row r="100" spans="2:18" ht="13" x14ac:dyDescent="0.3">
      <c r="B100" s="533">
        <v>4</v>
      </c>
      <c r="C100" s="546"/>
      <c r="D100" s="1184"/>
      <c r="E100" s="1068"/>
      <c r="F100" s="1190"/>
      <c r="G100" s="1190"/>
      <c r="H100" s="1190"/>
      <c r="I100" s="568"/>
      <c r="J100" s="568"/>
      <c r="K100" s="568"/>
      <c r="L100" s="568"/>
      <c r="M100" s="568"/>
      <c r="N100" s="568"/>
      <c r="O100" s="1501"/>
      <c r="P100" s="1502"/>
      <c r="Q100" s="1503"/>
      <c r="R100" s="488"/>
    </row>
    <row r="101" spans="2:18" ht="13" x14ac:dyDescent="0.3">
      <c r="B101" s="533">
        <v>5</v>
      </c>
      <c r="C101" s="546"/>
      <c r="D101" s="1184"/>
      <c r="E101" s="1068"/>
      <c r="F101" s="1190"/>
      <c r="G101" s="1190"/>
      <c r="H101" s="1190"/>
      <c r="I101" s="568"/>
      <c r="J101" s="568"/>
      <c r="K101" s="568"/>
      <c r="L101" s="568"/>
      <c r="M101" s="568"/>
      <c r="N101" s="568"/>
      <c r="O101" s="1501"/>
      <c r="P101" s="1502"/>
      <c r="Q101" s="1503"/>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sheetData>
  <sheetProtection algorithmName="SHA-512" hashValue="gTNa/lOUmUBF+BG7YtzcIh6+67FD5zeufRNb60E9R08Ja7at6+Ljemdc7dCeiN+6gjzSZM2MbKDZbTqhZ53ZXQ==" saltValue="o7dvnEwnOM4lSbf62u1qwA==" spinCount="100000" sheet="1" objects="1" scenarios="1" selectLockedCells="1" selectUnlockedCells="1"/>
  <mergeCells count="121">
    <mergeCell ref="O113:Q113"/>
    <mergeCell ref="O114:Q114"/>
    <mergeCell ref="O115:Q115"/>
    <mergeCell ref="O116:Q116"/>
    <mergeCell ref="O107:Q107"/>
    <mergeCell ref="O108:Q108"/>
    <mergeCell ref="O109:Q109"/>
    <mergeCell ref="O110:Q110"/>
    <mergeCell ref="O111:Q111"/>
    <mergeCell ref="O112:Q112"/>
    <mergeCell ref="O101:Q101"/>
    <mergeCell ref="O102:Q102"/>
    <mergeCell ref="O103:Q103"/>
    <mergeCell ref="O104:Q104"/>
    <mergeCell ref="O105:Q105"/>
    <mergeCell ref="O106:Q106"/>
    <mergeCell ref="B95:D95"/>
    <mergeCell ref="C96:D96"/>
    <mergeCell ref="O97:Q97"/>
    <mergeCell ref="O98:Q98"/>
    <mergeCell ref="O99:Q99"/>
    <mergeCell ref="O100:Q100"/>
    <mergeCell ref="D76:E76"/>
    <mergeCell ref="J76:Q76"/>
    <mergeCell ref="F86:Q86"/>
    <mergeCell ref="F87:Q87"/>
    <mergeCell ref="F88:Q88"/>
    <mergeCell ref="F89:Q89"/>
    <mergeCell ref="F90:Q90"/>
    <mergeCell ref="E94:N94"/>
    <mergeCell ref="O94:Q96"/>
    <mergeCell ref="F80:Q80"/>
    <mergeCell ref="F81:Q81"/>
    <mergeCell ref="F82:Q82"/>
    <mergeCell ref="F83:Q83"/>
    <mergeCell ref="F84:Q84"/>
    <mergeCell ref="F85:Q85"/>
    <mergeCell ref="D73:E73"/>
    <mergeCell ref="J73:Q73"/>
    <mergeCell ref="D74:E74"/>
    <mergeCell ref="J74:Q74"/>
    <mergeCell ref="D75:E75"/>
    <mergeCell ref="J75:Q75"/>
    <mergeCell ref="D70:E70"/>
    <mergeCell ref="J70:Q70"/>
    <mergeCell ref="D71:E71"/>
    <mergeCell ref="J71:Q71"/>
    <mergeCell ref="D72:E72"/>
    <mergeCell ref="J72:Q72"/>
    <mergeCell ref="D67:E67"/>
    <mergeCell ref="J67:Q67"/>
    <mergeCell ref="D68:E68"/>
    <mergeCell ref="J68:Q68"/>
    <mergeCell ref="D69:E69"/>
    <mergeCell ref="J69:Q69"/>
    <mergeCell ref="D64:E64"/>
    <mergeCell ref="J64:Q64"/>
    <mergeCell ref="D65:E65"/>
    <mergeCell ref="J65:Q65"/>
    <mergeCell ref="D66:E66"/>
    <mergeCell ref="J66:Q66"/>
    <mergeCell ref="D61:E61"/>
    <mergeCell ref="J61:Q61"/>
    <mergeCell ref="D62:E62"/>
    <mergeCell ref="J62:Q62"/>
    <mergeCell ref="D63:E63"/>
    <mergeCell ref="J63:Q63"/>
    <mergeCell ref="C55:M55"/>
    <mergeCell ref="P55:Q55"/>
    <mergeCell ref="C56:M56"/>
    <mergeCell ref="P56:Q56"/>
    <mergeCell ref="C57:M57"/>
    <mergeCell ref="P57:Q57"/>
    <mergeCell ref="C51:M51"/>
    <mergeCell ref="P51:Q51"/>
    <mergeCell ref="C53:M53"/>
    <mergeCell ref="P53:Q53"/>
    <mergeCell ref="C54:M54"/>
    <mergeCell ref="P54:Q54"/>
    <mergeCell ref="C48:M48"/>
    <mergeCell ref="P48:Q48"/>
    <mergeCell ref="C49:M49"/>
    <mergeCell ref="P49:Q49"/>
    <mergeCell ref="C50:M50"/>
    <mergeCell ref="P50:Q50"/>
    <mergeCell ref="C44:M44"/>
    <mergeCell ref="P44:Q44"/>
    <mergeCell ref="C45:M45"/>
    <mergeCell ref="P45:Q45"/>
    <mergeCell ref="C47:M47"/>
    <mergeCell ref="P47:Q47"/>
    <mergeCell ref="C41:M41"/>
    <mergeCell ref="P41:Q41"/>
    <mergeCell ref="C42:M42"/>
    <mergeCell ref="P42:Q42"/>
    <mergeCell ref="C43:M43"/>
    <mergeCell ref="P43:Q43"/>
    <mergeCell ref="E32:Q32"/>
    <mergeCell ref="E33:Q33"/>
    <mergeCell ref="E34:Q34"/>
    <mergeCell ref="E35:Q35"/>
    <mergeCell ref="E36:Q36"/>
    <mergeCell ref="E37:Q37"/>
    <mergeCell ref="D25:Q25"/>
    <mergeCell ref="D26:Q26"/>
    <mergeCell ref="D27:Q27"/>
    <mergeCell ref="D28:Q28"/>
    <mergeCell ref="D29:Q29"/>
    <mergeCell ref="D30:Q30"/>
    <mergeCell ref="D17:F17"/>
    <mergeCell ref="D18:F18"/>
    <mergeCell ref="B20:Q20"/>
    <mergeCell ref="C21:Q21"/>
    <mergeCell ref="C22:Q22"/>
    <mergeCell ref="C23:Q23"/>
    <mergeCell ref="C2:F2"/>
    <mergeCell ref="C3:F3"/>
    <mergeCell ref="C4:F4"/>
    <mergeCell ref="C5:F5"/>
    <mergeCell ref="D7:F7"/>
    <mergeCell ref="D8:F16"/>
  </mergeCells>
  <conditionalFormatting sqref="F109:F116 G102:G116 H104:H116">
    <cfRule type="expression" dxfId="1466" priority="57">
      <formula>IF(OR(#REF!="L",#REF!="C"),TRUE,FALSE)</formula>
    </cfRule>
  </conditionalFormatting>
  <conditionalFormatting sqref="E110:E116">
    <cfRule type="expression" dxfId="1465" priority="56">
      <formula>IF(OR(#REF!="L",#REF!="C"),TRUE,FALSE)</formula>
    </cfRule>
  </conditionalFormatting>
  <conditionalFormatting sqref="E107">
    <cfRule type="expression" dxfId="1464" priority="55">
      <formula>IF(OR(#REF!="L",#REF!="C"),TRUE,FALSE)</formula>
    </cfRule>
  </conditionalFormatting>
  <conditionalFormatting sqref="E106">
    <cfRule type="expression" dxfId="1463" priority="52">
      <formula>IF(OR(#REF!="L",#REF!="C"),TRUE,FALSE)</formula>
    </cfRule>
  </conditionalFormatting>
  <conditionalFormatting sqref="E108">
    <cfRule type="expression" dxfId="1462" priority="54">
      <formula>IF(OR(#REF!="L",#REF!="C"),TRUE,FALSE)</formula>
    </cfRule>
  </conditionalFormatting>
  <conditionalFormatting sqref="E109">
    <cfRule type="expression" dxfId="1461" priority="53">
      <formula>IF(OR(#REF!="L",#REF!="C"),TRUE,FALSE)</formula>
    </cfRule>
  </conditionalFormatting>
  <conditionalFormatting sqref="E95 G95 I95 K95 M95">
    <cfRule type="duplicateValues" dxfId="1460" priority="51"/>
  </conditionalFormatting>
  <conditionalFormatting sqref="M104:M116">
    <cfRule type="expression" dxfId="1459" priority="41">
      <formula>IF(OR(#REF!="L",#REF!="C"),TRUE,FALSE)</formula>
    </cfRule>
  </conditionalFormatting>
  <conditionalFormatting sqref="F102:F106">
    <cfRule type="expression" dxfId="1458" priority="50">
      <formula>IF(OR(#REF!="L",#REF!="C"),TRUE,FALSE)</formula>
    </cfRule>
  </conditionalFormatting>
  <conditionalFormatting sqref="I102:I103">
    <cfRule type="expression" dxfId="1457" priority="48">
      <formula>IF(OR(#REF!="L",#REF!="C"),TRUE,FALSE)</formula>
    </cfRule>
  </conditionalFormatting>
  <conditionalFormatting sqref="N102:N103">
    <cfRule type="expression" dxfId="1456" priority="38">
      <formula>IF(OR(#REF!="L",#REF!="C"),TRUE,FALSE)</formula>
    </cfRule>
  </conditionalFormatting>
  <conditionalFormatting sqref="I104:I116">
    <cfRule type="expression" dxfId="1455" priority="49">
      <formula>IF(OR(#REF!="L",#REF!="C"),TRUE,FALSE)</formula>
    </cfRule>
  </conditionalFormatting>
  <conditionalFormatting sqref="J102:J103">
    <cfRule type="expression" dxfId="1454" priority="46">
      <formula>IF(OR(#REF!="L",#REF!="C"),TRUE,FALSE)</formula>
    </cfRule>
  </conditionalFormatting>
  <conditionalFormatting sqref="J104:J116">
    <cfRule type="expression" dxfId="1453" priority="47">
      <formula>IF(OR(#REF!="L",#REF!="C"),TRUE,FALSE)</formula>
    </cfRule>
  </conditionalFormatting>
  <conditionalFormatting sqref="K102:K103">
    <cfRule type="expression" dxfId="1452" priority="44">
      <formula>IF(OR(#REF!="L",#REF!="C"),TRUE,FALSE)</formula>
    </cfRule>
  </conditionalFormatting>
  <conditionalFormatting sqref="K104:K116">
    <cfRule type="expression" dxfId="1451" priority="45">
      <formula>IF(OR(#REF!="L",#REF!="C"),TRUE,FALSE)</formula>
    </cfRule>
  </conditionalFormatting>
  <conditionalFormatting sqref="L102:L103">
    <cfRule type="expression" dxfId="1450" priority="42">
      <formula>IF(OR(#REF!="L",#REF!="C"),TRUE,FALSE)</formula>
    </cfRule>
  </conditionalFormatting>
  <conditionalFormatting sqref="L104:L116">
    <cfRule type="expression" dxfId="1449" priority="43">
      <formula>IF(OR(#REF!="L",#REF!="C"),TRUE,FALSE)</formula>
    </cfRule>
  </conditionalFormatting>
  <conditionalFormatting sqref="M102:M103">
    <cfRule type="expression" dxfId="1448" priority="40">
      <formula>IF(OR(#REF!="L",#REF!="C"),TRUE,FALSE)</formula>
    </cfRule>
  </conditionalFormatting>
  <conditionalFormatting sqref="N104:N116">
    <cfRule type="expression" dxfId="1447" priority="39">
      <formula>IF(OR(#REF!="L",#REF!="C"),TRUE,FALSE)</formula>
    </cfRule>
  </conditionalFormatting>
  <conditionalFormatting sqref="O102:O103">
    <cfRule type="expression" dxfId="1446" priority="36">
      <formula>IF(OR(#REF!="L",#REF!="C"),TRUE,FALSE)</formula>
    </cfRule>
  </conditionalFormatting>
  <conditionalFormatting sqref="O104:O116">
    <cfRule type="expression" dxfId="1445" priority="37">
      <formula>IF(OR(#REF!="L",#REF!="C"),TRUE,FALSE)</formula>
    </cfRule>
  </conditionalFormatting>
  <conditionalFormatting sqref="E96:N96">
    <cfRule type="duplicateValues" dxfId="1444" priority="35"/>
  </conditionalFormatting>
  <conditionalFormatting sqref="H62:H76">
    <cfRule type="expression" dxfId="1443" priority="1">
      <formula>IF(OR(#REF!="L",#REF!="C"),TRUE,FALSE)</formula>
    </cfRule>
  </conditionalFormatting>
  <dataValidations count="6">
    <dataValidation type="list" allowBlank="1" showInputMessage="1" showErrorMessage="1" sqref="C4" xr:uid="{93827C21-7AFF-4D9C-A929-B5F917C105BE}">
      <formula1>"COM,RES"</formula1>
    </dataValidation>
    <dataValidation type="list" allowBlank="1" showInputMessage="1" showErrorMessage="1" sqref="C9" xr:uid="{541D1D3F-9603-4F13-A6D8-0FFC46A43A49}">
      <formula1>INDIRECT("MeasureTypeList[Index]")</formula1>
    </dataValidation>
    <dataValidation type="list" allowBlank="1" showInputMessage="1" showErrorMessage="1" sqref="C26" xr:uid="{1D1B1292-FB8A-4656-94AE-25B0E5F5111E}">
      <formula1>INDIRECT("RegionList[Index]")</formula1>
    </dataValidation>
    <dataValidation type="list" allowBlank="1" showInputMessage="1" showErrorMessage="1" sqref="C27" xr:uid="{8289C56C-0C1D-4425-A5E2-834D0AA34FBB}">
      <formula1>INDIRECT("ReplacementTypeList[Index]")</formula1>
    </dataValidation>
    <dataValidation type="list" allowBlank="1" showInputMessage="1" showErrorMessage="1" sqref="C28" xr:uid="{1EB88A73-DB1A-49F3-9BC1-9D0659206FE8}">
      <formula1>INDIRECT("BuildingType[Building]")</formula1>
    </dataValidation>
    <dataValidation type="list" allowBlank="1" showInputMessage="1" showErrorMessage="1" sqref="C29 C30" xr:uid="{235993EC-AF90-4426-AD82-71DF7BACF05D}">
      <formula1>INDIRECT("FuelTypeList[Index]")</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701629D-940A-4610-9FC9-05888C5D7F27}">
          <x14:formula1>
            <xm:f>'Climate Data'!$B$286:$B$291</xm:f>
          </x14:formula1>
          <xm:sqref>H65</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486BB-A4F4-41B3-A921-8044D7C41E8B}">
  <sheetPr codeName="Sheet49"/>
  <dimension ref="A2:R116"/>
  <sheetViews>
    <sheetView workbookViewId="0"/>
  </sheetViews>
  <sheetFormatPr defaultColWidth="9.08984375" defaultRowHeight="18.75" customHeight="1" x14ac:dyDescent="0.3"/>
  <cols>
    <col min="1" max="1" width="2.36328125" style="488" customWidth="1"/>
    <col min="2" max="2" width="40.26953125" style="488" customWidth="1"/>
    <col min="3" max="3" width="26.7265625" style="488" customWidth="1"/>
    <col min="4" max="4" width="21.6328125" style="488" customWidth="1"/>
    <col min="5" max="5" width="18" style="488" customWidth="1"/>
    <col min="6" max="6" width="15.6328125" style="488" customWidth="1"/>
    <col min="7" max="7" width="19.6328125" style="488" customWidth="1"/>
    <col min="8" max="8" width="16"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C-WB-004</v>
      </c>
      <c r="D3" s="1367"/>
      <c r="E3" s="1367"/>
      <c r="F3" s="1367"/>
    </row>
    <row r="4" spans="1:18" ht="18.75" customHeight="1" x14ac:dyDescent="0.3">
      <c r="B4" s="490" t="s">
        <v>11</v>
      </c>
      <c r="C4" s="1367" t="str" cm="1">
        <f t="array" ref="C4">_xlfn.SWITCH(LEFT(C8,1),"R","Residential","C","Commercial","ERROR")</f>
        <v>Commercial</v>
      </c>
      <c r="D4" s="1367"/>
      <c r="E4" s="1367"/>
      <c r="F4" s="1367"/>
    </row>
    <row r="5" spans="1:18" ht="19.5" customHeight="1" x14ac:dyDescent="0.3">
      <c r="B5" s="490" t="s">
        <v>408</v>
      </c>
      <c r="C5" s="1530" t="s">
        <v>328</v>
      </c>
      <c r="D5" s="1531"/>
      <c r="E5" s="1531"/>
      <c r="F5" s="1532"/>
      <c r="R5" s="488"/>
    </row>
    <row r="6" spans="1:18" ht="18.75" customHeight="1" x14ac:dyDescent="0.3">
      <c r="A6" s="573"/>
    </row>
    <row r="7" spans="1:18" ht="18.75" customHeight="1" x14ac:dyDescent="0.3">
      <c r="B7" s="1193" t="s">
        <v>409</v>
      </c>
      <c r="C7" s="1192" t="s">
        <v>406</v>
      </c>
      <c r="D7" s="1363" t="s">
        <v>410</v>
      </c>
      <c r="E7" s="1363"/>
      <c r="F7" s="1363"/>
      <c r="R7" s="488"/>
    </row>
    <row r="8" spans="1:18" ht="18.75" customHeight="1" x14ac:dyDescent="0.3">
      <c r="B8" s="490" t="s">
        <v>411</v>
      </c>
      <c r="C8" s="1218" t="s">
        <v>148</v>
      </c>
      <c r="D8" s="1957"/>
      <c r="E8" s="1957"/>
      <c r="F8" s="1957"/>
      <c r="R8" s="488"/>
    </row>
    <row r="9" spans="1:18" ht="18.75" customHeight="1" x14ac:dyDescent="0.3">
      <c r="B9" s="490" t="s">
        <v>49</v>
      </c>
      <c r="C9" s="1218" t="s">
        <v>891</v>
      </c>
      <c r="D9" s="1957"/>
      <c r="E9" s="1957"/>
      <c r="F9" s="1957"/>
      <c r="R9" s="488"/>
    </row>
    <row r="10" spans="1:18" ht="18.75" customHeight="1" x14ac:dyDescent="0.3">
      <c r="B10" s="490" t="s">
        <v>412</v>
      </c>
      <c r="C10" s="1218"/>
      <c r="D10" s="1957"/>
      <c r="E10" s="1957"/>
      <c r="F10" s="1957"/>
      <c r="R10" s="488"/>
    </row>
    <row r="11" spans="1:18" ht="18.75" customHeight="1" x14ac:dyDescent="0.3">
      <c r="B11" s="490" t="s">
        <v>413</v>
      </c>
      <c r="C11" s="1218"/>
      <c r="D11" s="1957"/>
      <c r="E11" s="1957"/>
      <c r="F11" s="1957"/>
      <c r="R11" s="488"/>
    </row>
    <row r="12" spans="1:18" ht="18.75" customHeight="1" x14ac:dyDescent="0.3">
      <c r="B12" s="490" t="s">
        <v>414</v>
      </c>
      <c r="C12" s="665"/>
      <c r="D12" s="1957"/>
      <c r="E12" s="1957"/>
      <c r="F12" s="1957"/>
      <c r="R12" s="488"/>
    </row>
    <row r="13" spans="1:18" ht="18.75" customHeight="1" x14ac:dyDescent="0.3">
      <c r="B13" s="494" t="s">
        <v>415</v>
      </c>
      <c r="C13" s="658">
        <f>N43</f>
        <v>0</v>
      </c>
      <c r="D13" s="1957"/>
      <c r="E13" s="1957"/>
      <c r="F13" s="1957"/>
      <c r="R13" s="488"/>
    </row>
    <row r="14" spans="1:18" ht="18.75" customHeight="1" x14ac:dyDescent="0.3">
      <c r="B14" s="494" t="s">
        <v>416</v>
      </c>
      <c r="C14" s="658">
        <f>N42</f>
        <v>0</v>
      </c>
      <c r="D14" s="1957"/>
      <c r="E14" s="1957"/>
      <c r="F14" s="1957"/>
      <c r="R14" s="488"/>
    </row>
    <row r="15" spans="1:18" ht="18.75" customHeight="1" x14ac:dyDescent="0.3">
      <c r="B15" s="494" t="s">
        <v>417</v>
      </c>
      <c r="C15" s="658">
        <f>N44</f>
        <v>0</v>
      </c>
      <c r="D15" s="1957"/>
      <c r="E15" s="1957"/>
      <c r="F15" s="1957"/>
      <c r="R15" s="488"/>
    </row>
    <row r="16" spans="1:18" ht="18.75" customHeight="1" x14ac:dyDescent="0.3">
      <c r="B16" s="494" t="s">
        <v>418</v>
      </c>
      <c r="C16" s="659">
        <f>C37</f>
        <v>0</v>
      </c>
      <c r="D16" s="1957"/>
      <c r="E16" s="1957"/>
      <c r="F16" s="1957"/>
      <c r="R16" s="488"/>
    </row>
    <row r="17" spans="2:18" ht="18.75" customHeight="1" x14ac:dyDescent="0.3">
      <c r="B17" s="490" t="s">
        <v>48</v>
      </c>
      <c r="C17" s="1218" t="s">
        <v>673</v>
      </c>
      <c r="D17" s="1363" t="s">
        <v>419</v>
      </c>
      <c r="E17" s="1363"/>
      <c r="F17" s="1363"/>
      <c r="R17" s="488"/>
    </row>
    <row r="18" spans="2:18" ht="18.75" customHeight="1" x14ac:dyDescent="0.3">
      <c r="B18" s="490" t="s">
        <v>420</v>
      </c>
      <c r="C18" s="666">
        <v>15</v>
      </c>
      <c r="D18" s="2026" t="s">
        <v>674</v>
      </c>
      <c r="E18" s="2026"/>
      <c r="F18" s="2026"/>
      <c r="R18" s="488"/>
    </row>
    <row r="19" spans="2:18" ht="18.75" customHeight="1" x14ac:dyDescent="0.3">
      <c r="B19" s="497"/>
      <c r="C19" s="576"/>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36.75" customHeight="1" x14ac:dyDescent="0.3">
      <c r="B21" s="499" t="s">
        <v>422</v>
      </c>
      <c r="C21" s="1546" t="s">
        <v>329</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36" t="s">
        <v>330</v>
      </c>
      <c r="D22" s="1536"/>
      <c r="E22" s="1536"/>
      <c r="F22" s="1536"/>
      <c r="G22" s="1536"/>
      <c r="H22" s="1536"/>
      <c r="I22" s="1536"/>
      <c r="J22" s="1536"/>
      <c r="K22" s="1536"/>
      <c r="L22" s="1536"/>
      <c r="M22" s="1536"/>
      <c r="N22" s="1536"/>
      <c r="O22" s="1536"/>
      <c r="P22" s="1536"/>
      <c r="Q22" s="1536"/>
      <c r="R22" s="488"/>
    </row>
    <row r="23" spans="2:18" ht="18.75" customHeight="1" x14ac:dyDescent="0.3">
      <c r="B23" s="500" t="s">
        <v>424</v>
      </c>
      <c r="C23" s="2033"/>
      <c r="D23" s="2033"/>
      <c r="E23" s="2033"/>
      <c r="F23" s="2033"/>
      <c r="G23" s="2033"/>
      <c r="H23" s="2033"/>
      <c r="I23" s="2033"/>
      <c r="J23" s="2033"/>
      <c r="K23" s="2033"/>
      <c r="L23" s="2033"/>
      <c r="M23" s="2033"/>
      <c r="N23" s="2033"/>
      <c r="O23" s="2033"/>
      <c r="P23" s="2033"/>
      <c r="Q23" s="2033"/>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512"/>
      <c r="F33" s="1512"/>
      <c r="G33" s="1512"/>
      <c r="H33" s="1512"/>
      <c r="I33" s="1512"/>
      <c r="J33" s="1512"/>
      <c r="K33" s="1512"/>
      <c r="L33" s="1512"/>
      <c r="M33" s="1512"/>
      <c r="N33" s="1512"/>
      <c r="O33" s="1512"/>
      <c r="P33" s="1512"/>
      <c r="Q33" s="1512"/>
      <c r="R33" s="488"/>
    </row>
    <row r="34" spans="2:18" ht="18.75" customHeight="1" x14ac:dyDescent="0.3">
      <c r="B34" s="494" t="s">
        <v>431</v>
      </c>
      <c r="C34" s="542"/>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905"/>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905">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0</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1004</v>
      </c>
      <c r="D49" s="1505"/>
      <c r="E49" s="1505"/>
      <c r="F49" s="1505"/>
      <c r="G49" s="1505"/>
      <c r="H49" s="1505"/>
      <c r="I49" s="1505"/>
      <c r="J49" s="1505"/>
      <c r="K49" s="1505"/>
      <c r="L49" s="1505"/>
      <c r="M49" s="1506"/>
      <c r="N49" s="592"/>
      <c r="O49" s="1243" t="s">
        <v>443</v>
      </c>
      <c r="P49" s="1511"/>
      <c r="Q49" s="1511"/>
      <c r="R49" s="488"/>
    </row>
    <row r="50" spans="2:18" ht="18.75" customHeight="1" x14ac:dyDescent="0.3">
      <c r="B50" s="582" t="s">
        <v>456</v>
      </c>
      <c r="C50" s="1504" t="s">
        <v>1005</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467</v>
      </c>
      <c r="D56" s="1505"/>
      <c r="E56" s="1505"/>
      <c r="F56" s="1505"/>
      <c r="G56" s="1505"/>
      <c r="H56" s="1505"/>
      <c r="I56" s="1505"/>
      <c r="J56" s="1505"/>
      <c r="K56" s="1505"/>
      <c r="L56" s="1505"/>
      <c r="M56" s="1506"/>
      <c r="N56" s="594"/>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765</v>
      </c>
      <c r="H61" s="506" t="s">
        <v>406</v>
      </c>
      <c r="I61" s="506" t="s">
        <v>428</v>
      </c>
      <c r="J61" s="1396" t="s">
        <v>476</v>
      </c>
      <c r="K61" s="1397"/>
      <c r="L61" s="1397"/>
      <c r="M61" s="1397"/>
      <c r="N61" s="1397"/>
      <c r="O61" s="1397"/>
      <c r="P61" s="1397"/>
      <c r="Q61" s="1398"/>
    </row>
    <row r="62" spans="2:18" ht="15" customHeight="1" x14ac:dyDescent="0.3">
      <c r="B62" s="719">
        <v>1</v>
      </c>
      <c r="C62" s="1069"/>
      <c r="D62" s="2027"/>
      <c r="E62" s="2027"/>
      <c r="F62" s="1070"/>
      <c r="G62" s="1070"/>
      <c r="H62" s="1071"/>
      <c r="I62" s="1070"/>
      <c r="J62" s="2028"/>
      <c r="K62" s="2029"/>
      <c r="L62" s="2029"/>
      <c r="M62" s="2029"/>
      <c r="N62" s="2029"/>
      <c r="O62" s="2029"/>
      <c r="P62" s="2029"/>
      <c r="Q62" s="2030"/>
      <c r="R62" s="488"/>
    </row>
    <row r="63" spans="2:18" ht="15" customHeight="1" x14ac:dyDescent="0.3">
      <c r="B63" s="719">
        <v>2</v>
      </c>
      <c r="C63" s="1069"/>
      <c r="D63" s="2027"/>
      <c r="E63" s="2027"/>
      <c r="F63" s="1070"/>
      <c r="G63" s="1070"/>
      <c r="H63" s="1071"/>
      <c r="I63" s="1070"/>
      <c r="J63" s="2028"/>
      <c r="K63" s="2029"/>
      <c r="L63" s="2029"/>
      <c r="M63" s="2029"/>
      <c r="N63" s="2029"/>
      <c r="O63" s="2029"/>
      <c r="P63" s="2029"/>
      <c r="Q63" s="2030"/>
      <c r="R63" s="488"/>
    </row>
    <row r="64" spans="2:18" ht="15" customHeight="1" x14ac:dyDescent="0.3">
      <c r="B64" s="719">
        <v>3</v>
      </c>
      <c r="C64" s="1069"/>
      <c r="D64" s="2027"/>
      <c r="E64" s="2027"/>
      <c r="F64" s="1070"/>
      <c r="G64" s="1070"/>
      <c r="H64" s="1071"/>
      <c r="I64" s="1070"/>
      <c r="J64" s="2028"/>
      <c r="K64" s="2029"/>
      <c r="L64" s="2029"/>
      <c r="M64" s="2029"/>
      <c r="N64" s="2029"/>
      <c r="O64" s="2029"/>
      <c r="P64" s="2029"/>
      <c r="Q64" s="2030"/>
      <c r="R64" s="488"/>
    </row>
    <row r="65" spans="2:18" ht="15" customHeight="1" x14ac:dyDescent="0.3">
      <c r="B65" s="719">
        <v>4</v>
      </c>
      <c r="C65" s="1069"/>
      <c r="D65" s="2027"/>
      <c r="E65" s="2027"/>
      <c r="F65" s="1070"/>
      <c r="G65" s="1070"/>
      <c r="H65" s="1071"/>
      <c r="I65" s="1070"/>
      <c r="J65" s="2028"/>
      <c r="K65" s="2029"/>
      <c r="L65" s="2029"/>
      <c r="M65" s="2029"/>
      <c r="N65" s="2029"/>
      <c r="O65" s="2029"/>
      <c r="P65" s="2029"/>
      <c r="Q65" s="2030"/>
      <c r="R65" s="488"/>
    </row>
    <row r="66" spans="2:18" ht="15" customHeight="1" x14ac:dyDescent="0.3">
      <c r="B66" s="719">
        <v>5</v>
      </c>
      <c r="C66" s="1069"/>
      <c r="D66" s="2027"/>
      <c r="E66" s="2027"/>
      <c r="F66" s="1070"/>
      <c r="G66" s="1070"/>
      <c r="H66" s="1071"/>
      <c r="I66" s="1070"/>
      <c r="J66" s="2028"/>
      <c r="K66" s="2029"/>
      <c r="L66" s="2029"/>
      <c r="M66" s="2029"/>
      <c r="N66" s="2029"/>
      <c r="O66" s="2029"/>
      <c r="P66" s="2029"/>
      <c r="Q66" s="2030"/>
      <c r="R66" s="488"/>
    </row>
    <row r="67" spans="2:18" ht="15" customHeight="1" x14ac:dyDescent="0.3">
      <c r="B67" s="719">
        <v>6</v>
      </c>
      <c r="C67" s="1069"/>
      <c r="D67" s="2027"/>
      <c r="E67" s="2027"/>
      <c r="F67" s="1070"/>
      <c r="G67" s="1070"/>
      <c r="H67" s="1071"/>
      <c r="I67" s="1070"/>
      <c r="J67" s="2028"/>
      <c r="K67" s="2029"/>
      <c r="L67" s="2029"/>
      <c r="M67" s="2029"/>
      <c r="N67" s="2029"/>
      <c r="O67" s="2029"/>
      <c r="P67" s="2029"/>
      <c r="Q67" s="2030"/>
      <c r="R67" s="488"/>
    </row>
    <row r="68" spans="2:18" ht="15" customHeight="1" x14ac:dyDescent="0.3">
      <c r="B68" s="719">
        <v>7</v>
      </c>
      <c r="C68" s="1069"/>
      <c r="D68" s="2027"/>
      <c r="E68" s="2027"/>
      <c r="F68" s="1070"/>
      <c r="G68" s="1070"/>
      <c r="H68" s="1071"/>
      <c r="I68" s="1070"/>
      <c r="J68" s="2028"/>
      <c r="K68" s="2029"/>
      <c r="L68" s="2029"/>
      <c r="M68" s="2029"/>
      <c r="N68" s="2029"/>
      <c r="O68" s="2029"/>
      <c r="P68" s="2029"/>
      <c r="Q68" s="2030"/>
      <c r="R68" s="488"/>
    </row>
    <row r="69" spans="2:18" ht="15" customHeight="1" x14ac:dyDescent="0.3">
      <c r="B69" s="719">
        <v>8</v>
      </c>
      <c r="C69" s="1069"/>
      <c r="D69" s="2027"/>
      <c r="E69" s="2027"/>
      <c r="F69" s="1070"/>
      <c r="G69" s="1070"/>
      <c r="H69" s="1071"/>
      <c r="I69" s="1070"/>
      <c r="J69" s="2028"/>
      <c r="K69" s="2029"/>
      <c r="L69" s="2029"/>
      <c r="M69" s="2029"/>
      <c r="N69" s="2029"/>
      <c r="O69" s="2029"/>
      <c r="P69" s="2029"/>
      <c r="Q69" s="2030"/>
      <c r="R69" s="488"/>
    </row>
    <row r="70" spans="2:18" ht="15" customHeight="1" x14ac:dyDescent="0.3">
      <c r="B70" s="719">
        <v>9</v>
      </c>
      <c r="C70" s="1069"/>
      <c r="D70" s="2027"/>
      <c r="E70" s="2027"/>
      <c r="F70" s="1070"/>
      <c r="G70" s="1070"/>
      <c r="H70" s="1071"/>
      <c r="I70" s="1070"/>
      <c r="J70" s="2028"/>
      <c r="K70" s="2029"/>
      <c r="L70" s="2029"/>
      <c r="M70" s="2029"/>
      <c r="N70" s="2029"/>
      <c r="O70" s="2029"/>
      <c r="P70" s="2029"/>
      <c r="Q70" s="2030"/>
      <c r="R70" s="488"/>
    </row>
    <row r="71" spans="2:18" ht="15" customHeight="1" x14ac:dyDescent="0.3">
      <c r="B71" s="719">
        <v>10</v>
      </c>
      <c r="C71" s="1069"/>
      <c r="D71" s="2027"/>
      <c r="E71" s="2027"/>
      <c r="F71" s="1070"/>
      <c r="G71" s="1070"/>
      <c r="H71" s="1071"/>
      <c r="I71" s="1070"/>
      <c r="J71" s="2028"/>
      <c r="K71" s="2029"/>
      <c r="L71" s="2029"/>
      <c r="M71" s="2029"/>
      <c r="N71" s="2029"/>
      <c r="O71" s="2029"/>
      <c r="P71" s="2029"/>
      <c r="Q71" s="2030"/>
      <c r="R71" s="488"/>
    </row>
    <row r="72" spans="2:18" ht="15" customHeight="1" x14ac:dyDescent="0.3">
      <c r="B72" s="719">
        <v>11</v>
      </c>
      <c r="C72" s="1069"/>
      <c r="D72" s="2027"/>
      <c r="E72" s="2027"/>
      <c r="F72" s="1070"/>
      <c r="G72" s="1070"/>
      <c r="H72" s="1071"/>
      <c r="I72" s="1070"/>
      <c r="J72" s="2028"/>
      <c r="K72" s="2029"/>
      <c r="L72" s="2029"/>
      <c r="M72" s="2029"/>
      <c r="N72" s="2029"/>
      <c r="O72" s="2029"/>
      <c r="P72" s="2029"/>
      <c r="Q72" s="2030"/>
      <c r="R72" s="488"/>
    </row>
    <row r="73" spans="2:18" ht="15" customHeight="1" x14ac:dyDescent="0.3">
      <c r="B73" s="719">
        <v>12</v>
      </c>
      <c r="C73" s="1069"/>
      <c r="D73" s="2027"/>
      <c r="E73" s="2027"/>
      <c r="F73" s="1070"/>
      <c r="G73" s="1070"/>
      <c r="H73" s="1071"/>
      <c r="I73" s="1070"/>
      <c r="J73" s="2028"/>
      <c r="K73" s="2029"/>
      <c r="L73" s="2029"/>
      <c r="M73" s="2029"/>
      <c r="N73" s="2029"/>
      <c r="O73" s="2029"/>
      <c r="P73" s="2029"/>
      <c r="Q73" s="2030"/>
      <c r="R73" s="488"/>
    </row>
    <row r="74" spans="2:18" ht="15" customHeight="1" x14ac:dyDescent="0.3">
      <c r="B74" s="719">
        <v>13</v>
      </c>
      <c r="C74" s="1069"/>
      <c r="D74" s="2027"/>
      <c r="E74" s="2027"/>
      <c r="F74" s="1070"/>
      <c r="G74" s="1070"/>
      <c r="H74" s="1071"/>
      <c r="I74" s="1070"/>
      <c r="J74" s="2028"/>
      <c r="K74" s="2029"/>
      <c r="L74" s="2029"/>
      <c r="M74" s="2029"/>
      <c r="N74" s="2029"/>
      <c r="O74" s="2029"/>
      <c r="P74" s="2029"/>
      <c r="Q74" s="2030"/>
      <c r="R74" s="488"/>
    </row>
    <row r="75" spans="2:18" ht="15" customHeight="1" x14ac:dyDescent="0.3">
      <c r="B75" s="719">
        <v>14</v>
      </c>
      <c r="C75" s="1069"/>
      <c r="D75" s="2027"/>
      <c r="E75" s="2027"/>
      <c r="F75" s="1070"/>
      <c r="G75" s="1070"/>
      <c r="H75" s="1071"/>
      <c r="I75" s="1070"/>
      <c r="J75" s="2028"/>
      <c r="K75" s="2029"/>
      <c r="L75" s="2029"/>
      <c r="M75" s="2029"/>
      <c r="N75" s="2029"/>
      <c r="O75" s="2029"/>
      <c r="P75" s="2029"/>
      <c r="Q75" s="2030"/>
      <c r="R75" s="488"/>
    </row>
    <row r="76" spans="2:18" ht="15" customHeight="1" x14ac:dyDescent="0.3">
      <c r="B76" s="719">
        <v>15</v>
      </c>
      <c r="C76" s="1069"/>
      <c r="D76" s="2027"/>
      <c r="E76" s="2027"/>
      <c r="F76" s="1070"/>
      <c r="G76" s="1070"/>
      <c r="H76" s="1071"/>
      <c r="I76" s="1070"/>
      <c r="J76" s="2028"/>
      <c r="K76" s="2029"/>
      <c r="L76" s="2029"/>
      <c r="M76" s="2029"/>
      <c r="N76" s="2029"/>
      <c r="O76" s="2029"/>
      <c r="P76" s="2029"/>
      <c r="Q76" s="2030"/>
      <c r="R76" s="488"/>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c r="D81" s="561"/>
      <c r="E81" s="1233"/>
      <c r="F81" s="1486"/>
      <c r="G81" s="1487"/>
      <c r="H81" s="1487"/>
      <c r="I81" s="1487"/>
      <c r="J81" s="1487"/>
      <c r="K81" s="1487"/>
      <c r="L81" s="1487"/>
      <c r="M81" s="1487"/>
      <c r="N81" s="1487"/>
      <c r="O81" s="1487"/>
      <c r="P81" s="1487"/>
      <c r="Q81" s="1488"/>
      <c r="R81" s="488"/>
    </row>
    <row r="82" spans="2:18" ht="13" x14ac:dyDescent="0.3">
      <c r="B82" s="533">
        <v>2</v>
      </c>
      <c r="C82" s="560"/>
      <c r="D82" s="562"/>
      <c r="E82" s="1233"/>
      <c r="F82" s="1489"/>
      <c r="G82" s="1490"/>
      <c r="H82" s="1490"/>
      <c r="I82" s="1490"/>
      <c r="J82" s="1490"/>
      <c r="K82" s="1490"/>
      <c r="L82" s="1490"/>
      <c r="M82" s="1490"/>
      <c r="N82" s="1490"/>
      <c r="O82" s="1490"/>
      <c r="P82" s="1490"/>
      <c r="Q82" s="1491"/>
      <c r="R82" s="488"/>
    </row>
    <row r="83" spans="2:18" ht="13" x14ac:dyDescent="0.3">
      <c r="B83" s="533">
        <v>3</v>
      </c>
      <c r="C83" s="560"/>
      <c r="D83" s="562"/>
      <c r="E83" s="1233"/>
      <c r="F83" s="1489"/>
      <c r="G83" s="1490"/>
      <c r="H83" s="1490"/>
      <c r="I83" s="1490"/>
      <c r="J83" s="1490"/>
      <c r="K83" s="1490"/>
      <c r="L83" s="1490"/>
      <c r="M83" s="1490"/>
      <c r="N83" s="1490"/>
      <c r="O83" s="1490"/>
      <c r="P83" s="1490"/>
      <c r="Q83" s="1491"/>
      <c r="R83" s="488"/>
    </row>
    <row r="84" spans="2:18" ht="13" x14ac:dyDescent="0.3">
      <c r="B84" s="533">
        <v>4</v>
      </c>
      <c r="C84" s="560"/>
      <c r="D84" s="562"/>
      <c r="E84" s="1233"/>
      <c r="F84" s="1489"/>
      <c r="G84" s="1490"/>
      <c r="H84" s="1490"/>
      <c r="I84" s="1490"/>
      <c r="J84" s="1490"/>
      <c r="K84" s="1490"/>
      <c r="L84" s="1490"/>
      <c r="M84" s="1490"/>
      <c r="N84" s="1490"/>
      <c r="O84" s="1490"/>
      <c r="P84" s="1490"/>
      <c r="Q84" s="1491"/>
      <c r="R84" s="488"/>
    </row>
    <row r="85" spans="2:18" ht="13" x14ac:dyDescent="0.3">
      <c r="B85" s="533">
        <v>5</v>
      </c>
      <c r="C85" s="560"/>
      <c r="D85" s="562"/>
      <c r="E85" s="1233"/>
      <c r="F85" s="1489"/>
      <c r="G85" s="1490"/>
      <c r="H85" s="1490"/>
      <c r="I85" s="1490"/>
      <c r="J85" s="1490"/>
      <c r="K85" s="1490"/>
      <c r="L85" s="1490"/>
      <c r="M85" s="1490"/>
      <c r="N85" s="1490"/>
      <c r="O85" s="1490"/>
      <c r="P85" s="1490"/>
      <c r="Q85" s="1491"/>
      <c r="R85" s="488"/>
    </row>
    <row r="86" spans="2:18" ht="13" x14ac:dyDescent="0.3">
      <c r="B86" s="533">
        <v>6</v>
      </c>
      <c r="C86" s="560"/>
      <c r="D86" s="1074"/>
      <c r="E86" s="1076"/>
      <c r="F86" s="2031"/>
      <c r="G86" s="2031"/>
      <c r="H86" s="2031"/>
      <c r="I86" s="2031"/>
      <c r="J86" s="2031"/>
      <c r="K86" s="2031"/>
      <c r="L86" s="2031"/>
      <c r="M86" s="2031"/>
      <c r="N86" s="2031"/>
      <c r="O86" s="2031"/>
      <c r="P86" s="2031"/>
      <c r="Q86" s="2031"/>
      <c r="R86" s="488"/>
    </row>
    <row r="87" spans="2:18" ht="13" x14ac:dyDescent="0.3">
      <c r="B87" s="533">
        <v>7</v>
      </c>
      <c r="C87" s="563"/>
      <c r="D87" s="1074"/>
      <c r="E87" s="1076"/>
      <c r="F87" s="2031"/>
      <c r="G87" s="2031"/>
      <c r="H87" s="2031"/>
      <c r="I87" s="2031"/>
      <c r="J87" s="2031"/>
      <c r="K87" s="2031"/>
      <c r="L87" s="2031"/>
      <c r="M87" s="2031"/>
      <c r="N87" s="2031"/>
      <c r="O87" s="2031"/>
      <c r="P87" s="2031"/>
      <c r="Q87" s="2031"/>
      <c r="R87" s="488"/>
    </row>
    <row r="88" spans="2:18" ht="13" x14ac:dyDescent="0.3">
      <c r="B88" s="533">
        <v>8</v>
      </c>
      <c r="C88" s="1079"/>
      <c r="D88" s="1080"/>
      <c r="E88" s="1081"/>
      <c r="F88" s="2034"/>
      <c r="G88" s="2035"/>
      <c r="H88" s="2035"/>
      <c r="I88" s="2035"/>
      <c r="J88" s="2035"/>
      <c r="K88" s="2035"/>
      <c r="L88" s="2035"/>
      <c r="M88" s="2035"/>
      <c r="N88" s="2035"/>
      <c r="O88" s="2035"/>
      <c r="P88" s="2035"/>
      <c r="Q88" s="2036"/>
      <c r="R88" s="488"/>
    </row>
    <row r="89" spans="2:18" ht="13" x14ac:dyDescent="0.3">
      <c r="B89" s="533">
        <v>9</v>
      </c>
      <c r="C89" s="563"/>
      <c r="D89" s="562"/>
      <c r="E89" s="1233"/>
      <c r="F89" s="1486"/>
      <c r="G89" s="1487"/>
      <c r="H89" s="1487"/>
      <c r="I89" s="1487"/>
      <c r="J89" s="1487"/>
      <c r="K89" s="1487"/>
      <c r="L89" s="1487"/>
      <c r="M89" s="1487"/>
      <c r="N89" s="1487"/>
      <c r="O89" s="1487"/>
      <c r="P89" s="1487"/>
      <c r="Q89" s="1488"/>
      <c r="R89" s="488"/>
    </row>
    <row r="90" spans="2:18" ht="13" x14ac:dyDescent="0.3">
      <c r="B90" s="533">
        <v>10</v>
      </c>
      <c r="C90" s="563"/>
      <c r="D90" s="562"/>
      <c r="E90" s="734"/>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c r="R95" s="488"/>
    </row>
    <row r="96" spans="2:18" ht="25.5" customHeight="1" x14ac:dyDescent="0.3">
      <c r="B96" s="1188" t="s">
        <v>478</v>
      </c>
      <c r="C96" s="1402" t="s">
        <v>505</v>
      </c>
      <c r="D96" s="1431"/>
      <c r="E96" s="565"/>
      <c r="F96" s="565"/>
      <c r="G96" s="565"/>
      <c r="H96" s="565"/>
      <c r="I96" s="565"/>
      <c r="J96" s="565"/>
      <c r="K96" s="565"/>
      <c r="L96" s="565"/>
      <c r="M96" s="565"/>
      <c r="N96" s="566"/>
      <c r="O96" s="1410"/>
      <c r="P96" s="1411"/>
      <c r="Q96" s="1412"/>
      <c r="R96" s="488"/>
    </row>
    <row r="97" spans="2:18" ht="13" x14ac:dyDescent="0.3">
      <c r="B97" s="533">
        <v>1</v>
      </c>
      <c r="C97" s="546"/>
      <c r="D97" s="1184"/>
      <c r="E97" s="1068"/>
      <c r="F97" s="1190"/>
      <c r="G97" s="1190"/>
      <c r="H97" s="1190"/>
      <c r="I97" s="568"/>
      <c r="J97" s="568"/>
      <c r="K97" s="568"/>
      <c r="L97" s="568"/>
      <c r="M97" s="568"/>
      <c r="N97" s="568"/>
      <c r="O97" s="1501"/>
      <c r="P97" s="1502"/>
      <c r="Q97" s="1503"/>
      <c r="R97" s="488"/>
    </row>
    <row r="98" spans="2:18" ht="13" x14ac:dyDescent="0.3">
      <c r="B98" s="533">
        <v>2</v>
      </c>
      <c r="C98" s="546"/>
      <c r="D98" s="1184"/>
      <c r="E98" s="1068"/>
      <c r="F98" s="1190"/>
      <c r="G98" s="1190"/>
      <c r="H98" s="1190"/>
      <c r="I98" s="568"/>
      <c r="J98" s="568"/>
      <c r="K98" s="568"/>
      <c r="L98" s="568"/>
      <c r="M98" s="568"/>
      <c r="N98" s="568"/>
      <c r="O98" s="1501"/>
      <c r="P98" s="1502"/>
      <c r="Q98" s="1503"/>
      <c r="R98" s="488"/>
    </row>
    <row r="99" spans="2:18" ht="13" x14ac:dyDescent="0.3">
      <c r="B99" s="533">
        <v>3</v>
      </c>
      <c r="C99" s="546"/>
      <c r="D99" s="1184"/>
      <c r="E99" s="1068"/>
      <c r="F99" s="1190"/>
      <c r="G99" s="1190"/>
      <c r="H99" s="1190"/>
      <c r="I99" s="568"/>
      <c r="J99" s="568"/>
      <c r="K99" s="568"/>
      <c r="L99" s="568"/>
      <c r="M99" s="568"/>
      <c r="N99" s="568"/>
      <c r="O99" s="1501"/>
      <c r="P99" s="1502"/>
      <c r="Q99" s="1503"/>
      <c r="R99" s="488"/>
    </row>
    <row r="100" spans="2:18" ht="13" x14ac:dyDescent="0.3">
      <c r="B100" s="533">
        <v>4</v>
      </c>
      <c r="C100" s="546"/>
      <c r="D100" s="1184"/>
      <c r="E100" s="1068"/>
      <c r="F100" s="1190"/>
      <c r="G100" s="1190"/>
      <c r="H100" s="1190"/>
      <c r="I100" s="568"/>
      <c r="J100" s="568"/>
      <c r="K100" s="568"/>
      <c r="L100" s="568"/>
      <c r="M100" s="568"/>
      <c r="N100" s="568"/>
      <c r="O100" s="1501"/>
      <c r="P100" s="1502"/>
      <c r="Q100" s="1503"/>
      <c r="R100" s="488"/>
    </row>
    <row r="101" spans="2:18" ht="13" x14ac:dyDescent="0.3">
      <c r="B101" s="533">
        <v>5</v>
      </c>
      <c r="C101" s="546"/>
      <c r="D101" s="1184"/>
      <c r="E101" s="1068"/>
      <c r="F101" s="1190"/>
      <c r="G101" s="1190"/>
      <c r="H101" s="1190"/>
      <c r="I101" s="568"/>
      <c r="J101" s="568"/>
      <c r="K101" s="568"/>
      <c r="L101" s="568"/>
      <c r="M101" s="568"/>
      <c r="N101" s="568"/>
      <c r="O101" s="1501"/>
      <c r="P101" s="1502"/>
      <c r="Q101" s="1503"/>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sheetData>
  <sheetProtection algorithmName="SHA-512" hashValue="i5Be+IpliE1aJuUWIKi9Ymgb2NaZ3Y0SJbCvHLleG2RocaVtQRaQfyPzN0LKCoF1uIR8GiKQZrmbqKt2I2B7Vg==" saltValue="ibC8d6nLCHRc2znLGdWcjA==" spinCount="100000" sheet="1" objects="1" scenarios="1" selectLockedCells="1" selectUnlockedCells="1"/>
  <mergeCells count="121">
    <mergeCell ref="O113:Q113"/>
    <mergeCell ref="O114:Q114"/>
    <mergeCell ref="O115:Q115"/>
    <mergeCell ref="O116:Q116"/>
    <mergeCell ref="O107:Q107"/>
    <mergeCell ref="O108:Q108"/>
    <mergeCell ref="O109:Q109"/>
    <mergeCell ref="O110:Q110"/>
    <mergeCell ref="O111:Q111"/>
    <mergeCell ref="O112:Q112"/>
    <mergeCell ref="O101:Q101"/>
    <mergeCell ref="O102:Q102"/>
    <mergeCell ref="O103:Q103"/>
    <mergeCell ref="O104:Q104"/>
    <mergeCell ref="O105:Q105"/>
    <mergeCell ref="O106:Q106"/>
    <mergeCell ref="B95:D95"/>
    <mergeCell ref="C96:D96"/>
    <mergeCell ref="O97:Q97"/>
    <mergeCell ref="O98:Q98"/>
    <mergeCell ref="O99:Q99"/>
    <mergeCell ref="O100:Q100"/>
    <mergeCell ref="D76:E76"/>
    <mergeCell ref="J76:Q76"/>
    <mergeCell ref="F86:Q86"/>
    <mergeCell ref="F87:Q87"/>
    <mergeCell ref="F88:Q88"/>
    <mergeCell ref="F89:Q89"/>
    <mergeCell ref="F90:Q90"/>
    <mergeCell ref="E94:N94"/>
    <mergeCell ref="O94:Q96"/>
    <mergeCell ref="F80:Q80"/>
    <mergeCell ref="F81:Q81"/>
    <mergeCell ref="F82:Q82"/>
    <mergeCell ref="F83:Q83"/>
    <mergeCell ref="F84:Q84"/>
    <mergeCell ref="F85:Q85"/>
    <mergeCell ref="D73:E73"/>
    <mergeCell ref="J73:Q73"/>
    <mergeCell ref="D74:E74"/>
    <mergeCell ref="J74:Q74"/>
    <mergeCell ref="D75:E75"/>
    <mergeCell ref="J75:Q75"/>
    <mergeCell ref="D70:E70"/>
    <mergeCell ref="J70:Q70"/>
    <mergeCell ref="D71:E71"/>
    <mergeCell ref="J71:Q71"/>
    <mergeCell ref="D72:E72"/>
    <mergeCell ref="J72:Q72"/>
    <mergeCell ref="D67:E67"/>
    <mergeCell ref="J67:Q67"/>
    <mergeCell ref="D68:E68"/>
    <mergeCell ref="J68:Q68"/>
    <mergeCell ref="D69:E69"/>
    <mergeCell ref="J69:Q69"/>
    <mergeCell ref="D64:E64"/>
    <mergeCell ref="J64:Q64"/>
    <mergeCell ref="D65:E65"/>
    <mergeCell ref="J65:Q65"/>
    <mergeCell ref="D66:E66"/>
    <mergeCell ref="J66:Q66"/>
    <mergeCell ref="D61:E61"/>
    <mergeCell ref="J61:Q61"/>
    <mergeCell ref="D62:E62"/>
    <mergeCell ref="J62:Q62"/>
    <mergeCell ref="D63:E63"/>
    <mergeCell ref="J63:Q63"/>
    <mergeCell ref="C55:M55"/>
    <mergeCell ref="P55:Q55"/>
    <mergeCell ref="C56:M56"/>
    <mergeCell ref="P56:Q56"/>
    <mergeCell ref="C57:M57"/>
    <mergeCell ref="P57:Q57"/>
    <mergeCell ref="C51:M51"/>
    <mergeCell ref="P51:Q51"/>
    <mergeCell ref="C53:M53"/>
    <mergeCell ref="P53:Q53"/>
    <mergeCell ref="C54:M54"/>
    <mergeCell ref="P54:Q54"/>
    <mergeCell ref="C48:M48"/>
    <mergeCell ref="P48:Q48"/>
    <mergeCell ref="C49:M49"/>
    <mergeCell ref="P49:Q49"/>
    <mergeCell ref="C50:M50"/>
    <mergeCell ref="P50:Q50"/>
    <mergeCell ref="C44:M44"/>
    <mergeCell ref="P44:Q44"/>
    <mergeCell ref="C45:M45"/>
    <mergeCell ref="P45:Q45"/>
    <mergeCell ref="C47:M47"/>
    <mergeCell ref="P47:Q47"/>
    <mergeCell ref="C41:M41"/>
    <mergeCell ref="P41:Q41"/>
    <mergeCell ref="C42:M42"/>
    <mergeCell ref="P42:Q42"/>
    <mergeCell ref="C43:M43"/>
    <mergeCell ref="P43:Q43"/>
    <mergeCell ref="E32:Q32"/>
    <mergeCell ref="E33:Q33"/>
    <mergeCell ref="E34:Q34"/>
    <mergeCell ref="E35:Q35"/>
    <mergeCell ref="E36:Q36"/>
    <mergeCell ref="E37:Q37"/>
    <mergeCell ref="D25:Q25"/>
    <mergeCell ref="D26:Q26"/>
    <mergeCell ref="D27:Q27"/>
    <mergeCell ref="D28:Q28"/>
    <mergeCell ref="D29:Q29"/>
    <mergeCell ref="D30:Q30"/>
    <mergeCell ref="D17:F17"/>
    <mergeCell ref="D18:F18"/>
    <mergeCell ref="B20:Q20"/>
    <mergeCell ref="C21:Q21"/>
    <mergeCell ref="C22:Q22"/>
    <mergeCell ref="C23:Q23"/>
    <mergeCell ref="C2:F2"/>
    <mergeCell ref="C3:F3"/>
    <mergeCell ref="C4:F4"/>
    <mergeCell ref="C5:F5"/>
    <mergeCell ref="D7:F7"/>
    <mergeCell ref="D8:F16"/>
  </mergeCells>
  <conditionalFormatting sqref="F109:F116 G102:G116 H104:H116">
    <cfRule type="expression" dxfId="1442" priority="24">
      <formula>IF(OR(#REF!="L",#REF!="C"),TRUE,FALSE)</formula>
    </cfRule>
  </conditionalFormatting>
  <conditionalFormatting sqref="E110:E116">
    <cfRule type="expression" dxfId="1441" priority="23">
      <formula>IF(OR(#REF!="L",#REF!="C"),TRUE,FALSE)</formula>
    </cfRule>
  </conditionalFormatting>
  <conditionalFormatting sqref="E107">
    <cfRule type="expression" dxfId="1440" priority="22">
      <formula>IF(OR(#REF!="L",#REF!="C"),TRUE,FALSE)</formula>
    </cfRule>
  </conditionalFormatting>
  <conditionalFormatting sqref="E106">
    <cfRule type="expression" dxfId="1439" priority="19">
      <formula>IF(OR(#REF!="L",#REF!="C"),TRUE,FALSE)</formula>
    </cfRule>
  </conditionalFormatting>
  <conditionalFormatting sqref="E108">
    <cfRule type="expression" dxfId="1438" priority="21">
      <formula>IF(OR(#REF!="L",#REF!="C"),TRUE,FALSE)</formula>
    </cfRule>
  </conditionalFormatting>
  <conditionalFormatting sqref="E109">
    <cfRule type="expression" dxfId="1437" priority="20">
      <formula>IF(OR(#REF!="L",#REF!="C"),TRUE,FALSE)</formula>
    </cfRule>
  </conditionalFormatting>
  <conditionalFormatting sqref="E95 G95 I95 K95 M95">
    <cfRule type="duplicateValues" dxfId="1436" priority="18"/>
  </conditionalFormatting>
  <conditionalFormatting sqref="M104:M116">
    <cfRule type="expression" dxfId="1435" priority="8">
      <formula>IF(OR(#REF!="L",#REF!="C"),TRUE,FALSE)</formula>
    </cfRule>
  </conditionalFormatting>
  <conditionalFormatting sqref="F102:F106">
    <cfRule type="expression" dxfId="1434" priority="17">
      <formula>IF(OR(#REF!="L",#REF!="C"),TRUE,FALSE)</formula>
    </cfRule>
  </conditionalFormatting>
  <conditionalFormatting sqref="I102:I103">
    <cfRule type="expression" dxfId="1433" priority="15">
      <formula>IF(OR(#REF!="L",#REF!="C"),TRUE,FALSE)</formula>
    </cfRule>
  </conditionalFormatting>
  <conditionalFormatting sqref="N102:N103">
    <cfRule type="expression" dxfId="1432" priority="5">
      <formula>IF(OR(#REF!="L",#REF!="C"),TRUE,FALSE)</formula>
    </cfRule>
  </conditionalFormatting>
  <conditionalFormatting sqref="I104:I116">
    <cfRule type="expression" dxfId="1431" priority="16">
      <formula>IF(OR(#REF!="L",#REF!="C"),TRUE,FALSE)</formula>
    </cfRule>
  </conditionalFormatting>
  <conditionalFormatting sqref="J102:J103">
    <cfRule type="expression" dxfId="1430" priority="13">
      <formula>IF(OR(#REF!="L",#REF!="C"),TRUE,FALSE)</formula>
    </cfRule>
  </conditionalFormatting>
  <conditionalFormatting sqref="J104:J116">
    <cfRule type="expression" dxfId="1429" priority="14">
      <formula>IF(OR(#REF!="L",#REF!="C"),TRUE,FALSE)</formula>
    </cfRule>
  </conditionalFormatting>
  <conditionalFormatting sqref="K102:K103">
    <cfRule type="expression" dxfId="1428" priority="11">
      <formula>IF(OR(#REF!="L",#REF!="C"),TRUE,FALSE)</formula>
    </cfRule>
  </conditionalFormatting>
  <conditionalFormatting sqref="K104:K116">
    <cfRule type="expression" dxfId="1427" priority="12">
      <formula>IF(OR(#REF!="L",#REF!="C"),TRUE,FALSE)</formula>
    </cfRule>
  </conditionalFormatting>
  <conditionalFormatting sqref="L102:L103">
    <cfRule type="expression" dxfId="1426" priority="9">
      <formula>IF(OR(#REF!="L",#REF!="C"),TRUE,FALSE)</formula>
    </cfRule>
  </conditionalFormatting>
  <conditionalFormatting sqref="L104:L116">
    <cfRule type="expression" dxfId="1425" priority="10">
      <formula>IF(OR(#REF!="L",#REF!="C"),TRUE,FALSE)</formula>
    </cfRule>
  </conditionalFormatting>
  <conditionalFormatting sqref="M102:M103">
    <cfRule type="expression" dxfId="1424" priority="7">
      <formula>IF(OR(#REF!="L",#REF!="C"),TRUE,FALSE)</formula>
    </cfRule>
  </conditionalFormatting>
  <conditionalFormatting sqref="N104:N116">
    <cfRule type="expression" dxfId="1423" priority="6">
      <formula>IF(OR(#REF!="L",#REF!="C"),TRUE,FALSE)</formula>
    </cfRule>
  </conditionalFormatting>
  <conditionalFormatting sqref="O102:O103">
    <cfRule type="expression" dxfId="1422" priority="3">
      <formula>IF(OR(#REF!="L",#REF!="C"),TRUE,FALSE)</formula>
    </cfRule>
  </conditionalFormatting>
  <conditionalFormatting sqref="O104:O116">
    <cfRule type="expression" dxfId="1421" priority="4">
      <formula>IF(OR(#REF!="L",#REF!="C"),TRUE,FALSE)</formula>
    </cfRule>
  </conditionalFormatting>
  <conditionalFormatting sqref="E96:N96">
    <cfRule type="duplicateValues" dxfId="1420" priority="2"/>
  </conditionalFormatting>
  <conditionalFormatting sqref="H62:H76">
    <cfRule type="expression" dxfId="1419" priority="1">
      <formula>IF(OR(#REF!="L",#REF!="C"),TRUE,FALSE)</formula>
    </cfRule>
  </conditionalFormatting>
  <dataValidations count="6">
    <dataValidation type="list" allowBlank="1" showInputMessage="1" showErrorMessage="1" sqref="C4" xr:uid="{E0C19458-550D-443D-836D-3401DEE5DED6}">
      <formula1>"COM,RES"</formula1>
    </dataValidation>
    <dataValidation type="list" allowBlank="1" showInputMessage="1" showErrorMessage="1" sqref="C9" xr:uid="{CF17E14B-AC69-44B0-A8EC-EE47B12C5AB6}">
      <formula1>INDIRECT("MeasureTypeList[Index]")</formula1>
    </dataValidation>
    <dataValidation type="list" allowBlank="1" showInputMessage="1" showErrorMessage="1" sqref="C26" xr:uid="{494603F8-2C88-4CAD-B2C2-35729373461A}">
      <formula1>INDIRECT("RegionList[Index]")</formula1>
    </dataValidation>
    <dataValidation type="list" allowBlank="1" showInputMessage="1" showErrorMessage="1" sqref="C27" xr:uid="{9F8DCBAF-3BB9-47A3-B959-6994664D9051}">
      <formula1>INDIRECT("ReplacementTypeList[Index]")</formula1>
    </dataValidation>
    <dataValidation type="list" allowBlank="1" showInputMessage="1" showErrorMessage="1" sqref="C28" xr:uid="{FA58B593-7B18-4615-B4CB-200E0C341BA0}">
      <formula1>INDIRECT("BuildingType[Building]")</formula1>
    </dataValidation>
    <dataValidation type="list" allowBlank="1" showInputMessage="1" showErrorMessage="1" sqref="C29 C30" xr:uid="{CF8DEB8F-58B6-4636-9391-1D5C3FC0DC29}">
      <formula1>INDIRECT("FuelTypeList[Index]")</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865060D-A8E2-4D02-9BD6-FB9F897C80EE}">
          <x14:formula1>
            <xm:f>'Climate Data'!$B$286:$B$291</xm:f>
          </x14:formula1>
          <xm:sqref>H65</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0DBD3-3A76-4DFF-AE85-38C2EBFA4FE6}">
  <sheetPr codeName="Sheet50"/>
  <dimension ref="A2:R116"/>
  <sheetViews>
    <sheetView workbookViewId="0"/>
  </sheetViews>
  <sheetFormatPr defaultColWidth="9.08984375" defaultRowHeight="18.75" customHeight="1" x14ac:dyDescent="0.3"/>
  <cols>
    <col min="1" max="1" width="2.36328125" style="488" customWidth="1"/>
    <col min="2" max="2" width="40.26953125" style="488" customWidth="1"/>
    <col min="3" max="3" width="26.7265625" style="488" customWidth="1"/>
    <col min="4" max="4" width="21.6328125" style="488" customWidth="1"/>
    <col min="5" max="5" width="18" style="488" customWidth="1"/>
    <col min="6" max="6" width="15.6328125" style="488" customWidth="1"/>
    <col min="7" max="7" width="19.6328125" style="488" customWidth="1"/>
    <col min="8" max="8" width="16"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C-WB-005</v>
      </c>
      <c r="D3" s="1367"/>
      <c r="E3" s="1367"/>
      <c r="F3" s="1367"/>
    </row>
    <row r="4" spans="1:18" ht="18.75" customHeight="1" x14ac:dyDescent="0.3">
      <c r="B4" s="490" t="s">
        <v>11</v>
      </c>
      <c r="C4" s="1367" t="str" cm="1">
        <f t="array" ref="C4">_xlfn.SWITCH(LEFT(C8,1),"R","Residential","C","Commercial","ERROR")</f>
        <v>Commercial</v>
      </c>
      <c r="D4" s="1367"/>
      <c r="E4" s="1367"/>
      <c r="F4" s="1367"/>
    </row>
    <row r="5" spans="1:18" ht="19.5" customHeight="1" x14ac:dyDescent="0.3">
      <c r="B5" s="490" t="s">
        <v>408</v>
      </c>
      <c r="C5" s="1530" t="s">
        <v>331</v>
      </c>
      <c r="D5" s="1531"/>
      <c r="E5" s="1531"/>
      <c r="F5" s="1532"/>
      <c r="R5" s="488"/>
    </row>
    <row r="6" spans="1:18" ht="18.75" customHeight="1" x14ac:dyDescent="0.3">
      <c r="A6" s="573"/>
    </row>
    <row r="7" spans="1:18" ht="18.75" customHeight="1" x14ac:dyDescent="0.3">
      <c r="B7" s="1193" t="s">
        <v>409</v>
      </c>
      <c r="C7" s="1192" t="s">
        <v>406</v>
      </c>
      <c r="D7" s="1363" t="s">
        <v>410</v>
      </c>
      <c r="E7" s="1363"/>
      <c r="F7" s="1363"/>
      <c r="R7" s="488"/>
    </row>
    <row r="8" spans="1:18" ht="18.75" customHeight="1" x14ac:dyDescent="0.3">
      <c r="B8" s="490" t="s">
        <v>411</v>
      </c>
      <c r="C8" s="1218" t="s">
        <v>149</v>
      </c>
      <c r="D8" s="1957"/>
      <c r="E8" s="1957"/>
      <c r="F8" s="1957"/>
      <c r="R8" s="488"/>
    </row>
    <row r="9" spans="1:18" ht="18.75" customHeight="1" x14ac:dyDescent="0.3">
      <c r="B9" s="490" t="s">
        <v>49</v>
      </c>
      <c r="C9" s="1218" t="s">
        <v>891</v>
      </c>
      <c r="D9" s="1957"/>
      <c r="E9" s="1957"/>
      <c r="F9" s="1957"/>
      <c r="R9" s="488"/>
    </row>
    <row r="10" spans="1:18" ht="18.75" customHeight="1" x14ac:dyDescent="0.3">
      <c r="B10" s="490" t="s">
        <v>412</v>
      </c>
      <c r="C10" s="1218"/>
      <c r="D10" s="1957"/>
      <c r="E10" s="1957"/>
      <c r="F10" s="1957"/>
      <c r="R10" s="488"/>
    </row>
    <row r="11" spans="1:18" ht="18.75" customHeight="1" x14ac:dyDescent="0.3">
      <c r="B11" s="490" t="s">
        <v>413</v>
      </c>
      <c r="C11" s="1218"/>
      <c r="D11" s="1957"/>
      <c r="E11" s="1957"/>
      <c r="F11" s="1957"/>
      <c r="R11" s="488"/>
    </row>
    <row r="12" spans="1:18" ht="18.75" customHeight="1" x14ac:dyDescent="0.3">
      <c r="B12" s="490" t="s">
        <v>414</v>
      </c>
      <c r="C12" s="665"/>
      <c r="D12" s="1957"/>
      <c r="E12" s="1957"/>
      <c r="F12" s="1957"/>
      <c r="R12" s="488"/>
    </row>
    <row r="13" spans="1:18" ht="18.75" customHeight="1" x14ac:dyDescent="0.3">
      <c r="B13" s="494" t="s">
        <v>415</v>
      </c>
      <c r="C13" s="658">
        <f>N43</f>
        <v>0</v>
      </c>
      <c r="D13" s="1957"/>
      <c r="E13" s="1957"/>
      <c r="F13" s="1957"/>
      <c r="R13" s="488"/>
    </row>
    <row r="14" spans="1:18" ht="18.75" customHeight="1" x14ac:dyDescent="0.3">
      <c r="B14" s="494" t="s">
        <v>416</v>
      </c>
      <c r="C14" s="658">
        <f>N42</f>
        <v>0</v>
      </c>
      <c r="D14" s="1957"/>
      <c r="E14" s="1957"/>
      <c r="F14" s="1957"/>
      <c r="R14" s="488"/>
    </row>
    <row r="15" spans="1:18" ht="18.75" customHeight="1" x14ac:dyDescent="0.3">
      <c r="B15" s="494" t="s">
        <v>417</v>
      </c>
      <c r="C15" s="658">
        <f>N44</f>
        <v>0</v>
      </c>
      <c r="D15" s="1957"/>
      <c r="E15" s="1957"/>
      <c r="F15" s="1957"/>
      <c r="R15" s="488"/>
    </row>
    <row r="16" spans="1:18" ht="18.75" customHeight="1" x14ac:dyDescent="0.3">
      <c r="B16" s="494" t="s">
        <v>418</v>
      </c>
      <c r="C16" s="659">
        <f>C37</f>
        <v>0</v>
      </c>
      <c r="D16" s="1957"/>
      <c r="E16" s="1957"/>
      <c r="F16" s="1957"/>
      <c r="R16" s="488"/>
    </row>
    <row r="17" spans="2:18" ht="18.75" customHeight="1" x14ac:dyDescent="0.3">
      <c r="B17" s="490" t="s">
        <v>48</v>
      </c>
      <c r="C17" s="1218" t="s">
        <v>673</v>
      </c>
      <c r="D17" s="1363" t="s">
        <v>419</v>
      </c>
      <c r="E17" s="1363"/>
      <c r="F17" s="1363"/>
      <c r="R17" s="488"/>
    </row>
    <row r="18" spans="2:18" ht="18.75" customHeight="1" x14ac:dyDescent="0.3">
      <c r="B18" s="490" t="s">
        <v>420</v>
      </c>
      <c r="C18" s="666">
        <v>20</v>
      </c>
      <c r="D18" s="2026" t="s">
        <v>674</v>
      </c>
      <c r="E18" s="2026"/>
      <c r="F18" s="2026"/>
      <c r="R18" s="488"/>
    </row>
    <row r="19" spans="2:18" ht="18.75" customHeight="1" x14ac:dyDescent="0.3">
      <c r="B19" s="497"/>
      <c r="C19" s="576"/>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36.75" customHeight="1" x14ac:dyDescent="0.3">
      <c r="B21" s="499" t="s">
        <v>422</v>
      </c>
      <c r="C21" s="1546" t="s">
        <v>332</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36" t="s">
        <v>333</v>
      </c>
      <c r="D22" s="1536"/>
      <c r="E22" s="1536"/>
      <c r="F22" s="1536"/>
      <c r="G22" s="1536"/>
      <c r="H22" s="1536"/>
      <c r="I22" s="1536"/>
      <c r="J22" s="1536"/>
      <c r="K22" s="1536"/>
      <c r="L22" s="1536"/>
      <c r="M22" s="1536"/>
      <c r="N22" s="1536"/>
      <c r="O22" s="1536"/>
      <c r="P22" s="1536"/>
      <c r="Q22" s="1536"/>
      <c r="R22" s="488"/>
    </row>
    <row r="23" spans="2:18" ht="18.75" customHeight="1" x14ac:dyDescent="0.3">
      <c r="B23" s="500" t="s">
        <v>424</v>
      </c>
      <c r="C23" s="2033"/>
      <c r="D23" s="2033"/>
      <c r="E23" s="2033"/>
      <c r="F23" s="2033"/>
      <c r="G23" s="2033"/>
      <c r="H23" s="2033"/>
      <c r="I23" s="2033"/>
      <c r="J23" s="2033"/>
      <c r="K23" s="2033"/>
      <c r="L23" s="2033"/>
      <c r="M23" s="2033"/>
      <c r="N23" s="2033"/>
      <c r="O23" s="2033"/>
      <c r="P23" s="2033"/>
      <c r="Q23" s="2033"/>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512"/>
      <c r="F33" s="1512"/>
      <c r="G33" s="1512"/>
      <c r="H33" s="1512"/>
      <c r="I33" s="1512"/>
      <c r="J33" s="1512"/>
      <c r="K33" s="1512"/>
      <c r="L33" s="1512"/>
      <c r="M33" s="1512"/>
      <c r="N33" s="1512"/>
      <c r="O33" s="1512"/>
      <c r="P33" s="1512"/>
      <c r="Q33" s="1512"/>
      <c r="R33" s="488"/>
    </row>
    <row r="34" spans="2:18" ht="18.75" customHeight="1" x14ac:dyDescent="0.3">
      <c r="B34" s="494" t="s">
        <v>431</v>
      </c>
      <c r="C34" s="542"/>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905"/>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905">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0</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1004</v>
      </c>
      <c r="D49" s="1505"/>
      <c r="E49" s="1505"/>
      <c r="F49" s="1505"/>
      <c r="G49" s="1505"/>
      <c r="H49" s="1505"/>
      <c r="I49" s="1505"/>
      <c r="J49" s="1505"/>
      <c r="K49" s="1505"/>
      <c r="L49" s="1505"/>
      <c r="M49" s="1506"/>
      <c r="N49" s="592"/>
      <c r="O49" s="1243" t="s">
        <v>443</v>
      </c>
      <c r="P49" s="1511"/>
      <c r="Q49" s="1511"/>
      <c r="R49" s="488"/>
    </row>
    <row r="50" spans="2:18" ht="18.75" customHeight="1" x14ac:dyDescent="0.3">
      <c r="B50" s="582" t="s">
        <v>456</v>
      </c>
      <c r="C50" s="1504" t="s">
        <v>1005</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467</v>
      </c>
      <c r="D56" s="1505"/>
      <c r="E56" s="1505"/>
      <c r="F56" s="1505"/>
      <c r="G56" s="1505"/>
      <c r="H56" s="1505"/>
      <c r="I56" s="1505"/>
      <c r="J56" s="1505"/>
      <c r="K56" s="1505"/>
      <c r="L56" s="1505"/>
      <c r="M56" s="1506"/>
      <c r="N56" s="594"/>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765</v>
      </c>
      <c r="H61" s="506" t="s">
        <v>406</v>
      </c>
      <c r="I61" s="506" t="s">
        <v>428</v>
      </c>
      <c r="J61" s="1396" t="s">
        <v>476</v>
      </c>
      <c r="K61" s="1397"/>
      <c r="L61" s="1397"/>
      <c r="M61" s="1397"/>
      <c r="N61" s="1397"/>
      <c r="O61" s="1397"/>
      <c r="P61" s="1397"/>
      <c r="Q61" s="1398"/>
    </row>
    <row r="62" spans="2:18" ht="15" customHeight="1" x14ac:dyDescent="0.3">
      <c r="B62" s="719">
        <v>1</v>
      </c>
      <c r="C62" s="1069"/>
      <c r="D62" s="2027"/>
      <c r="E62" s="2027"/>
      <c r="F62" s="1070"/>
      <c r="G62" s="1070"/>
      <c r="H62" s="1071"/>
      <c r="I62" s="1070"/>
      <c r="J62" s="2028"/>
      <c r="K62" s="2029"/>
      <c r="L62" s="2029"/>
      <c r="M62" s="2029"/>
      <c r="N62" s="2029"/>
      <c r="O62" s="2029"/>
      <c r="P62" s="2029"/>
      <c r="Q62" s="2030"/>
      <c r="R62" s="488"/>
    </row>
    <row r="63" spans="2:18" ht="15" customHeight="1" x14ac:dyDescent="0.3">
      <c r="B63" s="719">
        <v>2</v>
      </c>
      <c r="C63" s="1069"/>
      <c r="D63" s="2027"/>
      <c r="E63" s="2027"/>
      <c r="F63" s="1070"/>
      <c r="G63" s="1070"/>
      <c r="H63" s="1071"/>
      <c r="I63" s="1070"/>
      <c r="J63" s="2028"/>
      <c r="K63" s="2029"/>
      <c r="L63" s="2029"/>
      <c r="M63" s="2029"/>
      <c r="N63" s="2029"/>
      <c r="O63" s="2029"/>
      <c r="P63" s="2029"/>
      <c r="Q63" s="2030"/>
      <c r="R63" s="488"/>
    </row>
    <row r="64" spans="2:18" ht="15" customHeight="1" x14ac:dyDescent="0.3">
      <c r="B64" s="719">
        <v>3</v>
      </c>
      <c r="C64" s="1069"/>
      <c r="D64" s="2027"/>
      <c r="E64" s="2027"/>
      <c r="F64" s="1070"/>
      <c r="G64" s="1070"/>
      <c r="H64" s="1071"/>
      <c r="I64" s="1070"/>
      <c r="J64" s="2028"/>
      <c r="K64" s="2029"/>
      <c r="L64" s="2029"/>
      <c r="M64" s="2029"/>
      <c r="N64" s="2029"/>
      <c r="O64" s="2029"/>
      <c r="P64" s="2029"/>
      <c r="Q64" s="2030"/>
      <c r="R64" s="488"/>
    </row>
    <row r="65" spans="2:18" ht="15" customHeight="1" x14ac:dyDescent="0.3">
      <c r="B65" s="719">
        <v>4</v>
      </c>
      <c r="C65" s="1069"/>
      <c r="D65" s="2027"/>
      <c r="E65" s="2027"/>
      <c r="F65" s="1070"/>
      <c r="G65" s="1070"/>
      <c r="H65" s="1071"/>
      <c r="I65" s="1070"/>
      <c r="J65" s="2028"/>
      <c r="K65" s="2029"/>
      <c r="L65" s="2029"/>
      <c r="M65" s="2029"/>
      <c r="N65" s="2029"/>
      <c r="O65" s="2029"/>
      <c r="P65" s="2029"/>
      <c r="Q65" s="2030"/>
      <c r="R65" s="488"/>
    </row>
    <row r="66" spans="2:18" ht="15" customHeight="1" x14ac:dyDescent="0.3">
      <c r="B66" s="719">
        <v>5</v>
      </c>
      <c r="C66" s="1069"/>
      <c r="D66" s="2027"/>
      <c r="E66" s="2027"/>
      <c r="F66" s="1070"/>
      <c r="G66" s="1070"/>
      <c r="H66" s="1071"/>
      <c r="I66" s="1070"/>
      <c r="J66" s="2028"/>
      <c r="K66" s="2029"/>
      <c r="L66" s="2029"/>
      <c r="M66" s="2029"/>
      <c r="N66" s="2029"/>
      <c r="O66" s="2029"/>
      <c r="P66" s="2029"/>
      <c r="Q66" s="2030"/>
      <c r="R66" s="488"/>
    </row>
    <row r="67" spans="2:18" ht="15" customHeight="1" x14ac:dyDescent="0.3">
      <c r="B67" s="719">
        <v>6</v>
      </c>
      <c r="C67" s="1069"/>
      <c r="D67" s="2027"/>
      <c r="E67" s="2027"/>
      <c r="F67" s="1070"/>
      <c r="G67" s="1070"/>
      <c r="H67" s="1071"/>
      <c r="I67" s="1070"/>
      <c r="J67" s="2028"/>
      <c r="K67" s="2029"/>
      <c r="L67" s="2029"/>
      <c r="M67" s="2029"/>
      <c r="N67" s="2029"/>
      <c r="O67" s="2029"/>
      <c r="P67" s="2029"/>
      <c r="Q67" s="2030"/>
      <c r="R67" s="488"/>
    </row>
    <row r="68" spans="2:18" ht="15" customHeight="1" x14ac:dyDescent="0.3">
      <c r="B68" s="719">
        <v>7</v>
      </c>
      <c r="C68" s="1069"/>
      <c r="D68" s="2027"/>
      <c r="E68" s="2027"/>
      <c r="F68" s="1070"/>
      <c r="G68" s="1070"/>
      <c r="H68" s="1071"/>
      <c r="I68" s="1070"/>
      <c r="J68" s="2028"/>
      <c r="K68" s="2029"/>
      <c r="L68" s="2029"/>
      <c r="M68" s="2029"/>
      <c r="N68" s="2029"/>
      <c r="O68" s="2029"/>
      <c r="P68" s="2029"/>
      <c r="Q68" s="2030"/>
      <c r="R68" s="488"/>
    </row>
    <row r="69" spans="2:18" ht="15" customHeight="1" x14ac:dyDescent="0.3">
      <c r="B69" s="719">
        <v>8</v>
      </c>
      <c r="C69" s="1069"/>
      <c r="D69" s="2027"/>
      <c r="E69" s="2027"/>
      <c r="F69" s="1070"/>
      <c r="G69" s="1070"/>
      <c r="H69" s="1071"/>
      <c r="I69" s="1070"/>
      <c r="J69" s="2028"/>
      <c r="K69" s="2029"/>
      <c r="L69" s="2029"/>
      <c r="M69" s="2029"/>
      <c r="N69" s="2029"/>
      <c r="O69" s="2029"/>
      <c r="P69" s="2029"/>
      <c r="Q69" s="2030"/>
      <c r="R69" s="488"/>
    </row>
    <row r="70" spans="2:18" ht="15" customHeight="1" x14ac:dyDescent="0.3">
      <c r="B70" s="719">
        <v>9</v>
      </c>
      <c r="C70" s="1069"/>
      <c r="D70" s="2027"/>
      <c r="E70" s="2027"/>
      <c r="F70" s="1070"/>
      <c r="G70" s="1070"/>
      <c r="H70" s="1071"/>
      <c r="I70" s="1070"/>
      <c r="J70" s="2028"/>
      <c r="K70" s="2029"/>
      <c r="L70" s="2029"/>
      <c r="M70" s="2029"/>
      <c r="N70" s="2029"/>
      <c r="O70" s="2029"/>
      <c r="P70" s="2029"/>
      <c r="Q70" s="2030"/>
      <c r="R70" s="488"/>
    </row>
    <row r="71" spans="2:18" ht="15" customHeight="1" x14ac:dyDescent="0.3">
      <c r="B71" s="719">
        <v>10</v>
      </c>
      <c r="C71" s="1069"/>
      <c r="D71" s="2027"/>
      <c r="E71" s="2027"/>
      <c r="F71" s="1070"/>
      <c r="G71" s="1070"/>
      <c r="H71" s="1071"/>
      <c r="I71" s="1070"/>
      <c r="J71" s="2028"/>
      <c r="K71" s="2029"/>
      <c r="L71" s="2029"/>
      <c r="M71" s="2029"/>
      <c r="N71" s="2029"/>
      <c r="O71" s="2029"/>
      <c r="P71" s="2029"/>
      <c r="Q71" s="2030"/>
      <c r="R71" s="488"/>
    </row>
    <row r="72" spans="2:18" ht="15" customHeight="1" x14ac:dyDescent="0.3">
      <c r="B72" s="719">
        <v>11</v>
      </c>
      <c r="C72" s="1069"/>
      <c r="D72" s="2027"/>
      <c r="E72" s="2027"/>
      <c r="F72" s="1070"/>
      <c r="G72" s="1070"/>
      <c r="H72" s="1071"/>
      <c r="I72" s="1070"/>
      <c r="J72" s="2028"/>
      <c r="K72" s="2029"/>
      <c r="L72" s="2029"/>
      <c r="M72" s="2029"/>
      <c r="N72" s="2029"/>
      <c r="O72" s="2029"/>
      <c r="P72" s="2029"/>
      <c r="Q72" s="2030"/>
      <c r="R72" s="488"/>
    </row>
    <row r="73" spans="2:18" ht="15" customHeight="1" x14ac:dyDescent="0.3">
      <c r="B73" s="719">
        <v>12</v>
      </c>
      <c r="C73" s="1069"/>
      <c r="D73" s="2027"/>
      <c r="E73" s="2027"/>
      <c r="F73" s="1070"/>
      <c r="G73" s="1070"/>
      <c r="H73" s="1071"/>
      <c r="I73" s="1070"/>
      <c r="J73" s="2028"/>
      <c r="K73" s="2029"/>
      <c r="L73" s="2029"/>
      <c r="M73" s="2029"/>
      <c r="N73" s="2029"/>
      <c r="O73" s="2029"/>
      <c r="P73" s="2029"/>
      <c r="Q73" s="2030"/>
      <c r="R73" s="488"/>
    </row>
    <row r="74" spans="2:18" ht="15" customHeight="1" x14ac:dyDescent="0.3">
      <c r="B74" s="719">
        <v>13</v>
      </c>
      <c r="C74" s="1069"/>
      <c r="D74" s="2027"/>
      <c r="E74" s="2027"/>
      <c r="F74" s="1070"/>
      <c r="G74" s="1070"/>
      <c r="H74" s="1071"/>
      <c r="I74" s="1070"/>
      <c r="J74" s="2028"/>
      <c r="K74" s="2029"/>
      <c r="L74" s="2029"/>
      <c r="M74" s="2029"/>
      <c r="N74" s="2029"/>
      <c r="O74" s="2029"/>
      <c r="P74" s="2029"/>
      <c r="Q74" s="2030"/>
      <c r="R74" s="488"/>
    </row>
    <row r="75" spans="2:18" ht="15" customHeight="1" x14ac:dyDescent="0.3">
      <c r="B75" s="719">
        <v>14</v>
      </c>
      <c r="C75" s="1069"/>
      <c r="D75" s="2027"/>
      <c r="E75" s="2027"/>
      <c r="F75" s="1070"/>
      <c r="G75" s="1070"/>
      <c r="H75" s="1071"/>
      <c r="I75" s="1070"/>
      <c r="J75" s="2028"/>
      <c r="K75" s="2029"/>
      <c r="L75" s="2029"/>
      <c r="M75" s="2029"/>
      <c r="N75" s="2029"/>
      <c r="O75" s="2029"/>
      <c r="P75" s="2029"/>
      <c r="Q75" s="2030"/>
      <c r="R75" s="488"/>
    </row>
    <row r="76" spans="2:18" ht="15" customHeight="1" x14ac:dyDescent="0.3">
      <c r="B76" s="719">
        <v>15</v>
      </c>
      <c r="C76" s="1069"/>
      <c r="D76" s="2027"/>
      <c r="E76" s="2027"/>
      <c r="F76" s="1070"/>
      <c r="G76" s="1070"/>
      <c r="H76" s="1071"/>
      <c r="I76" s="1070"/>
      <c r="J76" s="2028"/>
      <c r="K76" s="2029"/>
      <c r="L76" s="2029"/>
      <c r="M76" s="2029"/>
      <c r="N76" s="2029"/>
      <c r="O76" s="2029"/>
      <c r="P76" s="2029"/>
      <c r="Q76" s="2030"/>
      <c r="R76" s="488"/>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c r="D81" s="561"/>
      <c r="E81" s="1233"/>
      <c r="F81" s="1486"/>
      <c r="G81" s="1487"/>
      <c r="H81" s="1487"/>
      <c r="I81" s="1487"/>
      <c r="J81" s="1487"/>
      <c r="K81" s="1487"/>
      <c r="L81" s="1487"/>
      <c r="M81" s="1487"/>
      <c r="N81" s="1487"/>
      <c r="O81" s="1487"/>
      <c r="P81" s="1487"/>
      <c r="Q81" s="1488"/>
      <c r="R81" s="488"/>
    </row>
    <row r="82" spans="2:18" ht="13" x14ac:dyDescent="0.3">
      <c r="B82" s="533">
        <v>2</v>
      </c>
      <c r="C82" s="560"/>
      <c r="D82" s="562"/>
      <c r="E82" s="1233"/>
      <c r="F82" s="1489"/>
      <c r="G82" s="1490"/>
      <c r="H82" s="1490"/>
      <c r="I82" s="1490"/>
      <c r="J82" s="1490"/>
      <c r="K82" s="1490"/>
      <c r="L82" s="1490"/>
      <c r="M82" s="1490"/>
      <c r="N82" s="1490"/>
      <c r="O82" s="1490"/>
      <c r="P82" s="1490"/>
      <c r="Q82" s="1491"/>
      <c r="R82" s="488"/>
    </row>
    <row r="83" spans="2:18" ht="13" x14ac:dyDescent="0.3">
      <c r="B83" s="533">
        <v>3</v>
      </c>
      <c r="C83" s="560"/>
      <c r="D83" s="562"/>
      <c r="E83" s="1233"/>
      <c r="F83" s="1489"/>
      <c r="G83" s="1490"/>
      <c r="H83" s="1490"/>
      <c r="I83" s="1490"/>
      <c r="J83" s="1490"/>
      <c r="K83" s="1490"/>
      <c r="L83" s="1490"/>
      <c r="M83" s="1490"/>
      <c r="N83" s="1490"/>
      <c r="O83" s="1490"/>
      <c r="P83" s="1490"/>
      <c r="Q83" s="1491"/>
      <c r="R83" s="488"/>
    </row>
    <row r="84" spans="2:18" ht="13" x14ac:dyDescent="0.3">
      <c r="B84" s="533">
        <v>4</v>
      </c>
      <c r="C84" s="560"/>
      <c r="D84" s="562"/>
      <c r="E84" s="1233"/>
      <c r="F84" s="1489"/>
      <c r="G84" s="1490"/>
      <c r="H84" s="1490"/>
      <c r="I84" s="1490"/>
      <c r="J84" s="1490"/>
      <c r="K84" s="1490"/>
      <c r="L84" s="1490"/>
      <c r="M84" s="1490"/>
      <c r="N84" s="1490"/>
      <c r="O84" s="1490"/>
      <c r="P84" s="1490"/>
      <c r="Q84" s="1491"/>
      <c r="R84" s="488"/>
    </row>
    <row r="85" spans="2:18" ht="13" x14ac:dyDescent="0.3">
      <c r="B85" s="533">
        <v>5</v>
      </c>
      <c r="C85" s="560"/>
      <c r="D85" s="562"/>
      <c r="E85" s="1233"/>
      <c r="F85" s="1489"/>
      <c r="G85" s="1490"/>
      <c r="H85" s="1490"/>
      <c r="I85" s="1490"/>
      <c r="J85" s="1490"/>
      <c r="K85" s="1490"/>
      <c r="L85" s="1490"/>
      <c r="M85" s="1490"/>
      <c r="N85" s="1490"/>
      <c r="O85" s="1490"/>
      <c r="P85" s="1490"/>
      <c r="Q85" s="1491"/>
      <c r="R85" s="488"/>
    </row>
    <row r="86" spans="2:18" ht="13" x14ac:dyDescent="0.3">
      <c r="B86" s="533">
        <v>6</v>
      </c>
      <c r="C86" s="560"/>
      <c r="D86" s="562"/>
      <c r="E86" s="1233"/>
      <c r="F86" s="1486"/>
      <c r="G86" s="1487"/>
      <c r="H86" s="1487"/>
      <c r="I86" s="1487"/>
      <c r="J86" s="1487"/>
      <c r="K86" s="1487"/>
      <c r="L86" s="1487"/>
      <c r="M86" s="1487"/>
      <c r="N86" s="1487"/>
      <c r="O86" s="1487"/>
      <c r="P86" s="1487"/>
      <c r="Q86" s="1488"/>
      <c r="R86" s="488"/>
    </row>
    <row r="87" spans="2:18" ht="13" x14ac:dyDescent="0.3">
      <c r="B87" s="533">
        <v>7</v>
      </c>
      <c r="C87" s="563"/>
      <c r="D87" s="562"/>
      <c r="E87" s="1078"/>
      <c r="F87" s="1486"/>
      <c r="G87" s="1487"/>
      <c r="H87" s="1487"/>
      <c r="I87" s="1487"/>
      <c r="J87" s="1487"/>
      <c r="K87" s="1487"/>
      <c r="L87" s="1487"/>
      <c r="M87" s="1487"/>
      <c r="N87" s="1487"/>
      <c r="O87" s="1487"/>
      <c r="P87" s="1487"/>
      <c r="Q87" s="1488"/>
      <c r="R87" s="488"/>
    </row>
    <row r="88" spans="2:18" ht="13" x14ac:dyDescent="0.3">
      <c r="B88" s="533">
        <v>8</v>
      </c>
      <c r="C88" s="563"/>
      <c r="D88" s="562"/>
      <c r="E88" s="1233"/>
      <c r="F88" s="1486"/>
      <c r="G88" s="1487"/>
      <c r="H88" s="1487"/>
      <c r="I88" s="1487"/>
      <c r="J88" s="1487"/>
      <c r="K88" s="1487"/>
      <c r="L88" s="1487"/>
      <c r="M88" s="1487"/>
      <c r="N88" s="1487"/>
      <c r="O88" s="1487"/>
      <c r="P88" s="1487"/>
      <c r="Q88" s="1488"/>
      <c r="R88" s="488"/>
    </row>
    <row r="89" spans="2:18" ht="13" x14ac:dyDescent="0.3">
      <c r="B89" s="533">
        <v>9</v>
      </c>
      <c r="C89" s="563"/>
      <c r="D89" s="562"/>
      <c r="E89" s="1233"/>
      <c r="F89" s="1486"/>
      <c r="G89" s="1487"/>
      <c r="H89" s="1487"/>
      <c r="I89" s="1487"/>
      <c r="J89" s="1487"/>
      <c r="K89" s="1487"/>
      <c r="L89" s="1487"/>
      <c r="M89" s="1487"/>
      <c r="N89" s="1487"/>
      <c r="O89" s="1487"/>
      <c r="P89" s="1487"/>
      <c r="Q89" s="1488"/>
      <c r="R89" s="488"/>
    </row>
    <row r="90" spans="2:18" ht="13" x14ac:dyDescent="0.3">
      <c r="B90" s="533">
        <v>10</v>
      </c>
      <c r="C90" s="563"/>
      <c r="D90" s="562"/>
      <c r="E90" s="734"/>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c r="R95" s="488"/>
    </row>
    <row r="96" spans="2:18" ht="25.5" customHeight="1" x14ac:dyDescent="0.3">
      <c r="B96" s="1188" t="s">
        <v>478</v>
      </c>
      <c r="C96" s="1402" t="s">
        <v>505</v>
      </c>
      <c r="D96" s="1431"/>
      <c r="E96" s="565"/>
      <c r="F96" s="565"/>
      <c r="G96" s="565"/>
      <c r="H96" s="565"/>
      <c r="I96" s="565"/>
      <c r="J96" s="565"/>
      <c r="K96" s="565"/>
      <c r="L96" s="565"/>
      <c r="M96" s="565"/>
      <c r="N96" s="566"/>
      <c r="O96" s="1410"/>
      <c r="P96" s="1411"/>
      <c r="Q96" s="1412"/>
      <c r="R96" s="488"/>
    </row>
    <row r="97" spans="2:18" ht="13" x14ac:dyDescent="0.3">
      <c r="B97" s="533">
        <v>1</v>
      </c>
      <c r="C97" s="546"/>
      <c r="D97" s="1184"/>
      <c r="E97" s="1068"/>
      <c r="F97" s="1190"/>
      <c r="G97" s="1190"/>
      <c r="H97" s="1190"/>
      <c r="I97" s="568"/>
      <c r="J97" s="568"/>
      <c r="K97" s="568"/>
      <c r="L97" s="568"/>
      <c r="M97" s="568"/>
      <c r="N97" s="568"/>
      <c r="O97" s="1501"/>
      <c r="P97" s="1502"/>
      <c r="Q97" s="1503"/>
      <c r="R97" s="488"/>
    </row>
    <row r="98" spans="2:18" ht="13" x14ac:dyDescent="0.3">
      <c r="B98" s="533">
        <v>2</v>
      </c>
      <c r="C98" s="546"/>
      <c r="D98" s="1184"/>
      <c r="E98" s="1068"/>
      <c r="F98" s="1190"/>
      <c r="G98" s="1190"/>
      <c r="H98" s="1190"/>
      <c r="I98" s="568"/>
      <c r="J98" s="568"/>
      <c r="K98" s="568"/>
      <c r="L98" s="568"/>
      <c r="M98" s="568"/>
      <c r="N98" s="568"/>
      <c r="O98" s="1501"/>
      <c r="P98" s="1502"/>
      <c r="Q98" s="1503"/>
      <c r="R98" s="488"/>
    </row>
    <row r="99" spans="2:18" ht="13" x14ac:dyDescent="0.3">
      <c r="B99" s="533">
        <v>3</v>
      </c>
      <c r="C99" s="546"/>
      <c r="D99" s="1184"/>
      <c r="E99" s="1068"/>
      <c r="F99" s="1190"/>
      <c r="G99" s="1190"/>
      <c r="H99" s="1190"/>
      <c r="I99" s="568"/>
      <c r="J99" s="568"/>
      <c r="K99" s="568"/>
      <c r="L99" s="568"/>
      <c r="M99" s="568"/>
      <c r="N99" s="568"/>
      <c r="O99" s="1501"/>
      <c r="P99" s="1502"/>
      <c r="Q99" s="1503"/>
      <c r="R99" s="488"/>
    </row>
    <row r="100" spans="2:18" ht="13" x14ac:dyDescent="0.3">
      <c r="B100" s="533">
        <v>4</v>
      </c>
      <c r="C100" s="546"/>
      <c r="D100" s="1184"/>
      <c r="E100" s="1068"/>
      <c r="F100" s="1190"/>
      <c r="G100" s="1190"/>
      <c r="H100" s="1190"/>
      <c r="I100" s="568"/>
      <c r="J100" s="568"/>
      <c r="K100" s="568"/>
      <c r="L100" s="568"/>
      <c r="M100" s="568"/>
      <c r="N100" s="568"/>
      <c r="O100" s="1501"/>
      <c r="P100" s="1502"/>
      <c r="Q100" s="1503"/>
      <c r="R100" s="488"/>
    </row>
    <row r="101" spans="2:18" ht="13" x14ac:dyDescent="0.3">
      <c r="B101" s="533">
        <v>5</v>
      </c>
      <c r="C101" s="546"/>
      <c r="D101" s="1184"/>
      <c r="E101" s="1068"/>
      <c r="F101" s="1190"/>
      <c r="G101" s="1190"/>
      <c r="H101" s="1190"/>
      <c r="I101" s="568"/>
      <c r="J101" s="568"/>
      <c r="K101" s="568"/>
      <c r="L101" s="568"/>
      <c r="M101" s="568"/>
      <c r="N101" s="568"/>
      <c r="O101" s="1501"/>
      <c r="P101" s="1502"/>
      <c r="Q101" s="1503"/>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sheetData>
  <sheetProtection algorithmName="SHA-512" hashValue="eMsfDZT4ihdX+GT1lAaG1umwW+3nKo9KziTAdrAyyqnSl4gakELdxdvz4oWTzJaFOqkTN0H5jdHJowSsiX/s2Q==" saltValue="25qRSehDvgVVUCriNWmE0Q==" spinCount="100000" sheet="1" objects="1" scenarios="1" selectLockedCells="1" selectUnlockedCells="1"/>
  <mergeCells count="121">
    <mergeCell ref="O113:Q113"/>
    <mergeCell ref="O114:Q114"/>
    <mergeCell ref="O115:Q115"/>
    <mergeCell ref="O116:Q116"/>
    <mergeCell ref="O107:Q107"/>
    <mergeCell ref="O108:Q108"/>
    <mergeCell ref="O109:Q109"/>
    <mergeCell ref="O110:Q110"/>
    <mergeCell ref="O111:Q111"/>
    <mergeCell ref="O112:Q112"/>
    <mergeCell ref="O101:Q101"/>
    <mergeCell ref="O102:Q102"/>
    <mergeCell ref="O103:Q103"/>
    <mergeCell ref="O104:Q104"/>
    <mergeCell ref="O105:Q105"/>
    <mergeCell ref="O106:Q106"/>
    <mergeCell ref="B95:D95"/>
    <mergeCell ref="C96:D96"/>
    <mergeCell ref="O97:Q97"/>
    <mergeCell ref="O98:Q98"/>
    <mergeCell ref="O99:Q99"/>
    <mergeCell ref="O100:Q100"/>
    <mergeCell ref="D76:E76"/>
    <mergeCell ref="J76:Q76"/>
    <mergeCell ref="F86:Q86"/>
    <mergeCell ref="F87:Q87"/>
    <mergeCell ref="F88:Q88"/>
    <mergeCell ref="F89:Q89"/>
    <mergeCell ref="F90:Q90"/>
    <mergeCell ref="E94:N94"/>
    <mergeCell ref="O94:Q96"/>
    <mergeCell ref="F80:Q80"/>
    <mergeCell ref="F81:Q81"/>
    <mergeCell ref="F82:Q82"/>
    <mergeCell ref="F83:Q83"/>
    <mergeCell ref="F84:Q84"/>
    <mergeCell ref="F85:Q85"/>
    <mergeCell ref="D73:E73"/>
    <mergeCell ref="J73:Q73"/>
    <mergeCell ref="D74:E74"/>
    <mergeCell ref="J74:Q74"/>
    <mergeCell ref="D75:E75"/>
    <mergeCell ref="J75:Q75"/>
    <mergeCell ref="D70:E70"/>
    <mergeCell ref="J70:Q70"/>
    <mergeCell ref="D71:E71"/>
    <mergeCell ref="J71:Q71"/>
    <mergeCell ref="D72:E72"/>
    <mergeCell ref="J72:Q72"/>
    <mergeCell ref="D67:E67"/>
    <mergeCell ref="J67:Q67"/>
    <mergeCell ref="D68:E68"/>
    <mergeCell ref="J68:Q68"/>
    <mergeCell ref="D69:E69"/>
    <mergeCell ref="J69:Q69"/>
    <mergeCell ref="D64:E64"/>
    <mergeCell ref="J64:Q64"/>
    <mergeCell ref="D65:E65"/>
    <mergeCell ref="J65:Q65"/>
    <mergeCell ref="D66:E66"/>
    <mergeCell ref="J66:Q66"/>
    <mergeCell ref="D61:E61"/>
    <mergeCell ref="J61:Q61"/>
    <mergeCell ref="D62:E62"/>
    <mergeCell ref="J62:Q62"/>
    <mergeCell ref="D63:E63"/>
    <mergeCell ref="J63:Q63"/>
    <mergeCell ref="C55:M55"/>
    <mergeCell ref="P55:Q55"/>
    <mergeCell ref="C56:M56"/>
    <mergeCell ref="P56:Q56"/>
    <mergeCell ref="C57:M57"/>
    <mergeCell ref="P57:Q57"/>
    <mergeCell ref="C51:M51"/>
    <mergeCell ref="P51:Q51"/>
    <mergeCell ref="C53:M53"/>
    <mergeCell ref="P53:Q53"/>
    <mergeCell ref="C54:M54"/>
    <mergeCell ref="P54:Q54"/>
    <mergeCell ref="C48:M48"/>
    <mergeCell ref="P48:Q48"/>
    <mergeCell ref="C49:M49"/>
    <mergeCell ref="P49:Q49"/>
    <mergeCell ref="C50:M50"/>
    <mergeCell ref="P50:Q50"/>
    <mergeCell ref="C44:M44"/>
    <mergeCell ref="P44:Q44"/>
    <mergeCell ref="C45:M45"/>
    <mergeCell ref="P45:Q45"/>
    <mergeCell ref="C47:M47"/>
    <mergeCell ref="P47:Q47"/>
    <mergeCell ref="C41:M41"/>
    <mergeCell ref="P41:Q41"/>
    <mergeCell ref="C42:M42"/>
    <mergeCell ref="P42:Q42"/>
    <mergeCell ref="C43:M43"/>
    <mergeCell ref="P43:Q43"/>
    <mergeCell ref="E32:Q32"/>
    <mergeCell ref="E33:Q33"/>
    <mergeCell ref="E34:Q34"/>
    <mergeCell ref="E35:Q35"/>
    <mergeCell ref="E36:Q36"/>
    <mergeCell ref="E37:Q37"/>
    <mergeCell ref="D25:Q25"/>
    <mergeCell ref="D26:Q26"/>
    <mergeCell ref="D27:Q27"/>
    <mergeCell ref="D28:Q28"/>
    <mergeCell ref="D29:Q29"/>
    <mergeCell ref="D30:Q30"/>
    <mergeCell ref="D17:F17"/>
    <mergeCell ref="D18:F18"/>
    <mergeCell ref="B20:Q20"/>
    <mergeCell ref="C21:Q21"/>
    <mergeCell ref="C22:Q22"/>
    <mergeCell ref="C23:Q23"/>
    <mergeCell ref="C2:F2"/>
    <mergeCell ref="C3:F3"/>
    <mergeCell ref="C4:F4"/>
    <mergeCell ref="C5:F5"/>
    <mergeCell ref="D7:F7"/>
    <mergeCell ref="D8:F16"/>
  </mergeCells>
  <conditionalFormatting sqref="F109:F116 G102:G116 H104:H116">
    <cfRule type="expression" dxfId="1418" priority="24">
      <formula>IF(OR(#REF!="L",#REF!="C"),TRUE,FALSE)</formula>
    </cfRule>
  </conditionalFormatting>
  <conditionalFormatting sqref="E110:E116">
    <cfRule type="expression" dxfId="1417" priority="23">
      <formula>IF(OR(#REF!="L",#REF!="C"),TRUE,FALSE)</formula>
    </cfRule>
  </conditionalFormatting>
  <conditionalFormatting sqref="E107">
    <cfRule type="expression" dxfId="1416" priority="22">
      <formula>IF(OR(#REF!="L",#REF!="C"),TRUE,FALSE)</formula>
    </cfRule>
  </conditionalFormatting>
  <conditionalFormatting sqref="E106">
    <cfRule type="expression" dxfId="1415" priority="19">
      <formula>IF(OR(#REF!="L",#REF!="C"),TRUE,FALSE)</formula>
    </cfRule>
  </conditionalFormatting>
  <conditionalFormatting sqref="E108">
    <cfRule type="expression" dxfId="1414" priority="21">
      <formula>IF(OR(#REF!="L",#REF!="C"),TRUE,FALSE)</formula>
    </cfRule>
  </conditionalFormatting>
  <conditionalFormatting sqref="E109">
    <cfRule type="expression" dxfId="1413" priority="20">
      <formula>IF(OR(#REF!="L",#REF!="C"),TRUE,FALSE)</formula>
    </cfRule>
  </conditionalFormatting>
  <conditionalFormatting sqref="E95 G95 I95 K95 M95">
    <cfRule type="duplicateValues" dxfId="1412" priority="18"/>
  </conditionalFormatting>
  <conditionalFormatting sqref="M104:M116">
    <cfRule type="expression" dxfId="1411" priority="8">
      <formula>IF(OR(#REF!="L",#REF!="C"),TRUE,FALSE)</formula>
    </cfRule>
  </conditionalFormatting>
  <conditionalFormatting sqref="F102:F106">
    <cfRule type="expression" dxfId="1410" priority="17">
      <formula>IF(OR(#REF!="L",#REF!="C"),TRUE,FALSE)</formula>
    </cfRule>
  </conditionalFormatting>
  <conditionalFormatting sqref="I102:I103">
    <cfRule type="expression" dxfId="1409" priority="15">
      <formula>IF(OR(#REF!="L",#REF!="C"),TRUE,FALSE)</formula>
    </cfRule>
  </conditionalFormatting>
  <conditionalFormatting sqref="N102:N103">
    <cfRule type="expression" dxfId="1408" priority="5">
      <formula>IF(OR(#REF!="L",#REF!="C"),TRUE,FALSE)</formula>
    </cfRule>
  </conditionalFormatting>
  <conditionalFormatting sqref="I104:I116">
    <cfRule type="expression" dxfId="1407" priority="16">
      <formula>IF(OR(#REF!="L",#REF!="C"),TRUE,FALSE)</formula>
    </cfRule>
  </conditionalFormatting>
  <conditionalFormatting sqref="J102:J103">
    <cfRule type="expression" dxfId="1406" priority="13">
      <formula>IF(OR(#REF!="L",#REF!="C"),TRUE,FALSE)</formula>
    </cfRule>
  </conditionalFormatting>
  <conditionalFormatting sqref="J104:J116">
    <cfRule type="expression" dxfId="1405" priority="14">
      <formula>IF(OR(#REF!="L",#REF!="C"),TRUE,FALSE)</formula>
    </cfRule>
  </conditionalFormatting>
  <conditionalFormatting sqref="K102:K103">
    <cfRule type="expression" dxfId="1404" priority="11">
      <formula>IF(OR(#REF!="L",#REF!="C"),TRUE,FALSE)</formula>
    </cfRule>
  </conditionalFormatting>
  <conditionalFormatting sqref="K104:K116">
    <cfRule type="expression" dxfId="1403" priority="12">
      <formula>IF(OR(#REF!="L",#REF!="C"),TRUE,FALSE)</formula>
    </cfRule>
  </conditionalFormatting>
  <conditionalFormatting sqref="L102:L103">
    <cfRule type="expression" dxfId="1402" priority="9">
      <formula>IF(OR(#REF!="L",#REF!="C"),TRUE,FALSE)</formula>
    </cfRule>
  </conditionalFormatting>
  <conditionalFormatting sqref="L104:L116">
    <cfRule type="expression" dxfId="1401" priority="10">
      <formula>IF(OR(#REF!="L",#REF!="C"),TRUE,FALSE)</formula>
    </cfRule>
  </conditionalFormatting>
  <conditionalFormatting sqref="M102:M103">
    <cfRule type="expression" dxfId="1400" priority="7">
      <formula>IF(OR(#REF!="L",#REF!="C"),TRUE,FALSE)</formula>
    </cfRule>
  </conditionalFormatting>
  <conditionalFormatting sqref="N104:N116">
    <cfRule type="expression" dxfId="1399" priority="6">
      <formula>IF(OR(#REF!="L",#REF!="C"),TRUE,FALSE)</formula>
    </cfRule>
  </conditionalFormatting>
  <conditionalFormatting sqref="O102:O103">
    <cfRule type="expression" dxfId="1398" priority="3">
      <formula>IF(OR(#REF!="L",#REF!="C"),TRUE,FALSE)</formula>
    </cfRule>
  </conditionalFormatting>
  <conditionalFormatting sqref="O104:O116">
    <cfRule type="expression" dxfId="1397" priority="4">
      <formula>IF(OR(#REF!="L",#REF!="C"),TRUE,FALSE)</formula>
    </cfRule>
  </conditionalFormatting>
  <conditionalFormatting sqref="E96:N96">
    <cfRule type="duplicateValues" dxfId="1396" priority="2"/>
  </conditionalFormatting>
  <conditionalFormatting sqref="H62:H76">
    <cfRule type="expression" dxfId="1395" priority="1">
      <formula>IF(OR(#REF!="L",#REF!="C"),TRUE,FALSE)</formula>
    </cfRule>
  </conditionalFormatting>
  <dataValidations count="6">
    <dataValidation type="list" allowBlank="1" showInputMessage="1" showErrorMessage="1" sqref="C4" xr:uid="{645B2044-0BDE-4BB0-A06D-BCAC69CCC2E3}">
      <formula1>"COM,RES"</formula1>
    </dataValidation>
    <dataValidation type="list" allowBlank="1" showInputMessage="1" showErrorMessage="1" sqref="C9" xr:uid="{F427AD3B-C3A5-4D7F-B09B-DA3B4D757142}">
      <formula1>INDIRECT("MeasureTypeList[Index]")</formula1>
    </dataValidation>
    <dataValidation type="list" allowBlank="1" showInputMessage="1" showErrorMessage="1" sqref="C26" xr:uid="{65832D33-16D0-49E9-8C61-EBA7EF2A0F48}">
      <formula1>INDIRECT("RegionList[Index]")</formula1>
    </dataValidation>
    <dataValidation type="list" allowBlank="1" showInputMessage="1" showErrorMessage="1" sqref="C27" xr:uid="{751A8CF0-5842-4665-8115-30131952D5BB}">
      <formula1>INDIRECT("ReplacementTypeList[Index]")</formula1>
    </dataValidation>
    <dataValidation type="list" allowBlank="1" showInputMessage="1" showErrorMessage="1" sqref="C28" xr:uid="{E06C8F25-B9C4-4906-838A-4443CDD66BFD}">
      <formula1>INDIRECT("BuildingType[Building]")</formula1>
    </dataValidation>
    <dataValidation type="list" allowBlank="1" showInputMessage="1" showErrorMessage="1" sqref="C29 C30" xr:uid="{4AF2149D-55F1-489C-9C77-69568675F69C}">
      <formula1>INDIRECT("FuelTypeList[Index]")</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169732D-CF81-4CB3-A016-BB5104329D89}">
          <x14:formula1>
            <xm:f>'Climate Data'!$B$286:$B$291</xm:f>
          </x14:formula1>
          <xm:sqref>H65</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D0D29-4B05-42DD-A8EC-8C7FCF5ACC09}">
  <sheetPr codeName="Sheet54"/>
  <dimension ref="A2:R116"/>
  <sheetViews>
    <sheetView workbookViewId="0">
      <selection activeCell="C18" sqref="C18"/>
    </sheetView>
  </sheetViews>
  <sheetFormatPr defaultColWidth="9.08984375" defaultRowHeight="18.75" customHeight="1" x14ac:dyDescent="0.3"/>
  <cols>
    <col min="1" max="1" width="2.36328125" style="488" customWidth="1"/>
    <col min="2" max="2" width="40.26953125" style="488" customWidth="1"/>
    <col min="3" max="3" width="26.7265625" style="488" customWidth="1"/>
    <col min="4" max="4" width="21.6328125" style="488" customWidth="1"/>
    <col min="5" max="5" width="18" style="488" customWidth="1"/>
    <col min="6" max="6" width="15.6328125" style="488" customWidth="1"/>
    <col min="7" max="7" width="19.6328125" style="488" customWidth="1"/>
    <col min="8" max="8" width="16"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DER-001</v>
      </c>
      <c r="D3" s="1367"/>
      <c r="E3" s="1367"/>
      <c r="F3" s="1367"/>
    </row>
    <row r="4" spans="1:18" ht="18.75" customHeight="1" x14ac:dyDescent="0.3">
      <c r="B4" s="490" t="s">
        <v>11</v>
      </c>
      <c r="C4" s="1367" t="s">
        <v>334</v>
      </c>
      <c r="D4" s="1367"/>
      <c r="E4" s="1367"/>
      <c r="F4" s="1367"/>
    </row>
    <row r="5" spans="1:18" ht="19.5" customHeight="1" x14ac:dyDescent="0.3">
      <c r="B5" s="490" t="s">
        <v>408</v>
      </c>
      <c r="C5" s="1530" t="s">
        <v>335</v>
      </c>
      <c r="D5" s="1531"/>
      <c r="E5" s="1531"/>
      <c r="F5" s="1532"/>
      <c r="R5" s="488"/>
    </row>
    <row r="6" spans="1:18" ht="18.75" customHeight="1" x14ac:dyDescent="0.3">
      <c r="A6" s="573"/>
    </row>
    <row r="7" spans="1:18" ht="18.75" customHeight="1" x14ac:dyDescent="0.3">
      <c r="B7" s="1193" t="s">
        <v>409</v>
      </c>
      <c r="C7" s="1192" t="s">
        <v>406</v>
      </c>
      <c r="D7" s="1363" t="s">
        <v>410</v>
      </c>
      <c r="E7" s="1363"/>
      <c r="F7" s="1363"/>
      <c r="R7" s="488"/>
    </row>
    <row r="8" spans="1:18" ht="18.75" customHeight="1" x14ac:dyDescent="0.3">
      <c r="B8" s="490" t="s">
        <v>411</v>
      </c>
      <c r="C8" s="1218" t="s">
        <v>185</v>
      </c>
      <c r="D8" s="2037" t="s">
        <v>2019</v>
      </c>
      <c r="E8" s="2037"/>
      <c r="F8" s="2037"/>
      <c r="R8" s="488"/>
    </row>
    <row r="9" spans="1:18" ht="18.75" customHeight="1" x14ac:dyDescent="0.3">
      <c r="B9" s="490" t="s">
        <v>49</v>
      </c>
      <c r="C9" s="1218" t="s">
        <v>2020</v>
      </c>
      <c r="D9" s="2037"/>
      <c r="E9" s="2037"/>
      <c r="F9" s="2037"/>
      <c r="R9" s="488"/>
    </row>
    <row r="10" spans="1:18" ht="18.75" customHeight="1" x14ac:dyDescent="0.3">
      <c r="B10" s="490" t="s">
        <v>412</v>
      </c>
      <c r="C10" s="1218"/>
      <c r="D10" s="2037"/>
      <c r="E10" s="2037"/>
      <c r="F10" s="2037"/>
      <c r="R10" s="488"/>
    </row>
    <row r="11" spans="1:18" ht="18.75" customHeight="1" x14ac:dyDescent="0.3">
      <c r="B11" s="490" t="s">
        <v>413</v>
      </c>
      <c r="C11" s="1218"/>
      <c r="D11" s="2037"/>
      <c r="E11" s="2037"/>
      <c r="F11" s="2037"/>
      <c r="R11" s="488"/>
    </row>
    <row r="12" spans="1:18" ht="18.75" customHeight="1" x14ac:dyDescent="0.3">
      <c r="B12" s="490" t="s">
        <v>414</v>
      </c>
      <c r="C12" s="665"/>
      <c r="D12" s="2037"/>
      <c r="E12" s="2037"/>
      <c r="F12" s="2037"/>
      <c r="R12" s="488"/>
    </row>
    <row r="13" spans="1:18" ht="18.75" customHeight="1" x14ac:dyDescent="0.3">
      <c r="B13" s="494" t="s">
        <v>415</v>
      </c>
      <c r="C13" s="658">
        <f>N43</f>
        <v>0</v>
      </c>
      <c r="D13" s="2037"/>
      <c r="E13" s="2037"/>
      <c r="F13" s="2037"/>
      <c r="R13" s="488"/>
    </row>
    <row r="14" spans="1:18" ht="18.75" customHeight="1" x14ac:dyDescent="0.3">
      <c r="B14" s="494" t="s">
        <v>416</v>
      </c>
      <c r="C14" s="658">
        <f>N42</f>
        <v>0</v>
      </c>
      <c r="D14" s="2037"/>
      <c r="E14" s="2037"/>
      <c r="F14" s="2037"/>
      <c r="R14" s="488"/>
    </row>
    <row r="15" spans="1:18" ht="18.75" customHeight="1" x14ac:dyDescent="0.3">
      <c r="B15" s="494" t="s">
        <v>417</v>
      </c>
      <c r="C15" s="658">
        <f>N44</f>
        <v>0</v>
      </c>
      <c r="D15" s="2037"/>
      <c r="E15" s="2037"/>
      <c r="F15" s="2037"/>
      <c r="R15" s="488"/>
    </row>
    <row r="16" spans="1:18" ht="18.75" customHeight="1" x14ac:dyDescent="0.3">
      <c r="B16" s="494" t="s">
        <v>418</v>
      </c>
      <c r="C16" s="659">
        <f>C37</f>
        <v>0</v>
      </c>
      <c r="D16" s="2037"/>
      <c r="E16" s="2037"/>
      <c r="F16" s="2037"/>
      <c r="R16" s="488"/>
    </row>
    <row r="17" spans="2:18" ht="18.75" customHeight="1" x14ac:dyDescent="0.3">
      <c r="B17" s="490" t="s">
        <v>48</v>
      </c>
      <c r="C17" s="1218" t="s">
        <v>673</v>
      </c>
      <c r="D17" s="1363" t="s">
        <v>419</v>
      </c>
      <c r="E17" s="1363"/>
      <c r="F17" s="1363"/>
      <c r="R17" s="488"/>
    </row>
    <row r="18" spans="2:18" ht="18.75" customHeight="1" x14ac:dyDescent="0.3">
      <c r="B18" s="490" t="s">
        <v>420</v>
      </c>
      <c r="C18" s="666">
        <v>25</v>
      </c>
      <c r="D18" s="2026" t="s">
        <v>674</v>
      </c>
      <c r="E18" s="2026"/>
      <c r="F18" s="2026"/>
      <c r="R18" s="488"/>
    </row>
    <row r="19" spans="2:18" ht="18.75" customHeight="1" x14ac:dyDescent="0.3">
      <c r="B19" s="497"/>
      <c r="C19" s="576"/>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36.75" customHeight="1" x14ac:dyDescent="0.3">
      <c r="B21" s="499" t="s">
        <v>422</v>
      </c>
      <c r="C21" s="1546" t="s">
        <v>336</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36" t="s">
        <v>337</v>
      </c>
      <c r="D22" s="1536"/>
      <c r="E22" s="1536"/>
      <c r="F22" s="1536"/>
      <c r="G22" s="1536"/>
      <c r="H22" s="1536"/>
      <c r="I22" s="1536"/>
      <c r="J22" s="1536"/>
      <c r="K22" s="1536"/>
      <c r="L22" s="1536"/>
      <c r="M22" s="1536"/>
      <c r="N22" s="1536"/>
      <c r="O22" s="1536"/>
      <c r="P22" s="1536"/>
      <c r="Q22" s="1536"/>
      <c r="R22" s="488"/>
    </row>
    <row r="23" spans="2:18" ht="18.75" customHeight="1" x14ac:dyDescent="0.3">
      <c r="B23" s="500" t="s">
        <v>424</v>
      </c>
      <c r="C23" s="2033"/>
      <c r="D23" s="2033"/>
      <c r="E23" s="2033"/>
      <c r="F23" s="2033"/>
      <c r="G23" s="2033"/>
      <c r="H23" s="2033"/>
      <c r="I23" s="2033"/>
      <c r="J23" s="2033"/>
      <c r="K23" s="2033"/>
      <c r="L23" s="2033"/>
      <c r="M23" s="2033"/>
      <c r="N23" s="2033"/>
      <c r="O23" s="2033"/>
      <c r="P23" s="2033"/>
      <c r="Q23" s="2033"/>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512"/>
      <c r="F33" s="1512"/>
      <c r="G33" s="1512"/>
      <c r="H33" s="1512"/>
      <c r="I33" s="1512"/>
      <c r="J33" s="1512"/>
      <c r="K33" s="1512"/>
      <c r="L33" s="1512"/>
      <c r="M33" s="1512"/>
      <c r="N33" s="1512"/>
      <c r="O33" s="1512"/>
      <c r="P33" s="1512"/>
      <c r="Q33" s="1512"/>
      <c r="R33" s="488"/>
    </row>
    <row r="34" spans="2:18" ht="18.75" customHeight="1" x14ac:dyDescent="0.3">
      <c r="B34" s="494" t="s">
        <v>431</v>
      </c>
      <c r="C34" s="542"/>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905"/>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905">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0</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1004</v>
      </c>
      <c r="D49" s="1505"/>
      <c r="E49" s="1505"/>
      <c r="F49" s="1505"/>
      <c r="G49" s="1505"/>
      <c r="H49" s="1505"/>
      <c r="I49" s="1505"/>
      <c r="J49" s="1505"/>
      <c r="K49" s="1505"/>
      <c r="L49" s="1505"/>
      <c r="M49" s="1506"/>
      <c r="N49" s="592"/>
      <c r="O49" s="1243" t="s">
        <v>443</v>
      </c>
      <c r="P49" s="1511"/>
      <c r="Q49" s="1511"/>
      <c r="R49" s="488"/>
    </row>
    <row r="50" spans="2:18" ht="18.75" customHeight="1" x14ac:dyDescent="0.3">
      <c r="B50" s="582" t="s">
        <v>456</v>
      </c>
      <c r="C50" s="1504" t="s">
        <v>1005</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467</v>
      </c>
      <c r="D56" s="1505"/>
      <c r="E56" s="1505"/>
      <c r="F56" s="1505"/>
      <c r="G56" s="1505"/>
      <c r="H56" s="1505"/>
      <c r="I56" s="1505"/>
      <c r="J56" s="1505"/>
      <c r="K56" s="1505"/>
      <c r="L56" s="1505"/>
      <c r="M56" s="1506"/>
      <c r="N56" s="594"/>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765</v>
      </c>
      <c r="H61" s="506" t="s">
        <v>406</v>
      </c>
      <c r="I61" s="506" t="s">
        <v>428</v>
      </c>
      <c r="J61" s="1396" t="s">
        <v>476</v>
      </c>
      <c r="K61" s="1397"/>
      <c r="L61" s="1397"/>
      <c r="M61" s="1397"/>
      <c r="N61" s="1397"/>
      <c r="O61" s="1397"/>
      <c r="P61" s="1397"/>
      <c r="Q61" s="1398"/>
    </row>
    <row r="62" spans="2:18" ht="15" customHeight="1" x14ac:dyDescent="0.3">
      <c r="B62" s="719">
        <v>1</v>
      </c>
      <c r="C62" s="1069"/>
      <c r="D62" s="2027"/>
      <c r="E62" s="2027"/>
      <c r="F62" s="1070"/>
      <c r="G62" s="1070"/>
      <c r="H62" s="1071"/>
      <c r="I62" s="1070"/>
      <c r="J62" s="2028"/>
      <c r="K62" s="2029"/>
      <c r="L62" s="2029"/>
      <c r="M62" s="2029"/>
      <c r="N62" s="2029"/>
      <c r="O62" s="2029"/>
      <c r="P62" s="2029"/>
      <c r="Q62" s="2030"/>
      <c r="R62" s="488"/>
    </row>
    <row r="63" spans="2:18" ht="15" customHeight="1" x14ac:dyDescent="0.3">
      <c r="B63" s="719">
        <v>2</v>
      </c>
      <c r="C63" s="1069"/>
      <c r="D63" s="2027"/>
      <c r="E63" s="2027"/>
      <c r="F63" s="1070"/>
      <c r="G63" s="1070"/>
      <c r="H63" s="1071"/>
      <c r="I63" s="1070"/>
      <c r="J63" s="2028"/>
      <c r="K63" s="2029"/>
      <c r="L63" s="2029"/>
      <c r="M63" s="2029"/>
      <c r="N63" s="2029"/>
      <c r="O63" s="2029"/>
      <c r="P63" s="2029"/>
      <c r="Q63" s="2030"/>
      <c r="R63" s="488"/>
    </row>
    <row r="64" spans="2:18" ht="15" customHeight="1" x14ac:dyDescent="0.3">
      <c r="B64" s="719">
        <v>3</v>
      </c>
      <c r="C64" s="1069"/>
      <c r="D64" s="2027"/>
      <c r="E64" s="2027"/>
      <c r="F64" s="1070"/>
      <c r="G64" s="1070"/>
      <c r="H64" s="1071"/>
      <c r="I64" s="1070"/>
      <c r="J64" s="2028"/>
      <c r="K64" s="2029"/>
      <c r="L64" s="2029"/>
      <c r="M64" s="2029"/>
      <c r="N64" s="2029"/>
      <c r="O64" s="2029"/>
      <c r="P64" s="2029"/>
      <c r="Q64" s="2030"/>
      <c r="R64" s="488"/>
    </row>
    <row r="65" spans="2:18" ht="15" customHeight="1" x14ac:dyDescent="0.3">
      <c r="B65" s="719">
        <v>4</v>
      </c>
      <c r="C65" s="1069"/>
      <c r="D65" s="2027"/>
      <c r="E65" s="2027"/>
      <c r="F65" s="1070"/>
      <c r="G65" s="1070"/>
      <c r="H65" s="1071"/>
      <c r="I65" s="1070"/>
      <c r="J65" s="2028"/>
      <c r="K65" s="2029"/>
      <c r="L65" s="2029"/>
      <c r="M65" s="2029"/>
      <c r="N65" s="2029"/>
      <c r="O65" s="2029"/>
      <c r="P65" s="2029"/>
      <c r="Q65" s="2030"/>
      <c r="R65" s="488"/>
    </row>
    <row r="66" spans="2:18" ht="15" customHeight="1" x14ac:dyDescent="0.3">
      <c r="B66" s="719">
        <v>5</v>
      </c>
      <c r="C66" s="1069"/>
      <c r="D66" s="2027"/>
      <c r="E66" s="2027"/>
      <c r="F66" s="1070"/>
      <c r="G66" s="1070"/>
      <c r="H66" s="1071"/>
      <c r="I66" s="1070"/>
      <c r="J66" s="2028"/>
      <c r="K66" s="2029"/>
      <c r="L66" s="2029"/>
      <c r="M66" s="2029"/>
      <c r="N66" s="2029"/>
      <c r="O66" s="2029"/>
      <c r="P66" s="2029"/>
      <c r="Q66" s="2030"/>
      <c r="R66" s="488"/>
    </row>
    <row r="67" spans="2:18" ht="15" customHeight="1" x14ac:dyDescent="0.3">
      <c r="B67" s="719">
        <v>6</v>
      </c>
      <c r="C67" s="1069"/>
      <c r="D67" s="2027"/>
      <c r="E67" s="2027"/>
      <c r="F67" s="1070"/>
      <c r="G67" s="1070"/>
      <c r="H67" s="1071"/>
      <c r="I67" s="1070"/>
      <c r="J67" s="2028"/>
      <c r="K67" s="2029"/>
      <c r="L67" s="2029"/>
      <c r="M67" s="2029"/>
      <c r="N67" s="2029"/>
      <c r="O67" s="2029"/>
      <c r="P67" s="2029"/>
      <c r="Q67" s="2030"/>
      <c r="R67" s="488"/>
    </row>
    <row r="68" spans="2:18" ht="15" customHeight="1" x14ac:dyDescent="0.3">
      <c r="B68" s="719">
        <v>7</v>
      </c>
      <c r="C68" s="1069"/>
      <c r="D68" s="2027"/>
      <c r="E68" s="2027"/>
      <c r="F68" s="1070"/>
      <c r="G68" s="1070"/>
      <c r="H68" s="1071"/>
      <c r="I68" s="1070"/>
      <c r="J68" s="2028"/>
      <c r="K68" s="2029"/>
      <c r="L68" s="2029"/>
      <c r="M68" s="2029"/>
      <c r="N68" s="2029"/>
      <c r="O68" s="2029"/>
      <c r="P68" s="2029"/>
      <c r="Q68" s="2030"/>
      <c r="R68" s="488"/>
    </row>
    <row r="69" spans="2:18" ht="15" customHeight="1" x14ac:dyDescent="0.3">
      <c r="B69" s="719">
        <v>8</v>
      </c>
      <c r="C69" s="1069"/>
      <c r="D69" s="2027"/>
      <c r="E69" s="2027"/>
      <c r="F69" s="1070"/>
      <c r="G69" s="1070"/>
      <c r="H69" s="1071"/>
      <c r="I69" s="1070"/>
      <c r="J69" s="2028"/>
      <c r="K69" s="2029"/>
      <c r="L69" s="2029"/>
      <c r="M69" s="2029"/>
      <c r="N69" s="2029"/>
      <c r="O69" s="2029"/>
      <c r="P69" s="2029"/>
      <c r="Q69" s="2030"/>
      <c r="R69" s="488"/>
    </row>
    <row r="70" spans="2:18" ht="15" customHeight="1" x14ac:dyDescent="0.3">
      <c r="B70" s="719">
        <v>9</v>
      </c>
      <c r="C70" s="1069"/>
      <c r="D70" s="2027"/>
      <c r="E70" s="2027"/>
      <c r="F70" s="1070"/>
      <c r="G70" s="1070"/>
      <c r="H70" s="1071"/>
      <c r="I70" s="1070"/>
      <c r="J70" s="2028"/>
      <c r="K70" s="2029"/>
      <c r="L70" s="2029"/>
      <c r="M70" s="2029"/>
      <c r="N70" s="2029"/>
      <c r="O70" s="2029"/>
      <c r="P70" s="2029"/>
      <c r="Q70" s="2030"/>
      <c r="R70" s="488"/>
    </row>
    <row r="71" spans="2:18" ht="15" customHeight="1" x14ac:dyDescent="0.3">
      <c r="B71" s="719">
        <v>10</v>
      </c>
      <c r="C71" s="1069"/>
      <c r="D71" s="2027"/>
      <c r="E71" s="2027"/>
      <c r="F71" s="1070"/>
      <c r="G71" s="1070"/>
      <c r="H71" s="1071"/>
      <c r="I71" s="1070"/>
      <c r="J71" s="2028"/>
      <c r="K71" s="2029"/>
      <c r="L71" s="2029"/>
      <c r="M71" s="2029"/>
      <c r="N71" s="2029"/>
      <c r="O71" s="2029"/>
      <c r="P71" s="2029"/>
      <c r="Q71" s="2030"/>
      <c r="R71" s="488"/>
    </row>
    <row r="72" spans="2:18" ht="15" customHeight="1" x14ac:dyDescent="0.3">
      <c r="B72" s="719">
        <v>11</v>
      </c>
      <c r="C72" s="1069"/>
      <c r="D72" s="2027"/>
      <c r="E72" s="2027"/>
      <c r="F72" s="1070"/>
      <c r="G72" s="1070"/>
      <c r="H72" s="1071"/>
      <c r="I72" s="1070"/>
      <c r="J72" s="2028"/>
      <c r="K72" s="2029"/>
      <c r="L72" s="2029"/>
      <c r="M72" s="2029"/>
      <c r="N72" s="2029"/>
      <c r="O72" s="2029"/>
      <c r="P72" s="2029"/>
      <c r="Q72" s="2030"/>
      <c r="R72" s="488"/>
    </row>
    <row r="73" spans="2:18" ht="15" customHeight="1" x14ac:dyDescent="0.3">
      <c r="B73" s="719">
        <v>12</v>
      </c>
      <c r="C73" s="1069"/>
      <c r="D73" s="2027"/>
      <c r="E73" s="2027"/>
      <c r="F73" s="1070"/>
      <c r="G73" s="1070"/>
      <c r="H73" s="1071"/>
      <c r="I73" s="1070"/>
      <c r="J73" s="2028"/>
      <c r="K73" s="2029"/>
      <c r="L73" s="2029"/>
      <c r="M73" s="2029"/>
      <c r="N73" s="2029"/>
      <c r="O73" s="2029"/>
      <c r="P73" s="2029"/>
      <c r="Q73" s="2030"/>
      <c r="R73" s="488"/>
    </row>
    <row r="74" spans="2:18" ht="15" customHeight="1" x14ac:dyDescent="0.3">
      <c r="B74" s="719">
        <v>13</v>
      </c>
      <c r="C74" s="1069"/>
      <c r="D74" s="2027"/>
      <c r="E74" s="2027"/>
      <c r="F74" s="1070"/>
      <c r="G74" s="1070"/>
      <c r="H74" s="1071"/>
      <c r="I74" s="1070"/>
      <c r="J74" s="2028"/>
      <c r="K74" s="2029"/>
      <c r="L74" s="2029"/>
      <c r="M74" s="2029"/>
      <c r="N74" s="2029"/>
      <c r="O74" s="2029"/>
      <c r="P74" s="2029"/>
      <c r="Q74" s="2030"/>
      <c r="R74" s="488"/>
    </row>
    <row r="75" spans="2:18" ht="15" customHeight="1" x14ac:dyDescent="0.3">
      <c r="B75" s="719">
        <v>14</v>
      </c>
      <c r="C75" s="1069"/>
      <c r="D75" s="2027"/>
      <c r="E75" s="2027"/>
      <c r="F75" s="1070"/>
      <c r="G75" s="1070"/>
      <c r="H75" s="1071"/>
      <c r="I75" s="1070"/>
      <c r="J75" s="2028"/>
      <c r="K75" s="2029"/>
      <c r="L75" s="2029"/>
      <c r="M75" s="2029"/>
      <c r="N75" s="2029"/>
      <c r="O75" s="2029"/>
      <c r="P75" s="2029"/>
      <c r="Q75" s="2030"/>
      <c r="R75" s="488"/>
    </row>
    <row r="76" spans="2:18" ht="15" customHeight="1" x14ac:dyDescent="0.3">
      <c r="B76" s="719">
        <v>15</v>
      </c>
      <c r="C76" s="1069"/>
      <c r="D76" s="2027"/>
      <c r="E76" s="2027"/>
      <c r="F76" s="1070"/>
      <c r="G76" s="1070"/>
      <c r="H76" s="1071"/>
      <c r="I76" s="1070"/>
      <c r="J76" s="2028"/>
      <c r="K76" s="2029"/>
      <c r="L76" s="2029"/>
      <c r="M76" s="2029"/>
      <c r="N76" s="2029"/>
      <c r="O76" s="2029"/>
      <c r="P76" s="2029"/>
      <c r="Q76" s="2030"/>
      <c r="R76" s="488"/>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c r="D81" s="561"/>
      <c r="E81" s="1233"/>
      <c r="F81" s="1486"/>
      <c r="G81" s="1487"/>
      <c r="H81" s="1487"/>
      <c r="I81" s="1487"/>
      <c r="J81" s="1487"/>
      <c r="K81" s="1487"/>
      <c r="L81" s="1487"/>
      <c r="M81" s="1487"/>
      <c r="N81" s="1487"/>
      <c r="O81" s="1487"/>
      <c r="P81" s="1487"/>
      <c r="Q81" s="1488"/>
      <c r="R81" s="488"/>
    </row>
    <row r="82" spans="2:18" ht="13" x14ac:dyDescent="0.3">
      <c r="B82" s="533">
        <v>2</v>
      </c>
      <c r="C82" s="560"/>
      <c r="D82" s="562"/>
      <c r="E82" s="1233"/>
      <c r="F82" s="1489"/>
      <c r="G82" s="1490"/>
      <c r="H82" s="1490"/>
      <c r="I82" s="1490"/>
      <c r="J82" s="1490"/>
      <c r="K82" s="1490"/>
      <c r="L82" s="1490"/>
      <c r="M82" s="1490"/>
      <c r="N82" s="1490"/>
      <c r="O82" s="1490"/>
      <c r="P82" s="1490"/>
      <c r="Q82" s="1491"/>
      <c r="R82" s="488"/>
    </row>
    <row r="83" spans="2:18" ht="13" x14ac:dyDescent="0.3">
      <c r="B83" s="533">
        <v>3</v>
      </c>
      <c r="C83" s="560"/>
      <c r="D83" s="562"/>
      <c r="E83" s="1233"/>
      <c r="F83" s="1489"/>
      <c r="G83" s="1490"/>
      <c r="H83" s="1490"/>
      <c r="I83" s="1490"/>
      <c r="J83" s="1490"/>
      <c r="K83" s="1490"/>
      <c r="L83" s="1490"/>
      <c r="M83" s="1490"/>
      <c r="N83" s="1490"/>
      <c r="O83" s="1490"/>
      <c r="P83" s="1490"/>
      <c r="Q83" s="1491"/>
      <c r="R83" s="488"/>
    </row>
    <row r="84" spans="2:18" ht="13" x14ac:dyDescent="0.3">
      <c r="B84" s="533">
        <v>4</v>
      </c>
      <c r="C84" s="560"/>
      <c r="D84" s="562"/>
      <c r="E84" s="1233"/>
      <c r="F84" s="1489"/>
      <c r="G84" s="1490"/>
      <c r="H84" s="1490"/>
      <c r="I84" s="1490"/>
      <c r="J84" s="1490"/>
      <c r="K84" s="1490"/>
      <c r="L84" s="1490"/>
      <c r="M84" s="1490"/>
      <c r="N84" s="1490"/>
      <c r="O84" s="1490"/>
      <c r="P84" s="1490"/>
      <c r="Q84" s="1491"/>
      <c r="R84" s="488"/>
    </row>
    <row r="85" spans="2:18" ht="13" x14ac:dyDescent="0.3">
      <c r="B85" s="533">
        <v>5</v>
      </c>
      <c r="C85" s="560"/>
      <c r="D85" s="562"/>
      <c r="E85" s="1233"/>
      <c r="F85" s="1489"/>
      <c r="G85" s="1490"/>
      <c r="H85" s="1490"/>
      <c r="I85" s="1490"/>
      <c r="J85" s="1490"/>
      <c r="K85" s="1490"/>
      <c r="L85" s="1490"/>
      <c r="M85" s="1490"/>
      <c r="N85" s="1490"/>
      <c r="O85" s="1490"/>
      <c r="P85" s="1490"/>
      <c r="Q85" s="1491"/>
      <c r="R85" s="488"/>
    </row>
    <row r="86" spans="2:18" ht="13" x14ac:dyDescent="0.3">
      <c r="B86" s="533">
        <v>6</v>
      </c>
      <c r="C86" s="560"/>
      <c r="D86" s="562"/>
      <c r="E86" s="1233"/>
      <c r="F86" s="1486"/>
      <c r="G86" s="1487"/>
      <c r="H86" s="1487"/>
      <c r="I86" s="1487"/>
      <c r="J86" s="1487"/>
      <c r="K86" s="1487"/>
      <c r="L86" s="1487"/>
      <c r="M86" s="1487"/>
      <c r="N86" s="1487"/>
      <c r="O86" s="1487"/>
      <c r="P86" s="1487"/>
      <c r="Q86" s="1488"/>
      <c r="R86" s="488"/>
    </row>
    <row r="87" spans="2:18" ht="13" x14ac:dyDescent="0.3">
      <c r="B87" s="533">
        <v>7</v>
      </c>
      <c r="C87" s="563"/>
      <c r="D87" s="562"/>
      <c r="E87" s="1078"/>
      <c r="F87" s="1486"/>
      <c r="G87" s="1487"/>
      <c r="H87" s="1487"/>
      <c r="I87" s="1487"/>
      <c r="J87" s="1487"/>
      <c r="K87" s="1487"/>
      <c r="L87" s="1487"/>
      <c r="M87" s="1487"/>
      <c r="N87" s="1487"/>
      <c r="O87" s="1487"/>
      <c r="P87" s="1487"/>
      <c r="Q87" s="1488"/>
      <c r="R87" s="488"/>
    </row>
    <row r="88" spans="2:18" ht="13" x14ac:dyDescent="0.3">
      <c r="B88" s="533">
        <v>8</v>
      </c>
      <c r="C88" s="563"/>
      <c r="D88" s="562"/>
      <c r="E88" s="1233"/>
      <c r="F88" s="1486"/>
      <c r="G88" s="1487"/>
      <c r="H88" s="1487"/>
      <c r="I88" s="1487"/>
      <c r="J88" s="1487"/>
      <c r="K88" s="1487"/>
      <c r="L88" s="1487"/>
      <c r="M88" s="1487"/>
      <c r="N88" s="1487"/>
      <c r="O88" s="1487"/>
      <c r="P88" s="1487"/>
      <c r="Q88" s="1488"/>
      <c r="R88" s="488"/>
    </row>
    <row r="89" spans="2:18" ht="13" x14ac:dyDescent="0.3">
      <c r="B89" s="533">
        <v>9</v>
      </c>
      <c r="C89" s="563"/>
      <c r="D89" s="562"/>
      <c r="E89" s="1233"/>
      <c r="F89" s="1486"/>
      <c r="G89" s="1487"/>
      <c r="H89" s="1487"/>
      <c r="I89" s="1487"/>
      <c r="J89" s="1487"/>
      <c r="K89" s="1487"/>
      <c r="L89" s="1487"/>
      <c r="M89" s="1487"/>
      <c r="N89" s="1487"/>
      <c r="O89" s="1487"/>
      <c r="P89" s="1487"/>
      <c r="Q89" s="1488"/>
      <c r="R89" s="488"/>
    </row>
    <row r="90" spans="2:18" ht="13" x14ac:dyDescent="0.3">
      <c r="B90" s="533">
        <v>10</v>
      </c>
      <c r="C90" s="563"/>
      <c r="D90" s="562"/>
      <c r="E90" s="734"/>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c r="R95" s="488"/>
    </row>
    <row r="96" spans="2:18" ht="25.5" customHeight="1" x14ac:dyDescent="0.3">
      <c r="B96" s="1188" t="s">
        <v>478</v>
      </c>
      <c r="C96" s="1402" t="s">
        <v>505</v>
      </c>
      <c r="D96" s="1431"/>
      <c r="E96" s="565"/>
      <c r="F96" s="565"/>
      <c r="G96" s="565"/>
      <c r="H96" s="565"/>
      <c r="I96" s="565"/>
      <c r="J96" s="565"/>
      <c r="K96" s="565"/>
      <c r="L96" s="565"/>
      <c r="M96" s="565"/>
      <c r="N96" s="566"/>
      <c r="O96" s="1410"/>
      <c r="P96" s="1411"/>
      <c r="Q96" s="1412"/>
      <c r="R96" s="488"/>
    </row>
    <row r="97" spans="2:18" ht="13" x14ac:dyDescent="0.3">
      <c r="B97" s="533">
        <v>1</v>
      </c>
      <c r="C97" s="546"/>
      <c r="D97" s="1184"/>
      <c r="E97" s="1068"/>
      <c r="F97" s="1190"/>
      <c r="G97" s="1190"/>
      <c r="H97" s="1190"/>
      <c r="I97" s="568"/>
      <c r="J97" s="568"/>
      <c r="K97" s="568"/>
      <c r="L97" s="568"/>
      <c r="M97" s="568"/>
      <c r="N97" s="568"/>
      <c r="O97" s="1501"/>
      <c r="P97" s="1502"/>
      <c r="Q97" s="1503"/>
      <c r="R97" s="488"/>
    </row>
    <row r="98" spans="2:18" ht="13" x14ac:dyDescent="0.3">
      <c r="B98" s="533">
        <v>2</v>
      </c>
      <c r="C98" s="546"/>
      <c r="D98" s="1184"/>
      <c r="E98" s="1068"/>
      <c r="F98" s="1190"/>
      <c r="G98" s="1190"/>
      <c r="H98" s="1190"/>
      <c r="I98" s="568"/>
      <c r="J98" s="568"/>
      <c r="K98" s="568"/>
      <c r="L98" s="568"/>
      <c r="M98" s="568"/>
      <c r="N98" s="568"/>
      <c r="O98" s="1501"/>
      <c r="P98" s="1502"/>
      <c r="Q98" s="1503"/>
      <c r="R98" s="488"/>
    </row>
    <row r="99" spans="2:18" ht="13" x14ac:dyDescent="0.3">
      <c r="B99" s="533">
        <v>3</v>
      </c>
      <c r="C99" s="546"/>
      <c r="D99" s="1184"/>
      <c r="E99" s="1068"/>
      <c r="F99" s="1190"/>
      <c r="G99" s="1190"/>
      <c r="H99" s="1190"/>
      <c r="I99" s="568"/>
      <c r="J99" s="568"/>
      <c r="K99" s="568"/>
      <c r="L99" s="568"/>
      <c r="M99" s="568"/>
      <c r="N99" s="568"/>
      <c r="O99" s="1501"/>
      <c r="P99" s="1502"/>
      <c r="Q99" s="1503"/>
      <c r="R99" s="488"/>
    </row>
    <row r="100" spans="2:18" ht="13" x14ac:dyDescent="0.3">
      <c r="B100" s="533">
        <v>4</v>
      </c>
      <c r="C100" s="546"/>
      <c r="D100" s="1184"/>
      <c r="E100" s="1068"/>
      <c r="F100" s="1190"/>
      <c r="G100" s="1190"/>
      <c r="H100" s="1190"/>
      <c r="I100" s="568"/>
      <c r="J100" s="568"/>
      <c r="K100" s="568"/>
      <c r="L100" s="568"/>
      <c r="M100" s="568"/>
      <c r="N100" s="568"/>
      <c r="O100" s="1501"/>
      <c r="P100" s="1502"/>
      <c r="Q100" s="1503"/>
      <c r="R100" s="488"/>
    </row>
    <row r="101" spans="2:18" ht="13" x14ac:dyDescent="0.3">
      <c r="B101" s="533">
        <v>5</v>
      </c>
      <c r="C101" s="546"/>
      <c r="D101" s="1184"/>
      <c r="E101" s="1068"/>
      <c r="F101" s="1190"/>
      <c r="G101" s="1190"/>
      <c r="H101" s="1190"/>
      <c r="I101" s="568"/>
      <c r="J101" s="568"/>
      <c r="K101" s="568"/>
      <c r="L101" s="568"/>
      <c r="M101" s="568"/>
      <c r="N101" s="568"/>
      <c r="O101" s="1501"/>
      <c r="P101" s="1502"/>
      <c r="Q101" s="1503"/>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sheetData>
  <sheetProtection algorithmName="SHA-512" hashValue="ZNVMEzGXdaHqrOWlbaBsjEmSzaYGB5GKQ/mG1+OjJF8loPNkBRKMXb/tpD0tvfIYGXaN73eG9jEMLjpFkcYncg==" saltValue="EhuEkGyQJZG0wJPDGLAQhw==" spinCount="100000" sheet="1" objects="1" scenarios="1" selectLockedCells="1" selectUnlockedCells="1"/>
  <mergeCells count="121">
    <mergeCell ref="C2:F2"/>
    <mergeCell ref="C3:F3"/>
    <mergeCell ref="C4:F4"/>
    <mergeCell ref="C5:F5"/>
    <mergeCell ref="D7:F7"/>
    <mergeCell ref="D8:F16"/>
    <mergeCell ref="D25:Q25"/>
    <mergeCell ref="D26:Q26"/>
    <mergeCell ref="D27:Q27"/>
    <mergeCell ref="D28:Q28"/>
    <mergeCell ref="D29:Q29"/>
    <mergeCell ref="D30:Q30"/>
    <mergeCell ref="D17:F17"/>
    <mergeCell ref="D18:F18"/>
    <mergeCell ref="B20:Q20"/>
    <mergeCell ref="C21:Q21"/>
    <mergeCell ref="C22:Q22"/>
    <mergeCell ref="C23:Q23"/>
    <mergeCell ref="C41:M41"/>
    <mergeCell ref="P41:Q41"/>
    <mergeCell ref="C42:M42"/>
    <mergeCell ref="P42:Q42"/>
    <mergeCell ref="C43:M43"/>
    <mergeCell ref="P43:Q43"/>
    <mergeCell ref="E32:Q32"/>
    <mergeCell ref="E33:Q33"/>
    <mergeCell ref="E34:Q34"/>
    <mergeCell ref="E35:Q35"/>
    <mergeCell ref="E36:Q36"/>
    <mergeCell ref="E37:Q37"/>
    <mergeCell ref="C48:M48"/>
    <mergeCell ref="P48:Q48"/>
    <mergeCell ref="C49:M49"/>
    <mergeCell ref="P49:Q49"/>
    <mergeCell ref="C50:M50"/>
    <mergeCell ref="P50:Q50"/>
    <mergeCell ref="C44:M44"/>
    <mergeCell ref="P44:Q44"/>
    <mergeCell ref="C45:M45"/>
    <mergeCell ref="P45:Q45"/>
    <mergeCell ref="C47:M47"/>
    <mergeCell ref="P47:Q47"/>
    <mergeCell ref="C55:M55"/>
    <mergeCell ref="P55:Q55"/>
    <mergeCell ref="C56:M56"/>
    <mergeCell ref="P56:Q56"/>
    <mergeCell ref="C57:M57"/>
    <mergeCell ref="P57:Q57"/>
    <mergeCell ref="C51:M51"/>
    <mergeCell ref="P51:Q51"/>
    <mergeCell ref="C53:M53"/>
    <mergeCell ref="P53:Q53"/>
    <mergeCell ref="C54:M54"/>
    <mergeCell ref="P54:Q54"/>
    <mergeCell ref="D64:E64"/>
    <mergeCell ref="J64:Q64"/>
    <mergeCell ref="D65:E65"/>
    <mergeCell ref="J65:Q65"/>
    <mergeCell ref="D66:E66"/>
    <mergeCell ref="J66:Q66"/>
    <mergeCell ref="D61:E61"/>
    <mergeCell ref="J61:Q61"/>
    <mergeCell ref="D62:E62"/>
    <mergeCell ref="J62:Q62"/>
    <mergeCell ref="D63:E63"/>
    <mergeCell ref="J63:Q63"/>
    <mergeCell ref="D70:E70"/>
    <mergeCell ref="J70:Q70"/>
    <mergeCell ref="D71:E71"/>
    <mergeCell ref="J71:Q71"/>
    <mergeCell ref="D72:E72"/>
    <mergeCell ref="J72:Q72"/>
    <mergeCell ref="D67:E67"/>
    <mergeCell ref="J67:Q67"/>
    <mergeCell ref="D68:E68"/>
    <mergeCell ref="J68:Q68"/>
    <mergeCell ref="D69:E69"/>
    <mergeCell ref="J69:Q69"/>
    <mergeCell ref="D76:E76"/>
    <mergeCell ref="J76:Q76"/>
    <mergeCell ref="F80:Q80"/>
    <mergeCell ref="F81:Q81"/>
    <mergeCell ref="F82:Q82"/>
    <mergeCell ref="F83:Q83"/>
    <mergeCell ref="D73:E73"/>
    <mergeCell ref="J73:Q73"/>
    <mergeCell ref="D74:E74"/>
    <mergeCell ref="J74:Q74"/>
    <mergeCell ref="D75:E75"/>
    <mergeCell ref="J75:Q75"/>
    <mergeCell ref="B95:D95"/>
    <mergeCell ref="C96:D96"/>
    <mergeCell ref="O97:Q97"/>
    <mergeCell ref="F84:Q84"/>
    <mergeCell ref="F85:Q85"/>
    <mergeCell ref="F86:Q86"/>
    <mergeCell ref="F87:Q87"/>
    <mergeCell ref="F88:Q88"/>
    <mergeCell ref="F89:Q89"/>
    <mergeCell ref="O98:Q98"/>
    <mergeCell ref="O99:Q99"/>
    <mergeCell ref="O100:Q100"/>
    <mergeCell ref="O101:Q101"/>
    <mergeCell ref="O102:Q102"/>
    <mergeCell ref="O103:Q103"/>
    <mergeCell ref="F90:Q90"/>
    <mergeCell ref="E94:N94"/>
    <mergeCell ref="O94:Q96"/>
    <mergeCell ref="O116:Q116"/>
    <mergeCell ref="O110:Q110"/>
    <mergeCell ref="O111:Q111"/>
    <mergeCell ref="O112:Q112"/>
    <mergeCell ref="O113:Q113"/>
    <mergeCell ref="O114:Q114"/>
    <mergeCell ref="O115:Q115"/>
    <mergeCell ref="O104:Q104"/>
    <mergeCell ref="O105:Q105"/>
    <mergeCell ref="O106:Q106"/>
    <mergeCell ref="O107:Q107"/>
    <mergeCell ref="O108:Q108"/>
    <mergeCell ref="O109:Q109"/>
  </mergeCells>
  <conditionalFormatting sqref="F109:F116 G102:G116 H104:H116">
    <cfRule type="expression" dxfId="1394" priority="24">
      <formula>IF(OR(#REF!="L",#REF!="C"),TRUE,FALSE)</formula>
    </cfRule>
  </conditionalFormatting>
  <conditionalFormatting sqref="E110:E116">
    <cfRule type="expression" dxfId="1393" priority="23">
      <formula>IF(OR(#REF!="L",#REF!="C"),TRUE,FALSE)</formula>
    </cfRule>
  </conditionalFormatting>
  <conditionalFormatting sqref="E107">
    <cfRule type="expression" dxfId="1392" priority="22">
      <formula>IF(OR(#REF!="L",#REF!="C"),TRUE,FALSE)</formula>
    </cfRule>
  </conditionalFormatting>
  <conditionalFormatting sqref="E106">
    <cfRule type="expression" dxfId="1391" priority="19">
      <formula>IF(OR(#REF!="L",#REF!="C"),TRUE,FALSE)</formula>
    </cfRule>
  </conditionalFormatting>
  <conditionalFormatting sqref="E108">
    <cfRule type="expression" dxfId="1390" priority="21">
      <formula>IF(OR(#REF!="L",#REF!="C"),TRUE,FALSE)</formula>
    </cfRule>
  </conditionalFormatting>
  <conditionalFormatting sqref="E109">
    <cfRule type="expression" dxfId="1389" priority="20">
      <formula>IF(OR(#REF!="L",#REF!="C"),TRUE,FALSE)</formula>
    </cfRule>
  </conditionalFormatting>
  <conditionalFormatting sqref="E95 G95 I95 K95 M95">
    <cfRule type="duplicateValues" dxfId="1388" priority="18"/>
  </conditionalFormatting>
  <conditionalFormatting sqref="M104:M116">
    <cfRule type="expression" dxfId="1387" priority="8">
      <formula>IF(OR(#REF!="L",#REF!="C"),TRUE,FALSE)</formula>
    </cfRule>
  </conditionalFormatting>
  <conditionalFormatting sqref="F102:F106">
    <cfRule type="expression" dxfId="1386" priority="17">
      <formula>IF(OR(#REF!="L",#REF!="C"),TRUE,FALSE)</formula>
    </cfRule>
  </conditionalFormatting>
  <conditionalFormatting sqref="I102:I103">
    <cfRule type="expression" dxfId="1385" priority="15">
      <formula>IF(OR(#REF!="L",#REF!="C"),TRUE,FALSE)</formula>
    </cfRule>
  </conditionalFormatting>
  <conditionalFormatting sqref="N102:N103">
    <cfRule type="expression" dxfId="1384" priority="5">
      <formula>IF(OR(#REF!="L",#REF!="C"),TRUE,FALSE)</formula>
    </cfRule>
  </conditionalFormatting>
  <conditionalFormatting sqref="I104:I116">
    <cfRule type="expression" dxfId="1383" priority="16">
      <formula>IF(OR(#REF!="L",#REF!="C"),TRUE,FALSE)</formula>
    </cfRule>
  </conditionalFormatting>
  <conditionalFormatting sqref="J102:J103">
    <cfRule type="expression" dxfId="1382" priority="13">
      <formula>IF(OR(#REF!="L",#REF!="C"),TRUE,FALSE)</formula>
    </cfRule>
  </conditionalFormatting>
  <conditionalFormatting sqref="J104:J116">
    <cfRule type="expression" dxfId="1381" priority="14">
      <formula>IF(OR(#REF!="L",#REF!="C"),TRUE,FALSE)</formula>
    </cfRule>
  </conditionalFormatting>
  <conditionalFormatting sqref="K102:K103">
    <cfRule type="expression" dxfId="1380" priority="11">
      <formula>IF(OR(#REF!="L",#REF!="C"),TRUE,FALSE)</formula>
    </cfRule>
  </conditionalFormatting>
  <conditionalFormatting sqref="K104:K116">
    <cfRule type="expression" dxfId="1379" priority="12">
      <formula>IF(OR(#REF!="L",#REF!="C"),TRUE,FALSE)</formula>
    </cfRule>
  </conditionalFormatting>
  <conditionalFormatting sqref="L102:L103">
    <cfRule type="expression" dxfId="1378" priority="9">
      <formula>IF(OR(#REF!="L",#REF!="C"),TRUE,FALSE)</formula>
    </cfRule>
  </conditionalFormatting>
  <conditionalFormatting sqref="L104:L116">
    <cfRule type="expression" dxfId="1377" priority="10">
      <formula>IF(OR(#REF!="L",#REF!="C"),TRUE,FALSE)</formula>
    </cfRule>
  </conditionalFormatting>
  <conditionalFormatting sqref="M102:M103">
    <cfRule type="expression" dxfId="1376" priority="7">
      <formula>IF(OR(#REF!="L",#REF!="C"),TRUE,FALSE)</formula>
    </cfRule>
  </conditionalFormatting>
  <conditionalFormatting sqref="N104:N116">
    <cfRule type="expression" dxfId="1375" priority="6">
      <formula>IF(OR(#REF!="L",#REF!="C"),TRUE,FALSE)</formula>
    </cfRule>
  </conditionalFormatting>
  <conditionalFormatting sqref="O102:O103">
    <cfRule type="expression" dxfId="1374" priority="3">
      <formula>IF(OR(#REF!="L",#REF!="C"),TRUE,FALSE)</formula>
    </cfRule>
  </conditionalFormatting>
  <conditionalFormatting sqref="O104:O116">
    <cfRule type="expression" dxfId="1373" priority="4">
      <formula>IF(OR(#REF!="L",#REF!="C"),TRUE,FALSE)</formula>
    </cfRule>
  </conditionalFormatting>
  <conditionalFormatting sqref="E96:N96">
    <cfRule type="duplicateValues" dxfId="1372" priority="2"/>
  </conditionalFormatting>
  <conditionalFormatting sqref="H62:H76">
    <cfRule type="expression" dxfId="1371" priority="1">
      <formula>IF(OR(#REF!="L",#REF!="C"),TRUE,FALSE)</formula>
    </cfRule>
  </conditionalFormatting>
  <dataValidations count="5">
    <dataValidation type="list" allowBlank="1" showInputMessage="1" showErrorMessage="1" sqref="C9" xr:uid="{69896C6E-74A1-4933-8E0C-D5450436644C}">
      <formula1>INDIRECT("MeasureTypeList[Index]")</formula1>
    </dataValidation>
    <dataValidation type="list" allowBlank="1" showInputMessage="1" showErrorMessage="1" sqref="C26" xr:uid="{37B15BB6-B57D-475D-AE93-FDD9DCC05D3B}">
      <formula1>INDIRECT("RegionList[Index]")</formula1>
    </dataValidation>
    <dataValidation type="list" allowBlank="1" showInputMessage="1" showErrorMessage="1" sqref="C27" xr:uid="{ADBA534B-2417-47F0-9CB5-F834C781A0EC}">
      <formula1>INDIRECT("ReplacementTypeList[Index]")</formula1>
    </dataValidation>
    <dataValidation type="list" allowBlank="1" showInputMessage="1" showErrorMessage="1" sqref="C28" xr:uid="{2200F1AB-87FD-49BF-AB3C-DAFA0262F9EA}">
      <formula1>INDIRECT("BuildingType[Building]")</formula1>
    </dataValidation>
    <dataValidation type="list" allowBlank="1" showInputMessage="1" showErrorMessage="1" sqref="C29 C30" xr:uid="{4DC2A921-6A20-4A6A-B2CA-D25BDF1D0B04}">
      <formula1>INDIRECT("FuelTypeList[Index]")</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02F7A32-61A2-4CEC-B010-7060DBA49F68}">
          <x14:formula1>
            <xm:f>'Climate Data'!$B$286:$B$291</xm:f>
          </x14:formula1>
          <xm:sqref>H65</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00AF2-20DE-4BD5-90B8-786E67F8A88E}">
  <sheetPr codeName="Sheet55"/>
  <dimension ref="A2:R116"/>
  <sheetViews>
    <sheetView workbookViewId="0"/>
  </sheetViews>
  <sheetFormatPr defaultColWidth="9.08984375" defaultRowHeight="18.75" customHeight="1" x14ac:dyDescent="0.3"/>
  <cols>
    <col min="1" max="1" width="2.36328125" style="488" customWidth="1"/>
    <col min="2" max="2" width="40.26953125" style="488" customWidth="1"/>
    <col min="3" max="3" width="26.7265625" style="488" customWidth="1"/>
    <col min="4" max="4" width="21.6328125" style="488" customWidth="1"/>
    <col min="5" max="5" width="18" style="488" customWidth="1"/>
    <col min="6" max="6" width="15.6328125" style="488" customWidth="1"/>
    <col min="7" max="7" width="19.6328125" style="488" customWidth="1"/>
    <col min="8" max="8" width="16"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DER-002</v>
      </c>
      <c r="D3" s="1367"/>
      <c r="E3" s="1367"/>
      <c r="F3" s="1367"/>
    </row>
    <row r="4" spans="1:18" ht="18.75" customHeight="1" x14ac:dyDescent="0.3">
      <c r="B4" s="490" t="s">
        <v>11</v>
      </c>
      <c r="C4" s="1367" t="s">
        <v>334</v>
      </c>
      <c r="D4" s="1367"/>
      <c r="E4" s="1367"/>
      <c r="F4" s="1367"/>
    </row>
    <row r="5" spans="1:18" ht="19.5" customHeight="1" x14ac:dyDescent="0.3">
      <c r="B5" s="490" t="s">
        <v>408</v>
      </c>
      <c r="C5" s="1530" t="s">
        <v>338</v>
      </c>
      <c r="D5" s="1531"/>
      <c r="E5" s="1531"/>
      <c r="F5" s="1532"/>
      <c r="R5" s="488"/>
    </row>
    <row r="6" spans="1:18" ht="18.75" customHeight="1" x14ac:dyDescent="0.3">
      <c r="A6" s="573"/>
    </row>
    <row r="7" spans="1:18" ht="18.75" customHeight="1" x14ac:dyDescent="0.3">
      <c r="B7" s="1193" t="s">
        <v>409</v>
      </c>
      <c r="C7" s="1192" t="s">
        <v>406</v>
      </c>
      <c r="D7" s="1363" t="s">
        <v>410</v>
      </c>
      <c r="E7" s="1363"/>
      <c r="F7" s="1363"/>
      <c r="R7" s="488"/>
    </row>
    <row r="8" spans="1:18" ht="18.75" customHeight="1" x14ac:dyDescent="0.3">
      <c r="B8" s="490" t="s">
        <v>411</v>
      </c>
      <c r="C8" s="1218" t="s">
        <v>186</v>
      </c>
      <c r="D8" s="1957"/>
      <c r="E8" s="1957"/>
      <c r="F8" s="1957"/>
      <c r="R8" s="488"/>
    </row>
    <row r="9" spans="1:18" ht="18.75" customHeight="1" x14ac:dyDescent="0.3">
      <c r="B9" s="490" t="s">
        <v>49</v>
      </c>
      <c r="C9" s="1218" t="s">
        <v>2020</v>
      </c>
      <c r="D9" s="1957"/>
      <c r="E9" s="1957"/>
      <c r="F9" s="1957"/>
      <c r="R9" s="488"/>
    </row>
    <row r="10" spans="1:18" ht="18.75" customHeight="1" x14ac:dyDescent="0.3">
      <c r="B10" s="490" t="s">
        <v>412</v>
      </c>
      <c r="C10" s="1218"/>
      <c r="D10" s="1957"/>
      <c r="E10" s="1957"/>
      <c r="F10" s="1957"/>
      <c r="R10" s="488"/>
    </row>
    <row r="11" spans="1:18" ht="18.75" customHeight="1" x14ac:dyDescent="0.3">
      <c r="B11" s="490" t="s">
        <v>413</v>
      </c>
      <c r="C11" s="1218"/>
      <c r="D11" s="1957"/>
      <c r="E11" s="1957"/>
      <c r="F11" s="1957"/>
      <c r="R11" s="488"/>
    </row>
    <row r="12" spans="1:18" ht="18.75" customHeight="1" x14ac:dyDescent="0.3">
      <c r="B12" s="490" t="s">
        <v>414</v>
      </c>
      <c r="C12" s="665"/>
      <c r="D12" s="1957"/>
      <c r="E12" s="1957"/>
      <c r="F12" s="1957"/>
      <c r="R12" s="488"/>
    </row>
    <row r="13" spans="1:18" ht="18.75" customHeight="1" x14ac:dyDescent="0.3">
      <c r="B13" s="494" t="s">
        <v>415</v>
      </c>
      <c r="C13" s="658">
        <f>N43</f>
        <v>0</v>
      </c>
      <c r="D13" s="1957"/>
      <c r="E13" s="1957"/>
      <c r="F13" s="1957"/>
      <c r="R13" s="488"/>
    </row>
    <row r="14" spans="1:18" ht="18.75" customHeight="1" x14ac:dyDescent="0.3">
      <c r="B14" s="494" t="s">
        <v>416</v>
      </c>
      <c r="C14" s="658">
        <f>N42</f>
        <v>0</v>
      </c>
      <c r="D14" s="1957"/>
      <c r="E14" s="1957"/>
      <c r="F14" s="1957"/>
      <c r="R14" s="488"/>
    </row>
    <row r="15" spans="1:18" ht="18.75" customHeight="1" x14ac:dyDescent="0.3">
      <c r="B15" s="494" t="s">
        <v>417</v>
      </c>
      <c r="C15" s="658">
        <f>N44</f>
        <v>0</v>
      </c>
      <c r="D15" s="1957"/>
      <c r="E15" s="1957"/>
      <c r="F15" s="1957"/>
      <c r="R15" s="488"/>
    </row>
    <row r="16" spans="1:18" ht="18.75" customHeight="1" x14ac:dyDescent="0.3">
      <c r="B16" s="494" t="s">
        <v>418</v>
      </c>
      <c r="C16" s="659">
        <f>C37</f>
        <v>0</v>
      </c>
      <c r="D16" s="1957"/>
      <c r="E16" s="1957"/>
      <c r="F16" s="1957"/>
      <c r="R16" s="488"/>
    </row>
    <row r="17" spans="2:18" ht="18.75" customHeight="1" x14ac:dyDescent="0.3">
      <c r="B17" s="490" t="s">
        <v>48</v>
      </c>
      <c r="C17" s="1218" t="s">
        <v>673</v>
      </c>
      <c r="D17" s="1363" t="s">
        <v>419</v>
      </c>
      <c r="E17" s="1363"/>
      <c r="F17" s="1363"/>
      <c r="R17" s="488"/>
    </row>
    <row r="18" spans="2:18" ht="18.75" customHeight="1" x14ac:dyDescent="0.3">
      <c r="B18" s="490" t="s">
        <v>420</v>
      </c>
      <c r="C18" s="666">
        <v>12</v>
      </c>
      <c r="D18" s="2026" t="s">
        <v>674</v>
      </c>
      <c r="E18" s="2026"/>
      <c r="F18" s="2026"/>
      <c r="R18" s="488"/>
    </row>
    <row r="19" spans="2:18" ht="18.75" customHeight="1" x14ac:dyDescent="0.3">
      <c r="B19" s="497"/>
      <c r="C19" s="576"/>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36.75" customHeight="1" x14ac:dyDescent="0.3">
      <c r="B21" s="499" t="s">
        <v>422</v>
      </c>
      <c r="C21" s="1546" t="s">
        <v>339</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36" t="s">
        <v>340</v>
      </c>
      <c r="D22" s="1536"/>
      <c r="E22" s="1536"/>
      <c r="F22" s="1536"/>
      <c r="G22" s="1536"/>
      <c r="H22" s="1536"/>
      <c r="I22" s="1536"/>
      <c r="J22" s="1536"/>
      <c r="K22" s="1536"/>
      <c r="L22" s="1536"/>
      <c r="M22" s="1536"/>
      <c r="N22" s="1536"/>
      <c r="O22" s="1536"/>
      <c r="P22" s="1536"/>
      <c r="Q22" s="1536"/>
      <c r="R22" s="488"/>
    </row>
    <row r="23" spans="2:18" ht="18.75" customHeight="1" x14ac:dyDescent="0.3">
      <c r="B23" s="500" t="s">
        <v>424</v>
      </c>
      <c r="C23" s="2033"/>
      <c r="D23" s="2033"/>
      <c r="E23" s="2033"/>
      <c r="F23" s="2033"/>
      <c r="G23" s="2033"/>
      <c r="H23" s="2033"/>
      <c r="I23" s="2033"/>
      <c r="J23" s="2033"/>
      <c r="K23" s="2033"/>
      <c r="L23" s="2033"/>
      <c r="M23" s="2033"/>
      <c r="N23" s="2033"/>
      <c r="O23" s="2033"/>
      <c r="P23" s="2033"/>
      <c r="Q23" s="2033"/>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512"/>
      <c r="F33" s="1512"/>
      <c r="G33" s="1512"/>
      <c r="H33" s="1512"/>
      <c r="I33" s="1512"/>
      <c r="J33" s="1512"/>
      <c r="K33" s="1512"/>
      <c r="L33" s="1512"/>
      <c r="M33" s="1512"/>
      <c r="N33" s="1512"/>
      <c r="O33" s="1512"/>
      <c r="P33" s="1512"/>
      <c r="Q33" s="1512"/>
      <c r="R33" s="488"/>
    </row>
    <row r="34" spans="2:18" ht="18.75" customHeight="1" x14ac:dyDescent="0.3">
      <c r="B34" s="494" t="s">
        <v>431</v>
      </c>
      <c r="C34" s="542"/>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905"/>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905">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0</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1004</v>
      </c>
      <c r="D49" s="1505"/>
      <c r="E49" s="1505"/>
      <c r="F49" s="1505"/>
      <c r="G49" s="1505"/>
      <c r="H49" s="1505"/>
      <c r="I49" s="1505"/>
      <c r="J49" s="1505"/>
      <c r="K49" s="1505"/>
      <c r="L49" s="1505"/>
      <c r="M49" s="1506"/>
      <c r="N49" s="592"/>
      <c r="O49" s="1243" t="s">
        <v>443</v>
      </c>
      <c r="P49" s="1511"/>
      <c r="Q49" s="1511"/>
      <c r="R49" s="488"/>
    </row>
    <row r="50" spans="2:18" ht="18.75" customHeight="1" x14ac:dyDescent="0.3">
      <c r="B50" s="582" t="s">
        <v>456</v>
      </c>
      <c r="C50" s="1504" t="s">
        <v>1005</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467</v>
      </c>
      <c r="D56" s="1505"/>
      <c r="E56" s="1505"/>
      <c r="F56" s="1505"/>
      <c r="G56" s="1505"/>
      <c r="H56" s="1505"/>
      <c r="I56" s="1505"/>
      <c r="J56" s="1505"/>
      <c r="K56" s="1505"/>
      <c r="L56" s="1505"/>
      <c r="M56" s="1506"/>
      <c r="N56" s="594"/>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765</v>
      </c>
      <c r="H61" s="506" t="s">
        <v>406</v>
      </c>
      <c r="I61" s="506" t="s">
        <v>428</v>
      </c>
      <c r="J61" s="1396" t="s">
        <v>476</v>
      </c>
      <c r="K61" s="1397"/>
      <c r="L61" s="1397"/>
      <c r="M61" s="1397"/>
      <c r="N61" s="1397"/>
      <c r="O61" s="1397"/>
      <c r="P61" s="1397"/>
      <c r="Q61" s="1398"/>
    </row>
    <row r="62" spans="2:18" ht="15" customHeight="1" x14ac:dyDescent="0.3">
      <c r="B62" s="719">
        <v>1</v>
      </c>
      <c r="C62" s="1069"/>
      <c r="D62" s="2027"/>
      <c r="E62" s="2027"/>
      <c r="F62" s="1070"/>
      <c r="G62" s="1070"/>
      <c r="H62" s="1071"/>
      <c r="I62" s="1070"/>
      <c r="J62" s="2028"/>
      <c r="K62" s="2029"/>
      <c r="L62" s="2029"/>
      <c r="M62" s="2029"/>
      <c r="N62" s="2029"/>
      <c r="O62" s="2029"/>
      <c r="P62" s="2029"/>
      <c r="Q62" s="2030"/>
      <c r="R62" s="488"/>
    </row>
    <row r="63" spans="2:18" ht="15" customHeight="1" x14ac:dyDescent="0.3">
      <c r="B63" s="719">
        <v>2</v>
      </c>
      <c r="C63" s="1069"/>
      <c r="D63" s="2027"/>
      <c r="E63" s="2027"/>
      <c r="F63" s="1070"/>
      <c r="G63" s="1070"/>
      <c r="H63" s="1071"/>
      <c r="I63" s="1070"/>
      <c r="J63" s="2028"/>
      <c r="K63" s="2029"/>
      <c r="L63" s="2029"/>
      <c r="M63" s="2029"/>
      <c r="N63" s="2029"/>
      <c r="O63" s="2029"/>
      <c r="P63" s="2029"/>
      <c r="Q63" s="2030"/>
      <c r="R63" s="488"/>
    </row>
    <row r="64" spans="2:18" ht="15" customHeight="1" x14ac:dyDescent="0.3">
      <c r="B64" s="719">
        <v>3</v>
      </c>
      <c r="C64" s="1069"/>
      <c r="D64" s="2027"/>
      <c r="E64" s="2027"/>
      <c r="F64" s="1070"/>
      <c r="G64" s="1070"/>
      <c r="H64" s="1071"/>
      <c r="I64" s="1070"/>
      <c r="J64" s="2028"/>
      <c r="K64" s="2029"/>
      <c r="L64" s="2029"/>
      <c r="M64" s="2029"/>
      <c r="N64" s="2029"/>
      <c r="O64" s="2029"/>
      <c r="P64" s="2029"/>
      <c r="Q64" s="2030"/>
      <c r="R64" s="488"/>
    </row>
    <row r="65" spans="2:18" ht="15" customHeight="1" x14ac:dyDescent="0.3">
      <c r="B65" s="719">
        <v>4</v>
      </c>
      <c r="C65" s="1069"/>
      <c r="D65" s="2027"/>
      <c r="E65" s="2027"/>
      <c r="F65" s="1070"/>
      <c r="G65" s="1070"/>
      <c r="H65" s="1071"/>
      <c r="I65" s="1070"/>
      <c r="J65" s="2028"/>
      <c r="K65" s="2029"/>
      <c r="L65" s="2029"/>
      <c r="M65" s="2029"/>
      <c r="N65" s="2029"/>
      <c r="O65" s="2029"/>
      <c r="P65" s="2029"/>
      <c r="Q65" s="2030"/>
      <c r="R65" s="488"/>
    </row>
    <row r="66" spans="2:18" ht="15" customHeight="1" x14ac:dyDescent="0.3">
      <c r="B66" s="719">
        <v>5</v>
      </c>
      <c r="C66" s="1069"/>
      <c r="D66" s="2027"/>
      <c r="E66" s="2027"/>
      <c r="F66" s="1070"/>
      <c r="G66" s="1070"/>
      <c r="H66" s="1071"/>
      <c r="I66" s="1070"/>
      <c r="J66" s="2028"/>
      <c r="K66" s="2029"/>
      <c r="L66" s="2029"/>
      <c r="M66" s="2029"/>
      <c r="N66" s="2029"/>
      <c r="O66" s="2029"/>
      <c r="P66" s="2029"/>
      <c r="Q66" s="2030"/>
      <c r="R66" s="488"/>
    </row>
    <row r="67" spans="2:18" ht="15" customHeight="1" x14ac:dyDescent="0.3">
      <c r="B67" s="719">
        <v>6</v>
      </c>
      <c r="C67" s="1069"/>
      <c r="D67" s="2027"/>
      <c r="E67" s="2027"/>
      <c r="F67" s="1070"/>
      <c r="G67" s="1070"/>
      <c r="H67" s="1071"/>
      <c r="I67" s="1070"/>
      <c r="J67" s="2028"/>
      <c r="K67" s="2029"/>
      <c r="L67" s="2029"/>
      <c r="M67" s="2029"/>
      <c r="N67" s="2029"/>
      <c r="O67" s="2029"/>
      <c r="P67" s="2029"/>
      <c r="Q67" s="2030"/>
      <c r="R67" s="488"/>
    </row>
    <row r="68" spans="2:18" ht="15" customHeight="1" x14ac:dyDescent="0.3">
      <c r="B68" s="719">
        <v>7</v>
      </c>
      <c r="C68" s="1069"/>
      <c r="D68" s="2027"/>
      <c r="E68" s="2027"/>
      <c r="F68" s="1070"/>
      <c r="G68" s="1070"/>
      <c r="H68" s="1071"/>
      <c r="I68" s="1070"/>
      <c r="J68" s="2028"/>
      <c r="K68" s="2029"/>
      <c r="L68" s="2029"/>
      <c r="M68" s="2029"/>
      <c r="N68" s="2029"/>
      <c r="O68" s="2029"/>
      <c r="P68" s="2029"/>
      <c r="Q68" s="2030"/>
      <c r="R68" s="488"/>
    </row>
    <row r="69" spans="2:18" ht="15" customHeight="1" x14ac:dyDescent="0.3">
      <c r="B69" s="719">
        <v>8</v>
      </c>
      <c r="C69" s="1069"/>
      <c r="D69" s="2027"/>
      <c r="E69" s="2027"/>
      <c r="F69" s="1070"/>
      <c r="G69" s="1070"/>
      <c r="H69" s="1071"/>
      <c r="I69" s="1070"/>
      <c r="J69" s="2028"/>
      <c r="K69" s="2029"/>
      <c r="L69" s="2029"/>
      <c r="M69" s="2029"/>
      <c r="N69" s="2029"/>
      <c r="O69" s="2029"/>
      <c r="P69" s="2029"/>
      <c r="Q69" s="2030"/>
      <c r="R69" s="488"/>
    </row>
    <row r="70" spans="2:18" ht="15" customHeight="1" x14ac:dyDescent="0.3">
      <c r="B70" s="719">
        <v>9</v>
      </c>
      <c r="C70" s="1069"/>
      <c r="D70" s="2027"/>
      <c r="E70" s="2027"/>
      <c r="F70" s="1070"/>
      <c r="G70" s="1070"/>
      <c r="H70" s="1071"/>
      <c r="I70" s="1070"/>
      <c r="J70" s="2028"/>
      <c r="K70" s="2029"/>
      <c r="L70" s="2029"/>
      <c r="M70" s="2029"/>
      <c r="N70" s="2029"/>
      <c r="O70" s="2029"/>
      <c r="P70" s="2029"/>
      <c r="Q70" s="2030"/>
      <c r="R70" s="488"/>
    </row>
    <row r="71" spans="2:18" ht="15" customHeight="1" x14ac:dyDescent="0.3">
      <c r="B71" s="719">
        <v>10</v>
      </c>
      <c r="C71" s="1069"/>
      <c r="D71" s="2027"/>
      <c r="E71" s="2027"/>
      <c r="F71" s="1070"/>
      <c r="G71" s="1070"/>
      <c r="H71" s="1071"/>
      <c r="I71" s="1070"/>
      <c r="J71" s="2028"/>
      <c r="K71" s="2029"/>
      <c r="L71" s="2029"/>
      <c r="M71" s="2029"/>
      <c r="N71" s="2029"/>
      <c r="O71" s="2029"/>
      <c r="P71" s="2029"/>
      <c r="Q71" s="2030"/>
      <c r="R71" s="488"/>
    </row>
    <row r="72" spans="2:18" ht="15" customHeight="1" x14ac:dyDescent="0.3">
      <c r="B72" s="719">
        <v>11</v>
      </c>
      <c r="C72" s="1069"/>
      <c r="D72" s="2027"/>
      <c r="E72" s="2027"/>
      <c r="F72" s="1070"/>
      <c r="G72" s="1070"/>
      <c r="H72" s="1071"/>
      <c r="I72" s="1070"/>
      <c r="J72" s="2028"/>
      <c r="K72" s="2029"/>
      <c r="L72" s="2029"/>
      <c r="M72" s="2029"/>
      <c r="N72" s="2029"/>
      <c r="O72" s="2029"/>
      <c r="P72" s="2029"/>
      <c r="Q72" s="2030"/>
      <c r="R72" s="488"/>
    </row>
    <row r="73" spans="2:18" ht="15" customHeight="1" x14ac:dyDescent="0.3">
      <c r="B73" s="719">
        <v>12</v>
      </c>
      <c r="C73" s="1069"/>
      <c r="D73" s="2027"/>
      <c r="E73" s="2027"/>
      <c r="F73" s="1070"/>
      <c r="G73" s="1070"/>
      <c r="H73" s="1071"/>
      <c r="I73" s="1070"/>
      <c r="J73" s="2028"/>
      <c r="K73" s="2029"/>
      <c r="L73" s="2029"/>
      <c r="M73" s="2029"/>
      <c r="N73" s="2029"/>
      <c r="O73" s="2029"/>
      <c r="P73" s="2029"/>
      <c r="Q73" s="2030"/>
      <c r="R73" s="488"/>
    </row>
    <row r="74" spans="2:18" ht="15" customHeight="1" x14ac:dyDescent="0.3">
      <c r="B74" s="719">
        <v>13</v>
      </c>
      <c r="C74" s="1069"/>
      <c r="D74" s="2027"/>
      <c r="E74" s="2027"/>
      <c r="F74" s="1070"/>
      <c r="G74" s="1070"/>
      <c r="H74" s="1071"/>
      <c r="I74" s="1070"/>
      <c r="J74" s="2028"/>
      <c r="K74" s="2029"/>
      <c r="L74" s="2029"/>
      <c r="M74" s="2029"/>
      <c r="N74" s="2029"/>
      <c r="O74" s="2029"/>
      <c r="P74" s="2029"/>
      <c r="Q74" s="2030"/>
      <c r="R74" s="488"/>
    </row>
    <row r="75" spans="2:18" ht="15" customHeight="1" x14ac:dyDescent="0.3">
      <c r="B75" s="719">
        <v>14</v>
      </c>
      <c r="C75" s="1069"/>
      <c r="D75" s="2027"/>
      <c r="E75" s="2027"/>
      <c r="F75" s="1070"/>
      <c r="G75" s="1070"/>
      <c r="H75" s="1071"/>
      <c r="I75" s="1070"/>
      <c r="J75" s="2028"/>
      <c r="K75" s="2029"/>
      <c r="L75" s="2029"/>
      <c r="M75" s="2029"/>
      <c r="N75" s="2029"/>
      <c r="O75" s="2029"/>
      <c r="P75" s="2029"/>
      <c r="Q75" s="2030"/>
      <c r="R75" s="488"/>
    </row>
    <row r="76" spans="2:18" ht="15" customHeight="1" x14ac:dyDescent="0.3">
      <c r="B76" s="719">
        <v>15</v>
      </c>
      <c r="C76" s="1069"/>
      <c r="D76" s="2027"/>
      <c r="E76" s="2027"/>
      <c r="F76" s="1070"/>
      <c r="G76" s="1070"/>
      <c r="H76" s="1071"/>
      <c r="I76" s="1070"/>
      <c r="J76" s="2028"/>
      <c r="K76" s="2029"/>
      <c r="L76" s="2029"/>
      <c r="M76" s="2029"/>
      <c r="N76" s="2029"/>
      <c r="O76" s="2029"/>
      <c r="P76" s="2029"/>
      <c r="Q76" s="2030"/>
      <c r="R76" s="488"/>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c r="D81" s="561"/>
      <c r="E81" s="1233"/>
      <c r="F81" s="1486"/>
      <c r="G81" s="1487"/>
      <c r="H81" s="1487"/>
      <c r="I81" s="1487"/>
      <c r="J81" s="1487"/>
      <c r="K81" s="1487"/>
      <c r="L81" s="1487"/>
      <c r="M81" s="1487"/>
      <c r="N81" s="1487"/>
      <c r="O81" s="1487"/>
      <c r="P81" s="1487"/>
      <c r="Q81" s="1488"/>
      <c r="R81" s="488"/>
    </row>
    <row r="82" spans="2:18" ht="13" x14ac:dyDescent="0.3">
      <c r="B82" s="533">
        <v>2</v>
      </c>
      <c r="C82" s="560"/>
      <c r="D82" s="562"/>
      <c r="E82" s="1233"/>
      <c r="F82" s="1489"/>
      <c r="G82" s="1490"/>
      <c r="H82" s="1490"/>
      <c r="I82" s="1490"/>
      <c r="J82" s="1490"/>
      <c r="K82" s="1490"/>
      <c r="L82" s="1490"/>
      <c r="M82" s="1490"/>
      <c r="N82" s="1490"/>
      <c r="O82" s="1490"/>
      <c r="P82" s="1490"/>
      <c r="Q82" s="1491"/>
      <c r="R82" s="488"/>
    </row>
    <row r="83" spans="2:18" ht="13" x14ac:dyDescent="0.3">
      <c r="B83" s="533">
        <v>3</v>
      </c>
      <c r="C83" s="560"/>
      <c r="D83" s="562"/>
      <c r="E83" s="1233"/>
      <c r="F83" s="1489"/>
      <c r="G83" s="1490"/>
      <c r="H83" s="1490"/>
      <c r="I83" s="1490"/>
      <c r="J83" s="1490"/>
      <c r="K83" s="1490"/>
      <c r="L83" s="1490"/>
      <c r="M83" s="1490"/>
      <c r="N83" s="1490"/>
      <c r="O83" s="1490"/>
      <c r="P83" s="1490"/>
      <c r="Q83" s="1491"/>
      <c r="R83" s="488"/>
    </row>
    <row r="84" spans="2:18" ht="13" x14ac:dyDescent="0.3">
      <c r="B84" s="533">
        <v>4</v>
      </c>
      <c r="C84" s="560"/>
      <c r="D84" s="562"/>
      <c r="E84" s="1233"/>
      <c r="F84" s="1489"/>
      <c r="G84" s="1490"/>
      <c r="H84" s="1490"/>
      <c r="I84" s="1490"/>
      <c r="J84" s="1490"/>
      <c r="K84" s="1490"/>
      <c r="L84" s="1490"/>
      <c r="M84" s="1490"/>
      <c r="N84" s="1490"/>
      <c r="O84" s="1490"/>
      <c r="P84" s="1490"/>
      <c r="Q84" s="1491"/>
      <c r="R84" s="488"/>
    </row>
    <row r="85" spans="2:18" ht="13" x14ac:dyDescent="0.3">
      <c r="B85" s="533">
        <v>5</v>
      </c>
      <c r="C85" s="560"/>
      <c r="D85" s="562"/>
      <c r="E85" s="1233"/>
      <c r="F85" s="1489"/>
      <c r="G85" s="1490"/>
      <c r="H85" s="1490"/>
      <c r="I85" s="1490"/>
      <c r="J85" s="1490"/>
      <c r="K85" s="1490"/>
      <c r="L85" s="1490"/>
      <c r="M85" s="1490"/>
      <c r="N85" s="1490"/>
      <c r="O85" s="1490"/>
      <c r="P85" s="1490"/>
      <c r="Q85" s="1491"/>
      <c r="R85" s="488"/>
    </row>
    <row r="86" spans="2:18" ht="13" x14ac:dyDescent="0.3">
      <c r="B86" s="533">
        <v>6</v>
      </c>
      <c r="C86" s="560"/>
      <c r="D86" s="562"/>
      <c r="E86" s="1233"/>
      <c r="F86" s="1486"/>
      <c r="G86" s="1487"/>
      <c r="H86" s="1487"/>
      <c r="I86" s="1487"/>
      <c r="J86" s="1487"/>
      <c r="K86" s="1487"/>
      <c r="L86" s="1487"/>
      <c r="M86" s="1487"/>
      <c r="N86" s="1487"/>
      <c r="O86" s="1487"/>
      <c r="P86" s="1487"/>
      <c r="Q86" s="1488"/>
      <c r="R86" s="488"/>
    </row>
    <row r="87" spans="2:18" ht="13" x14ac:dyDescent="0.3">
      <c r="B87" s="533">
        <v>7</v>
      </c>
      <c r="C87" s="563"/>
      <c r="D87" s="562"/>
      <c r="E87" s="1078"/>
      <c r="F87" s="1486"/>
      <c r="G87" s="1487"/>
      <c r="H87" s="1487"/>
      <c r="I87" s="1487"/>
      <c r="J87" s="1487"/>
      <c r="K87" s="1487"/>
      <c r="L87" s="1487"/>
      <c r="M87" s="1487"/>
      <c r="N87" s="1487"/>
      <c r="O87" s="1487"/>
      <c r="P87" s="1487"/>
      <c r="Q87" s="1488"/>
      <c r="R87" s="488"/>
    </row>
    <row r="88" spans="2:18" ht="13" x14ac:dyDescent="0.3">
      <c r="B88" s="533">
        <v>8</v>
      </c>
      <c r="C88" s="563"/>
      <c r="D88" s="562"/>
      <c r="E88" s="1233"/>
      <c r="F88" s="1486"/>
      <c r="G88" s="1487"/>
      <c r="H88" s="1487"/>
      <c r="I88" s="1487"/>
      <c r="J88" s="1487"/>
      <c r="K88" s="1487"/>
      <c r="L88" s="1487"/>
      <c r="M88" s="1487"/>
      <c r="N88" s="1487"/>
      <c r="O88" s="1487"/>
      <c r="P88" s="1487"/>
      <c r="Q88" s="1488"/>
      <c r="R88" s="488"/>
    </row>
    <row r="89" spans="2:18" ht="13" x14ac:dyDescent="0.3">
      <c r="B89" s="533">
        <v>9</v>
      </c>
      <c r="C89" s="563"/>
      <c r="D89" s="562"/>
      <c r="E89" s="1233"/>
      <c r="F89" s="1486"/>
      <c r="G89" s="1487"/>
      <c r="H89" s="1487"/>
      <c r="I89" s="1487"/>
      <c r="J89" s="1487"/>
      <c r="K89" s="1487"/>
      <c r="L89" s="1487"/>
      <c r="M89" s="1487"/>
      <c r="N89" s="1487"/>
      <c r="O89" s="1487"/>
      <c r="P89" s="1487"/>
      <c r="Q89" s="1488"/>
      <c r="R89" s="488"/>
    </row>
    <row r="90" spans="2:18" ht="13" x14ac:dyDescent="0.3">
      <c r="B90" s="533">
        <v>10</v>
      </c>
      <c r="C90" s="563"/>
      <c r="D90" s="562"/>
      <c r="E90" s="734"/>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c r="R95" s="488"/>
    </row>
    <row r="96" spans="2:18" ht="25.5" customHeight="1" x14ac:dyDescent="0.3">
      <c r="B96" s="1188" t="s">
        <v>478</v>
      </c>
      <c r="C96" s="1402" t="s">
        <v>505</v>
      </c>
      <c r="D96" s="1431"/>
      <c r="E96" s="565"/>
      <c r="F96" s="565"/>
      <c r="G96" s="565"/>
      <c r="H96" s="565"/>
      <c r="I96" s="565"/>
      <c r="J96" s="565"/>
      <c r="K96" s="565"/>
      <c r="L96" s="565"/>
      <c r="M96" s="565"/>
      <c r="N96" s="566"/>
      <c r="O96" s="1410"/>
      <c r="P96" s="1411"/>
      <c r="Q96" s="1412"/>
      <c r="R96" s="488"/>
    </row>
    <row r="97" spans="2:18" ht="13" x14ac:dyDescent="0.3">
      <c r="B97" s="533">
        <v>1</v>
      </c>
      <c r="C97" s="546"/>
      <c r="D97" s="1184"/>
      <c r="E97" s="1068"/>
      <c r="F97" s="1190"/>
      <c r="G97" s="1190"/>
      <c r="H97" s="1190"/>
      <c r="I97" s="568"/>
      <c r="J97" s="568"/>
      <c r="K97" s="568"/>
      <c r="L97" s="568"/>
      <c r="M97" s="568"/>
      <c r="N97" s="568"/>
      <c r="O97" s="1501"/>
      <c r="P97" s="1502"/>
      <c r="Q97" s="1503"/>
      <c r="R97" s="488"/>
    </row>
    <row r="98" spans="2:18" ht="13" x14ac:dyDescent="0.3">
      <c r="B98" s="533">
        <v>2</v>
      </c>
      <c r="C98" s="546"/>
      <c r="D98" s="1184"/>
      <c r="E98" s="1068"/>
      <c r="F98" s="1190"/>
      <c r="G98" s="1190"/>
      <c r="H98" s="1190"/>
      <c r="I98" s="568"/>
      <c r="J98" s="568"/>
      <c r="K98" s="568"/>
      <c r="L98" s="568"/>
      <c r="M98" s="568"/>
      <c r="N98" s="568"/>
      <c r="O98" s="1501"/>
      <c r="P98" s="1502"/>
      <c r="Q98" s="1503"/>
      <c r="R98" s="488"/>
    </row>
    <row r="99" spans="2:18" ht="13" x14ac:dyDescent="0.3">
      <c r="B99" s="533">
        <v>3</v>
      </c>
      <c r="C99" s="546"/>
      <c r="D99" s="1184"/>
      <c r="E99" s="1068"/>
      <c r="F99" s="1190"/>
      <c r="G99" s="1190"/>
      <c r="H99" s="1190"/>
      <c r="I99" s="568"/>
      <c r="J99" s="568"/>
      <c r="K99" s="568"/>
      <c r="L99" s="568"/>
      <c r="M99" s="568"/>
      <c r="N99" s="568"/>
      <c r="O99" s="1501"/>
      <c r="P99" s="1502"/>
      <c r="Q99" s="1503"/>
      <c r="R99" s="488"/>
    </row>
    <row r="100" spans="2:18" ht="13" x14ac:dyDescent="0.3">
      <c r="B100" s="533">
        <v>4</v>
      </c>
      <c r="C100" s="546"/>
      <c r="D100" s="1184"/>
      <c r="E100" s="1068"/>
      <c r="F100" s="1190"/>
      <c r="G100" s="1190"/>
      <c r="H100" s="1190"/>
      <c r="I100" s="568"/>
      <c r="J100" s="568"/>
      <c r="K100" s="568"/>
      <c r="L100" s="568"/>
      <c r="M100" s="568"/>
      <c r="N100" s="568"/>
      <c r="O100" s="1501"/>
      <c r="P100" s="1502"/>
      <c r="Q100" s="1503"/>
      <c r="R100" s="488"/>
    </row>
    <row r="101" spans="2:18" ht="13" x14ac:dyDescent="0.3">
      <c r="B101" s="533">
        <v>5</v>
      </c>
      <c r="C101" s="546"/>
      <c r="D101" s="1184"/>
      <c r="E101" s="1068"/>
      <c r="F101" s="1190"/>
      <c r="G101" s="1190"/>
      <c r="H101" s="1190"/>
      <c r="I101" s="568"/>
      <c r="J101" s="568"/>
      <c r="K101" s="568"/>
      <c r="L101" s="568"/>
      <c r="M101" s="568"/>
      <c r="N101" s="568"/>
      <c r="O101" s="1501"/>
      <c r="P101" s="1502"/>
      <c r="Q101" s="1503"/>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sheetData>
  <sheetProtection algorithmName="SHA-512" hashValue="WyQ24hmFPRneY71SKz+y2Ax/P93UpIbdyU4gFNgZf+yFNx/XVfxzfStdTphatyj2TJybQug3awL6jHp1rxV95g==" saltValue="x4YEGgCcdHVcyb59Xlpf1Q==" spinCount="100000" sheet="1" objects="1" scenarios="1" selectLockedCells="1" selectUnlockedCells="1"/>
  <mergeCells count="121">
    <mergeCell ref="C2:F2"/>
    <mergeCell ref="C3:F3"/>
    <mergeCell ref="C4:F4"/>
    <mergeCell ref="C5:F5"/>
    <mergeCell ref="D7:F7"/>
    <mergeCell ref="D8:F16"/>
    <mergeCell ref="D25:Q25"/>
    <mergeCell ref="D26:Q26"/>
    <mergeCell ref="D27:Q27"/>
    <mergeCell ref="D28:Q28"/>
    <mergeCell ref="D29:Q29"/>
    <mergeCell ref="D30:Q30"/>
    <mergeCell ref="D17:F17"/>
    <mergeCell ref="D18:F18"/>
    <mergeCell ref="B20:Q20"/>
    <mergeCell ref="C21:Q21"/>
    <mergeCell ref="C22:Q22"/>
    <mergeCell ref="C23:Q23"/>
    <mergeCell ref="C41:M41"/>
    <mergeCell ref="P41:Q41"/>
    <mergeCell ref="C42:M42"/>
    <mergeCell ref="P42:Q42"/>
    <mergeCell ref="C43:M43"/>
    <mergeCell ref="P43:Q43"/>
    <mergeCell ref="E32:Q32"/>
    <mergeCell ref="E33:Q33"/>
    <mergeCell ref="E34:Q34"/>
    <mergeCell ref="E35:Q35"/>
    <mergeCell ref="E36:Q36"/>
    <mergeCell ref="E37:Q37"/>
    <mergeCell ref="C48:M48"/>
    <mergeCell ref="P48:Q48"/>
    <mergeCell ref="C49:M49"/>
    <mergeCell ref="P49:Q49"/>
    <mergeCell ref="C50:M50"/>
    <mergeCell ref="P50:Q50"/>
    <mergeCell ref="C44:M44"/>
    <mergeCell ref="P44:Q44"/>
    <mergeCell ref="C45:M45"/>
    <mergeCell ref="P45:Q45"/>
    <mergeCell ref="C47:M47"/>
    <mergeCell ref="P47:Q47"/>
    <mergeCell ref="C55:M55"/>
    <mergeCell ref="P55:Q55"/>
    <mergeCell ref="C56:M56"/>
    <mergeCell ref="P56:Q56"/>
    <mergeCell ref="C57:M57"/>
    <mergeCell ref="P57:Q57"/>
    <mergeCell ref="C51:M51"/>
    <mergeCell ref="P51:Q51"/>
    <mergeCell ref="C53:M53"/>
    <mergeCell ref="P53:Q53"/>
    <mergeCell ref="C54:M54"/>
    <mergeCell ref="P54:Q54"/>
    <mergeCell ref="D64:E64"/>
    <mergeCell ref="J64:Q64"/>
    <mergeCell ref="D65:E65"/>
    <mergeCell ref="J65:Q65"/>
    <mergeCell ref="D66:E66"/>
    <mergeCell ref="J66:Q66"/>
    <mergeCell ref="D61:E61"/>
    <mergeCell ref="J61:Q61"/>
    <mergeCell ref="D62:E62"/>
    <mergeCell ref="J62:Q62"/>
    <mergeCell ref="D63:E63"/>
    <mergeCell ref="J63:Q63"/>
    <mergeCell ref="D70:E70"/>
    <mergeCell ref="J70:Q70"/>
    <mergeCell ref="D71:E71"/>
    <mergeCell ref="J71:Q71"/>
    <mergeCell ref="D72:E72"/>
    <mergeCell ref="J72:Q72"/>
    <mergeCell ref="D67:E67"/>
    <mergeCell ref="J67:Q67"/>
    <mergeCell ref="D68:E68"/>
    <mergeCell ref="J68:Q68"/>
    <mergeCell ref="D69:E69"/>
    <mergeCell ref="J69:Q69"/>
    <mergeCell ref="D76:E76"/>
    <mergeCell ref="J76:Q76"/>
    <mergeCell ref="F80:Q80"/>
    <mergeCell ref="F81:Q81"/>
    <mergeCell ref="F82:Q82"/>
    <mergeCell ref="F83:Q83"/>
    <mergeCell ref="D73:E73"/>
    <mergeCell ref="J73:Q73"/>
    <mergeCell ref="D74:E74"/>
    <mergeCell ref="J74:Q74"/>
    <mergeCell ref="D75:E75"/>
    <mergeCell ref="J75:Q75"/>
    <mergeCell ref="B95:D95"/>
    <mergeCell ref="C96:D96"/>
    <mergeCell ref="O97:Q97"/>
    <mergeCell ref="F84:Q84"/>
    <mergeCell ref="F85:Q85"/>
    <mergeCell ref="F86:Q86"/>
    <mergeCell ref="F87:Q87"/>
    <mergeCell ref="F88:Q88"/>
    <mergeCell ref="F89:Q89"/>
    <mergeCell ref="O98:Q98"/>
    <mergeCell ref="O99:Q99"/>
    <mergeCell ref="O100:Q100"/>
    <mergeCell ref="O101:Q101"/>
    <mergeCell ref="O102:Q102"/>
    <mergeCell ref="O103:Q103"/>
    <mergeCell ref="F90:Q90"/>
    <mergeCell ref="E94:N94"/>
    <mergeCell ref="O94:Q96"/>
    <mergeCell ref="O116:Q116"/>
    <mergeCell ref="O110:Q110"/>
    <mergeCell ref="O111:Q111"/>
    <mergeCell ref="O112:Q112"/>
    <mergeCell ref="O113:Q113"/>
    <mergeCell ref="O114:Q114"/>
    <mergeCell ref="O115:Q115"/>
    <mergeCell ref="O104:Q104"/>
    <mergeCell ref="O105:Q105"/>
    <mergeCell ref="O106:Q106"/>
    <mergeCell ref="O107:Q107"/>
    <mergeCell ref="O108:Q108"/>
    <mergeCell ref="O109:Q109"/>
  </mergeCells>
  <conditionalFormatting sqref="F109:F116 G102:G116 H104:H116">
    <cfRule type="expression" dxfId="1370" priority="24">
      <formula>IF(OR(#REF!="L",#REF!="C"),TRUE,FALSE)</formula>
    </cfRule>
  </conditionalFormatting>
  <conditionalFormatting sqref="E110:E116">
    <cfRule type="expression" dxfId="1369" priority="23">
      <formula>IF(OR(#REF!="L",#REF!="C"),TRUE,FALSE)</formula>
    </cfRule>
  </conditionalFormatting>
  <conditionalFormatting sqref="E107">
    <cfRule type="expression" dxfId="1368" priority="22">
      <formula>IF(OR(#REF!="L",#REF!="C"),TRUE,FALSE)</formula>
    </cfRule>
  </conditionalFormatting>
  <conditionalFormatting sqref="E106">
    <cfRule type="expression" dxfId="1367" priority="19">
      <formula>IF(OR(#REF!="L",#REF!="C"),TRUE,FALSE)</formula>
    </cfRule>
  </conditionalFormatting>
  <conditionalFormatting sqref="E108">
    <cfRule type="expression" dxfId="1366" priority="21">
      <formula>IF(OR(#REF!="L",#REF!="C"),TRUE,FALSE)</formula>
    </cfRule>
  </conditionalFormatting>
  <conditionalFormatting sqref="E109">
    <cfRule type="expression" dxfId="1365" priority="20">
      <formula>IF(OR(#REF!="L",#REF!="C"),TRUE,FALSE)</formula>
    </cfRule>
  </conditionalFormatting>
  <conditionalFormatting sqref="E95 G95 I95 K95 M95">
    <cfRule type="duplicateValues" dxfId="1364" priority="18"/>
  </conditionalFormatting>
  <conditionalFormatting sqref="M104:M116">
    <cfRule type="expression" dxfId="1363" priority="8">
      <formula>IF(OR(#REF!="L",#REF!="C"),TRUE,FALSE)</formula>
    </cfRule>
  </conditionalFormatting>
  <conditionalFormatting sqref="F102:F106">
    <cfRule type="expression" dxfId="1362" priority="17">
      <formula>IF(OR(#REF!="L",#REF!="C"),TRUE,FALSE)</formula>
    </cfRule>
  </conditionalFormatting>
  <conditionalFormatting sqref="I102:I103">
    <cfRule type="expression" dxfId="1361" priority="15">
      <formula>IF(OR(#REF!="L",#REF!="C"),TRUE,FALSE)</formula>
    </cfRule>
  </conditionalFormatting>
  <conditionalFormatting sqref="N102:N103">
    <cfRule type="expression" dxfId="1360" priority="5">
      <formula>IF(OR(#REF!="L",#REF!="C"),TRUE,FALSE)</formula>
    </cfRule>
  </conditionalFormatting>
  <conditionalFormatting sqref="I104:I116">
    <cfRule type="expression" dxfId="1359" priority="16">
      <formula>IF(OR(#REF!="L",#REF!="C"),TRUE,FALSE)</formula>
    </cfRule>
  </conditionalFormatting>
  <conditionalFormatting sqref="J102:J103">
    <cfRule type="expression" dxfId="1358" priority="13">
      <formula>IF(OR(#REF!="L",#REF!="C"),TRUE,FALSE)</formula>
    </cfRule>
  </conditionalFormatting>
  <conditionalFormatting sqref="J104:J116">
    <cfRule type="expression" dxfId="1357" priority="14">
      <formula>IF(OR(#REF!="L",#REF!="C"),TRUE,FALSE)</formula>
    </cfRule>
  </conditionalFormatting>
  <conditionalFormatting sqref="K102:K103">
    <cfRule type="expression" dxfId="1356" priority="11">
      <formula>IF(OR(#REF!="L",#REF!="C"),TRUE,FALSE)</formula>
    </cfRule>
  </conditionalFormatting>
  <conditionalFormatting sqref="K104:K116">
    <cfRule type="expression" dxfId="1355" priority="12">
      <formula>IF(OR(#REF!="L",#REF!="C"),TRUE,FALSE)</formula>
    </cfRule>
  </conditionalFormatting>
  <conditionalFormatting sqref="L102:L103">
    <cfRule type="expression" dxfId="1354" priority="9">
      <formula>IF(OR(#REF!="L",#REF!="C"),TRUE,FALSE)</formula>
    </cfRule>
  </conditionalFormatting>
  <conditionalFormatting sqref="L104:L116">
    <cfRule type="expression" dxfId="1353" priority="10">
      <formula>IF(OR(#REF!="L",#REF!="C"),TRUE,FALSE)</formula>
    </cfRule>
  </conditionalFormatting>
  <conditionalFormatting sqref="M102:M103">
    <cfRule type="expression" dxfId="1352" priority="7">
      <formula>IF(OR(#REF!="L",#REF!="C"),TRUE,FALSE)</formula>
    </cfRule>
  </conditionalFormatting>
  <conditionalFormatting sqref="N104:N116">
    <cfRule type="expression" dxfId="1351" priority="6">
      <formula>IF(OR(#REF!="L",#REF!="C"),TRUE,FALSE)</formula>
    </cfRule>
  </conditionalFormatting>
  <conditionalFormatting sqref="O102:O103">
    <cfRule type="expression" dxfId="1350" priority="3">
      <formula>IF(OR(#REF!="L",#REF!="C"),TRUE,FALSE)</formula>
    </cfRule>
  </conditionalFormatting>
  <conditionalFormatting sqref="O104:O116">
    <cfRule type="expression" dxfId="1349" priority="4">
      <formula>IF(OR(#REF!="L",#REF!="C"),TRUE,FALSE)</formula>
    </cfRule>
  </conditionalFormatting>
  <conditionalFormatting sqref="E96:N96">
    <cfRule type="duplicateValues" dxfId="1348" priority="2"/>
  </conditionalFormatting>
  <conditionalFormatting sqref="H62:H76">
    <cfRule type="expression" dxfId="1347" priority="1">
      <formula>IF(OR(#REF!="L",#REF!="C"),TRUE,FALSE)</formula>
    </cfRule>
  </conditionalFormatting>
  <dataValidations count="5">
    <dataValidation type="list" allowBlank="1" showInputMessage="1" showErrorMessage="1" sqref="C9" xr:uid="{07A23962-F4D0-43A2-BA69-819E7AFD7EE3}">
      <formula1>INDIRECT("MeasureTypeList[Index]")</formula1>
    </dataValidation>
    <dataValidation type="list" allowBlank="1" showInputMessage="1" showErrorMessage="1" sqref="C26" xr:uid="{895017E5-7FDF-4859-873A-4D80866F40ED}">
      <formula1>INDIRECT("RegionList[Index]")</formula1>
    </dataValidation>
    <dataValidation type="list" allowBlank="1" showInputMessage="1" showErrorMessage="1" sqref="C27" xr:uid="{86024BA0-92DF-4DA1-83DE-F40C8B56CC1D}">
      <formula1>INDIRECT("ReplacementTypeList[Index]")</formula1>
    </dataValidation>
    <dataValidation type="list" allowBlank="1" showInputMessage="1" showErrorMessage="1" sqref="C28" xr:uid="{2DB0DAE5-A33B-4044-BAC5-410155652204}">
      <formula1>INDIRECT("BuildingType[Building]")</formula1>
    </dataValidation>
    <dataValidation type="list" allowBlank="1" showInputMessage="1" showErrorMessage="1" sqref="C29 C30" xr:uid="{90A1FB82-11E1-4414-A366-E676870DAF42}">
      <formula1>INDIRECT("FuelTypeList[Index]")</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D9252DA-950D-42A5-886A-A4CA00C80C89}">
          <x14:formula1>
            <xm:f>'Climate Data'!$B$286:$B$291</xm:f>
          </x14:formula1>
          <xm:sqref>H65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0D46B-77DF-4A66-A02E-573630759327}">
  <sheetPr codeName="Sheet393"/>
  <dimension ref="A1:AG116"/>
  <sheetViews>
    <sheetView zoomScale="80" workbookViewId="0">
      <selection activeCell="H10" sqref="H10"/>
    </sheetView>
  </sheetViews>
  <sheetFormatPr defaultColWidth="9.08984375" defaultRowHeight="18.75" customHeight="1" x14ac:dyDescent="0.3"/>
  <cols>
    <col min="1" max="1" width="2.36328125" style="491" customWidth="1"/>
    <col min="2" max="2" width="42.08984375" style="491" customWidth="1"/>
    <col min="3" max="3" width="27.81640625" style="491" customWidth="1"/>
    <col min="4" max="4" width="21.6328125" style="491" customWidth="1"/>
    <col min="5" max="5" width="14.36328125" style="491" customWidth="1"/>
    <col min="6" max="6" width="15.6328125" style="491" customWidth="1"/>
    <col min="7" max="7" width="19.6328125" style="491" customWidth="1"/>
    <col min="8" max="8" width="16" style="491" customWidth="1"/>
    <col min="9" max="9" width="10.36328125" style="491" customWidth="1"/>
    <col min="10" max="10" width="14.6328125" style="491" customWidth="1"/>
    <col min="11" max="12" width="9.08984375" style="491" bestFit="1"/>
    <col min="13" max="13" width="11" style="491" customWidth="1"/>
    <col min="14" max="14" width="18.36328125" style="491" customWidth="1"/>
    <col min="15" max="15" width="10.6328125" style="491" customWidth="1"/>
    <col min="16" max="17" width="9.08984375" style="491" bestFit="1"/>
    <col min="18" max="18" width="9.81640625" style="489" customWidth="1"/>
    <col min="19" max="19" width="9.08984375" style="491" bestFit="1"/>
    <col min="20" max="20" width="8.6328125" style="491" customWidth="1"/>
    <col min="21" max="16384" width="9.08984375" style="491"/>
  </cols>
  <sheetData>
    <row r="1" spans="1:18" s="488" customFormat="1" ht="18.75" customHeight="1" x14ac:dyDescent="0.3">
      <c r="R1" s="489"/>
    </row>
    <row r="2" spans="1:18" s="488" customFormat="1" ht="18.75" customHeight="1" x14ac:dyDescent="0.3">
      <c r="B2" s="1193" t="s">
        <v>506</v>
      </c>
      <c r="C2" s="1366" t="s">
        <v>406</v>
      </c>
      <c r="D2" s="1366"/>
      <c r="E2" s="1366"/>
      <c r="F2" s="1366"/>
      <c r="R2" s="489"/>
    </row>
    <row r="3" spans="1:18" s="488" customFormat="1" ht="18.75" customHeight="1" x14ac:dyDescent="0.3">
      <c r="B3" s="490" t="s">
        <v>407</v>
      </c>
      <c r="C3" s="1367" t="str">
        <f>IF(ISBLANK(C8)+ISBLANK(C10),C8,C8&amp;"_"&amp;C10)</f>
        <v>R-HC-001</v>
      </c>
      <c r="D3" s="1367"/>
      <c r="E3" s="1367"/>
      <c r="F3" s="1367"/>
      <c r="R3" s="489"/>
    </row>
    <row r="4" spans="1:18" s="488" customFormat="1" ht="18.75" customHeight="1" x14ac:dyDescent="0.3">
      <c r="B4" s="490" t="s">
        <v>11</v>
      </c>
      <c r="C4" s="1367" t="str" cm="1">
        <f t="array" ref="C4">_xlfn.SWITCH(LEFT(C8,1),"R","Residential","C","Commercial","ERROR")</f>
        <v>Residential</v>
      </c>
      <c r="D4" s="1367"/>
      <c r="E4" s="1367"/>
      <c r="F4" s="1367"/>
      <c r="R4" s="489"/>
    </row>
    <row r="5" spans="1:18" ht="33" customHeight="1" x14ac:dyDescent="0.3">
      <c r="B5" s="490" t="s">
        <v>408</v>
      </c>
      <c r="C5" s="1458" t="s">
        <v>348</v>
      </c>
      <c r="D5" s="1459"/>
      <c r="E5" s="1459"/>
      <c r="F5" s="1460"/>
      <c r="R5" s="491"/>
    </row>
    <row r="6" spans="1:18" ht="18.75" customHeight="1" x14ac:dyDescent="0.3">
      <c r="A6" s="492"/>
    </row>
    <row r="7" spans="1:18" ht="18.75" customHeight="1" x14ac:dyDescent="0.3">
      <c r="B7" s="1193" t="s">
        <v>507</v>
      </c>
      <c r="C7" s="493" t="s">
        <v>406</v>
      </c>
      <c r="D7" s="1363" t="s">
        <v>410</v>
      </c>
      <c r="E7" s="1363"/>
      <c r="F7" s="1363"/>
      <c r="R7" s="491"/>
    </row>
    <row r="8" spans="1:18" ht="18.75" customHeight="1" x14ac:dyDescent="0.3">
      <c r="B8" s="490" t="s">
        <v>411</v>
      </c>
      <c r="C8" s="1199" t="s">
        <v>151</v>
      </c>
      <c r="D8" s="1457"/>
      <c r="E8" s="1457"/>
      <c r="F8" s="1457"/>
      <c r="R8" s="491"/>
    </row>
    <row r="9" spans="1:18" ht="18.75" customHeight="1" x14ac:dyDescent="0.3">
      <c r="B9" s="490" t="s">
        <v>49</v>
      </c>
      <c r="C9" s="1199" t="s">
        <v>508</v>
      </c>
      <c r="D9" s="1457"/>
      <c r="E9" s="1457"/>
      <c r="F9" s="1457"/>
      <c r="R9" s="491"/>
    </row>
    <row r="10" spans="1:18" ht="18.75" customHeight="1" x14ac:dyDescent="0.3">
      <c r="B10" s="490" t="s">
        <v>412</v>
      </c>
      <c r="C10" s="1199"/>
      <c r="D10" s="1457"/>
      <c r="E10" s="1457"/>
      <c r="F10" s="1457"/>
      <c r="R10" s="491"/>
    </row>
    <row r="11" spans="1:18" ht="18.75" customHeight="1" x14ac:dyDescent="0.3">
      <c r="B11" s="490" t="s">
        <v>413</v>
      </c>
      <c r="C11" s="1199"/>
      <c r="D11" s="1457"/>
      <c r="E11" s="1457"/>
      <c r="F11" s="1457"/>
      <c r="R11" s="491"/>
    </row>
    <row r="12" spans="1:18" ht="18.75" customHeight="1" x14ac:dyDescent="0.3">
      <c r="B12" s="490" t="s">
        <v>414</v>
      </c>
      <c r="C12" s="540"/>
      <c r="D12" s="1457"/>
      <c r="E12" s="1457"/>
      <c r="F12" s="1457"/>
      <c r="R12" s="491"/>
    </row>
    <row r="13" spans="1:18" ht="18.75" customHeight="1" x14ac:dyDescent="0.3">
      <c r="A13" s="488"/>
      <c r="B13" s="494" t="s">
        <v>415</v>
      </c>
      <c r="C13" s="495">
        <f>N43</f>
        <v>0</v>
      </c>
      <c r="D13" s="1457"/>
      <c r="E13" s="1457"/>
      <c r="F13" s="1457"/>
      <c r="R13" s="491"/>
    </row>
    <row r="14" spans="1:18" ht="18.75" customHeight="1" x14ac:dyDescent="0.3">
      <c r="A14" s="488"/>
      <c r="B14" s="494" t="s">
        <v>416</v>
      </c>
      <c r="C14" s="495">
        <f>N42</f>
        <v>0</v>
      </c>
      <c r="D14" s="1457"/>
      <c r="E14" s="1457"/>
      <c r="F14" s="1457"/>
      <c r="R14" s="491"/>
    </row>
    <row r="15" spans="1:18" ht="18.75" customHeight="1" x14ac:dyDescent="0.3">
      <c r="A15" s="488"/>
      <c r="B15" s="494" t="s">
        <v>417</v>
      </c>
      <c r="C15" s="495">
        <f>N44</f>
        <v>0.27294919591986566</v>
      </c>
      <c r="D15" s="1457"/>
      <c r="E15" s="1457"/>
      <c r="F15" s="1457"/>
      <c r="R15" s="491"/>
    </row>
    <row r="16" spans="1:18" ht="18.75" customHeight="1" x14ac:dyDescent="0.3">
      <c r="A16" s="488"/>
      <c r="B16" s="494" t="s">
        <v>418</v>
      </c>
      <c r="C16" s="496">
        <f>C37</f>
        <v>0</v>
      </c>
      <c r="D16" s="1457"/>
      <c r="E16" s="1457"/>
      <c r="F16" s="1457"/>
      <c r="R16" s="491"/>
    </row>
    <row r="17" spans="2:33" ht="18.75" customHeight="1" x14ac:dyDescent="0.3">
      <c r="B17" s="490" t="s">
        <v>48</v>
      </c>
      <c r="C17" s="1194" t="s">
        <v>509</v>
      </c>
      <c r="D17" s="1363" t="s">
        <v>419</v>
      </c>
      <c r="E17" s="1363"/>
      <c r="F17" s="1363"/>
      <c r="R17" s="491"/>
    </row>
    <row r="18" spans="2:33" ht="18.75" customHeight="1" x14ac:dyDescent="0.3">
      <c r="B18" s="490" t="s">
        <v>420</v>
      </c>
      <c r="C18" s="541">
        <v>11</v>
      </c>
      <c r="D18" s="1454" t="s">
        <v>510</v>
      </c>
      <c r="E18" s="1455"/>
      <c r="F18" s="1456"/>
      <c r="R18" s="491"/>
    </row>
    <row r="19" spans="2:33" ht="18.75" customHeight="1" x14ac:dyDescent="0.3">
      <c r="B19" s="497"/>
      <c r="C19" s="498"/>
      <c r="F19" s="489"/>
      <c r="R19" s="491"/>
    </row>
    <row r="20" spans="2:33" ht="18.75" customHeight="1" x14ac:dyDescent="0.3">
      <c r="B20" s="1368" t="s">
        <v>421</v>
      </c>
      <c r="C20" s="1368"/>
      <c r="D20" s="1368"/>
      <c r="E20" s="1368"/>
      <c r="F20" s="1368"/>
      <c r="G20" s="1368"/>
      <c r="H20" s="1368"/>
      <c r="I20" s="1368"/>
      <c r="J20" s="1368"/>
      <c r="K20" s="1368"/>
      <c r="L20" s="1368"/>
      <c r="M20" s="1368"/>
      <c r="N20" s="1368"/>
      <c r="O20" s="1368"/>
      <c r="P20" s="1368"/>
      <c r="Q20" s="1368"/>
      <c r="R20" s="491"/>
    </row>
    <row r="21" spans="2:33" ht="30.65" customHeight="1" x14ac:dyDescent="0.3">
      <c r="B21" s="499" t="s">
        <v>422</v>
      </c>
      <c r="C21" s="1439" t="s">
        <v>349</v>
      </c>
      <c r="D21" s="1439"/>
      <c r="E21" s="1439"/>
      <c r="F21" s="1439"/>
      <c r="G21" s="1439"/>
      <c r="H21" s="1439"/>
      <c r="I21" s="1439"/>
      <c r="J21" s="1439"/>
      <c r="K21" s="1439"/>
      <c r="L21" s="1439"/>
      <c r="M21" s="1439"/>
      <c r="N21" s="1439"/>
      <c r="O21" s="1439"/>
      <c r="P21" s="1439"/>
      <c r="Q21" s="1439"/>
      <c r="R21" s="491"/>
      <c r="S21" s="1435" t="s">
        <v>511</v>
      </c>
      <c r="T21" s="1435"/>
      <c r="U21" s="1435"/>
      <c r="V21" s="1435"/>
      <c r="W21" s="1435"/>
      <c r="X21" s="1435"/>
      <c r="Y21" s="1435"/>
      <c r="Z21" s="1435"/>
      <c r="AA21" s="1435"/>
      <c r="AB21" s="1435"/>
      <c r="AC21" s="1435"/>
      <c r="AD21" s="1435"/>
      <c r="AE21" s="1435"/>
      <c r="AF21" s="1435"/>
      <c r="AG21" s="1435"/>
    </row>
    <row r="22" spans="2:33" ht="18.75" customHeight="1" x14ac:dyDescent="0.3">
      <c r="B22" s="500" t="s">
        <v>423</v>
      </c>
      <c r="C22" s="1440" t="s">
        <v>350</v>
      </c>
      <c r="D22" s="1440"/>
      <c r="E22" s="1440"/>
      <c r="F22" s="1440"/>
      <c r="G22" s="1440"/>
      <c r="H22" s="1440"/>
      <c r="I22" s="1440"/>
      <c r="J22" s="1440"/>
      <c r="K22" s="1440"/>
      <c r="L22" s="1440"/>
      <c r="M22" s="1440"/>
      <c r="N22" s="1440"/>
      <c r="O22" s="1440"/>
      <c r="P22" s="1440"/>
      <c r="Q22" s="1440"/>
      <c r="R22" s="491"/>
      <c r="S22" s="1436" t="s">
        <v>512</v>
      </c>
      <c r="T22" s="1436"/>
      <c r="U22" s="1436"/>
      <c r="V22" s="1436"/>
      <c r="W22" s="1436"/>
      <c r="X22" s="1436"/>
      <c r="Y22" s="1436"/>
      <c r="Z22" s="1436"/>
      <c r="AA22" s="1436"/>
      <c r="AB22" s="1436"/>
      <c r="AC22" s="1436"/>
      <c r="AD22" s="1436"/>
      <c r="AE22" s="1436"/>
      <c r="AF22" s="1436"/>
      <c r="AG22" s="1436"/>
    </row>
    <row r="23" spans="2:33" ht="18.75" customHeight="1" x14ac:dyDescent="0.3">
      <c r="B23" s="500" t="s">
        <v>424</v>
      </c>
      <c r="C23" s="1440"/>
      <c r="D23" s="1440"/>
      <c r="E23" s="1440"/>
      <c r="F23" s="1440"/>
      <c r="G23" s="1440"/>
      <c r="H23" s="1440"/>
      <c r="I23" s="1440"/>
      <c r="J23" s="1440"/>
      <c r="K23" s="1440"/>
      <c r="L23" s="1440"/>
      <c r="M23" s="1440"/>
      <c r="N23" s="1440"/>
      <c r="O23" s="1440"/>
      <c r="P23" s="1440"/>
      <c r="Q23" s="1440"/>
      <c r="R23" s="491"/>
      <c r="S23" s="1436" t="s">
        <v>513</v>
      </c>
      <c r="T23" s="1436"/>
      <c r="U23" s="1436"/>
      <c r="V23" s="1436"/>
      <c r="W23" s="1436"/>
      <c r="X23" s="1436"/>
      <c r="Y23" s="1436"/>
      <c r="Z23" s="1436"/>
      <c r="AA23" s="1436"/>
      <c r="AB23" s="1436"/>
      <c r="AC23" s="1436"/>
      <c r="AD23" s="1436"/>
      <c r="AE23" s="1436"/>
      <c r="AF23" s="1436"/>
      <c r="AG23" s="1436"/>
    </row>
    <row r="25" spans="2:33"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91"/>
    </row>
    <row r="26" spans="2:33" ht="18.75" customHeight="1" x14ac:dyDescent="0.3">
      <c r="B26" s="490" t="s">
        <v>9</v>
      </c>
      <c r="C26" s="538" t="str">
        <f>Default.Region</f>
        <v>Average</v>
      </c>
      <c r="D26" s="1446"/>
      <c r="E26" s="1446"/>
      <c r="F26" s="1446"/>
      <c r="G26" s="1446"/>
      <c r="H26" s="1446"/>
      <c r="I26" s="1446"/>
      <c r="J26" s="1446"/>
      <c r="K26" s="1446"/>
      <c r="L26" s="1446"/>
      <c r="M26" s="1446"/>
      <c r="N26" s="1446"/>
      <c r="O26" s="1446"/>
      <c r="P26" s="1446"/>
      <c r="Q26" s="1446"/>
      <c r="R26" s="491"/>
    </row>
    <row r="27" spans="2:33"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91"/>
    </row>
    <row r="28" spans="2:33" ht="18.75" customHeight="1" x14ac:dyDescent="0.3">
      <c r="B28" s="490" t="s">
        <v>54</v>
      </c>
      <c r="C28" s="539" t="str">
        <f>Default.BuildingType.R</f>
        <v>Home - detached</v>
      </c>
      <c r="D28" s="1461"/>
      <c r="E28" s="1461"/>
      <c r="F28" s="1461"/>
      <c r="G28" s="1461"/>
      <c r="H28" s="1461"/>
      <c r="I28" s="1461"/>
      <c r="J28" s="1461"/>
      <c r="K28" s="1461"/>
      <c r="L28" s="1461"/>
      <c r="M28" s="1461"/>
      <c r="N28" s="1461"/>
      <c r="O28" s="1461"/>
      <c r="P28" s="1461"/>
      <c r="Q28" s="1461"/>
      <c r="R28" s="491"/>
    </row>
    <row r="29" spans="2:33" ht="18.75" customHeight="1" x14ac:dyDescent="0.3">
      <c r="B29" s="490" t="s">
        <v>33</v>
      </c>
      <c r="C29" s="538" t="str">
        <f>Default.SpaceHeatingFuel</f>
        <v>Natural gas</v>
      </c>
      <c r="D29" s="1446"/>
      <c r="E29" s="1446"/>
      <c r="F29" s="1446"/>
      <c r="G29" s="1446"/>
      <c r="H29" s="1446"/>
      <c r="I29" s="1446"/>
      <c r="J29" s="1446"/>
      <c r="K29" s="1446"/>
      <c r="L29" s="1446"/>
      <c r="M29" s="1446"/>
      <c r="N29" s="1446"/>
      <c r="O29" s="1446"/>
      <c r="P29" s="1446"/>
      <c r="Q29" s="1446"/>
      <c r="R29" s="491"/>
    </row>
    <row r="30" spans="2:33" ht="18.75" customHeight="1" x14ac:dyDescent="0.3">
      <c r="B30" s="490" t="s">
        <v>35</v>
      </c>
      <c r="C30" s="538" t="str">
        <f>Default.WaterHeatingFuel</f>
        <v>Natural gas</v>
      </c>
      <c r="D30" s="1446"/>
      <c r="E30" s="1446"/>
      <c r="F30" s="1446"/>
      <c r="G30" s="1446"/>
      <c r="H30" s="1446"/>
      <c r="I30" s="1446"/>
      <c r="J30" s="1446"/>
      <c r="K30" s="1446"/>
      <c r="L30" s="1446"/>
      <c r="M30" s="1446"/>
      <c r="N30" s="1446"/>
      <c r="O30" s="1446"/>
      <c r="P30" s="1446"/>
      <c r="Q30" s="1446"/>
      <c r="R30" s="491"/>
    </row>
    <row r="31" spans="2:33" ht="18.75" customHeight="1" x14ac:dyDescent="0.3">
      <c r="B31" s="502"/>
      <c r="C31" s="503"/>
      <c r="D31" s="503"/>
      <c r="E31" s="503"/>
      <c r="F31" s="503"/>
      <c r="G31" s="503"/>
      <c r="H31" s="503"/>
      <c r="I31" s="503"/>
      <c r="J31" s="503"/>
      <c r="K31" s="503"/>
      <c r="L31" s="503"/>
      <c r="M31" s="503"/>
      <c r="N31" s="503"/>
    </row>
    <row r="32" spans="2:33"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1:18" ht="18.75" customHeight="1" x14ac:dyDescent="0.3">
      <c r="B33" s="490" t="s">
        <v>429</v>
      </c>
      <c r="C33" s="542"/>
      <c r="D33" s="537" t="s">
        <v>430</v>
      </c>
      <c r="E33" s="1475"/>
      <c r="F33" s="1476"/>
      <c r="G33" s="1476"/>
      <c r="H33" s="1476"/>
      <c r="I33" s="1476"/>
      <c r="J33" s="1476"/>
      <c r="K33" s="1476"/>
      <c r="L33" s="1476"/>
      <c r="M33" s="1476"/>
      <c r="N33" s="1476"/>
      <c r="O33" s="1476"/>
      <c r="P33" s="1476"/>
      <c r="Q33" s="1477"/>
      <c r="R33" s="491"/>
    </row>
    <row r="34" spans="1:18" ht="18.75" customHeight="1" x14ac:dyDescent="0.3">
      <c r="B34" s="494" t="s">
        <v>431</v>
      </c>
      <c r="C34" s="542"/>
      <c r="D34" s="537" t="s">
        <v>430</v>
      </c>
      <c r="E34" s="1441"/>
      <c r="F34" s="1441"/>
      <c r="G34" s="1441"/>
      <c r="H34" s="1441"/>
      <c r="I34" s="1441"/>
      <c r="J34" s="1441"/>
      <c r="K34" s="1441"/>
      <c r="L34" s="1441"/>
      <c r="M34" s="1441"/>
      <c r="N34" s="1441"/>
      <c r="O34" s="1441"/>
      <c r="P34" s="1441"/>
      <c r="Q34" s="1441"/>
    </row>
    <row r="35" spans="1:18" ht="18.75" customHeight="1" x14ac:dyDescent="0.3">
      <c r="B35" s="490" t="s">
        <v>432</v>
      </c>
      <c r="C35" s="542"/>
      <c r="D35" s="537" t="s">
        <v>430</v>
      </c>
      <c r="E35" s="1441"/>
      <c r="F35" s="1441"/>
      <c r="G35" s="1441"/>
      <c r="H35" s="1441"/>
      <c r="I35" s="1441"/>
      <c r="J35" s="1441"/>
      <c r="K35" s="1441"/>
      <c r="L35" s="1441"/>
      <c r="M35" s="1441"/>
      <c r="N35" s="1441"/>
      <c r="O35" s="1441"/>
      <c r="P35" s="1441"/>
      <c r="Q35" s="1441"/>
    </row>
    <row r="36" spans="1:18" ht="18.75" customHeight="1" x14ac:dyDescent="0.3">
      <c r="A36" s="488"/>
      <c r="B36" s="494" t="s">
        <v>433</v>
      </c>
      <c r="C36" s="504">
        <f>SUM(C33:C34)</f>
        <v>0</v>
      </c>
      <c r="D36" s="537" t="s">
        <v>430</v>
      </c>
      <c r="E36" s="1441"/>
      <c r="F36" s="1441"/>
      <c r="G36" s="1441"/>
      <c r="H36" s="1441"/>
      <c r="I36" s="1441"/>
      <c r="J36" s="1441"/>
      <c r="K36" s="1441"/>
      <c r="L36" s="1441"/>
      <c r="M36" s="1441"/>
      <c r="N36" s="1441"/>
      <c r="O36" s="1441"/>
      <c r="P36" s="1441"/>
      <c r="Q36" s="1441"/>
    </row>
    <row r="37" spans="1:18" ht="18.75" customHeight="1" x14ac:dyDescent="0.3">
      <c r="A37" s="488"/>
      <c r="B37" s="494" t="s">
        <v>434</v>
      </c>
      <c r="C37" s="504">
        <f>IF(C27="RET",C33+(C34-C35),C34-C35)</f>
        <v>0</v>
      </c>
      <c r="D37" s="537" t="s">
        <v>430</v>
      </c>
      <c r="E37" s="1442"/>
      <c r="F37" s="1442"/>
      <c r="G37" s="1442"/>
      <c r="H37" s="1442"/>
      <c r="I37" s="1442"/>
      <c r="J37" s="1442"/>
      <c r="K37" s="1442"/>
      <c r="L37" s="1442"/>
      <c r="M37" s="1442"/>
      <c r="N37" s="1442"/>
      <c r="O37" s="1442"/>
      <c r="P37" s="1442"/>
      <c r="Q37" s="1442"/>
    </row>
    <row r="38" spans="1:18" ht="18.75" customHeight="1" x14ac:dyDescent="0.3">
      <c r="B38" s="502"/>
      <c r="C38" s="503"/>
      <c r="D38" s="505"/>
      <c r="E38" s="503"/>
      <c r="F38" s="503"/>
      <c r="G38" s="503"/>
      <c r="H38" s="503"/>
      <c r="I38" s="503"/>
      <c r="J38" s="503"/>
      <c r="K38" s="503"/>
      <c r="L38" s="503"/>
      <c r="M38" s="503"/>
      <c r="N38" s="503"/>
    </row>
    <row r="39" spans="1:18" ht="18.75" customHeight="1" x14ac:dyDescent="0.3">
      <c r="B39" s="1443" t="s">
        <v>435</v>
      </c>
      <c r="C39" s="1444"/>
      <c r="D39" s="1444"/>
      <c r="E39" s="1444"/>
      <c r="F39" s="1444"/>
      <c r="G39" s="1444"/>
      <c r="H39" s="1444"/>
      <c r="I39" s="1444"/>
      <c r="J39" s="1444"/>
      <c r="K39" s="1444"/>
      <c r="L39" s="1444"/>
      <c r="M39" s="1444"/>
      <c r="N39" s="1444"/>
      <c r="O39" s="1444"/>
      <c r="P39" s="1444"/>
      <c r="Q39" s="1445"/>
    </row>
    <row r="41" spans="1: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1:18" ht="18.75" customHeight="1" x14ac:dyDescent="0.3">
      <c r="A42" s="488"/>
      <c r="B42" s="531" t="s">
        <v>438</v>
      </c>
      <c r="C42" s="1387" t="s">
        <v>439</v>
      </c>
      <c r="D42" s="1388"/>
      <c r="E42" s="1388"/>
      <c r="F42" s="1388"/>
      <c r="G42" s="1388"/>
      <c r="H42" s="1388"/>
      <c r="I42" s="1388"/>
      <c r="J42" s="1388"/>
      <c r="K42" s="1388"/>
      <c r="L42" s="1388"/>
      <c r="M42" s="1389"/>
      <c r="N42" s="508">
        <f>N48+N54</f>
        <v>0</v>
      </c>
      <c r="O42" s="509" t="s">
        <v>440</v>
      </c>
      <c r="P42" s="1447"/>
      <c r="Q42" s="1447"/>
      <c r="R42" s="491"/>
    </row>
    <row r="43" spans="1:18" ht="18.75" customHeight="1" x14ac:dyDescent="0.3">
      <c r="A43" s="488"/>
      <c r="B43" s="531" t="s">
        <v>441</v>
      </c>
      <c r="C43" s="1387" t="s">
        <v>442</v>
      </c>
      <c r="D43" s="1388"/>
      <c r="E43" s="1388"/>
      <c r="F43" s="1388"/>
      <c r="G43" s="1388"/>
      <c r="H43" s="1388"/>
      <c r="I43" s="1388"/>
      <c r="J43" s="1388"/>
      <c r="K43" s="1388"/>
      <c r="L43" s="1388"/>
      <c r="M43" s="1389"/>
      <c r="N43" s="508">
        <f>N49+N55</f>
        <v>0</v>
      </c>
      <c r="O43" s="509" t="s">
        <v>443</v>
      </c>
      <c r="P43" s="1447"/>
      <c r="Q43" s="1447"/>
      <c r="R43" s="491"/>
    </row>
    <row r="44" spans="1:18" ht="18.75" customHeight="1" x14ac:dyDescent="0.3">
      <c r="A44" s="488"/>
      <c r="B44" s="531" t="s">
        <v>444</v>
      </c>
      <c r="C44" s="1387" t="s">
        <v>445</v>
      </c>
      <c r="D44" s="1388"/>
      <c r="E44" s="1388"/>
      <c r="F44" s="1388"/>
      <c r="G44" s="1388"/>
      <c r="H44" s="1388"/>
      <c r="I44" s="1388"/>
      <c r="J44" s="1388"/>
      <c r="K44" s="1388"/>
      <c r="L44" s="1388"/>
      <c r="M44" s="1389"/>
      <c r="N44" s="508">
        <f>N50+N56</f>
        <v>0.27294919591986566</v>
      </c>
      <c r="O44" s="509" t="s">
        <v>446</v>
      </c>
      <c r="P44" s="1447"/>
      <c r="Q44" s="1447"/>
      <c r="R44" s="491"/>
    </row>
    <row r="45" spans="1:18" ht="18.75" customHeight="1" x14ac:dyDescent="0.3">
      <c r="A45" s="488"/>
      <c r="B45" s="531" t="s">
        <v>447</v>
      </c>
      <c r="C45" s="1387" t="s">
        <v>448</v>
      </c>
      <c r="D45" s="1388"/>
      <c r="E45" s="1388"/>
      <c r="F45" s="1388"/>
      <c r="G45" s="1388"/>
      <c r="H45" s="1388"/>
      <c r="I45" s="1388"/>
      <c r="J45" s="1388"/>
      <c r="K45" s="1388"/>
      <c r="L45" s="1388"/>
      <c r="M45" s="1389"/>
      <c r="N45" s="508">
        <f>N51+N57</f>
        <v>0</v>
      </c>
      <c r="O45" s="509" t="s">
        <v>449</v>
      </c>
      <c r="P45" s="1447"/>
      <c r="Q45" s="1447"/>
      <c r="R45" s="491"/>
    </row>
    <row r="46" spans="1:18" ht="18.75" customHeight="1" x14ac:dyDescent="0.3">
      <c r="B46" s="532"/>
      <c r="C46" s="503"/>
      <c r="D46" s="503"/>
      <c r="E46" s="503"/>
      <c r="F46" s="503"/>
      <c r="G46" s="503"/>
      <c r="H46" s="503"/>
      <c r="I46" s="503"/>
      <c r="J46" s="503"/>
      <c r="K46" s="503"/>
      <c r="L46" s="503"/>
      <c r="M46" s="503"/>
      <c r="Q46" s="489"/>
      <c r="R46" s="491"/>
    </row>
    <row r="47" spans="1: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91"/>
    </row>
    <row r="48" spans="1:18" ht="18.75" customHeight="1" x14ac:dyDescent="0.3">
      <c r="B48" s="531" t="s">
        <v>452</v>
      </c>
      <c r="C48" s="1449" t="s">
        <v>453</v>
      </c>
      <c r="D48" s="1450"/>
      <c r="E48" s="1450"/>
      <c r="F48" s="1450"/>
      <c r="G48" s="1450"/>
      <c r="H48" s="1450"/>
      <c r="I48" s="1450"/>
      <c r="J48" s="1450"/>
      <c r="K48" s="1450"/>
      <c r="L48" s="1450"/>
      <c r="M48" s="1451"/>
      <c r="N48" s="543"/>
      <c r="O48" s="509" t="s">
        <v>440</v>
      </c>
      <c r="P48" s="1447"/>
      <c r="Q48" s="1447"/>
      <c r="R48" s="491"/>
    </row>
    <row r="49" spans="2:18" ht="18.75" customHeight="1" x14ac:dyDescent="0.3">
      <c r="B49" s="531" t="s">
        <v>454</v>
      </c>
      <c r="C49" s="1449" t="s">
        <v>514</v>
      </c>
      <c r="D49" s="1450"/>
      <c r="E49" s="1450"/>
      <c r="F49" s="1450"/>
      <c r="G49" s="1450"/>
      <c r="H49" s="1450"/>
      <c r="I49" s="1450"/>
      <c r="J49" s="1450"/>
      <c r="K49" s="1450"/>
      <c r="L49" s="1450"/>
      <c r="M49" s="1451"/>
      <c r="N49" s="544">
        <f>H67*H66/H64*(1-H65)*H63*kWh_per_BTU</f>
        <v>0</v>
      </c>
      <c r="O49" s="509" t="s">
        <v>443</v>
      </c>
      <c r="P49" s="1447"/>
      <c r="Q49" s="1447"/>
      <c r="R49" s="491"/>
    </row>
    <row r="50" spans="2:18" ht="18.75" customHeight="1" x14ac:dyDescent="0.3">
      <c r="B50" s="531" t="s">
        <v>456</v>
      </c>
      <c r="C50" s="1449" t="s">
        <v>515</v>
      </c>
      <c r="D50" s="1450"/>
      <c r="E50" s="1450"/>
      <c r="F50" s="1450"/>
      <c r="G50" s="1450"/>
      <c r="H50" s="1450"/>
      <c r="I50" s="1450"/>
      <c r="J50" s="1450"/>
      <c r="K50" s="1450"/>
      <c r="L50" s="1450"/>
      <c r="M50" s="1451"/>
      <c r="N50" s="545">
        <f>(H66*H67/H62*H65)*H63*GJ_per_BTU</f>
        <v>0.27294919591986566</v>
      </c>
      <c r="O50" s="509" t="s">
        <v>446</v>
      </c>
      <c r="P50" s="1447"/>
      <c r="Q50" s="1447"/>
      <c r="R50" s="491"/>
    </row>
    <row r="51" spans="2:18" ht="18.75" customHeight="1" x14ac:dyDescent="0.3">
      <c r="B51" s="531" t="s">
        <v>458</v>
      </c>
      <c r="C51" s="1449" t="s">
        <v>459</v>
      </c>
      <c r="D51" s="1450"/>
      <c r="E51" s="1450"/>
      <c r="F51" s="1450"/>
      <c r="G51" s="1450"/>
      <c r="H51" s="1450"/>
      <c r="I51" s="1450"/>
      <c r="J51" s="1450"/>
      <c r="K51" s="1450"/>
      <c r="L51" s="1450"/>
      <c r="M51" s="1451"/>
      <c r="N51" s="545"/>
      <c r="O51" s="509" t="s">
        <v>449</v>
      </c>
      <c r="P51" s="1447"/>
      <c r="Q51" s="1447"/>
      <c r="R51" s="491"/>
    </row>
    <row r="52" spans="2:18" ht="18.75" customHeight="1" x14ac:dyDescent="0.3">
      <c r="B52" s="532"/>
      <c r="C52" s="503"/>
      <c r="D52" s="503"/>
      <c r="E52" s="503"/>
      <c r="F52" s="503"/>
      <c r="G52" s="503"/>
      <c r="H52" s="503"/>
      <c r="I52" s="503"/>
      <c r="J52" s="503"/>
      <c r="K52" s="503"/>
      <c r="L52" s="503"/>
      <c r="M52" s="503"/>
      <c r="Q52" s="489"/>
      <c r="R52" s="491"/>
    </row>
    <row r="53" spans="2:18"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c r="R53" s="491"/>
    </row>
    <row r="54" spans="2:18" ht="18.75" customHeight="1" x14ac:dyDescent="0.3">
      <c r="B54" s="531" t="s">
        <v>462</v>
      </c>
      <c r="C54" s="1449" t="s">
        <v>463</v>
      </c>
      <c r="D54" s="1450"/>
      <c r="E54" s="1450"/>
      <c r="F54" s="1450"/>
      <c r="G54" s="1450"/>
      <c r="H54" s="1450"/>
      <c r="I54" s="1450"/>
      <c r="J54" s="1450"/>
      <c r="K54" s="1450"/>
      <c r="L54" s="1450"/>
      <c r="M54" s="1451"/>
      <c r="N54" s="545"/>
      <c r="O54" s="509" t="s">
        <v>440</v>
      </c>
      <c r="P54" s="1447"/>
      <c r="Q54" s="1447"/>
      <c r="R54" s="491"/>
    </row>
    <row r="55" spans="2:18" ht="18.75" customHeight="1" x14ac:dyDescent="0.3">
      <c r="B55" s="531" t="s">
        <v>464</v>
      </c>
      <c r="C55" s="1449" t="s">
        <v>465</v>
      </c>
      <c r="D55" s="1450"/>
      <c r="E55" s="1450"/>
      <c r="F55" s="1450"/>
      <c r="G55" s="1450"/>
      <c r="H55" s="1450"/>
      <c r="I55" s="1450"/>
      <c r="J55" s="1450"/>
      <c r="K55" s="1450"/>
      <c r="L55" s="1450"/>
      <c r="M55" s="1451"/>
      <c r="N55" s="545"/>
      <c r="O55" s="509" t="s">
        <v>443</v>
      </c>
      <c r="P55" s="1452"/>
      <c r="Q55" s="1453"/>
      <c r="R55" s="491"/>
    </row>
    <row r="56" spans="2:18" ht="18.75" customHeight="1" x14ac:dyDescent="0.3">
      <c r="B56" s="531" t="s">
        <v>466</v>
      </c>
      <c r="C56" s="1449" t="s">
        <v>516</v>
      </c>
      <c r="D56" s="1450"/>
      <c r="E56" s="1450"/>
      <c r="F56" s="1450"/>
      <c r="G56" s="1450"/>
      <c r="H56" s="1450"/>
      <c r="I56" s="1450"/>
      <c r="J56" s="1450"/>
      <c r="K56" s="1450"/>
      <c r="L56" s="1450"/>
      <c r="M56" s="1451"/>
      <c r="N56" s="545"/>
      <c r="O56" s="509" t="s">
        <v>446</v>
      </c>
      <c r="P56" s="1452"/>
      <c r="Q56" s="1453"/>
      <c r="R56" s="491"/>
    </row>
    <row r="57" spans="2:18" ht="18.75" customHeight="1" x14ac:dyDescent="0.3">
      <c r="B57" s="531" t="s">
        <v>468</v>
      </c>
      <c r="C57" s="1449" t="s">
        <v>469</v>
      </c>
      <c r="D57" s="1450"/>
      <c r="E57" s="1450"/>
      <c r="F57" s="1450"/>
      <c r="G57" s="1450"/>
      <c r="H57" s="1450"/>
      <c r="I57" s="1450"/>
      <c r="J57" s="1450"/>
      <c r="K57" s="1450"/>
      <c r="L57" s="1450"/>
      <c r="M57" s="1451"/>
      <c r="N57" s="545"/>
      <c r="O57" s="509" t="s">
        <v>449</v>
      </c>
      <c r="P57" s="1447"/>
      <c r="Q57" s="1447"/>
      <c r="R57" s="491"/>
    </row>
    <row r="58" spans="2:18" ht="18.75" customHeight="1" x14ac:dyDescent="0.3">
      <c r="B58" s="510"/>
      <c r="C58" s="502"/>
      <c r="D58" s="503"/>
      <c r="E58" s="503"/>
      <c r="F58" s="503"/>
      <c r="G58" s="503"/>
      <c r="H58" s="503"/>
      <c r="I58" s="503"/>
      <c r="J58" s="503"/>
      <c r="K58" s="503"/>
      <c r="L58" s="503"/>
      <c r="M58" s="503"/>
      <c r="N58" s="503"/>
      <c r="O58" s="503"/>
    </row>
    <row r="59" spans="2:18" ht="18.75" customHeight="1" x14ac:dyDescent="0.3">
      <c r="B59" s="511" t="s">
        <v>470</v>
      </c>
      <c r="C59" s="512"/>
      <c r="D59" s="512"/>
      <c r="E59" s="512"/>
      <c r="F59" s="512"/>
      <c r="G59" s="512"/>
      <c r="H59" s="513"/>
      <c r="I59" s="513"/>
      <c r="J59" s="513"/>
      <c r="K59" s="513"/>
      <c r="L59" s="513"/>
      <c r="M59" s="513"/>
      <c r="N59" s="513"/>
      <c r="O59" s="513"/>
      <c r="P59" s="513"/>
      <c r="Q59" s="514"/>
    </row>
    <row r="60" spans="2:18" ht="18.75" customHeight="1" x14ac:dyDescent="0.3">
      <c r="B60" s="488"/>
      <c r="C60" s="488"/>
      <c r="D60" s="488"/>
      <c r="E60" s="488"/>
      <c r="F60" s="488"/>
      <c r="G60" s="488"/>
      <c r="H60" s="488"/>
      <c r="I60" s="488"/>
      <c r="J60" s="488"/>
      <c r="K60" s="488"/>
      <c r="L60" s="488"/>
      <c r="M60" s="488"/>
      <c r="N60" s="488"/>
      <c r="O60" s="488"/>
      <c r="P60" s="488"/>
      <c r="Q60" s="488"/>
    </row>
    <row r="61" spans="2:18" ht="28.5" customHeight="1" x14ac:dyDescent="0.3">
      <c r="B61" s="506" t="s">
        <v>471</v>
      </c>
      <c r="C61" s="506" t="s">
        <v>472</v>
      </c>
      <c r="D61" s="1395" t="s">
        <v>473</v>
      </c>
      <c r="E61" s="1395"/>
      <c r="F61" s="506" t="s">
        <v>474</v>
      </c>
      <c r="G61" s="506" t="s">
        <v>475</v>
      </c>
      <c r="H61" s="1188" t="s">
        <v>406</v>
      </c>
      <c r="I61" s="1188" t="s">
        <v>428</v>
      </c>
      <c r="J61" s="1396" t="s">
        <v>476</v>
      </c>
      <c r="K61" s="1397"/>
      <c r="L61" s="1397"/>
      <c r="M61" s="1397"/>
      <c r="N61" s="1397"/>
      <c r="O61" s="1397"/>
      <c r="P61" s="1397"/>
      <c r="Q61" s="1398"/>
    </row>
    <row r="62" spans="2:18" ht="29.25" customHeight="1" x14ac:dyDescent="0.3">
      <c r="B62" s="533">
        <v>1</v>
      </c>
      <c r="C62" s="546" t="s">
        <v>517</v>
      </c>
      <c r="D62" s="1468" t="s">
        <v>518</v>
      </c>
      <c r="E62" s="1469"/>
      <c r="F62" s="1238"/>
      <c r="G62" s="547"/>
      <c r="H62" s="548">
        <f>SpaceHeatingEfficiency.R.NG</f>
        <v>0.85</v>
      </c>
      <c r="I62" s="1238" t="s">
        <v>519</v>
      </c>
      <c r="J62" s="1462" t="s">
        <v>520</v>
      </c>
      <c r="K62" s="1470"/>
      <c r="L62" s="1470"/>
      <c r="M62" s="1470"/>
      <c r="N62" s="1470"/>
      <c r="O62" s="1470"/>
      <c r="P62" s="1470"/>
      <c r="Q62" s="1471"/>
      <c r="R62" s="491"/>
    </row>
    <row r="63" spans="2:18" ht="33.75" customHeight="1" x14ac:dyDescent="0.3">
      <c r="B63" s="534">
        <v>2</v>
      </c>
      <c r="C63" s="549" t="s">
        <v>521</v>
      </c>
      <c r="D63" s="1462" t="s">
        <v>522</v>
      </c>
      <c r="E63" s="1463"/>
      <c r="F63" s="1238"/>
      <c r="G63" s="1238"/>
      <c r="H63" s="548">
        <v>8.4000000000000005E-2</v>
      </c>
      <c r="I63" s="1238" t="s">
        <v>519</v>
      </c>
      <c r="J63" s="1462" t="s">
        <v>523</v>
      </c>
      <c r="K63" s="1464"/>
      <c r="L63" s="1464"/>
      <c r="M63" s="1464"/>
      <c r="N63" s="1464"/>
      <c r="O63" s="1464"/>
      <c r="P63" s="1464"/>
      <c r="Q63" s="1463"/>
      <c r="R63" s="491"/>
    </row>
    <row r="64" spans="2:18" ht="15" customHeight="1" x14ac:dyDescent="0.3">
      <c r="B64" s="533">
        <v>3</v>
      </c>
      <c r="C64" s="549" t="s">
        <v>524</v>
      </c>
      <c r="D64" s="1462" t="s">
        <v>525</v>
      </c>
      <c r="E64" s="1463"/>
      <c r="F64" s="1238"/>
      <c r="G64" s="1238"/>
      <c r="H64" s="548">
        <v>1.28</v>
      </c>
      <c r="I64" s="1238" t="s">
        <v>519</v>
      </c>
      <c r="J64" s="1465" t="s">
        <v>526</v>
      </c>
      <c r="K64" s="1466"/>
      <c r="L64" s="1466"/>
      <c r="M64" s="1466"/>
      <c r="N64" s="1466"/>
      <c r="O64" s="1466"/>
      <c r="P64" s="1466"/>
      <c r="Q64" s="1467"/>
      <c r="R64" s="491"/>
    </row>
    <row r="65" spans="2:18" ht="29.5" customHeight="1" x14ac:dyDescent="0.3">
      <c r="B65" s="534">
        <v>4</v>
      </c>
      <c r="C65" s="549" t="s">
        <v>527</v>
      </c>
      <c r="D65" s="1462" t="s">
        <v>528</v>
      </c>
      <c r="E65" s="1463"/>
      <c r="F65" s="1238"/>
      <c r="G65" s="1238"/>
      <c r="H65" s="548" cm="1">
        <f t="array" ref="H65">_xlfn.SWITCH(C29,"Natural gas",1,"Electricity",0,SpaceHeatingShare.R.NG)</f>
        <v>1</v>
      </c>
      <c r="I65" s="1238" t="s">
        <v>519</v>
      </c>
      <c r="J65" s="1462" t="s">
        <v>529</v>
      </c>
      <c r="K65" s="1464"/>
      <c r="L65" s="1464"/>
      <c r="M65" s="1464"/>
      <c r="N65" s="1464"/>
      <c r="O65" s="1464"/>
      <c r="P65" s="1464"/>
      <c r="Q65" s="1463"/>
      <c r="R65" s="491"/>
    </row>
    <row r="66" spans="2:18" ht="30" customHeight="1" x14ac:dyDescent="0.3">
      <c r="B66" s="534">
        <v>5</v>
      </c>
      <c r="C66" s="546" t="s">
        <v>530</v>
      </c>
      <c r="D66" s="1468" t="s">
        <v>531</v>
      </c>
      <c r="E66" s="1469"/>
      <c r="F66" s="1217" t="str">
        <f>C28</f>
        <v>Home - detached</v>
      </c>
      <c r="G66" s="1217" t="str">
        <f>C26</f>
        <v>Average</v>
      </c>
      <c r="H66" s="550">
        <f>INDEX(EFLH[#All],MATCH(F66,EFLH[[#All],[EFLH]],0),MATCH(G66,EFLH[#Headers],0))</f>
        <v>2617.8472419520012</v>
      </c>
      <c r="I66" s="1217" t="s">
        <v>532</v>
      </c>
      <c r="J66" s="1479" t="s">
        <v>533</v>
      </c>
      <c r="K66" s="1480"/>
      <c r="L66" s="1480"/>
      <c r="M66" s="1480"/>
      <c r="N66" s="1480"/>
      <c r="O66" s="1480"/>
      <c r="P66" s="1480"/>
      <c r="Q66" s="1481"/>
      <c r="R66" s="491"/>
    </row>
    <row r="67" spans="2:18" ht="15" customHeight="1" x14ac:dyDescent="0.3">
      <c r="B67" s="535">
        <v>6</v>
      </c>
      <c r="C67" s="551" t="s">
        <v>534</v>
      </c>
      <c r="D67" s="1482" t="s">
        <v>535</v>
      </c>
      <c r="E67" s="1483"/>
      <c r="F67" s="552"/>
      <c r="G67" s="552"/>
      <c r="H67" s="553">
        <v>1000</v>
      </c>
      <c r="I67" s="552" t="s">
        <v>536</v>
      </c>
      <c r="J67" s="1482" t="s">
        <v>537</v>
      </c>
      <c r="K67" s="1484"/>
      <c r="L67" s="1484"/>
      <c r="M67" s="1484"/>
      <c r="N67" s="1484"/>
      <c r="O67" s="1484"/>
      <c r="P67" s="1484"/>
      <c r="Q67" s="1483"/>
      <c r="R67" s="491"/>
    </row>
    <row r="68" spans="2:18" ht="13" x14ac:dyDescent="0.3">
      <c r="B68" s="533">
        <v>7</v>
      </c>
      <c r="C68" s="546"/>
      <c r="D68" s="1468"/>
      <c r="E68" s="1469"/>
      <c r="F68" s="1217"/>
      <c r="G68" s="1217"/>
      <c r="H68" s="554"/>
      <c r="I68" s="1217"/>
      <c r="J68" s="1468"/>
      <c r="K68" s="1478"/>
      <c r="L68" s="1478"/>
      <c r="M68" s="1478"/>
      <c r="N68" s="1478"/>
      <c r="O68" s="1478"/>
      <c r="P68" s="1478"/>
      <c r="Q68" s="1469"/>
      <c r="R68" s="491"/>
    </row>
    <row r="69" spans="2:18" ht="13" x14ac:dyDescent="0.3">
      <c r="B69" s="533">
        <v>8</v>
      </c>
      <c r="C69" s="546"/>
      <c r="D69" s="1468"/>
      <c r="E69" s="1469"/>
      <c r="F69" s="1217"/>
      <c r="G69" s="1217"/>
      <c r="H69" s="1217"/>
      <c r="I69" s="1238"/>
      <c r="J69" s="1468"/>
      <c r="K69" s="1478"/>
      <c r="L69" s="1478"/>
      <c r="M69" s="1478"/>
      <c r="N69" s="1478"/>
      <c r="O69" s="1478"/>
      <c r="P69" s="1478"/>
      <c r="Q69" s="1469"/>
      <c r="R69" s="491"/>
    </row>
    <row r="70" spans="2:18" ht="13" x14ac:dyDescent="0.3">
      <c r="B70" s="533">
        <v>9</v>
      </c>
      <c r="C70" s="555"/>
      <c r="D70" s="1437"/>
      <c r="E70" s="1438"/>
      <c r="F70" s="556"/>
      <c r="G70" s="557"/>
      <c r="H70" s="556"/>
      <c r="I70" s="557"/>
      <c r="J70" s="1437"/>
      <c r="K70" s="1448"/>
      <c r="L70" s="1448"/>
      <c r="M70" s="1448"/>
      <c r="N70" s="1448"/>
      <c r="O70" s="1448"/>
      <c r="P70" s="1448"/>
      <c r="Q70" s="1438"/>
      <c r="R70" s="491"/>
    </row>
    <row r="71" spans="2:18" ht="13" x14ac:dyDescent="0.3">
      <c r="B71" s="533">
        <v>10</v>
      </c>
      <c r="C71" s="555"/>
      <c r="D71" s="1437"/>
      <c r="E71" s="1438"/>
      <c r="F71" s="556"/>
      <c r="G71" s="557"/>
      <c r="H71" s="556"/>
      <c r="I71" s="557"/>
      <c r="J71" s="1437"/>
      <c r="K71" s="1448"/>
      <c r="L71" s="1448"/>
      <c r="M71" s="1448"/>
      <c r="N71" s="1448"/>
      <c r="O71" s="1448"/>
      <c r="P71" s="1448"/>
      <c r="Q71" s="1438"/>
      <c r="R71" s="491"/>
    </row>
    <row r="72" spans="2:18" ht="13" x14ac:dyDescent="0.3">
      <c r="B72" s="536">
        <v>11</v>
      </c>
      <c r="C72" s="555"/>
      <c r="D72" s="1437"/>
      <c r="E72" s="1438"/>
      <c r="F72" s="556"/>
      <c r="G72" s="557"/>
      <c r="H72" s="556"/>
      <c r="I72" s="557"/>
      <c r="J72" s="1437"/>
      <c r="K72" s="1448"/>
      <c r="L72" s="1448"/>
      <c r="M72" s="1448"/>
      <c r="N72" s="1448"/>
      <c r="O72" s="1448"/>
      <c r="P72" s="1448"/>
      <c r="Q72" s="1438"/>
      <c r="R72" s="491"/>
    </row>
    <row r="73" spans="2:18" ht="13" x14ac:dyDescent="0.3">
      <c r="B73" s="536">
        <v>12</v>
      </c>
      <c r="C73" s="555"/>
      <c r="D73" s="1437"/>
      <c r="E73" s="1438"/>
      <c r="F73" s="556"/>
      <c r="G73" s="557"/>
      <c r="H73" s="558"/>
      <c r="I73" s="557"/>
      <c r="J73" s="1472"/>
      <c r="K73" s="1473"/>
      <c r="L73" s="1473"/>
      <c r="M73" s="1473"/>
      <c r="N73" s="1473"/>
      <c r="O73" s="1473"/>
      <c r="P73" s="1473"/>
      <c r="Q73" s="1474"/>
      <c r="R73" s="491"/>
    </row>
    <row r="74" spans="2:18" ht="13" x14ac:dyDescent="0.3">
      <c r="B74" s="536">
        <v>13</v>
      </c>
      <c r="C74" s="555"/>
      <c r="D74" s="1437"/>
      <c r="E74" s="1438"/>
      <c r="F74" s="556"/>
      <c r="G74" s="557"/>
      <c r="H74" s="556"/>
      <c r="I74" s="557"/>
      <c r="J74" s="1472"/>
      <c r="K74" s="1473"/>
      <c r="L74" s="1473"/>
      <c r="M74" s="1473"/>
      <c r="N74" s="1473"/>
      <c r="O74" s="1473"/>
      <c r="P74" s="1473"/>
      <c r="Q74" s="1474"/>
      <c r="R74" s="491"/>
    </row>
    <row r="75" spans="2:18" s="489" customFormat="1" ht="13.15" customHeight="1" x14ac:dyDescent="0.3">
      <c r="B75" s="536">
        <v>14</v>
      </c>
      <c r="C75" s="555"/>
      <c r="D75" s="1437"/>
      <c r="E75" s="1438"/>
      <c r="F75" s="556"/>
      <c r="G75" s="557"/>
      <c r="H75" s="556"/>
      <c r="I75" s="557"/>
      <c r="J75" s="1472"/>
      <c r="K75" s="1473"/>
      <c r="L75" s="1473"/>
      <c r="M75" s="1473"/>
      <c r="N75" s="1473"/>
      <c r="O75" s="1473"/>
      <c r="P75" s="1473"/>
      <c r="Q75" s="1474"/>
    </row>
    <row r="76" spans="2:18" s="489" customFormat="1" ht="13" x14ac:dyDescent="0.3">
      <c r="B76" s="536">
        <v>15</v>
      </c>
      <c r="C76" s="555"/>
      <c r="D76" s="1437"/>
      <c r="E76" s="1438"/>
      <c r="F76" s="556"/>
      <c r="G76" s="557"/>
      <c r="H76" s="559"/>
      <c r="I76" s="557"/>
      <c r="J76" s="1472"/>
      <c r="K76" s="1473"/>
      <c r="L76" s="1473"/>
      <c r="M76" s="1473"/>
      <c r="N76" s="1473"/>
      <c r="O76" s="1473"/>
      <c r="P76" s="1473"/>
      <c r="Q76" s="1474"/>
    </row>
    <row r="77" spans="2:18" ht="18.75" customHeight="1" x14ac:dyDescent="0.3">
      <c r="B77" s="488"/>
      <c r="C77" s="488"/>
      <c r="D77" s="488"/>
      <c r="E77" s="488"/>
      <c r="F77" s="488"/>
      <c r="G77" s="488"/>
      <c r="H77" s="488"/>
      <c r="I77" s="488"/>
      <c r="J77" s="488"/>
      <c r="K77" s="488"/>
      <c r="L77" s="488"/>
      <c r="M77" s="488"/>
      <c r="N77" s="488"/>
      <c r="O77" s="488"/>
      <c r="P77" s="488"/>
      <c r="Q77" s="488"/>
      <c r="R77" s="491"/>
    </row>
    <row r="78" spans="2:18" ht="18.75" customHeight="1" x14ac:dyDescent="0.3">
      <c r="B78" s="511" t="s">
        <v>477</v>
      </c>
      <c r="C78" s="512"/>
      <c r="D78" s="512"/>
      <c r="E78" s="512"/>
      <c r="F78" s="512"/>
      <c r="G78" s="512"/>
      <c r="H78" s="513"/>
      <c r="I78" s="513"/>
      <c r="J78" s="513"/>
      <c r="K78" s="513"/>
      <c r="L78" s="513"/>
      <c r="M78" s="513"/>
      <c r="N78" s="513"/>
      <c r="O78" s="513"/>
      <c r="P78" s="513"/>
      <c r="Q78" s="514"/>
      <c r="R78" s="491"/>
    </row>
    <row r="79" spans="2:18" ht="18.75" customHeight="1" x14ac:dyDescent="0.3">
      <c r="B79" s="488"/>
      <c r="C79" s="488"/>
      <c r="D79" s="488"/>
      <c r="E79" s="488"/>
      <c r="F79" s="488"/>
      <c r="G79" s="488"/>
      <c r="H79" s="488"/>
      <c r="I79" s="488"/>
      <c r="J79" s="488"/>
      <c r="K79" s="488"/>
      <c r="L79" s="488"/>
      <c r="M79" s="488"/>
      <c r="N79" s="488"/>
      <c r="O79" s="488"/>
      <c r="P79" s="488"/>
      <c r="Q79" s="488"/>
      <c r="R79" s="491"/>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91"/>
    </row>
    <row r="81" spans="2:18" ht="13" x14ac:dyDescent="0.3">
      <c r="B81" s="533">
        <v>1</v>
      </c>
      <c r="C81" s="560"/>
      <c r="D81" s="561"/>
      <c r="E81" s="1233"/>
      <c r="F81" s="1486"/>
      <c r="G81" s="1487"/>
      <c r="H81" s="1487"/>
      <c r="I81" s="1487"/>
      <c r="J81" s="1487"/>
      <c r="K81" s="1487"/>
      <c r="L81" s="1487"/>
      <c r="M81" s="1487"/>
      <c r="N81" s="1487"/>
      <c r="O81" s="1487"/>
      <c r="P81" s="1487"/>
      <c r="Q81" s="1488"/>
      <c r="R81" s="491"/>
    </row>
    <row r="82" spans="2:18" ht="13" x14ac:dyDescent="0.3">
      <c r="B82" s="533">
        <v>2</v>
      </c>
      <c r="C82" s="560"/>
      <c r="D82" s="562"/>
      <c r="E82" s="1233"/>
      <c r="F82" s="1489"/>
      <c r="G82" s="1490"/>
      <c r="H82" s="1490"/>
      <c r="I82" s="1490"/>
      <c r="J82" s="1490"/>
      <c r="K82" s="1490"/>
      <c r="L82" s="1490"/>
      <c r="M82" s="1490"/>
      <c r="N82" s="1490"/>
      <c r="O82" s="1490"/>
      <c r="P82" s="1490"/>
      <c r="Q82" s="1491"/>
      <c r="R82" s="491"/>
    </row>
    <row r="83" spans="2:18" ht="13" x14ac:dyDescent="0.3">
      <c r="B83" s="533">
        <v>3</v>
      </c>
      <c r="C83" s="560"/>
      <c r="D83" s="562"/>
      <c r="E83" s="1233"/>
      <c r="F83" s="1489"/>
      <c r="G83" s="1490"/>
      <c r="H83" s="1490"/>
      <c r="I83" s="1490"/>
      <c r="J83" s="1490"/>
      <c r="K83" s="1490"/>
      <c r="L83" s="1490"/>
      <c r="M83" s="1490"/>
      <c r="N83" s="1490"/>
      <c r="O83" s="1490"/>
      <c r="P83" s="1490"/>
      <c r="Q83" s="1491"/>
      <c r="R83" s="491"/>
    </row>
    <row r="84" spans="2:18" ht="13" x14ac:dyDescent="0.3">
      <c r="B84" s="533">
        <v>4</v>
      </c>
      <c r="C84" s="560"/>
      <c r="D84" s="562"/>
      <c r="E84" s="1233"/>
      <c r="F84" s="1489"/>
      <c r="G84" s="1490"/>
      <c r="H84" s="1490"/>
      <c r="I84" s="1490"/>
      <c r="J84" s="1490"/>
      <c r="K84" s="1490"/>
      <c r="L84" s="1490"/>
      <c r="M84" s="1490"/>
      <c r="N84" s="1490"/>
      <c r="O84" s="1490"/>
      <c r="P84" s="1490"/>
      <c r="Q84" s="1491"/>
      <c r="R84" s="491"/>
    </row>
    <row r="85" spans="2:18" ht="13" x14ac:dyDescent="0.3">
      <c r="B85" s="533">
        <v>5</v>
      </c>
      <c r="C85" s="560"/>
      <c r="D85" s="562"/>
      <c r="E85" s="1233"/>
      <c r="F85" s="1489"/>
      <c r="G85" s="1490"/>
      <c r="H85" s="1490"/>
      <c r="I85" s="1490"/>
      <c r="J85" s="1490"/>
      <c r="K85" s="1490"/>
      <c r="L85" s="1490"/>
      <c r="M85" s="1490"/>
      <c r="N85" s="1490"/>
      <c r="O85" s="1490"/>
      <c r="P85" s="1490"/>
      <c r="Q85" s="1491"/>
      <c r="R85" s="491"/>
    </row>
    <row r="86" spans="2:18" ht="13" x14ac:dyDescent="0.3">
      <c r="B86" s="533">
        <v>6</v>
      </c>
      <c r="C86" s="563"/>
      <c r="D86" s="562"/>
      <c r="E86" s="1233"/>
      <c r="F86" s="1489"/>
      <c r="G86" s="1490"/>
      <c r="H86" s="1490"/>
      <c r="I86" s="1490"/>
      <c r="J86" s="1490"/>
      <c r="K86" s="1490"/>
      <c r="L86" s="1490"/>
      <c r="M86" s="1490"/>
      <c r="N86" s="1490"/>
      <c r="O86" s="1490"/>
      <c r="P86" s="1490"/>
      <c r="Q86" s="1491"/>
      <c r="R86" s="491"/>
    </row>
    <row r="87" spans="2:18" ht="13" x14ac:dyDescent="0.3">
      <c r="B87" s="533">
        <v>7</v>
      </c>
      <c r="C87" s="563"/>
      <c r="D87" s="1233"/>
      <c r="E87" s="1233"/>
      <c r="F87" s="1489"/>
      <c r="G87" s="1490"/>
      <c r="H87" s="1490"/>
      <c r="I87" s="1490"/>
      <c r="J87" s="1490"/>
      <c r="K87" s="1490"/>
      <c r="L87" s="1490"/>
      <c r="M87" s="1490"/>
      <c r="N87" s="1490"/>
      <c r="O87" s="1490"/>
      <c r="P87" s="1490"/>
      <c r="Q87" s="1491"/>
      <c r="R87" s="491"/>
    </row>
    <row r="88" spans="2:18" ht="13" x14ac:dyDescent="0.3">
      <c r="B88" s="533">
        <v>8</v>
      </c>
      <c r="C88" s="563"/>
      <c r="D88" s="564"/>
      <c r="E88" s="1233"/>
      <c r="F88" s="1489"/>
      <c r="G88" s="1490"/>
      <c r="H88" s="1490"/>
      <c r="I88" s="1490"/>
      <c r="J88" s="1490"/>
      <c r="K88" s="1490"/>
      <c r="L88" s="1490"/>
      <c r="M88" s="1490"/>
      <c r="N88" s="1490"/>
      <c r="O88" s="1490"/>
      <c r="P88" s="1490"/>
      <c r="Q88" s="1491"/>
      <c r="R88" s="491"/>
    </row>
    <row r="89" spans="2:18" ht="13" x14ac:dyDescent="0.3">
      <c r="B89" s="533">
        <v>9</v>
      </c>
      <c r="C89" s="563"/>
      <c r="D89" s="1233"/>
      <c r="E89" s="1233"/>
      <c r="F89" s="1489"/>
      <c r="G89" s="1490"/>
      <c r="H89" s="1490"/>
      <c r="I89" s="1490"/>
      <c r="J89" s="1490"/>
      <c r="K89" s="1490"/>
      <c r="L89" s="1490"/>
      <c r="M89" s="1490"/>
      <c r="N89" s="1490"/>
      <c r="O89" s="1490"/>
      <c r="P89" s="1490"/>
      <c r="Q89" s="1491"/>
      <c r="R89" s="491"/>
    </row>
    <row r="90" spans="2:18" ht="13" x14ac:dyDescent="0.3">
      <c r="B90" s="533">
        <v>10</v>
      </c>
      <c r="C90" s="563"/>
      <c r="D90" s="564"/>
      <c r="E90" s="1233"/>
      <c r="F90" s="1489"/>
      <c r="G90" s="1490"/>
      <c r="H90" s="1490"/>
      <c r="I90" s="1490"/>
      <c r="J90" s="1490"/>
      <c r="K90" s="1490"/>
      <c r="L90" s="1490"/>
      <c r="M90" s="1490"/>
      <c r="N90" s="1490"/>
      <c r="O90" s="1490"/>
      <c r="P90" s="1490"/>
      <c r="Q90" s="1491"/>
      <c r="R90" s="491"/>
    </row>
    <row r="91" spans="2:18" ht="18.75" customHeight="1" x14ac:dyDescent="0.3">
      <c r="B91" s="488"/>
      <c r="C91" s="488"/>
      <c r="D91" s="488"/>
      <c r="E91" s="488"/>
      <c r="F91" s="488"/>
      <c r="G91" s="488"/>
      <c r="H91" s="488"/>
      <c r="I91" s="488"/>
      <c r="J91" s="488"/>
      <c r="K91" s="488"/>
      <c r="L91" s="488"/>
      <c r="M91" s="488"/>
      <c r="N91" s="488"/>
      <c r="O91" s="488"/>
      <c r="P91" s="488"/>
      <c r="Q91" s="488"/>
      <c r="R91" s="491"/>
    </row>
    <row r="92" spans="2:18" ht="18.75" customHeight="1" x14ac:dyDescent="0.3">
      <c r="B92" s="511" t="s">
        <v>492</v>
      </c>
      <c r="C92" s="512"/>
      <c r="D92" s="512"/>
      <c r="E92" s="512"/>
      <c r="F92" s="512"/>
      <c r="G92" s="512"/>
      <c r="H92" s="513"/>
      <c r="I92" s="513"/>
      <c r="J92" s="513"/>
      <c r="K92" s="513"/>
      <c r="L92" s="513"/>
      <c r="M92" s="513"/>
      <c r="N92" s="513"/>
      <c r="O92" s="513"/>
      <c r="P92" s="513"/>
      <c r="Q92" s="514"/>
      <c r="R92" s="491"/>
    </row>
    <row r="93" spans="2:18" ht="18.75" customHeight="1" x14ac:dyDescent="0.3">
      <c r="B93" s="488"/>
      <c r="C93" s="488"/>
      <c r="D93" s="488"/>
      <c r="E93" s="488"/>
      <c r="F93" s="488"/>
      <c r="G93" s="488"/>
      <c r="H93" s="488"/>
      <c r="I93" s="488"/>
      <c r="J93" s="488"/>
      <c r="K93" s="488"/>
      <c r="L93" s="488"/>
      <c r="M93" s="488"/>
      <c r="N93" s="488"/>
      <c r="O93" s="488"/>
      <c r="P93" s="488"/>
      <c r="Q93" s="488"/>
      <c r="R93" s="491"/>
    </row>
    <row r="94" spans="2:18" ht="18.75" customHeight="1" x14ac:dyDescent="0.3">
      <c r="B94" s="523" t="s">
        <v>493</v>
      </c>
      <c r="C94" s="488"/>
      <c r="D94" s="488"/>
      <c r="E94" s="1402" t="s">
        <v>494</v>
      </c>
      <c r="F94" s="1403"/>
      <c r="G94" s="1403"/>
      <c r="H94" s="1403"/>
      <c r="I94" s="1403"/>
      <c r="J94" s="1403"/>
      <c r="K94" s="1403"/>
      <c r="L94" s="1403"/>
      <c r="M94" s="1403"/>
      <c r="N94" s="1403"/>
      <c r="O94" s="1404" t="s">
        <v>476</v>
      </c>
      <c r="P94" s="1405"/>
      <c r="Q94" s="1406"/>
      <c r="R94" s="491"/>
    </row>
    <row r="95" spans="2:18" ht="25.5" customHeight="1" x14ac:dyDescent="0.3">
      <c r="B95" s="1498"/>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c r="R95" s="491"/>
    </row>
    <row r="96" spans="2:18" ht="36.75" customHeight="1" x14ac:dyDescent="0.3">
      <c r="B96" s="1188" t="s">
        <v>478</v>
      </c>
      <c r="C96" s="1402" t="s">
        <v>538</v>
      </c>
      <c r="D96" s="1431"/>
      <c r="E96" s="565"/>
      <c r="F96" s="565"/>
      <c r="G96" s="565"/>
      <c r="H96" s="565"/>
      <c r="I96" s="565"/>
      <c r="J96" s="565"/>
      <c r="K96" s="565"/>
      <c r="L96" s="565"/>
      <c r="M96" s="565"/>
      <c r="N96" s="566"/>
      <c r="O96" s="1410"/>
      <c r="P96" s="1411"/>
      <c r="Q96" s="1412"/>
      <c r="R96" s="491"/>
    </row>
    <row r="97" spans="2:18" ht="13" x14ac:dyDescent="0.3">
      <c r="B97" s="533">
        <v>1</v>
      </c>
      <c r="C97" s="546"/>
      <c r="D97" s="546"/>
      <c r="E97" s="567"/>
      <c r="F97" s="1190"/>
      <c r="G97" s="1190"/>
      <c r="H97" s="1190"/>
      <c r="I97" s="568"/>
      <c r="J97" s="568"/>
      <c r="K97" s="568"/>
      <c r="L97" s="568"/>
      <c r="M97" s="568"/>
      <c r="N97" s="568"/>
      <c r="O97" s="1501"/>
      <c r="P97" s="1502"/>
      <c r="Q97" s="1503"/>
      <c r="R97" s="491"/>
    </row>
    <row r="98" spans="2:18" ht="13" x14ac:dyDescent="0.3">
      <c r="B98" s="533">
        <v>2</v>
      </c>
      <c r="C98" s="546"/>
      <c r="D98" s="546"/>
      <c r="E98" s="567"/>
      <c r="F98" s="1190"/>
      <c r="G98" s="1190"/>
      <c r="H98" s="1190"/>
      <c r="I98" s="568"/>
      <c r="J98" s="568"/>
      <c r="K98" s="568"/>
      <c r="L98" s="568"/>
      <c r="M98" s="568"/>
      <c r="N98" s="568"/>
      <c r="O98" s="1495"/>
      <c r="P98" s="1496"/>
      <c r="Q98" s="1497"/>
      <c r="R98" s="491"/>
    </row>
    <row r="99" spans="2:18" ht="13" x14ac:dyDescent="0.3">
      <c r="B99" s="533">
        <v>3</v>
      </c>
      <c r="C99" s="546"/>
      <c r="D99" s="546"/>
      <c r="E99" s="567"/>
      <c r="F99" s="1190"/>
      <c r="G99" s="1190"/>
      <c r="H99" s="1190"/>
      <c r="I99" s="568"/>
      <c r="J99" s="568"/>
      <c r="K99" s="568"/>
      <c r="L99" s="568"/>
      <c r="M99" s="568"/>
      <c r="N99" s="568"/>
      <c r="O99" s="1495"/>
      <c r="P99" s="1496"/>
      <c r="Q99" s="1497"/>
      <c r="R99" s="491"/>
    </row>
    <row r="100" spans="2:18" ht="13" x14ac:dyDescent="0.3">
      <c r="B100" s="533">
        <v>4</v>
      </c>
      <c r="C100" s="546"/>
      <c r="D100" s="546"/>
      <c r="E100" s="1190"/>
      <c r="F100" s="1190"/>
      <c r="G100" s="1190"/>
      <c r="H100" s="1190"/>
      <c r="I100" s="568"/>
      <c r="J100" s="568"/>
      <c r="K100" s="568"/>
      <c r="L100" s="568"/>
      <c r="M100" s="568"/>
      <c r="N100" s="568"/>
      <c r="O100" s="1495"/>
      <c r="P100" s="1496"/>
      <c r="Q100" s="1497"/>
      <c r="R100" s="491"/>
    </row>
    <row r="101" spans="2:18" ht="13" x14ac:dyDescent="0.3">
      <c r="B101" s="533">
        <v>5</v>
      </c>
      <c r="C101" s="546"/>
      <c r="D101" s="546"/>
      <c r="E101" s="1190"/>
      <c r="F101" s="1190"/>
      <c r="G101" s="1190"/>
      <c r="H101" s="1190"/>
      <c r="I101" s="568"/>
      <c r="J101" s="568"/>
      <c r="K101" s="568"/>
      <c r="L101" s="568"/>
      <c r="M101" s="568"/>
      <c r="N101" s="568"/>
      <c r="O101" s="1495"/>
      <c r="P101" s="1496"/>
      <c r="Q101" s="1497"/>
      <c r="R101" s="491"/>
    </row>
    <row r="102" spans="2:18" ht="13" x14ac:dyDescent="0.3">
      <c r="B102" s="533">
        <v>6</v>
      </c>
      <c r="C102" s="546"/>
      <c r="D102" s="546"/>
      <c r="E102" s="1190"/>
      <c r="F102" s="1190"/>
      <c r="G102" s="1190"/>
      <c r="H102" s="1190"/>
      <c r="I102" s="569"/>
      <c r="J102" s="569"/>
      <c r="K102" s="569"/>
      <c r="L102" s="569"/>
      <c r="M102" s="569"/>
      <c r="N102" s="569"/>
      <c r="O102" s="1492"/>
      <c r="P102" s="1493"/>
      <c r="Q102" s="1494"/>
      <c r="R102" s="491"/>
    </row>
    <row r="103" spans="2:18" ht="13" x14ac:dyDescent="0.3">
      <c r="B103" s="533">
        <v>7</v>
      </c>
      <c r="C103" s="546"/>
      <c r="D103" s="570"/>
      <c r="E103" s="1190"/>
      <c r="F103" s="1190"/>
      <c r="G103" s="1190"/>
      <c r="H103" s="1190"/>
      <c r="I103" s="569"/>
      <c r="J103" s="569"/>
      <c r="K103" s="569"/>
      <c r="L103" s="569"/>
      <c r="M103" s="569"/>
      <c r="N103" s="569"/>
      <c r="O103" s="1492"/>
      <c r="P103" s="1493"/>
      <c r="Q103" s="1494"/>
      <c r="R103" s="491"/>
    </row>
    <row r="104" spans="2:18" ht="13" x14ac:dyDescent="0.3">
      <c r="B104" s="533">
        <v>8</v>
      </c>
      <c r="C104" s="546"/>
      <c r="D104" s="570"/>
      <c r="E104" s="1190"/>
      <c r="F104" s="569"/>
      <c r="G104" s="569"/>
      <c r="H104" s="569"/>
      <c r="I104" s="569"/>
      <c r="J104" s="569"/>
      <c r="K104" s="569"/>
      <c r="L104" s="569"/>
      <c r="M104" s="569"/>
      <c r="N104" s="569"/>
      <c r="O104" s="1492"/>
      <c r="P104" s="1493"/>
      <c r="Q104" s="1494"/>
      <c r="R104" s="491"/>
    </row>
    <row r="105" spans="2:18" ht="13" x14ac:dyDescent="0.3">
      <c r="B105" s="533">
        <v>9</v>
      </c>
      <c r="C105" s="546"/>
      <c r="D105" s="570"/>
      <c r="E105" s="1190"/>
      <c r="F105" s="1217"/>
      <c r="G105" s="1217"/>
      <c r="H105" s="1217"/>
      <c r="I105" s="569"/>
      <c r="J105" s="569"/>
      <c r="K105" s="569"/>
      <c r="L105" s="569"/>
      <c r="M105" s="569"/>
      <c r="N105" s="569"/>
      <c r="O105" s="1492"/>
      <c r="P105" s="1493"/>
      <c r="Q105" s="1494"/>
      <c r="R105" s="491"/>
    </row>
    <row r="106" spans="2:18" ht="13" x14ac:dyDescent="0.3">
      <c r="B106" s="533">
        <v>10</v>
      </c>
      <c r="C106" s="546"/>
      <c r="D106" s="570"/>
      <c r="E106" s="1217"/>
      <c r="F106" s="1217"/>
      <c r="G106" s="1217"/>
      <c r="H106" s="1217"/>
      <c r="I106" s="569"/>
      <c r="J106" s="569"/>
      <c r="K106" s="569"/>
      <c r="L106" s="569"/>
      <c r="M106" s="569"/>
      <c r="N106" s="569"/>
      <c r="O106" s="1492"/>
      <c r="P106" s="1493"/>
      <c r="Q106" s="1494"/>
      <c r="R106" s="491"/>
    </row>
    <row r="107" spans="2:18" ht="13" x14ac:dyDescent="0.3">
      <c r="B107" s="533">
        <v>11</v>
      </c>
      <c r="C107" s="546"/>
      <c r="D107" s="570"/>
      <c r="E107" s="571"/>
      <c r="F107" s="1190"/>
      <c r="G107" s="571"/>
      <c r="H107" s="571"/>
      <c r="I107" s="569"/>
      <c r="J107" s="569"/>
      <c r="K107" s="569"/>
      <c r="L107" s="569"/>
      <c r="M107" s="569"/>
      <c r="N107" s="569"/>
      <c r="O107" s="1492"/>
      <c r="P107" s="1493"/>
      <c r="Q107" s="1494"/>
      <c r="R107" s="491"/>
    </row>
    <row r="108" spans="2:18" ht="13" x14ac:dyDescent="0.3">
      <c r="B108" s="533">
        <v>12</v>
      </c>
      <c r="C108" s="546"/>
      <c r="D108" s="570"/>
      <c r="E108" s="1217"/>
      <c r="F108" s="1190"/>
      <c r="G108" s="1217"/>
      <c r="H108" s="1217"/>
      <c r="I108" s="569"/>
      <c r="J108" s="569"/>
      <c r="K108" s="569"/>
      <c r="L108" s="569"/>
      <c r="M108" s="569"/>
      <c r="N108" s="569"/>
      <c r="O108" s="1492"/>
      <c r="P108" s="1493"/>
      <c r="Q108" s="1494"/>
      <c r="R108" s="491"/>
    </row>
    <row r="109" spans="2:18" ht="13" x14ac:dyDescent="0.3">
      <c r="B109" s="533">
        <v>13</v>
      </c>
      <c r="C109" s="546"/>
      <c r="D109" s="570"/>
      <c r="E109" s="1217"/>
      <c r="F109" s="1217"/>
      <c r="G109" s="1217"/>
      <c r="H109" s="1217"/>
      <c r="I109" s="569"/>
      <c r="J109" s="569"/>
      <c r="K109" s="569"/>
      <c r="L109" s="569"/>
      <c r="M109" s="569"/>
      <c r="N109" s="569"/>
      <c r="O109" s="1492"/>
      <c r="P109" s="1493"/>
      <c r="Q109" s="1494"/>
      <c r="R109" s="491"/>
    </row>
    <row r="110" spans="2:18" ht="13" x14ac:dyDescent="0.3">
      <c r="B110" s="533">
        <v>14</v>
      </c>
      <c r="C110" s="546"/>
      <c r="D110" s="570"/>
      <c r="E110" s="572"/>
      <c r="F110" s="572"/>
      <c r="G110" s="572"/>
      <c r="H110" s="572"/>
      <c r="I110" s="569"/>
      <c r="J110" s="569"/>
      <c r="K110" s="569"/>
      <c r="L110" s="569"/>
      <c r="M110" s="569"/>
      <c r="N110" s="569"/>
      <c r="O110" s="1492"/>
      <c r="P110" s="1493"/>
      <c r="Q110" s="1494"/>
      <c r="R110" s="491"/>
    </row>
    <row r="111" spans="2:18" ht="13" x14ac:dyDescent="0.3">
      <c r="B111" s="533">
        <v>15</v>
      </c>
      <c r="C111" s="546"/>
      <c r="D111" s="570"/>
      <c r="E111" s="572"/>
      <c r="F111" s="572"/>
      <c r="G111" s="572"/>
      <c r="H111" s="572"/>
      <c r="I111" s="569"/>
      <c r="J111" s="569"/>
      <c r="K111" s="569"/>
      <c r="L111" s="569"/>
      <c r="M111" s="569"/>
      <c r="N111" s="569"/>
      <c r="O111" s="1492"/>
      <c r="P111" s="1493"/>
      <c r="Q111" s="1494"/>
      <c r="R111" s="491"/>
    </row>
    <row r="112" spans="2:18" ht="13" x14ac:dyDescent="0.3">
      <c r="B112" s="533">
        <v>16</v>
      </c>
      <c r="C112" s="546"/>
      <c r="D112" s="570"/>
      <c r="E112" s="572"/>
      <c r="F112" s="572"/>
      <c r="G112" s="572"/>
      <c r="H112" s="572"/>
      <c r="I112" s="569"/>
      <c r="J112" s="569"/>
      <c r="K112" s="569"/>
      <c r="L112" s="569"/>
      <c r="M112" s="569"/>
      <c r="N112" s="569"/>
      <c r="O112" s="1492"/>
      <c r="P112" s="1493"/>
      <c r="Q112" s="1494"/>
      <c r="R112" s="491"/>
    </row>
    <row r="113" spans="2:18" ht="13" x14ac:dyDescent="0.3">
      <c r="B113" s="533">
        <v>17</v>
      </c>
      <c r="C113" s="546"/>
      <c r="D113" s="570"/>
      <c r="E113" s="572"/>
      <c r="F113" s="572"/>
      <c r="G113" s="572"/>
      <c r="H113" s="572"/>
      <c r="I113" s="569"/>
      <c r="J113" s="569"/>
      <c r="K113" s="569"/>
      <c r="L113" s="569"/>
      <c r="M113" s="569"/>
      <c r="N113" s="569"/>
      <c r="O113" s="1492"/>
      <c r="P113" s="1493"/>
      <c r="Q113" s="1494"/>
      <c r="R113" s="491"/>
    </row>
    <row r="114" spans="2:18" ht="13" x14ac:dyDescent="0.3">
      <c r="B114" s="533">
        <v>18</v>
      </c>
      <c r="C114" s="546"/>
      <c r="D114" s="570"/>
      <c r="E114" s="572"/>
      <c r="F114" s="572"/>
      <c r="G114" s="572"/>
      <c r="H114" s="572"/>
      <c r="I114" s="569"/>
      <c r="J114" s="569"/>
      <c r="K114" s="569"/>
      <c r="L114" s="569"/>
      <c r="M114" s="569"/>
      <c r="N114" s="569"/>
      <c r="O114" s="1492"/>
      <c r="P114" s="1493"/>
      <c r="Q114" s="1494"/>
      <c r="R114" s="491"/>
    </row>
    <row r="115" spans="2:18" ht="13" x14ac:dyDescent="0.3">
      <c r="B115" s="533">
        <v>19</v>
      </c>
      <c r="C115" s="546"/>
      <c r="D115" s="570"/>
      <c r="E115" s="572"/>
      <c r="F115" s="572"/>
      <c r="G115" s="572"/>
      <c r="H115" s="572"/>
      <c r="I115" s="569"/>
      <c r="J115" s="569"/>
      <c r="K115" s="569"/>
      <c r="L115" s="569"/>
      <c r="M115" s="569"/>
      <c r="N115" s="569"/>
      <c r="O115" s="1492"/>
      <c r="P115" s="1493"/>
      <c r="Q115" s="1494"/>
      <c r="R115" s="491"/>
    </row>
    <row r="116" spans="2:18" ht="13" x14ac:dyDescent="0.3">
      <c r="B116" s="533">
        <v>20</v>
      </c>
      <c r="C116" s="546"/>
      <c r="D116" s="570"/>
      <c r="E116" s="572"/>
      <c r="F116" s="572"/>
      <c r="G116" s="572"/>
      <c r="H116" s="572"/>
      <c r="I116" s="569"/>
      <c r="J116" s="569"/>
      <c r="K116" s="569"/>
      <c r="L116" s="569"/>
      <c r="M116" s="569"/>
      <c r="N116" s="569"/>
      <c r="O116" s="1492"/>
      <c r="P116" s="1493"/>
      <c r="Q116" s="1494"/>
      <c r="R116" s="491"/>
    </row>
  </sheetData>
  <sheetProtection algorithmName="SHA-512" hashValue="nm9cF1/R7SVaW6+6hssjC1XaOgoL3lKnB48Wp/Z+BmCZdumrF+gjdm1KKw1vrn33BIzuy6dQCXbOXZsnrTZdQA==" saltValue="+kyn3dWOGJ7ZX2eQtieigw==" spinCount="100000" sheet="1" objects="1" scenarios="1" selectLockedCells="1" selectUnlockedCells="1"/>
  <mergeCells count="125">
    <mergeCell ref="D71:E71"/>
    <mergeCell ref="J71:Q71"/>
    <mergeCell ref="O113:Q113"/>
    <mergeCell ref="O114:Q114"/>
    <mergeCell ref="O115:Q115"/>
    <mergeCell ref="O116:Q116"/>
    <mergeCell ref="O107:Q107"/>
    <mergeCell ref="O108:Q108"/>
    <mergeCell ref="O109:Q109"/>
    <mergeCell ref="O110:Q110"/>
    <mergeCell ref="O111:Q111"/>
    <mergeCell ref="O112:Q112"/>
    <mergeCell ref="O101:Q101"/>
    <mergeCell ref="O102:Q102"/>
    <mergeCell ref="O103:Q103"/>
    <mergeCell ref="O104:Q104"/>
    <mergeCell ref="O105:Q105"/>
    <mergeCell ref="O106:Q106"/>
    <mergeCell ref="B95:D95"/>
    <mergeCell ref="C96:D96"/>
    <mergeCell ref="O97:Q97"/>
    <mergeCell ref="O98:Q98"/>
    <mergeCell ref="O99:Q99"/>
    <mergeCell ref="O100:Q100"/>
    <mergeCell ref="E94:N94"/>
    <mergeCell ref="O94:Q96"/>
    <mergeCell ref="F80:Q80"/>
    <mergeCell ref="F81:Q81"/>
    <mergeCell ref="F82:Q82"/>
    <mergeCell ref="F83:Q83"/>
    <mergeCell ref="F84:Q84"/>
    <mergeCell ref="F85:Q85"/>
    <mergeCell ref="F86:Q86"/>
    <mergeCell ref="F87:Q87"/>
    <mergeCell ref="F88:Q88"/>
    <mergeCell ref="F89:Q89"/>
    <mergeCell ref="F90:Q90"/>
    <mergeCell ref="D68:E68"/>
    <mergeCell ref="J68:Q68"/>
    <mergeCell ref="D69:E69"/>
    <mergeCell ref="J69:Q69"/>
    <mergeCell ref="D70:E70"/>
    <mergeCell ref="J70:Q70"/>
    <mergeCell ref="D65:E65"/>
    <mergeCell ref="J65:Q65"/>
    <mergeCell ref="D66:E66"/>
    <mergeCell ref="J66:Q66"/>
    <mergeCell ref="D67:E67"/>
    <mergeCell ref="J67:Q67"/>
    <mergeCell ref="D73:E73"/>
    <mergeCell ref="J73:Q73"/>
    <mergeCell ref="D74:E74"/>
    <mergeCell ref="J74:Q74"/>
    <mergeCell ref="D75:E75"/>
    <mergeCell ref="J75:Q75"/>
    <mergeCell ref="D76:E76"/>
    <mergeCell ref="J76:Q76"/>
    <mergeCell ref="E32:Q32"/>
    <mergeCell ref="E33:Q33"/>
    <mergeCell ref="E34:Q34"/>
    <mergeCell ref="C47:M47"/>
    <mergeCell ref="P47:Q47"/>
    <mergeCell ref="C48:M48"/>
    <mergeCell ref="P48:Q48"/>
    <mergeCell ref="C49:M49"/>
    <mergeCell ref="P49:Q49"/>
    <mergeCell ref="C43:M43"/>
    <mergeCell ref="P43:Q43"/>
    <mergeCell ref="C44:M44"/>
    <mergeCell ref="P44:Q44"/>
    <mergeCell ref="C45:M45"/>
    <mergeCell ref="P45:Q45"/>
    <mergeCell ref="C54:M54"/>
    <mergeCell ref="C53:M53"/>
    <mergeCell ref="P53:Q53"/>
    <mergeCell ref="D63:E63"/>
    <mergeCell ref="J63:Q63"/>
    <mergeCell ref="D64:E64"/>
    <mergeCell ref="J64:Q64"/>
    <mergeCell ref="C57:M57"/>
    <mergeCell ref="P57:Q57"/>
    <mergeCell ref="D61:E61"/>
    <mergeCell ref="J61:Q61"/>
    <mergeCell ref="D62:E62"/>
    <mergeCell ref="J62:Q62"/>
    <mergeCell ref="C50:M50"/>
    <mergeCell ref="P50:Q50"/>
    <mergeCell ref="C51:M51"/>
    <mergeCell ref="C2:F2"/>
    <mergeCell ref="C3:F3"/>
    <mergeCell ref="C4:F4"/>
    <mergeCell ref="D7:F7"/>
    <mergeCell ref="D17:F17"/>
    <mergeCell ref="D18:F18"/>
    <mergeCell ref="D8:F16"/>
    <mergeCell ref="C5:F5"/>
    <mergeCell ref="P41:Q41"/>
    <mergeCell ref="D26:Q26"/>
    <mergeCell ref="D27:Q27"/>
    <mergeCell ref="D28:Q28"/>
    <mergeCell ref="P51:Q51"/>
    <mergeCell ref="S21:AG21"/>
    <mergeCell ref="S22:AG22"/>
    <mergeCell ref="S23:AG23"/>
    <mergeCell ref="D72:E72"/>
    <mergeCell ref="B20:Q20"/>
    <mergeCell ref="C21:Q21"/>
    <mergeCell ref="C22:Q22"/>
    <mergeCell ref="C23:Q23"/>
    <mergeCell ref="D25:Q25"/>
    <mergeCell ref="E35:Q35"/>
    <mergeCell ref="E36:Q36"/>
    <mergeCell ref="E37:Q37"/>
    <mergeCell ref="C41:M41"/>
    <mergeCell ref="B39:Q39"/>
    <mergeCell ref="D29:Q29"/>
    <mergeCell ref="D30:Q30"/>
    <mergeCell ref="C42:M42"/>
    <mergeCell ref="P42:Q42"/>
    <mergeCell ref="J72:Q72"/>
    <mergeCell ref="P54:Q54"/>
    <mergeCell ref="C55:M55"/>
    <mergeCell ref="P55:Q55"/>
    <mergeCell ref="C56:M56"/>
    <mergeCell ref="P56:Q56"/>
  </mergeCells>
  <conditionalFormatting sqref="G104:G116">
    <cfRule type="expression" dxfId="4318" priority="35">
      <formula>IF(OR(#REF!="L",#REF!="C"),TRUE,FALSE)</formula>
    </cfRule>
  </conditionalFormatting>
  <conditionalFormatting sqref="H64">
    <cfRule type="expression" dxfId="4317" priority="34">
      <formula>IF(OR(#REF!="L",#REF!="C"),TRUE,FALSE)</formula>
    </cfRule>
  </conditionalFormatting>
  <conditionalFormatting sqref="H69">
    <cfRule type="expression" dxfId="4316" priority="33">
      <formula>IF(OR(#REF!="L",#REF!="C"),TRUE,FALSE)</formula>
    </cfRule>
  </conditionalFormatting>
  <conditionalFormatting sqref="F109:F116 H104:H116">
    <cfRule type="expression" dxfId="4315" priority="32">
      <formula>IF(OR(#REF!="L",#REF!="C"),TRUE,FALSE)</formula>
    </cfRule>
  </conditionalFormatting>
  <conditionalFormatting sqref="E110:E116">
    <cfRule type="expression" dxfId="4314" priority="31">
      <formula>IF(OR(#REF!="L",#REF!="C"),TRUE,FALSE)</formula>
    </cfRule>
  </conditionalFormatting>
  <conditionalFormatting sqref="E107">
    <cfRule type="expression" dxfId="4313" priority="30">
      <formula>IF(OR(#REF!="L",#REF!="C"),TRUE,FALSE)</formula>
    </cfRule>
  </conditionalFormatting>
  <conditionalFormatting sqref="E108">
    <cfRule type="expression" dxfId="4312" priority="29">
      <formula>IF(OR(#REF!="L",#REF!="C"),TRUE,FALSE)</formula>
    </cfRule>
  </conditionalFormatting>
  <conditionalFormatting sqref="E109">
    <cfRule type="expression" dxfId="4311" priority="28">
      <formula>IF(OR(#REF!="L",#REF!="C"),TRUE,FALSE)</formula>
    </cfRule>
  </conditionalFormatting>
  <conditionalFormatting sqref="E106">
    <cfRule type="expression" dxfId="4310" priority="27">
      <formula>IF(OR(#REF!="L",#REF!="C"),TRUE,FALSE)</formula>
    </cfRule>
  </conditionalFormatting>
  <conditionalFormatting sqref="E95 G95 I95 K95 M95">
    <cfRule type="duplicateValues" dxfId="4309" priority="26"/>
  </conditionalFormatting>
  <conditionalFormatting sqref="M104:M116 F104:F106">
    <cfRule type="expression" dxfId="4308" priority="17">
      <formula>IF(OR(#REF!="L",#REF!="C"),TRUE,FALSE)</formula>
    </cfRule>
  </conditionalFormatting>
  <conditionalFormatting sqref="I102:I103">
    <cfRule type="expression" dxfId="4307" priority="24">
      <formula>IF(OR(#REF!="L",#REF!="C"),TRUE,FALSE)</formula>
    </cfRule>
  </conditionalFormatting>
  <conditionalFormatting sqref="N102:N103">
    <cfRule type="expression" dxfId="4306" priority="14">
      <formula>IF(OR(#REF!="L",#REF!="C"),TRUE,FALSE)</formula>
    </cfRule>
  </conditionalFormatting>
  <conditionalFormatting sqref="I104:I116">
    <cfRule type="expression" dxfId="4305" priority="25">
      <formula>IF(OR(#REF!="L",#REF!="C"),TRUE,FALSE)</formula>
    </cfRule>
  </conditionalFormatting>
  <conditionalFormatting sqref="J102:J103">
    <cfRule type="expression" dxfId="4304" priority="22">
      <formula>IF(OR(#REF!="L",#REF!="C"),TRUE,FALSE)</formula>
    </cfRule>
  </conditionalFormatting>
  <conditionalFormatting sqref="J104:J116">
    <cfRule type="expression" dxfId="4303" priority="23">
      <formula>IF(OR(#REF!="L",#REF!="C"),TRUE,FALSE)</formula>
    </cfRule>
  </conditionalFormatting>
  <conditionalFormatting sqref="K102:K103">
    <cfRule type="expression" dxfId="4302" priority="20">
      <formula>IF(OR(#REF!="L",#REF!="C"),TRUE,FALSE)</formula>
    </cfRule>
  </conditionalFormatting>
  <conditionalFormatting sqref="K104:K116">
    <cfRule type="expression" dxfId="4301" priority="21">
      <formula>IF(OR(#REF!="L",#REF!="C"),TRUE,FALSE)</formula>
    </cfRule>
  </conditionalFormatting>
  <conditionalFormatting sqref="L102:L103">
    <cfRule type="expression" dxfId="4300" priority="18">
      <formula>IF(OR(#REF!="L",#REF!="C"),TRUE,FALSE)</formula>
    </cfRule>
  </conditionalFormatting>
  <conditionalFormatting sqref="L104:L116">
    <cfRule type="expression" dxfId="4299" priority="19">
      <formula>IF(OR(#REF!="L",#REF!="C"),TRUE,FALSE)</formula>
    </cfRule>
  </conditionalFormatting>
  <conditionalFormatting sqref="M102:M103">
    <cfRule type="expression" dxfId="4298" priority="16">
      <formula>IF(OR(#REF!="L",#REF!="C"),TRUE,FALSE)</formula>
    </cfRule>
  </conditionalFormatting>
  <conditionalFormatting sqref="N104:N116">
    <cfRule type="expression" dxfId="4297" priority="15">
      <formula>IF(OR(#REF!="L",#REF!="C"),TRUE,FALSE)</formula>
    </cfRule>
  </conditionalFormatting>
  <conditionalFormatting sqref="O102:O103">
    <cfRule type="expression" dxfId="4296" priority="12">
      <formula>IF(OR(#REF!="L",#REF!="C"),TRUE,FALSE)</formula>
    </cfRule>
  </conditionalFormatting>
  <conditionalFormatting sqref="O104:O116">
    <cfRule type="expression" dxfId="4295" priority="13">
      <formula>IF(OR(#REF!="L",#REF!="C"),TRUE,FALSE)</formula>
    </cfRule>
  </conditionalFormatting>
  <conditionalFormatting sqref="G96:N96 E96">
    <cfRule type="duplicateValues" dxfId="4294" priority="11"/>
  </conditionalFormatting>
  <conditionalFormatting sqref="H72">
    <cfRule type="expression" dxfId="4293" priority="10">
      <formula>IF(OR(#REF!="L",#REF!="C"),TRUE,FALSE)</formula>
    </cfRule>
  </conditionalFormatting>
  <conditionalFormatting sqref="H73">
    <cfRule type="expression" dxfId="4292" priority="9">
      <formula>IF(OR(#REF!="L",#REF!="C"),TRUE,FALSE)</formula>
    </cfRule>
  </conditionalFormatting>
  <conditionalFormatting sqref="H74">
    <cfRule type="expression" dxfId="4291" priority="8">
      <formula>IF(OR(#REF!="L",#REF!="C"),TRUE,FALSE)</formula>
    </cfRule>
  </conditionalFormatting>
  <conditionalFormatting sqref="H75">
    <cfRule type="expression" dxfId="4290" priority="7">
      <formula>IF(OR(#REF!="L",#REF!="C"),TRUE,FALSE)</formula>
    </cfRule>
  </conditionalFormatting>
  <conditionalFormatting sqref="H76">
    <cfRule type="expression" dxfId="4289" priority="6">
      <formula>IF(OR(#REF!="L",#REF!="C"),TRUE,FALSE)</formula>
    </cfRule>
  </conditionalFormatting>
  <conditionalFormatting sqref="F96">
    <cfRule type="duplicateValues" dxfId="4288" priority="5"/>
  </conditionalFormatting>
  <conditionalFormatting sqref="H65:H68">
    <cfRule type="expression" dxfId="4287" priority="4">
      <formula>IF(OR(#REF!="L",#REF!="C"),TRUE,FALSE)</formula>
    </cfRule>
  </conditionalFormatting>
  <conditionalFormatting sqref="H63">
    <cfRule type="expression" dxfId="4286" priority="3">
      <formula>IF(OR(#REF!="L",#REF!="C"),TRUE,FALSE)</formula>
    </cfRule>
  </conditionalFormatting>
  <conditionalFormatting sqref="H62">
    <cfRule type="expression" dxfId="4285" priority="2">
      <formula>IF(OR(#REF!="L",#REF!="C"),TRUE,FALSE)</formula>
    </cfRule>
  </conditionalFormatting>
  <conditionalFormatting sqref="H70:H71">
    <cfRule type="expression" dxfId="4284" priority="1">
      <formula>IF(OR(#REF!="L",#REF!="C"),TRUE,FALSE)</formula>
    </cfRule>
  </conditionalFormatting>
  <dataValidations count="6">
    <dataValidation type="list" allowBlank="1" showInputMessage="1" showErrorMessage="1" sqref="H68" xr:uid="{2CFC741D-1F66-4D47-97F1-A0C3E713EE5E}">
      <formula1>$C$98:$C$117</formula1>
    </dataValidation>
    <dataValidation type="list" allowBlank="1" showInputMessage="1" showErrorMessage="1" sqref="C27" xr:uid="{A83D20E4-F358-432E-A6EE-42337D22B024}">
      <formula1>INDIRECT("ReplacementTypeList[Index]")</formula1>
    </dataValidation>
    <dataValidation type="list" allowBlank="1" showInputMessage="1" showErrorMessage="1" sqref="C29:C30" xr:uid="{20C99180-9AE0-42B3-8C28-D2457EC558CD}">
      <formula1>INDIRECT("FuelTypeList[Index]")</formula1>
    </dataValidation>
    <dataValidation type="list" allowBlank="1" showInputMessage="1" showErrorMessage="1" sqref="C9" xr:uid="{04D89C34-32DE-47E4-9F50-C74797FA2987}">
      <formula1>INDIRECT("MeasureTypeList[Index]")</formula1>
    </dataValidation>
    <dataValidation type="list" allowBlank="1" showInputMessage="1" showErrorMessage="1" sqref="C26" xr:uid="{56D465F9-29ED-4B91-847E-06BEB70AD60D}">
      <formula1>INDIRECT("RegionList[Index]")</formula1>
    </dataValidation>
    <dataValidation type="list" allowBlank="1" showInputMessage="1" showErrorMessage="1" sqref="C28" xr:uid="{85ACA69D-419A-4F29-91A4-A1228CB50891}">
      <formula1>INDIRECT("BuildingType[Building]")</formula1>
    </dataValidation>
  </dataValidations>
  <hyperlinks>
    <hyperlink ref="J63" r:id="rId1" xr:uid="{99BBE8C4-9A03-4FE6-B3C6-A40A1CD03AC4}"/>
  </hyperlinks>
  <pageMargins left="0.7" right="0.7" top="0.75" bottom="0.75" header="0.3" footer="0.3"/>
  <pageSetup orientation="portrait" r:id="rId2"/>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304B2-2DCD-4CE0-B395-0C88D12A538C}">
  <sheetPr codeName="Sheet56"/>
  <dimension ref="A2:R116"/>
  <sheetViews>
    <sheetView workbookViewId="0"/>
  </sheetViews>
  <sheetFormatPr defaultColWidth="9.08984375" defaultRowHeight="18.75" customHeight="1" x14ac:dyDescent="0.3"/>
  <cols>
    <col min="1" max="1" width="2.36328125" style="488" customWidth="1"/>
    <col min="2" max="2" width="40.26953125" style="488" customWidth="1"/>
    <col min="3" max="3" width="26.7265625" style="488" customWidth="1"/>
    <col min="4" max="4" width="21.6328125" style="488" customWidth="1"/>
    <col min="5" max="5" width="18" style="488" customWidth="1"/>
    <col min="6" max="6" width="15.6328125" style="488" customWidth="1"/>
    <col min="7" max="7" width="19.6328125" style="488" customWidth="1"/>
    <col min="8" max="8" width="16"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DER-003</v>
      </c>
      <c r="D3" s="1367"/>
      <c r="E3" s="1367"/>
      <c r="F3" s="1367"/>
    </row>
    <row r="4" spans="1:18" ht="18.75" customHeight="1" x14ac:dyDescent="0.3">
      <c r="B4" s="490" t="s">
        <v>11</v>
      </c>
      <c r="C4" s="1367" t="s">
        <v>334</v>
      </c>
      <c r="D4" s="1367"/>
      <c r="E4" s="1367"/>
      <c r="F4" s="1367"/>
    </row>
    <row r="5" spans="1:18" ht="19.5" customHeight="1" x14ac:dyDescent="0.3">
      <c r="B5" s="490" t="s">
        <v>408</v>
      </c>
      <c r="C5" s="1530" t="s">
        <v>341</v>
      </c>
      <c r="D5" s="1531"/>
      <c r="E5" s="1531"/>
      <c r="F5" s="1532"/>
      <c r="R5" s="488"/>
    </row>
    <row r="6" spans="1:18" ht="18.75" customHeight="1" x14ac:dyDescent="0.3">
      <c r="A6" s="573"/>
    </row>
    <row r="7" spans="1:18" ht="18.75" customHeight="1" x14ac:dyDescent="0.3">
      <c r="B7" s="1193" t="s">
        <v>409</v>
      </c>
      <c r="C7" s="1192" t="s">
        <v>406</v>
      </c>
      <c r="D7" s="1363" t="s">
        <v>410</v>
      </c>
      <c r="E7" s="1363"/>
      <c r="F7" s="1363"/>
      <c r="R7" s="488"/>
    </row>
    <row r="8" spans="1:18" ht="18.75" customHeight="1" x14ac:dyDescent="0.3">
      <c r="B8" s="490" t="s">
        <v>411</v>
      </c>
      <c r="C8" s="1218" t="s">
        <v>187</v>
      </c>
      <c r="D8" s="1957"/>
      <c r="E8" s="1957"/>
      <c r="F8" s="1957"/>
      <c r="R8" s="488"/>
    </row>
    <row r="9" spans="1:18" ht="18.75" customHeight="1" x14ac:dyDescent="0.3">
      <c r="B9" s="490" t="s">
        <v>49</v>
      </c>
      <c r="C9" s="1218" t="s">
        <v>2020</v>
      </c>
      <c r="D9" s="1957"/>
      <c r="E9" s="1957"/>
      <c r="F9" s="1957"/>
      <c r="R9" s="488"/>
    </row>
    <row r="10" spans="1:18" ht="18.75" customHeight="1" x14ac:dyDescent="0.3">
      <c r="B10" s="490" t="s">
        <v>412</v>
      </c>
      <c r="C10" s="1218"/>
      <c r="D10" s="1957"/>
      <c r="E10" s="1957"/>
      <c r="F10" s="1957"/>
      <c r="R10" s="488"/>
    </row>
    <row r="11" spans="1:18" ht="18.75" customHeight="1" x14ac:dyDescent="0.3">
      <c r="B11" s="490" t="s">
        <v>413</v>
      </c>
      <c r="C11" s="1218"/>
      <c r="D11" s="1957"/>
      <c r="E11" s="1957"/>
      <c r="F11" s="1957"/>
      <c r="R11" s="488"/>
    </row>
    <row r="12" spans="1:18" ht="18.75" customHeight="1" x14ac:dyDescent="0.3">
      <c r="B12" s="490" t="s">
        <v>414</v>
      </c>
      <c r="C12" s="665"/>
      <c r="D12" s="1957"/>
      <c r="E12" s="1957"/>
      <c r="F12" s="1957"/>
      <c r="R12" s="488"/>
    </row>
    <row r="13" spans="1:18" ht="18.75" customHeight="1" x14ac:dyDescent="0.3">
      <c r="B13" s="494" t="s">
        <v>415</v>
      </c>
      <c r="C13" s="658">
        <f>N43</f>
        <v>0</v>
      </c>
      <c r="D13" s="1957"/>
      <c r="E13" s="1957"/>
      <c r="F13" s="1957"/>
      <c r="R13" s="488"/>
    </row>
    <row r="14" spans="1:18" ht="18.75" customHeight="1" x14ac:dyDescent="0.3">
      <c r="B14" s="494" t="s">
        <v>416</v>
      </c>
      <c r="C14" s="658">
        <f>N42</f>
        <v>0</v>
      </c>
      <c r="D14" s="1957"/>
      <c r="E14" s="1957"/>
      <c r="F14" s="1957"/>
      <c r="R14" s="488"/>
    </row>
    <row r="15" spans="1:18" ht="18.75" customHeight="1" x14ac:dyDescent="0.3">
      <c r="B15" s="494" t="s">
        <v>417</v>
      </c>
      <c r="C15" s="658">
        <f>N44</f>
        <v>0</v>
      </c>
      <c r="D15" s="1957"/>
      <c r="E15" s="1957"/>
      <c r="F15" s="1957"/>
      <c r="R15" s="488"/>
    </row>
    <row r="16" spans="1:18" ht="18.75" customHeight="1" x14ac:dyDescent="0.3">
      <c r="B16" s="494" t="s">
        <v>418</v>
      </c>
      <c r="C16" s="659">
        <f>C37</f>
        <v>0</v>
      </c>
      <c r="D16" s="1957"/>
      <c r="E16" s="1957"/>
      <c r="F16" s="1957"/>
      <c r="R16" s="488"/>
    </row>
    <row r="17" spans="2:18" ht="18.75" customHeight="1" x14ac:dyDescent="0.3">
      <c r="B17" s="490" t="s">
        <v>48</v>
      </c>
      <c r="C17" s="1218" t="s">
        <v>673</v>
      </c>
      <c r="D17" s="1363" t="s">
        <v>419</v>
      </c>
      <c r="E17" s="1363"/>
      <c r="F17" s="1363"/>
      <c r="R17" s="488"/>
    </row>
    <row r="18" spans="2:18" ht="18.75" customHeight="1" x14ac:dyDescent="0.3">
      <c r="B18" s="490" t="s">
        <v>420</v>
      </c>
      <c r="C18" s="666">
        <v>15</v>
      </c>
      <c r="D18" s="2026" t="s">
        <v>674</v>
      </c>
      <c r="E18" s="2026"/>
      <c r="F18" s="2026"/>
      <c r="R18" s="488"/>
    </row>
    <row r="19" spans="2:18" ht="18.75" customHeight="1" x14ac:dyDescent="0.3">
      <c r="B19" s="497"/>
      <c r="C19" s="576"/>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36.75" customHeight="1" x14ac:dyDescent="0.3">
      <c r="B21" s="499" t="s">
        <v>422</v>
      </c>
      <c r="C21" s="1546" t="s">
        <v>342</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36" t="s">
        <v>343</v>
      </c>
      <c r="D22" s="1536"/>
      <c r="E22" s="1536"/>
      <c r="F22" s="1536"/>
      <c r="G22" s="1536"/>
      <c r="H22" s="1536"/>
      <c r="I22" s="1536"/>
      <c r="J22" s="1536"/>
      <c r="K22" s="1536"/>
      <c r="L22" s="1536"/>
      <c r="M22" s="1536"/>
      <c r="N22" s="1536"/>
      <c r="O22" s="1536"/>
      <c r="P22" s="1536"/>
      <c r="Q22" s="1536"/>
      <c r="R22" s="488"/>
    </row>
    <row r="23" spans="2:18" ht="18.75" customHeight="1" x14ac:dyDescent="0.3">
      <c r="B23" s="500" t="s">
        <v>424</v>
      </c>
      <c r="C23" s="2033"/>
      <c r="D23" s="2033"/>
      <c r="E23" s="2033"/>
      <c r="F23" s="2033"/>
      <c r="G23" s="2033"/>
      <c r="H23" s="2033"/>
      <c r="I23" s="2033"/>
      <c r="J23" s="2033"/>
      <c r="K23" s="2033"/>
      <c r="L23" s="2033"/>
      <c r="M23" s="2033"/>
      <c r="N23" s="2033"/>
      <c r="O23" s="2033"/>
      <c r="P23" s="2033"/>
      <c r="Q23" s="2033"/>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512"/>
      <c r="F33" s="1512"/>
      <c r="G33" s="1512"/>
      <c r="H33" s="1512"/>
      <c r="I33" s="1512"/>
      <c r="J33" s="1512"/>
      <c r="K33" s="1512"/>
      <c r="L33" s="1512"/>
      <c r="M33" s="1512"/>
      <c r="N33" s="1512"/>
      <c r="O33" s="1512"/>
      <c r="P33" s="1512"/>
      <c r="Q33" s="1512"/>
      <c r="R33" s="488"/>
    </row>
    <row r="34" spans="2:18" ht="18.75" customHeight="1" x14ac:dyDescent="0.3">
      <c r="B34" s="494" t="s">
        <v>431</v>
      </c>
      <c r="C34" s="542"/>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905"/>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905">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0</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1004</v>
      </c>
      <c r="D49" s="1505"/>
      <c r="E49" s="1505"/>
      <c r="F49" s="1505"/>
      <c r="G49" s="1505"/>
      <c r="H49" s="1505"/>
      <c r="I49" s="1505"/>
      <c r="J49" s="1505"/>
      <c r="K49" s="1505"/>
      <c r="L49" s="1505"/>
      <c r="M49" s="1506"/>
      <c r="N49" s="592"/>
      <c r="O49" s="1243" t="s">
        <v>443</v>
      </c>
      <c r="P49" s="1511"/>
      <c r="Q49" s="1511"/>
      <c r="R49" s="488"/>
    </row>
    <row r="50" spans="2:18" ht="18.75" customHeight="1" x14ac:dyDescent="0.3">
      <c r="B50" s="582" t="s">
        <v>456</v>
      </c>
      <c r="C50" s="1504" t="s">
        <v>1005</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467</v>
      </c>
      <c r="D56" s="1505"/>
      <c r="E56" s="1505"/>
      <c r="F56" s="1505"/>
      <c r="G56" s="1505"/>
      <c r="H56" s="1505"/>
      <c r="I56" s="1505"/>
      <c r="J56" s="1505"/>
      <c r="K56" s="1505"/>
      <c r="L56" s="1505"/>
      <c r="M56" s="1506"/>
      <c r="N56" s="594"/>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765</v>
      </c>
      <c r="H61" s="506" t="s">
        <v>406</v>
      </c>
      <c r="I61" s="506" t="s">
        <v>428</v>
      </c>
      <c r="J61" s="1396" t="s">
        <v>476</v>
      </c>
      <c r="K61" s="1397"/>
      <c r="L61" s="1397"/>
      <c r="M61" s="1397"/>
      <c r="N61" s="1397"/>
      <c r="O61" s="1397"/>
      <c r="P61" s="1397"/>
      <c r="Q61" s="1398"/>
    </row>
    <row r="62" spans="2:18" ht="15" customHeight="1" x14ac:dyDescent="0.3">
      <c r="B62" s="719">
        <v>1</v>
      </c>
      <c r="C62" s="1069"/>
      <c r="D62" s="2027"/>
      <c r="E62" s="2027"/>
      <c r="F62" s="1070"/>
      <c r="G62" s="1070"/>
      <c r="H62" s="1071"/>
      <c r="I62" s="1070"/>
      <c r="J62" s="2028"/>
      <c r="K62" s="2029"/>
      <c r="L62" s="2029"/>
      <c r="M62" s="2029"/>
      <c r="N62" s="2029"/>
      <c r="O62" s="2029"/>
      <c r="P62" s="2029"/>
      <c r="Q62" s="2030"/>
      <c r="R62" s="488"/>
    </row>
    <row r="63" spans="2:18" ht="15" customHeight="1" x14ac:dyDescent="0.3">
      <c r="B63" s="719">
        <v>2</v>
      </c>
      <c r="C63" s="1069"/>
      <c r="D63" s="2027"/>
      <c r="E63" s="2027"/>
      <c r="F63" s="1070"/>
      <c r="G63" s="1070"/>
      <c r="H63" s="1071"/>
      <c r="I63" s="1070"/>
      <c r="J63" s="2028"/>
      <c r="K63" s="2029"/>
      <c r="L63" s="2029"/>
      <c r="M63" s="2029"/>
      <c r="N63" s="2029"/>
      <c r="O63" s="2029"/>
      <c r="P63" s="2029"/>
      <c r="Q63" s="2030"/>
      <c r="R63" s="488"/>
    </row>
    <row r="64" spans="2:18" ht="15" customHeight="1" x14ac:dyDescent="0.3">
      <c r="B64" s="719">
        <v>3</v>
      </c>
      <c r="C64" s="1069"/>
      <c r="D64" s="2027"/>
      <c r="E64" s="2027"/>
      <c r="F64" s="1070"/>
      <c r="G64" s="1070"/>
      <c r="H64" s="1071"/>
      <c r="I64" s="1070"/>
      <c r="J64" s="2028"/>
      <c r="K64" s="2029"/>
      <c r="L64" s="2029"/>
      <c r="M64" s="2029"/>
      <c r="N64" s="2029"/>
      <c r="O64" s="2029"/>
      <c r="P64" s="2029"/>
      <c r="Q64" s="2030"/>
      <c r="R64" s="488"/>
    </row>
    <row r="65" spans="2:18" ht="15" customHeight="1" x14ac:dyDescent="0.3">
      <c r="B65" s="719">
        <v>4</v>
      </c>
      <c r="C65" s="1069"/>
      <c r="D65" s="2027"/>
      <c r="E65" s="2027"/>
      <c r="F65" s="1070"/>
      <c r="G65" s="1070"/>
      <c r="H65" s="1071"/>
      <c r="I65" s="1070"/>
      <c r="J65" s="2028"/>
      <c r="K65" s="2029"/>
      <c r="L65" s="2029"/>
      <c r="M65" s="2029"/>
      <c r="N65" s="2029"/>
      <c r="O65" s="2029"/>
      <c r="P65" s="2029"/>
      <c r="Q65" s="2030"/>
      <c r="R65" s="488"/>
    </row>
    <row r="66" spans="2:18" ht="15" customHeight="1" x14ac:dyDescent="0.3">
      <c r="B66" s="719">
        <v>5</v>
      </c>
      <c r="C66" s="1069"/>
      <c r="D66" s="2027"/>
      <c r="E66" s="2027"/>
      <c r="F66" s="1070"/>
      <c r="G66" s="1070"/>
      <c r="H66" s="1071"/>
      <c r="I66" s="1070"/>
      <c r="J66" s="2028"/>
      <c r="K66" s="2029"/>
      <c r="L66" s="2029"/>
      <c r="M66" s="2029"/>
      <c r="N66" s="2029"/>
      <c r="O66" s="2029"/>
      <c r="P66" s="2029"/>
      <c r="Q66" s="2030"/>
      <c r="R66" s="488"/>
    </row>
    <row r="67" spans="2:18" ht="15" customHeight="1" x14ac:dyDescent="0.3">
      <c r="B67" s="719">
        <v>6</v>
      </c>
      <c r="C67" s="1069"/>
      <c r="D67" s="2027"/>
      <c r="E67" s="2027"/>
      <c r="F67" s="1070"/>
      <c r="G67" s="1070"/>
      <c r="H67" s="1071"/>
      <c r="I67" s="1070"/>
      <c r="J67" s="2028"/>
      <c r="K67" s="2029"/>
      <c r="L67" s="2029"/>
      <c r="M67" s="2029"/>
      <c r="N67" s="2029"/>
      <c r="O67" s="2029"/>
      <c r="P67" s="2029"/>
      <c r="Q67" s="2030"/>
      <c r="R67" s="488"/>
    </row>
    <row r="68" spans="2:18" ht="15" customHeight="1" x14ac:dyDescent="0.3">
      <c r="B68" s="719">
        <v>7</v>
      </c>
      <c r="C68" s="1069"/>
      <c r="D68" s="2027"/>
      <c r="E68" s="2027"/>
      <c r="F68" s="1070"/>
      <c r="G68" s="1070"/>
      <c r="H68" s="1071"/>
      <c r="I68" s="1070"/>
      <c r="J68" s="2028"/>
      <c r="K68" s="2029"/>
      <c r="L68" s="2029"/>
      <c r="M68" s="2029"/>
      <c r="N68" s="2029"/>
      <c r="O68" s="2029"/>
      <c r="P68" s="2029"/>
      <c r="Q68" s="2030"/>
      <c r="R68" s="488"/>
    </row>
    <row r="69" spans="2:18" ht="15" customHeight="1" x14ac:dyDescent="0.3">
      <c r="B69" s="719">
        <v>8</v>
      </c>
      <c r="C69" s="1069"/>
      <c r="D69" s="2027"/>
      <c r="E69" s="2027"/>
      <c r="F69" s="1070"/>
      <c r="G69" s="1070"/>
      <c r="H69" s="1071"/>
      <c r="I69" s="1070"/>
      <c r="J69" s="2028"/>
      <c r="K69" s="2029"/>
      <c r="L69" s="2029"/>
      <c r="M69" s="2029"/>
      <c r="N69" s="2029"/>
      <c r="O69" s="2029"/>
      <c r="P69" s="2029"/>
      <c r="Q69" s="2030"/>
      <c r="R69" s="488"/>
    </row>
    <row r="70" spans="2:18" ht="15" customHeight="1" x14ac:dyDescent="0.3">
      <c r="B70" s="719">
        <v>9</v>
      </c>
      <c r="C70" s="1069"/>
      <c r="D70" s="2027"/>
      <c r="E70" s="2027"/>
      <c r="F70" s="1070"/>
      <c r="G70" s="1070"/>
      <c r="H70" s="1071"/>
      <c r="I70" s="1070"/>
      <c r="J70" s="2028"/>
      <c r="K70" s="2029"/>
      <c r="L70" s="2029"/>
      <c r="M70" s="2029"/>
      <c r="N70" s="2029"/>
      <c r="O70" s="2029"/>
      <c r="P70" s="2029"/>
      <c r="Q70" s="2030"/>
      <c r="R70" s="488"/>
    </row>
    <row r="71" spans="2:18" ht="15" customHeight="1" x14ac:dyDescent="0.3">
      <c r="B71" s="719">
        <v>10</v>
      </c>
      <c r="C71" s="1069"/>
      <c r="D71" s="2027"/>
      <c r="E71" s="2027"/>
      <c r="F71" s="1070"/>
      <c r="G71" s="1070"/>
      <c r="H71" s="1071"/>
      <c r="I71" s="1070"/>
      <c r="J71" s="2028"/>
      <c r="K71" s="2029"/>
      <c r="L71" s="2029"/>
      <c r="M71" s="2029"/>
      <c r="N71" s="2029"/>
      <c r="O71" s="2029"/>
      <c r="P71" s="2029"/>
      <c r="Q71" s="2030"/>
      <c r="R71" s="488"/>
    </row>
    <row r="72" spans="2:18" ht="15" customHeight="1" x14ac:dyDescent="0.3">
      <c r="B72" s="719">
        <v>11</v>
      </c>
      <c r="C72" s="1069"/>
      <c r="D72" s="2027"/>
      <c r="E72" s="2027"/>
      <c r="F72" s="1070"/>
      <c r="G72" s="1070"/>
      <c r="H72" s="1071"/>
      <c r="I72" s="1070"/>
      <c r="J72" s="2028"/>
      <c r="K72" s="2029"/>
      <c r="L72" s="2029"/>
      <c r="M72" s="2029"/>
      <c r="N72" s="2029"/>
      <c r="O72" s="2029"/>
      <c r="P72" s="2029"/>
      <c r="Q72" s="2030"/>
      <c r="R72" s="488"/>
    </row>
    <row r="73" spans="2:18" ht="15" customHeight="1" x14ac:dyDescent="0.3">
      <c r="B73" s="719">
        <v>12</v>
      </c>
      <c r="C73" s="1069"/>
      <c r="D73" s="2027"/>
      <c r="E73" s="2027"/>
      <c r="F73" s="1070"/>
      <c r="G73" s="1070"/>
      <c r="H73" s="1071"/>
      <c r="I73" s="1070"/>
      <c r="J73" s="2028"/>
      <c r="K73" s="2029"/>
      <c r="L73" s="2029"/>
      <c r="M73" s="2029"/>
      <c r="N73" s="2029"/>
      <c r="O73" s="2029"/>
      <c r="P73" s="2029"/>
      <c r="Q73" s="2030"/>
      <c r="R73" s="488"/>
    </row>
    <row r="74" spans="2:18" ht="15" customHeight="1" x14ac:dyDescent="0.3">
      <c r="B74" s="719">
        <v>13</v>
      </c>
      <c r="C74" s="1069"/>
      <c r="D74" s="2027"/>
      <c r="E74" s="2027"/>
      <c r="F74" s="1070"/>
      <c r="G74" s="1070"/>
      <c r="H74" s="1071"/>
      <c r="I74" s="1070"/>
      <c r="J74" s="2028"/>
      <c r="K74" s="2029"/>
      <c r="L74" s="2029"/>
      <c r="M74" s="2029"/>
      <c r="N74" s="2029"/>
      <c r="O74" s="2029"/>
      <c r="P74" s="2029"/>
      <c r="Q74" s="2030"/>
      <c r="R74" s="488"/>
    </row>
    <row r="75" spans="2:18" ht="15" customHeight="1" x14ac:dyDescent="0.3">
      <c r="B75" s="719">
        <v>14</v>
      </c>
      <c r="C75" s="1069"/>
      <c r="D75" s="2027"/>
      <c r="E75" s="2027"/>
      <c r="F75" s="1070"/>
      <c r="G75" s="1070"/>
      <c r="H75" s="1071"/>
      <c r="I75" s="1070"/>
      <c r="J75" s="2028"/>
      <c r="K75" s="2029"/>
      <c r="L75" s="2029"/>
      <c r="M75" s="2029"/>
      <c r="N75" s="2029"/>
      <c r="O75" s="2029"/>
      <c r="P75" s="2029"/>
      <c r="Q75" s="2030"/>
      <c r="R75" s="488"/>
    </row>
    <row r="76" spans="2:18" ht="15" customHeight="1" x14ac:dyDescent="0.3">
      <c r="B76" s="719">
        <v>15</v>
      </c>
      <c r="C76" s="1069"/>
      <c r="D76" s="2027"/>
      <c r="E76" s="2027"/>
      <c r="F76" s="1070"/>
      <c r="G76" s="1070"/>
      <c r="H76" s="1071"/>
      <c r="I76" s="1070"/>
      <c r="J76" s="2028"/>
      <c r="K76" s="2029"/>
      <c r="L76" s="2029"/>
      <c r="M76" s="2029"/>
      <c r="N76" s="2029"/>
      <c r="O76" s="2029"/>
      <c r="P76" s="2029"/>
      <c r="Q76" s="2030"/>
      <c r="R76" s="488"/>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c r="D81" s="561"/>
      <c r="E81" s="1233"/>
      <c r="F81" s="1486"/>
      <c r="G81" s="1487"/>
      <c r="H81" s="1487"/>
      <c r="I81" s="1487"/>
      <c r="J81" s="1487"/>
      <c r="K81" s="1487"/>
      <c r="L81" s="1487"/>
      <c r="M81" s="1487"/>
      <c r="N81" s="1487"/>
      <c r="O81" s="1487"/>
      <c r="P81" s="1487"/>
      <c r="Q81" s="1488"/>
      <c r="R81" s="488"/>
    </row>
    <row r="82" spans="2:18" ht="13" x14ac:dyDescent="0.3">
      <c r="B82" s="533">
        <v>2</v>
      </c>
      <c r="C82" s="560"/>
      <c r="D82" s="562"/>
      <c r="E82" s="1233"/>
      <c r="F82" s="1489"/>
      <c r="G82" s="1490"/>
      <c r="H82" s="1490"/>
      <c r="I82" s="1490"/>
      <c r="J82" s="1490"/>
      <c r="K82" s="1490"/>
      <c r="L82" s="1490"/>
      <c r="M82" s="1490"/>
      <c r="N82" s="1490"/>
      <c r="O82" s="1490"/>
      <c r="P82" s="1490"/>
      <c r="Q82" s="1491"/>
      <c r="R82" s="488"/>
    </row>
    <row r="83" spans="2:18" ht="13" x14ac:dyDescent="0.3">
      <c r="B83" s="533">
        <v>3</v>
      </c>
      <c r="C83" s="560"/>
      <c r="D83" s="562"/>
      <c r="E83" s="1233"/>
      <c r="F83" s="1489"/>
      <c r="G83" s="1490"/>
      <c r="H83" s="1490"/>
      <c r="I83" s="1490"/>
      <c r="J83" s="1490"/>
      <c r="K83" s="1490"/>
      <c r="L83" s="1490"/>
      <c r="M83" s="1490"/>
      <c r="N83" s="1490"/>
      <c r="O83" s="1490"/>
      <c r="P83" s="1490"/>
      <c r="Q83" s="1491"/>
      <c r="R83" s="488"/>
    </row>
    <row r="84" spans="2:18" ht="13" x14ac:dyDescent="0.3">
      <c r="B84" s="533">
        <v>4</v>
      </c>
      <c r="C84" s="560"/>
      <c r="D84" s="562"/>
      <c r="E84" s="1233"/>
      <c r="F84" s="1489"/>
      <c r="G84" s="1490"/>
      <c r="H84" s="1490"/>
      <c r="I84" s="1490"/>
      <c r="J84" s="1490"/>
      <c r="K84" s="1490"/>
      <c r="L84" s="1490"/>
      <c r="M84" s="1490"/>
      <c r="N84" s="1490"/>
      <c r="O84" s="1490"/>
      <c r="P84" s="1490"/>
      <c r="Q84" s="1491"/>
      <c r="R84" s="488"/>
    </row>
    <row r="85" spans="2:18" ht="13" x14ac:dyDescent="0.3">
      <c r="B85" s="533">
        <v>5</v>
      </c>
      <c r="C85" s="560"/>
      <c r="D85" s="562"/>
      <c r="E85" s="1233"/>
      <c r="F85" s="1489"/>
      <c r="G85" s="1490"/>
      <c r="H85" s="1490"/>
      <c r="I85" s="1490"/>
      <c r="J85" s="1490"/>
      <c r="K85" s="1490"/>
      <c r="L85" s="1490"/>
      <c r="M85" s="1490"/>
      <c r="N85" s="1490"/>
      <c r="O85" s="1490"/>
      <c r="P85" s="1490"/>
      <c r="Q85" s="1491"/>
      <c r="R85" s="488"/>
    </row>
    <row r="86" spans="2:18" ht="13" x14ac:dyDescent="0.3">
      <c r="B86" s="533">
        <v>6</v>
      </c>
      <c r="C86" s="560"/>
      <c r="D86" s="562"/>
      <c r="E86" s="1233"/>
      <c r="F86" s="1486"/>
      <c r="G86" s="1487"/>
      <c r="H86" s="1487"/>
      <c r="I86" s="1487"/>
      <c r="J86" s="1487"/>
      <c r="K86" s="1487"/>
      <c r="L86" s="1487"/>
      <c r="M86" s="1487"/>
      <c r="N86" s="1487"/>
      <c r="O86" s="1487"/>
      <c r="P86" s="1487"/>
      <c r="Q86" s="1488"/>
      <c r="R86" s="488"/>
    </row>
    <row r="87" spans="2:18" ht="13" x14ac:dyDescent="0.3">
      <c r="B87" s="533">
        <v>7</v>
      </c>
      <c r="C87" s="563"/>
      <c r="D87" s="562"/>
      <c r="E87" s="1078"/>
      <c r="F87" s="1486"/>
      <c r="G87" s="1487"/>
      <c r="H87" s="1487"/>
      <c r="I87" s="1487"/>
      <c r="J87" s="1487"/>
      <c r="K87" s="1487"/>
      <c r="L87" s="1487"/>
      <c r="M87" s="1487"/>
      <c r="N87" s="1487"/>
      <c r="O87" s="1487"/>
      <c r="P87" s="1487"/>
      <c r="Q87" s="1488"/>
      <c r="R87" s="488"/>
    </row>
    <row r="88" spans="2:18" ht="13" x14ac:dyDescent="0.3">
      <c r="B88" s="533">
        <v>8</v>
      </c>
      <c r="C88" s="563"/>
      <c r="D88" s="562"/>
      <c r="E88" s="1233"/>
      <c r="F88" s="1486"/>
      <c r="G88" s="1487"/>
      <c r="H88" s="1487"/>
      <c r="I88" s="1487"/>
      <c r="J88" s="1487"/>
      <c r="K88" s="1487"/>
      <c r="L88" s="1487"/>
      <c r="M88" s="1487"/>
      <c r="N88" s="1487"/>
      <c r="O88" s="1487"/>
      <c r="P88" s="1487"/>
      <c r="Q88" s="1488"/>
      <c r="R88" s="488"/>
    </row>
    <row r="89" spans="2:18" ht="13" x14ac:dyDescent="0.3">
      <c r="B89" s="533">
        <v>9</v>
      </c>
      <c r="C89" s="563"/>
      <c r="D89" s="562"/>
      <c r="E89" s="1233"/>
      <c r="F89" s="1486"/>
      <c r="G89" s="1487"/>
      <c r="H89" s="1487"/>
      <c r="I89" s="1487"/>
      <c r="J89" s="1487"/>
      <c r="K89" s="1487"/>
      <c r="L89" s="1487"/>
      <c r="M89" s="1487"/>
      <c r="N89" s="1487"/>
      <c r="O89" s="1487"/>
      <c r="P89" s="1487"/>
      <c r="Q89" s="1488"/>
      <c r="R89" s="488"/>
    </row>
    <row r="90" spans="2:18" ht="13" x14ac:dyDescent="0.3">
      <c r="B90" s="533">
        <v>10</v>
      </c>
      <c r="C90" s="563"/>
      <c r="D90" s="562"/>
      <c r="E90" s="734"/>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c r="R95" s="488"/>
    </row>
    <row r="96" spans="2:18" ht="25.5" customHeight="1" x14ac:dyDescent="0.3">
      <c r="B96" s="1188" t="s">
        <v>478</v>
      </c>
      <c r="C96" s="1402" t="s">
        <v>505</v>
      </c>
      <c r="D96" s="1431"/>
      <c r="E96" s="565"/>
      <c r="F96" s="565"/>
      <c r="G96" s="565"/>
      <c r="H96" s="565"/>
      <c r="I96" s="565"/>
      <c r="J96" s="565"/>
      <c r="K96" s="565"/>
      <c r="L96" s="565"/>
      <c r="M96" s="565"/>
      <c r="N96" s="566"/>
      <c r="O96" s="1410"/>
      <c r="P96" s="1411"/>
      <c r="Q96" s="1412"/>
      <c r="R96" s="488"/>
    </row>
    <row r="97" spans="2:18" ht="13" x14ac:dyDescent="0.3">
      <c r="B97" s="533">
        <v>1</v>
      </c>
      <c r="C97" s="546"/>
      <c r="D97" s="1184"/>
      <c r="E97" s="1068"/>
      <c r="F97" s="1190"/>
      <c r="G97" s="1190"/>
      <c r="H97" s="1190"/>
      <c r="I97" s="568"/>
      <c r="J97" s="568"/>
      <c r="K97" s="568"/>
      <c r="L97" s="568"/>
      <c r="M97" s="568"/>
      <c r="N97" s="568"/>
      <c r="O97" s="1501"/>
      <c r="P97" s="1502"/>
      <c r="Q97" s="1503"/>
      <c r="R97" s="488"/>
    </row>
    <row r="98" spans="2:18" ht="13" x14ac:dyDescent="0.3">
      <c r="B98" s="533">
        <v>2</v>
      </c>
      <c r="C98" s="546"/>
      <c r="D98" s="1184"/>
      <c r="E98" s="1068"/>
      <c r="F98" s="1190"/>
      <c r="G98" s="1190"/>
      <c r="H98" s="1190"/>
      <c r="I98" s="568"/>
      <c r="J98" s="568"/>
      <c r="K98" s="568"/>
      <c r="L98" s="568"/>
      <c r="M98" s="568"/>
      <c r="N98" s="568"/>
      <c r="O98" s="1501"/>
      <c r="P98" s="1502"/>
      <c r="Q98" s="1503"/>
      <c r="R98" s="488"/>
    </row>
    <row r="99" spans="2:18" ht="13" x14ac:dyDescent="0.3">
      <c r="B99" s="533">
        <v>3</v>
      </c>
      <c r="C99" s="546"/>
      <c r="D99" s="1184"/>
      <c r="E99" s="1068"/>
      <c r="F99" s="1190"/>
      <c r="G99" s="1190"/>
      <c r="H99" s="1190"/>
      <c r="I99" s="568"/>
      <c r="J99" s="568"/>
      <c r="K99" s="568"/>
      <c r="L99" s="568"/>
      <c r="M99" s="568"/>
      <c r="N99" s="568"/>
      <c r="O99" s="1501"/>
      <c r="P99" s="1502"/>
      <c r="Q99" s="1503"/>
      <c r="R99" s="488"/>
    </row>
    <row r="100" spans="2:18" ht="13" x14ac:dyDescent="0.3">
      <c r="B100" s="533">
        <v>4</v>
      </c>
      <c r="C100" s="546"/>
      <c r="D100" s="1184"/>
      <c r="E100" s="1068"/>
      <c r="F100" s="1190"/>
      <c r="G100" s="1190"/>
      <c r="H100" s="1190"/>
      <c r="I100" s="568"/>
      <c r="J100" s="568"/>
      <c r="K100" s="568"/>
      <c r="L100" s="568"/>
      <c r="M100" s="568"/>
      <c r="N100" s="568"/>
      <c r="O100" s="1501"/>
      <c r="P100" s="1502"/>
      <c r="Q100" s="1503"/>
      <c r="R100" s="488"/>
    </row>
    <row r="101" spans="2:18" ht="13" x14ac:dyDescent="0.3">
      <c r="B101" s="533">
        <v>5</v>
      </c>
      <c r="C101" s="546"/>
      <c r="D101" s="1184"/>
      <c r="E101" s="1068"/>
      <c r="F101" s="1190"/>
      <c r="G101" s="1190"/>
      <c r="H101" s="1190"/>
      <c r="I101" s="568"/>
      <c r="J101" s="568"/>
      <c r="K101" s="568"/>
      <c r="L101" s="568"/>
      <c r="M101" s="568"/>
      <c r="N101" s="568"/>
      <c r="O101" s="1501"/>
      <c r="P101" s="1502"/>
      <c r="Q101" s="1503"/>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sheetData>
  <sheetProtection algorithmName="SHA-512" hashValue="ZxgOWCWrJZ993c2TOAbXI/tk8fL0tXgbP6v7zzYOrq+B005yfenAvQ/G/CVpxAh1RcEytXIs2EicmNN3dndj4w==" saltValue="zUb+XJac2f7yDYzYeDocFQ==" spinCount="100000" sheet="1" objects="1" scenarios="1" selectLockedCells="1" selectUnlockedCells="1"/>
  <mergeCells count="121">
    <mergeCell ref="C2:F2"/>
    <mergeCell ref="C3:F3"/>
    <mergeCell ref="C4:F4"/>
    <mergeCell ref="C5:F5"/>
    <mergeCell ref="D7:F7"/>
    <mergeCell ref="D8:F16"/>
    <mergeCell ref="D25:Q25"/>
    <mergeCell ref="D26:Q26"/>
    <mergeCell ref="D27:Q27"/>
    <mergeCell ref="D28:Q28"/>
    <mergeCell ref="D29:Q29"/>
    <mergeCell ref="D30:Q30"/>
    <mergeCell ref="D17:F17"/>
    <mergeCell ref="D18:F18"/>
    <mergeCell ref="B20:Q20"/>
    <mergeCell ref="C21:Q21"/>
    <mergeCell ref="C22:Q22"/>
    <mergeCell ref="C23:Q23"/>
    <mergeCell ref="C41:M41"/>
    <mergeCell ref="P41:Q41"/>
    <mergeCell ref="C42:M42"/>
    <mergeCell ref="P42:Q42"/>
    <mergeCell ref="C43:M43"/>
    <mergeCell ref="P43:Q43"/>
    <mergeCell ref="E32:Q32"/>
    <mergeCell ref="E33:Q33"/>
    <mergeCell ref="E34:Q34"/>
    <mergeCell ref="E35:Q35"/>
    <mergeCell ref="E36:Q36"/>
    <mergeCell ref="E37:Q37"/>
    <mergeCell ref="C48:M48"/>
    <mergeCell ref="P48:Q48"/>
    <mergeCell ref="C49:M49"/>
    <mergeCell ref="P49:Q49"/>
    <mergeCell ref="C50:M50"/>
    <mergeCell ref="P50:Q50"/>
    <mergeCell ref="C44:M44"/>
    <mergeCell ref="P44:Q44"/>
    <mergeCell ref="C45:M45"/>
    <mergeCell ref="P45:Q45"/>
    <mergeCell ref="C47:M47"/>
    <mergeCell ref="P47:Q47"/>
    <mergeCell ref="C55:M55"/>
    <mergeCell ref="P55:Q55"/>
    <mergeCell ref="C56:M56"/>
    <mergeCell ref="P56:Q56"/>
    <mergeCell ref="C57:M57"/>
    <mergeCell ref="P57:Q57"/>
    <mergeCell ref="C51:M51"/>
    <mergeCell ref="P51:Q51"/>
    <mergeCell ref="C53:M53"/>
    <mergeCell ref="P53:Q53"/>
    <mergeCell ref="C54:M54"/>
    <mergeCell ref="P54:Q54"/>
    <mergeCell ref="D64:E64"/>
    <mergeCell ref="J64:Q64"/>
    <mergeCell ref="D65:E65"/>
    <mergeCell ref="J65:Q65"/>
    <mergeCell ref="D66:E66"/>
    <mergeCell ref="J66:Q66"/>
    <mergeCell ref="D61:E61"/>
    <mergeCell ref="J61:Q61"/>
    <mergeCell ref="D62:E62"/>
    <mergeCell ref="J62:Q62"/>
    <mergeCell ref="D63:E63"/>
    <mergeCell ref="J63:Q63"/>
    <mergeCell ref="D70:E70"/>
    <mergeCell ref="J70:Q70"/>
    <mergeCell ref="D71:E71"/>
    <mergeCell ref="J71:Q71"/>
    <mergeCell ref="D72:E72"/>
    <mergeCell ref="J72:Q72"/>
    <mergeCell ref="D67:E67"/>
    <mergeCell ref="J67:Q67"/>
    <mergeCell ref="D68:E68"/>
    <mergeCell ref="J68:Q68"/>
    <mergeCell ref="D69:E69"/>
    <mergeCell ref="J69:Q69"/>
    <mergeCell ref="D76:E76"/>
    <mergeCell ref="J76:Q76"/>
    <mergeCell ref="F80:Q80"/>
    <mergeCell ref="F81:Q81"/>
    <mergeCell ref="F82:Q82"/>
    <mergeCell ref="F83:Q83"/>
    <mergeCell ref="D73:E73"/>
    <mergeCell ref="J73:Q73"/>
    <mergeCell ref="D74:E74"/>
    <mergeCell ref="J74:Q74"/>
    <mergeCell ref="D75:E75"/>
    <mergeCell ref="J75:Q75"/>
    <mergeCell ref="B95:D95"/>
    <mergeCell ref="C96:D96"/>
    <mergeCell ref="O97:Q97"/>
    <mergeCell ref="F84:Q84"/>
    <mergeCell ref="F85:Q85"/>
    <mergeCell ref="F86:Q86"/>
    <mergeCell ref="F87:Q87"/>
    <mergeCell ref="F88:Q88"/>
    <mergeCell ref="F89:Q89"/>
    <mergeCell ref="O98:Q98"/>
    <mergeCell ref="O99:Q99"/>
    <mergeCell ref="O100:Q100"/>
    <mergeCell ref="O101:Q101"/>
    <mergeCell ref="O102:Q102"/>
    <mergeCell ref="O103:Q103"/>
    <mergeCell ref="F90:Q90"/>
    <mergeCell ref="E94:N94"/>
    <mergeCell ref="O94:Q96"/>
    <mergeCell ref="O116:Q116"/>
    <mergeCell ref="O110:Q110"/>
    <mergeCell ref="O111:Q111"/>
    <mergeCell ref="O112:Q112"/>
    <mergeCell ref="O113:Q113"/>
    <mergeCell ref="O114:Q114"/>
    <mergeCell ref="O115:Q115"/>
    <mergeCell ref="O104:Q104"/>
    <mergeCell ref="O105:Q105"/>
    <mergeCell ref="O106:Q106"/>
    <mergeCell ref="O107:Q107"/>
    <mergeCell ref="O108:Q108"/>
    <mergeCell ref="O109:Q109"/>
  </mergeCells>
  <conditionalFormatting sqref="F109:F116 G102:G116 H104:H116">
    <cfRule type="expression" dxfId="1346" priority="24">
      <formula>IF(OR(#REF!="L",#REF!="C"),TRUE,FALSE)</formula>
    </cfRule>
  </conditionalFormatting>
  <conditionalFormatting sqref="E110:E116">
    <cfRule type="expression" dxfId="1345" priority="23">
      <formula>IF(OR(#REF!="L",#REF!="C"),TRUE,FALSE)</formula>
    </cfRule>
  </conditionalFormatting>
  <conditionalFormatting sqref="E107">
    <cfRule type="expression" dxfId="1344" priority="22">
      <formula>IF(OR(#REF!="L",#REF!="C"),TRUE,FALSE)</formula>
    </cfRule>
  </conditionalFormatting>
  <conditionalFormatting sqref="E106">
    <cfRule type="expression" dxfId="1343" priority="19">
      <formula>IF(OR(#REF!="L",#REF!="C"),TRUE,FALSE)</formula>
    </cfRule>
  </conditionalFormatting>
  <conditionalFormatting sqref="E108">
    <cfRule type="expression" dxfId="1342" priority="21">
      <formula>IF(OR(#REF!="L",#REF!="C"),TRUE,FALSE)</formula>
    </cfRule>
  </conditionalFormatting>
  <conditionalFormatting sqref="E109">
    <cfRule type="expression" dxfId="1341" priority="20">
      <formula>IF(OR(#REF!="L",#REF!="C"),TRUE,FALSE)</formula>
    </cfRule>
  </conditionalFormatting>
  <conditionalFormatting sqref="E95 G95 I95 K95 M95">
    <cfRule type="duplicateValues" dxfId="1340" priority="18"/>
  </conditionalFormatting>
  <conditionalFormatting sqref="M104:M116">
    <cfRule type="expression" dxfId="1339" priority="8">
      <formula>IF(OR(#REF!="L",#REF!="C"),TRUE,FALSE)</formula>
    </cfRule>
  </conditionalFormatting>
  <conditionalFormatting sqref="F102:F106">
    <cfRule type="expression" dxfId="1338" priority="17">
      <formula>IF(OR(#REF!="L",#REF!="C"),TRUE,FALSE)</formula>
    </cfRule>
  </conditionalFormatting>
  <conditionalFormatting sqref="I102:I103">
    <cfRule type="expression" dxfId="1337" priority="15">
      <formula>IF(OR(#REF!="L",#REF!="C"),TRUE,FALSE)</formula>
    </cfRule>
  </conditionalFormatting>
  <conditionalFormatting sqref="N102:N103">
    <cfRule type="expression" dxfId="1336" priority="5">
      <formula>IF(OR(#REF!="L",#REF!="C"),TRUE,FALSE)</formula>
    </cfRule>
  </conditionalFormatting>
  <conditionalFormatting sqref="I104:I116">
    <cfRule type="expression" dxfId="1335" priority="16">
      <formula>IF(OR(#REF!="L",#REF!="C"),TRUE,FALSE)</formula>
    </cfRule>
  </conditionalFormatting>
  <conditionalFormatting sqref="J102:J103">
    <cfRule type="expression" dxfId="1334" priority="13">
      <formula>IF(OR(#REF!="L",#REF!="C"),TRUE,FALSE)</formula>
    </cfRule>
  </conditionalFormatting>
  <conditionalFormatting sqref="J104:J116">
    <cfRule type="expression" dxfId="1333" priority="14">
      <formula>IF(OR(#REF!="L",#REF!="C"),TRUE,FALSE)</formula>
    </cfRule>
  </conditionalFormatting>
  <conditionalFormatting sqref="K102:K103">
    <cfRule type="expression" dxfId="1332" priority="11">
      <formula>IF(OR(#REF!="L",#REF!="C"),TRUE,FALSE)</formula>
    </cfRule>
  </conditionalFormatting>
  <conditionalFormatting sqref="K104:K116">
    <cfRule type="expression" dxfId="1331" priority="12">
      <formula>IF(OR(#REF!="L",#REF!="C"),TRUE,FALSE)</formula>
    </cfRule>
  </conditionalFormatting>
  <conditionalFormatting sqref="L102:L103">
    <cfRule type="expression" dxfId="1330" priority="9">
      <formula>IF(OR(#REF!="L",#REF!="C"),TRUE,FALSE)</formula>
    </cfRule>
  </conditionalFormatting>
  <conditionalFormatting sqref="L104:L116">
    <cfRule type="expression" dxfId="1329" priority="10">
      <formula>IF(OR(#REF!="L",#REF!="C"),TRUE,FALSE)</formula>
    </cfRule>
  </conditionalFormatting>
  <conditionalFormatting sqref="M102:M103">
    <cfRule type="expression" dxfId="1328" priority="7">
      <formula>IF(OR(#REF!="L",#REF!="C"),TRUE,FALSE)</formula>
    </cfRule>
  </conditionalFormatting>
  <conditionalFormatting sqref="N104:N116">
    <cfRule type="expression" dxfId="1327" priority="6">
      <formula>IF(OR(#REF!="L",#REF!="C"),TRUE,FALSE)</formula>
    </cfRule>
  </conditionalFormatting>
  <conditionalFormatting sqref="O102:O103">
    <cfRule type="expression" dxfId="1326" priority="3">
      <formula>IF(OR(#REF!="L",#REF!="C"),TRUE,FALSE)</formula>
    </cfRule>
  </conditionalFormatting>
  <conditionalFormatting sqref="O104:O116">
    <cfRule type="expression" dxfId="1325" priority="4">
      <formula>IF(OR(#REF!="L",#REF!="C"),TRUE,FALSE)</formula>
    </cfRule>
  </conditionalFormatting>
  <conditionalFormatting sqref="E96:N96">
    <cfRule type="duplicateValues" dxfId="1324" priority="2"/>
  </conditionalFormatting>
  <conditionalFormatting sqref="H62:H76">
    <cfRule type="expression" dxfId="1323" priority="1">
      <formula>IF(OR(#REF!="L",#REF!="C"),TRUE,FALSE)</formula>
    </cfRule>
  </conditionalFormatting>
  <dataValidations count="5">
    <dataValidation type="list" allowBlank="1" showInputMessage="1" showErrorMessage="1" sqref="C9" xr:uid="{0CF35983-45E5-47C3-837F-9A796B200B5E}">
      <formula1>INDIRECT("MeasureTypeList[Index]")</formula1>
    </dataValidation>
    <dataValidation type="list" allowBlank="1" showInputMessage="1" showErrorMessage="1" sqref="C26" xr:uid="{734C2A23-F22E-45DE-AB9B-9A3154CD1DA1}">
      <formula1>INDIRECT("RegionList[Index]")</formula1>
    </dataValidation>
    <dataValidation type="list" allowBlank="1" showInputMessage="1" showErrorMessage="1" sqref="C27" xr:uid="{13ADC57C-D45F-48D1-80C6-F285A627D6D5}">
      <formula1>INDIRECT("ReplacementTypeList[Index]")</formula1>
    </dataValidation>
    <dataValidation type="list" allowBlank="1" showInputMessage="1" showErrorMessage="1" sqref="C28" xr:uid="{5B9F9415-F8B8-4880-A882-C9DC84A48DAF}">
      <formula1>INDIRECT("BuildingType[Building]")</formula1>
    </dataValidation>
    <dataValidation type="list" allowBlank="1" showInputMessage="1" showErrorMessage="1" sqref="C29 C30" xr:uid="{DA4B23BE-7A96-4779-A5A5-B6E05E5E7EBB}">
      <formula1>INDIRECT("FuelTypeList[Index]")</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97BB172-97C0-4243-AFF0-0063EACC5B5B}">
          <x14:formula1>
            <xm:f>'Climate Data'!$B$286:$B$291</xm:f>
          </x14:formula1>
          <xm:sqref>H65</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87D59-3FA8-4471-9357-4A5091199461}">
  <sheetPr codeName="Sheet57"/>
  <dimension ref="A2:R116"/>
  <sheetViews>
    <sheetView workbookViewId="0"/>
  </sheetViews>
  <sheetFormatPr defaultColWidth="9.08984375" defaultRowHeight="18.75" customHeight="1" x14ac:dyDescent="0.3"/>
  <cols>
    <col min="1" max="1" width="2.36328125" style="488" customWidth="1"/>
    <col min="2" max="2" width="40.26953125" style="488" customWidth="1"/>
    <col min="3" max="3" width="26.7265625" style="488" customWidth="1"/>
    <col min="4" max="4" width="21.6328125" style="488" customWidth="1"/>
    <col min="5" max="5" width="18" style="488" customWidth="1"/>
    <col min="6" max="6" width="15.6328125" style="488" customWidth="1"/>
    <col min="7" max="7" width="19.6328125" style="488" customWidth="1"/>
    <col min="8" max="8" width="16" style="488" customWidth="1"/>
    <col min="9" max="9" width="10.36328125" style="488" customWidth="1"/>
    <col min="10" max="10" width="14.6328125" style="488" customWidth="1"/>
    <col min="11" max="12" width="9.08984375" style="488"/>
    <col min="13" max="13" width="11" style="488" customWidth="1"/>
    <col min="14" max="14" width="12.36328125" style="488" customWidth="1"/>
    <col min="15" max="15" width="10.6328125" style="488" customWidth="1"/>
    <col min="16" max="17" width="9.08984375" style="488"/>
    <col min="18" max="18" width="9.81640625" style="489" customWidth="1"/>
    <col min="19" max="19" width="9.08984375" style="488"/>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367" t="str">
        <f>IF(ISBLANK(C8)+ISBLANK(C10),C8,C8&amp;"_"&amp;C10)</f>
        <v>DER-004</v>
      </c>
      <c r="D3" s="1367"/>
      <c r="E3" s="1367"/>
      <c r="F3" s="1367"/>
    </row>
    <row r="4" spans="1:18" ht="18.75" customHeight="1" x14ac:dyDescent="0.3">
      <c r="B4" s="490" t="s">
        <v>11</v>
      </c>
      <c r="C4" s="1367" t="s">
        <v>334</v>
      </c>
      <c r="D4" s="1367"/>
      <c r="E4" s="1367"/>
      <c r="F4" s="1367"/>
    </row>
    <row r="5" spans="1:18" ht="19.5" customHeight="1" x14ac:dyDescent="0.3">
      <c r="B5" s="490" t="s">
        <v>408</v>
      </c>
      <c r="C5" s="1530" t="s">
        <v>344</v>
      </c>
      <c r="D5" s="1531"/>
      <c r="E5" s="1531"/>
      <c r="F5" s="1532"/>
      <c r="R5" s="488"/>
    </row>
    <row r="6" spans="1:18" ht="18.75" customHeight="1" x14ac:dyDescent="0.3">
      <c r="A6" s="573"/>
    </row>
    <row r="7" spans="1:18" ht="18.75" customHeight="1" x14ac:dyDescent="0.3">
      <c r="B7" s="1193" t="s">
        <v>409</v>
      </c>
      <c r="C7" s="1192" t="s">
        <v>406</v>
      </c>
      <c r="D7" s="1363" t="s">
        <v>410</v>
      </c>
      <c r="E7" s="1363"/>
      <c r="F7" s="1363"/>
      <c r="R7" s="488"/>
    </row>
    <row r="8" spans="1:18" ht="18.75" customHeight="1" x14ac:dyDescent="0.3">
      <c r="B8" s="490" t="s">
        <v>411</v>
      </c>
      <c r="C8" s="1218" t="s">
        <v>188</v>
      </c>
      <c r="D8" s="1957"/>
      <c r="E8" s="1957"/>
      <c r="F8" s="1957"/>
      <c r="R8" s="488"/>
    </row>
    <row r="9" spans="1:18" ht="18.75" customHeight="1" x14ac:dyDescent="0.3">
      <c r="B9" s="490" t="s">
        <v>49</v>
      </c>
      <c r="C9" s="1218" t="s">
        <v>2021</v>
      </c>
      <c r="D9" s="1957"/>
      <c r="E9" s="1957"/>
      <c r="F9" s="1957"/>
      <c r="R9" s="488"/>
    </row>
    <row r="10" spans="1:18" ht="18.75" customHeight="1" x14ac:dyDescent="0.3">
      <c r="B10" s="490" t="s">
        <v>412</v>
      </c>
      <c r="C10" s="1218"/>
      <c r="D10" s="1957"/>
      <c r="E10" s="1957"/>
      <c r="F10" s="1957"/>
      <c r="R10" s="488"/>
    </row>
    <row r="11" spans="1:18" ht="18.75" customHeight="1" x14ac:dyDescent="0.3">
      <c r="B11" s="490" t="s">
        <v>413</v>
      </c>
      <c r="C11" s="1218"/>
      <c r="D11" s="1957"/>
      <c r="E11" s="1957"/>
      <c r="F11" s="1957"/>
      <c r="R11" s="488"/>
    </row>
    <row r="12" spans="1:18" ht="18.75" customHeight="1" x14ac:dyDescent="0.3">
      <c r="B12" s="490" t="s">
        <v>414</v>
      </c>
      <c r="C12" s="665"/>
      <c r="D12" s="1957"/>
      <c r="E12" s="1957"/>
      <c r="F12" s="1957"/>
      <c r="R12" s="488"/>
    </row>
    <row r="13" spans="1:18" ht="18.75" customHeight="1" x14ac:dyDescent="0.3">
      <c r="B13" s="494" t="s">
        <v>415</v>
      </c>
      <c r="C13" s="658">
        <f>N43</f>
        <v>0</v>
      </c>
      <c r="D13" s="1957"/>
      <c r="E13" s="1957"/>
      <c r="F13" s="1957"/>
      <c r="R13" s="488"/>
    </row>
    <row r="14" spans="1:18" ht="18.75" customHeight="1" x14ac:dyDescent="0.3">
      <c r="B14" s="494" t="s">
        <v>416</v>
      </c>
      <c r="C14" s="658">
        <f>N42</f>
        <v>0</v>
      </c>
      <c r="D14" s="1957"/>
      <c r="E14" s="1957"/>
      <c r="F14" s="1957"/>
      <c r="R14" s="488"/>
    </row>
    <row r="15" spans="1:18" ht="18.75" customHeight="1" x14ac:dyDescent="0.3">
      <c r="B15" s="494" t="s">
        <v>417</v>
      </c>
      <c r="C15" s="658">
        <f>N44</f>
        <v>0</v>
      </c>
      <c r="D15" s="1957"/>
      <c r="E15" s="1957"/>
      <c r="F15" s="1957"/>
      <c r="R15" s="488"/>
    </row>
    <row r="16" spans="1:18" ht="18.75" customHeight="1" x14ac:dyDescent="0.3">
      <c r="B16" s="494" t="s">
        <v>418</v>
      </c>
      <c r="C16" s="659">
        <f>C37</f>
        <v>0</v>
      </c>
      <c r="D16" s="1957"/>
      <c r="E16" s="1957"/>
      <c r="F16" s="1957"/>
      <c r="R16" s="488"/>
    </row>
    <row r="17" spans="2:18" ht="18.75" customHeight="1" x14ac:dyDescent="0.3">
      <c r="B17" s="490" t="s">
        <v>48</v>
      </c>
      <c r="C17" s="1218" t="s">
        <v>673</v>
      </c>
      <c r="D17" s="1363" t="s">
        <v>419</v>
      </c>
      <c r="E17" s="1363"/>
      <c r="F17" s="1363"/>
      <c r="R17" s="488"/>
    </row>
    <row r="18" spans="2:18" ht="18.75" customHeight="1" x14ac:dyDescent="0.3">
      <c r="B18" s="490" t="s">
        <v>420</v>
      </c>
      <c r="C18" s="666">
        <v>10</v>
      </c>
      <c r="D18" s="2026" t="s">
        <v>674</v>
      </c>
      <c r="E18" s="2026"/>
      <c r="F18" s="2026"/>
      <c r="R18" s="488"/>
    </row>
    <row r="19" spans="2:18" ht="18.75" customHeight="1" x14ac:dyDescent="0.3">
      <c r="B19" s="497"/>
      <c r="C19" s="576"/>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36.75" customHeight="1" x14ac:dyDescent="0.3">
      <c r="B21" s="499" t="s">
        <v>422</v>
      </c>
      <c r="C21" s="1546" t="s">
        <v>345</v>
      </c>
      <c r="D21" s="1546"/>
      <c r="E21" s="1546"/>
      <c r="F21" s="1546"/>
      <c r="G21" s="1546"/>
      <c r="H21" s="1546"/>
      <c r="I21" s="1546"/>
      <c r="J21" s="1546"/>
      <c r="K21" s="1546"/>
      <c r="L21" s="1546"/>
      <c r="M21" s="1546"/>
      <c r="N21" s="1546"/>
      <c r="O21" s="1546"/>
      <c r="P21" s="1546"/>
      <c r="Q21" s="1546"/>
      <c r="R21" s="488"/>
    </row>
    <row r="22" spans="2:18" ht="18.75" customHeight="1" x14ac:dyDescent="0.3">
      <c r="B22" s="500" t="s">
        <v>423</v>
      </c>
      <c r="C22" s="1536" t="s">
        <v>346</v>
      </c>
      <c r="D22" s="1536"/>
      <c r="E22" s="1536"/>
      <c r="F22" s="1536"/>
      <c r="G22" s="1536"/>
      <c r="H22" s="1536"/>
      <c r="I22" s="1536"/>
      <c r="J22" s="1536"/>
      <c r="K22" s="1536"/>
      <c r="L22" s="1536"/>
      <c r="M22" s="1536"/>
      <c r="N22" s="1536"/>
      <c r="O22" s="1536"/>
      <c r="P22" s="1536"/>
      <c r="Q22" s="1536"/>
      <c r="R22" s="488"/>
    </row>
    <row r="23" spans="2:18" ht="18.75" customHeight="1" x14ac:dyDescent="0.3">
      <c r="B23" s="500" t="s">
        <v>424</v>
      </c>
      <c r="C23" s="2033"/>
      <c r="D23" s="2033"/>
      <c r="E23" s="2033"/>
      <c r="F23" s="2033"/>
      <c r="G23" s="2033"/>
      <c r="H23" s="2033"/>
      <c r="I23" s="2033"/>
      <c r="J23" s="2033"/>
      <c r="K23" s="2033"/>
      <c r="L23" s="2033"/>
      <c r="M23" s="2033"/>
      <c r="N23" s="2033"/>
      <c r="O23" s="2033"/>
      <c r="P23" s="2033"/>
      <c r="Q23" s="2033"/>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18.75" customHeight="1" x14ac:dyDescent="0.3">
      <c r="B27" s="490" t="s">
        <v>27</v>
      </c>
      <c r="C27" s="539" t="str">
        <f>Default.ReplacementType</f>
        <v>RET</v>
      </c>
      <c r="D27" s="1385" t="s">
        <v>426</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Default.BuildingType.C</f>
        <v>Other</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42"/>
      <c r="D33" s="586" t="s">
        <v>430</v>
      </c>
      <c r="E33" s="1512"/>
      <c r="F33" s="1512"/>
      <c r="G33" s="1512"/>
      <c r="H33" s="1512"/>
      <c r="I33" s="1512"/>
      <c r="J33" s="1512"/>
      <c r="K33" s="1512"/>
      <c r="L33" s="1512"/>
      <c r="M33" s="1512"/>
      <c r="N33" s="1512"/>
      <c r="O33" s="1512"/>
      <c r="P33" s="1512"/>
      <c r="Q33" s="1512"/>
      <c r="R33" s="488"/>
    </row>
    <row r="34" spans="2:18" ht="18.75" customHeight="1" x14ac:dyDescent="0.3">
      <c r="B34" s="494" t="s">
        <v>431</v>
      </c>
      <c r="C34" s="542"/>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42"/>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905"/>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905">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0</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8.75" customHeight="1" x14ac:dyDescent="0.3">
      <c r="B49" s="582" t="s">
        <v>454</v>
      </c>
      <c r="C49" s="1504" t="s">
        <v>1004</v>
      </c>
      <c r="D49" s="1505"/>
      <c r="E49" s="1505"/>
      <c r="F49" s="1505"/>
      <c r="G49" s="1505"/>
      <c r="H49" s="1505"/>
      <c r="I49" s="1505"/>
      <c r="J49" s="1505"/>
      <c r="K49" s="1505"/>
      <c r="L49" s="1505"/>
      <c r="M49" s="1506"/>
      <c r="N49" s="592"/>
      <c r="O49" s="1243" t="s">
        <v>443</v>
      </c>
      <c r="P49" s="1511"/>
      <c r="Q49" s="1511"/>
      <c r="R49" s="488"/>
    </row>
    <row r="50" spans="2:18" ht="18.75" customHeight="1" x14ac:dyDescent="0.3">
      <c r="B50" s="582" t="s">
        <v>456</v>
      </c>
      <c r="C50" s="1504" t="s">
        <v>1005</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467</v>
      </c>
      <c r="D56" s="1505"/>
      <c r="E56" s="1505"/>
      <c r="F56" s="1505"/>
      <c r="G56" s="1505"/>
      <c r="H56" s="1505"/>
      <c r="I56" s="1505"/>
      <c r="J56" s="1505"/>
      <c r="K56" s="1505"/>
      <c r="L56" s="1505"/>
      <c r="M56" s="1506"/>
      <c r="N56" s="594"/>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765</v>
      </c>
      <c r="H61" s="506" t="s">
        <v>406</v>
      </c>
      <c r="I61" s="506" t="s">
        <v>428</v>
      </c>
      <c r="J61" s="1396" t="s">
        <v>476</v>
      </c>
      <c r="K61" s="1397"/>
      <c r="L61" s="1397"/>
      <c r="M61" s="1397"/>
      <c r="N61" s="1397"/>
      <c r="O61" s="1397"/>
      <c r="P61" s="1397"/>
      <c r="Q61" s="1398"/>
    </row>
    <row r="62" spans="2:18" ht="15" customHeight="1" x14ac:dyDescent="0.3">
      <c r="B62" s="719">
        <v>1</v>
      </c>
      <c r="C62" s="1069"/>
      <c r="D62" s="2027"/>
      <c r="E62" s="2027"/>
      <c r="F62" s="1070"/>
      <c r="G62" s="1070"/>
      <c r="H62" s="1071"/>
      <c r="I62" s="1070"/>
      <c r="J62" s="2028"/>
      <c r="K62" s="2029"/>
      <c r="L62" s="2029"/>
      <c r="M62" s="2029"/>
      <c r="N62" s="2029"/>
      <c r="O62" s="2029"/>
      <c r="P62" s="2029"/>
      <c r="Q62" s="2030"/>
      <c r="R62" s="488"/>
    </row>
    <row r="63" spans="2:18" ht="15" customHeight="1" x14ac:dyDescent="0.3">
      <c r="B63" s="719">
        <v>2</v>
      </c>
      <c r="C63" s="1069"/>
      <c r="D63" s="2027"/>
      <c r="E63" s="2027"/>
      <c r="F63" s="1070"/>
      <c r="G63" s="1070"/>
      <c r="H63" s="1071"/>
      <c r="I63" s="1070"/>
      <c r="J63" s="2028"/>
      <c r="K63" s="2029"/>
      <c r="L63" s="2029"/>
      <c r="M63" s="2029"/>
      <c r="N63" s="2029"/>
      <c r="O63" s="2029"/>
      <c r="P63" s="2029"/>
      <c r="Q63" s="2030"/>
      <c r="R63" s="488"/>
    </row>
    <row r="64" spans="2:18" ht="15" customHeight="1" x14ac:dyDescent="0.3">
      <c r="B64" s="719">
        <v>3</v>
      </c>
      <c r="C64" s="1069"/>
      <c r="D64" s="2027"/>
      <c r="E64" s="2027"/>
      <c r="F64" s="1070"/>
      <c r="G64" s="1070"/>
      <c r="H64" s="1071"/>
      <c r="I64" s="1070"/>
      <c r="J64" s="2028"/>
      <c r="K64" s="2029"/>
      <c r="L64" s="2029"/>
      <c r="M64" s="2029"/>
      <c r="N64" s="2029"/>
      <c r="O64" s="2029"/>
      <c r="P64" s="2029"/>
      <c r="Q64" s="2030"/>
      <c r="R64" s="488"/>
    </row>
    <row r="65" spans="2:18" ht="15" customHeight="1" x14ac:dyDescent="0.3">
      <c r="B65" s="719">
        <v>4</v>
      </c>
      <c r="C65" s="1069"/>
      <c r="D65" s="2027"/>
      <c r="E65" s="2027"/>
      <c r="F65" s="1070"/>
      <c r="G65" s="1070"/>
      <c r="H65" s="1071"/>
      <c r="I65" s="1070"/>
      <c r="J65" s="2028"/>
      <c r="K65" s="2029"/>
      <c r="L65" s="2029"/>
      <c r="M65" s="2029"/>
      <c r="N65" s="2029"/>
      <c r="O65" s="2029"/>
      <c r="P65" s="2029"/>
      <c r="Q65" s="2030"/>
      <c r="R65" s="488"/>
    </row>
    <row r="66" spans="2:18" ht="15" customHeight="1" x14ac:dyDescent="0.3">
      <c r="B66" s="719">
        <v>5</v>
      </c>
      <c r="C66" s="1069"/>
      <c r="D66" s="2027"/>
      <c r="E66" s="2027"/>
      <c r="F66" s="1070"/>
      <c r="G66" s="1070"/>
      <c r="H66" s="1071"/>
      <c r="I66" s="1070"/>
      <c r="J66" s="2028"/>
      <c r="K66" s="2029"/>
      <c r="L66" s="2029"/>
      <c r="M66" s="2029"/>
      <c r="N66" s="2029"/>
      <c r="O66" s="2029"/>
      <c r="P66" s="2029"/>
      <c r="Q66" s="2030"/>
      <c r="R66" s="488"/>
    </row>
    <row r="67" spans="2:18" ht="15" customHeight="1" x14ac:dyDescent="0.3">
      <c r="B67" s="719">
        <v>6</v>
      </c>
      <c r="C67" s="1069"/>
      <c r="D67" s="2027"/>
      <c r="E67" s="2027"/>
      <c r="F67" s="1070"/>
      <c r="G67" s="1070"/>
      <c r="H67" s="1071"/>
      <c r="I67" s="1070"/>
      <c r="J67" s="2028"/>
      <c r="K67" s="2029"/>
      <c r="L67" s="2029"/>
      <c r="M67" s="2029"/>
      <c r="N67" s="2029"/>
      <c r="O67" s="2029"/>
      <c r="P67" s="2029"/>
      <c r="Q67" s="2030"/>
      <c r="R67" s="488"/>
    </row>
    <row r="68" spans="2:18" ht="15" customHeight="1" x14ac:dyDescent="0.3">
      <c r="B68" s="719">
        <v>7</v>
      </c>
      <c r="C68" s="1069"/>
      <c r="D68" s="2027"/>
      <c r="E68" s="2027"/>
      <c r="F68" s="1070"/>
      <c r="G68" s="1070"/>
      <c r="H68" s="1071"/>
      <c r="I68" s="1070"/>
      <c r="J68" s="2028"/>
      <c r="K68" s="2029"/>
      <c r="L68" s="2029"/>
      <c r="M68" s="2029"/>
      <c r="N68" s="2029"/>
      <c r="O68" s="2029"/>
      <c r="P68" s="2029"/>
      <c r="Q68" s="2030"/>
      <c r="R68" s="488"/>
    </row>
    <row r="69" spans="2:18" ht="15" customHeight="1" x14ac:dyDescent="0.3">
      <c r="B69" s="719">
        <v>8</v>
      </c>
      <c r="C69" s="1069"/>
      <c r="D69" s="2027"/>
      <c r="E69" s="2027"/>
      <c r="F69" s="1070"/>
      <c r="G69" s="1070"/>
      <c r="H69" s="1071"/>
      <c r="I69" s="1070"/>
      <c r="J69" s="2028"/>
      <c r="K69" s="2029"/>
      <c r="L69" s="2029"/>
      <c r="M69" s="2029"/>
      <c r="N69" s="2029"/>
      <c r="O69" s="2029"/>
      <c r="P69" s="2029"/>
      <c r="Q69" s="2030"/>
      <c r="R69" s="488"/>
    </row>
    <row r="70" spans="2:18" ht="15" customHeight="1" x14ac:dyDescent="0.3">
      <c r="B70" s="719">
        <v>9</v>
      </c>
      <c r="C70" s="1069"/>
      <c r="D70" s="2027"/>
      <c r="E70" s="2027"/>
      <c r="F70" s="1070"/>
      <c r="G70" s="1070"/>
      <c r="H70" s="1071"/>
      <c r="I70" s="1070"/>
      <c r="J70" s="2028"/>
      <c r="K70" s="2029"/>
      <c r="L70" s="2029"/>
      <c r="M70" s="2029"/>
      <c r="N70" s="2029"/>
      <c r="O70" s="2029"/>
      <c r="P70" s="2029"/>
      <c r="Q70" s="2030"/>
      <c r="R70" s="488"/>
    </row>
    <row r="71" spans="2:18" ht="15" customHeight="1" x14ac:dyDescent="0.3">
      <c r="B71" s="719">
        <v>10</v>
      </c>
      <c r="C71" s="1069"/>
      <c r="D71" s="2027"/>
      <c r="E71" s="2027"/>
      <c r="F71" s="1070"/>
      <c r="G71" s="1070"/>
      <c r="H71" s="1071"/>
      <c r="I71" s="1070"/>
      <c r="J71" s="2028"/>
      <c r="K71" s="2029"/>
      <c r="L71" s="2029"/>
      <c r="M71" s="2029"/>
      <c r="N71" s="2029"/>
      <c r="O71" s="2029"/>
      <c r="P71" s="2029"/>
      <c r="Q71" s="2030"/>
      <c r="R71" s="488"/>
    </row>
    <row r="72" spans="2:18" ht="15" customHeight="1" x14ac:dyDescent="0.3">
      <c r="B72" s="719">
        <v>11</v>
      </c>
      <c r="C72" s="1069"/>
      <c r="D72" s="2027"/>
      <c r="E72" s="2027"/>
      <c r="F72" s="1070"/>
      <c r="G72" s="1070"/>
      <c r="H72" s="1071"/>
      <c r="I72" s="1070"/>
      <c r="J72" s="2028"/>
      <c r="K72" s="2029"/>
      <c r="L72" s="2029"/>
      <c r="M72" s="2029"/>
      <c r="N72" s="2029"/>
      <c r="O72" s="2029"/>
      <c r="P72" s="2029"/>
      <c r="Q72" s="2030"/>
      <c r="R72" s="488"/>
    </row>
    <row r="73" spans="2:18" ht="15" customHeight="1" x14ac:dyDescent="0.3">
      <c r="B73" s="719">
        <v>12</v>
      </c>
      <c r="C73" s="1069"/>
      <c r="D73" s="2027"/>
      <c r="E73" s="2027"/>
      <c r="F73" s="1070"/>
      <c r="G73" s="1070"/>
      <c r="H73" s="1071"/>
      <c r="I73" s="1070"/>
      <c r="J73" s="2028"/>
      <c r="K73" s="2029"/>
      <c r="L73" s="2029"/>
      <c r="M73" s="2029"/>
      <c r="N73" s="2029"/>
      <c r="O73" s="2029"/>
      <c r="P73" s="2029"/>
      <c r="Q73" s="2030"/>
      <c r="R73" s="488"/>
    </row>
    <row r="74" spans="2:18" ht="15" customHeight="1" x14ac:dyDescent="0.3">
      <c r="B74" s="719">
        <v>13</v>
      </c>
      <c r="C74" s="1069"/>
      <c r="D74" s="2027"/>
      <c r="E74" s="2027"/>
      <c r="F74" s="1070"/>
      <c r="G74" s="1070"/>
      <c r="H74" s="1071"/>
      <c r="I74" s="1070"/>
      <c r="J74" s="2028"/>
      <c r="K74" s="2029"/>
      <c r="L74" s="2029"/>
      <c r="M74" s="2029"/>
      <c r="N74" s="2029"/>
      <c r="O74" s="2029"/>
      <c r="P74" s="2029"/>
      <c r="Q74" s="2030"/>
      <c r="R74" s="488"/>
    </row>
    <row r="75" spans="2:18" ht="15" customHeight="1" x14ac:dyDescent="0.3">
      <c r="B75" s="719">
        <v>14</v>
      </c>
      <c r="C75" s="1069"/>
      <c r="D75" s="2027"/>
      <c r="E75" s="2027"/>
      <c r="F75" s="1070"/>
      <c r="G75" s="1070"/>
      <c r="H75" s="1071"/>
      <c r="I75" s="1070"/>
      <c r="J75" s="2028"/>
      <c r="K75" s="2029"/>
      <c r="L75" s="2029"/>
      <c r="M75" s="2029"/>
      <c r="N75" s="2029"/>
      <c r="O75" s="2029"/>
      <c r="P75" s="2029"/>
      <c r="Q75" s="2030"/>
      <c r="R75" s="488"/>
    </row>
    <row r="76" spans="2:18" ht="15" customHeight="1" x14ac:dyDescent="0.3">
      <c r="B76" s="719">
        <v>15</v>
      </c>
      <c r="C76" s="1069"/>
      <c r="D76" s="2027"/>
      <c r="E76" s="2027"/>
      <c r="F76" s="1070"/>
      <c r="G76" s="1070"/>
      <c r="H76" s="1071"/>
      <c r="I76" s="1070"/>
      <c r="J76" s="2028"/>
      <c r="K76" s="2029"/>
      <c r="L76" s="2029"/>
      <c r="M76" s="2029"/>
      <c r="N76" s="2029"/>
      <c r="O76" s="2029"/>
      <c r="P76" s="2029"/>
      <c r="Q76" s="2030"/>
      <c r="R76" s="488"/>
    </row>
    <row r="77" spans="2:18" ht="18.75" customHeight="1" x14ac:dyDescent="0.3">
      <c r="R77" s="488"/>
    </row>
    <row r="78" spans="2:18" ht="18.75" customHeight="1" x14ac:dyDescent="0.3">
      <c r="B78" s="511" t="s">
        <v>477</v>
      </c>
      <c r="C78" s="512"/>
      <c r="D78" s="512"/>
      <c r="E78" s="512"/>
      <c r="F78" s="512"/>
      <c r="G78" s="512"/>
      <c r="H78" s="513"/>
      <c r="I78" s="513"/>
      <c r="J78" s="513"/>
      <c r="K78" s="513"/>
      <c r="L78" s="513"/>
      <c r="M78" s="513"/>
      <c r="N78" s="513"/>
      <c r="O78" s="513"/>
      <c r="P78" s="513"/>
      <c r="Q78" s="514"/>
      <c r="R78" s="488"/>
    </row>
    <row r="79" spans="2:18" ht="18.75" customHeight="1" x14ac:dyDescent="0.3">
      <c r="R79" s="488"/>
    </row>
    <row r="80" spans="2:18"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c r="R80" s="488"/>
    </row>
    <row r="81" spans="2:18" ht="13" x14ac:dyDescent="0.3">
      <c r="B81" s="533">
        <v>1</v>
      </c>
      <c r="C81" s="560"/>
      <c r="D81" s="561"/>
      <c r="E81" s="1233"/>
      <c r="F81" s="1486"/>
      <c r="G81" s="1487"/>
      <c r="H81" s="1487"/>
      <c r="I81" s="1487"/>
      <c r="J81" s="1487"/>
      <c r="K81" s="1487"/>
      <c r="L81" s="1487"/>
      <c r="M81" s="1487"/>
      <c r="N81" s="1487"/>
      <c r="O81" s="1487"/>
      <c r="P81" s="1487"/>
      <c r="Q81" s="1488"/>
      <c r="R81" s="488"/>
    </row>
    <row r="82" spans="2:18" ht="13" x14ac:dyDescent="0.3">
      <c r="B82" s="533">
        <v>2</v>
      </c>
      <c r="C82" s="560"/>
      <c r="D82" s="562"/>
      <c r="E82" s="1233"/>
      <c r="F82" s="1489"/>
      <c r="G82" s="1490"/>
      <c r="H82" s="1490"/>
      <c r="I82" s="1490"/>
      <c r="J82" s="1490"/>
      <c r="K82" s="1490"/>
      <c r="L82" s="1490"/>
      <c r="M82" s="1490"/>
      <c r="N82" s="1490"/>
      <c r="O82" s="1490"/>
      <c r="P82" s="1490"/>
      <c r="Q82" s="1491"/>
      <c r="R82" s="488"/>
    </row>
    <row r="83" spans="2:18" ht="13" x14ac:dyDescent="0.3">
      <c r="B83" s="533">
        <v>3</v>
      </c>
      <c r="C83" s="560"/>
      <c r="D83" s="562"/>
      <c r="E83" s="1233"/>
      <c r="F83" s="1489"/>
      <c r="G83" s="1490"/>
      <c r="H83" s="1490"/>
      <c r="I83" s="1490"/>
      <c r="J83" s="1490"/>
      <c r="K83" s="1490"/>
      <c r="L83" s="1490"/>
      <c r="M83" s="1490"/>
      <c r="N83" s="1490"/>
      <c r="O83" s="1490"/>
      <c r="P83" s="1490"/>
      <c r="Q83" s="1491"/>
      <c r="R83" s="488"/>
    </row>
    <row r="84" spans="2:18" ht="13" x14ac:dyDescent="0.3">
      <c r="B84" s="533">
        <v>4</v>
      </c>
      <c r="C84" s="560"/>
      <c r="D84" s="562"/>
      <c r="E84" s="1233"/>
      <c r="F84" s="1489"/>
      <c r="G84" s="1490"/>
      <c r="H84" s="1490"/>
      <c r="I84" s="1490"/>
      <c r="J84" s="1490"/>
      <c r="K84" s="1490"/>
      <c r="L84" s="1490"/>
      <c r="M84" s="1490"/>
      <c r="N84" s="1490"/>
      <c r="O84" s="1490"/>
      <c r="P84" s="1490"/>
      <c r="Q84" s="1491"/>
      <c r="R84" s="488"/>
    </row>
    <row r="85" spans="2:18" ht="13" x14ac:dyDescent="0.3">
      <c r="B85" s="533">
        <v>5</v>
      </c>
      <c r="C85" s="560"/>
      <c r="D85" s="562"/>
      <c r="E85" s="1233"/>
      <c r="F85" s="1489"/>
      <c r="G85" s="1490"/>
      <c r="H85" s="1490"/>
      <c r="I85" s="1490"/>
      <c r="J85" s="1490"/>
      <c r="K85" s="1490"/>
      <c r="L85" s="1490"/>
      <c r="M85" s="1490"/>
      <c r="N85" s="1490"/>
      <c r="O85" s="1490"/>
      <c r="P85" s="1490"/>
      <c r="Q85" s="1491"/>
      <c r="R85" s="488"/>
    </row>
    <row r="86" spans="2:18" ht="13" x14ac:dyDescent="0.3">
      <c r="B86" s="533">
        <v>6</v>
      </c>
      <c r="C86" s="560"/>
      <c r="D86" s="562"/>
      <c r="E86" s="1233"/>
      <c r="F86" s="1486"/>
      <c r="G86" s="1487"/>
      <c r="H86" s="1487"/>
      <c r="I86" s="1487"/>
      <c r="J86" s="1487"/>
      <c r="K86" s="1487"/>
      <c r="L86" s="1487"/>
      <c r="M86" s="1487"/>
      <c r="N86" s="1487"/>
      <c r="O86" s="1487"/>
      <c r="P86" s="1487"/>
      <c r="Q86" s="1488"/>
      <c r="R86" s="488"/>
    </row>
    <row r="87" spans="2:18" ht="13" x14ac:dyDescent="0.3">
      <c r="B87" s="533">
        <v>7</v>
      </c>
      <c r="C87" s="563"/>
      <c r="D87" s="562"/>
      <c r="E87" s="1078"/>
      <c r="F87" s="1486"/>
      <c r="G87" s="1487"/>
      <c r="H87" s="1487"/>
      <c r="I87" s="1487"/>
      <c r="J87" s="1487"/>
      <c r="K87" s="1487"/>
      <c r="L87" s="1487"/>
      <c r="M87" s="1487"/>
      <c r="N87" s="1487"/>
      <c r="O87" s="1487"/>
      <c r="P87" s="1487"/>
      <c r="Q87" s="1488"/>
      <c r="R87" s="488"/>
    </row>
    <row r="88" spans="2:18" ht="13" x14ac:dyDescent="0.3">
      <c r="B88" s="533">
        <v>8</v>
      </c>
      <c r="C88" s="563"/>
      <c r="D88" s="562"/>
      <c r="E88" s="1233"/>
      <c r="F88" s="1486"/>
      <c r="G88" s="1487"/>
      <c r="H88" s="1487"/>
      <c r="I88" s="1487"/>
      <c r="J88" s="1487"/>
      <c r="K88" s="1487"/>
      <c r="L88" s="1487"/>
      <c r="M88" s="1487"/>
      <c r="N88" s="1487"/>
      <c r="O88" s="1487"/>
      <c r="P88" s="1487"/>
      <c r="Q88" s="1488"/>
      <c r="R88" s="488"/>
    </row>
    <row r="89" spans="2:18" ht="13" x14ac:dyDescent="0.3">
      <c r="B89" s="533">
        <v>9</v>
      </c>
      <c r="C89" s="563"/>
      <c r="D89" s="562"/>
      <c r="E89" s="1233"/>
      <c r="F89" s="1486"/>
      <c r="G89" s="1487"/>
      <c r="H89" s="1487"/>
      <c r="I89" s="1487"/>
      <c r="J89" s="1487"/>
      <c r="K89" s="1487"/>
      <c r="L89" s="1487"/>
      <c r="M89" s="1487"/>
      <c r="N89" s="1487"/>
      <c r="O89" s="1487"/>
      <c r="P89" s="1487"/>
      <c r="Q89" s="1488"/>
      <c r="R89" s="488"/>
    </row>
    <row r="90" spans="2:18" ht="13" x14ac:dyDescent="0.3">
      <c r="B90" s="533">
        <v>10</v>
      </c>
      <c r="C90" s="563"/>
      <c r="D90" s="562"/>
      <c r="E90" s="734"/>
      <c r="F90" s="1489"/>
      <c r="G90" s="1490"/>
      <c r="H90" s="1490"/>
      <c r="I90" s="1490"/>
      <c r="J90" s="1490"/>
      <c r="K90" s="1490"/>
      <c r="L90" s="1490"/>
      <c r="M90" s="1490"/>
      <c r="N90" s="1490"/>
      <c r="O90" s="1490"/>
      <c r="P90" s="1490"/>
      <c r="Q90" s="1491"/>
      <c r="R90" s="488"/>
    </row>
    <row r="91" spans="2:18" ht="18.75" customHeight="1" x14ac:dyDescent="0.3">
      <c r="R91" s="488"/>
    </row>
    <row r="92" spans="2:18" ht="18.75" customHeight="1" x14ac:dyDescent="0.3">
      <c r="B92" s="511" t="s">
        <v>492</v>
      </c>
      <c r="C92" s="512"/>
      <c r="D92" s="512"/>
      <c r="E92" s="512"/>
      <c r="F92" s="512"/>
      <c r="G92" s="512"/>
      <c r="H92" s="513"/>
      <c r="I92" s="513"/>
      <c r="J92" s="513"/>
      <c r="K92" s="513"/>
      <c r="L92" s="513"/>
      <c r="M92" s="513"/>
      <c r="N92" s="513"/>
      <c r="O92" s="513"/>
      <c r="P92" s="513"/>
      <c r="Q92" s="514"/>
      <c r="R92" s="488"/>
    </row>
    <row r="93" spans="2:18" ht="18.75" customHeight="1" x14ac:dyDescent="0.3">
      <c r="R93" s="488"/>
    </row>
    <row r="94" spans="2:18" ht="18.75" customHeight="1" x14ac:dyDescent="0.3">
      <c r="B94" s="523" t="s">
        <v>493</v>
      </c>
      <c r="E94" s="1402" t="s">
        <v>494</v>
      </c>
      <c r="F94" s="1403"/>
      <c r="G94" s="1403"/>
      <c r="H94" s="1403"/>
      <c r="I94" s="1403"/>
      <c r="J94" s="1403"/>
      <c r="K94" s="1403"/>
      <c r="L94" s="1403"/>
      <c r="M94" s="1403"/>
      <c r="N94" s="1403"/>
      <c r="O94" s="1404" t="s">
        <v>476</v>
      </c>
      <c r="P94" s="1405"/>
      <c r="Q94" s="1406"/>
      <c r="R94" s="488"/>
    </row>
    <row r="95" spans="2:18" ht="25.5" customHeight="1" x14ac:dyDescent="0.3">
      <c r="B95" s="1498"/>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c r="R95" s="488"/>
    </row>
    <row r="96" spans="2:18" ht="25.5" customHeight="1" x14ac:dyDescent="0.3">
      <c r="B96" s="1188" t="s">
        <v>478</v>
      </c>
      <c r="C96" s="1402" t="s">
        <v>505</v>
      </c>
      <c r="D96" s="1431"/>
      <c r="E96" s="565"/>
      <c r="F96" s="565"/>
      <c r="G96" s="565"/>
      <c r="H96" s="565"/>
      <c r="I96" s="565"/>
      <c r="J96" s="565"/>
      <c r="K96" s="565"/>
      <c r="L96" s="565"/>
      <c r="M96" s="565"/>
      <c r="N96" s="566"/>
      <c r="O96" s="1410"/>
      <c r="P96" s="1411"/>
      <c r="Q96" s="1412"/>
      <c r="R96" s="488"/>
    </row>
    <row r="97" spans="2:18" ht="13" x14ac:dyDescent="0.3">
      <c r="B97" s="533">
        <v>1</v>
      </c>
      <c r="C97" s="546"/>
      <c r="D97" s="1184"/>
      <c r="E97" s="1068"/>
      <c r="F97" s="1190"/>
      <c r="G97" s="1190"/>
      <c r="H97" s="1190"/>
      <c r="I97" s="568"/>
      <c r="J97" s="568"/>
      <c r="K97" s="568"/>
      <c r="L97" s="568"/>
      <c r="M97" s="568"/>
      <c r="N97" s="568"/>
      <c r="O97" s="1501"/>
      <c r="P97" s="1502"/>
      <c r="Q97" s="1503"/>
      <c r="R97" s="488"/>
    </row>
    <row r="98" spans="2:18" ht="13" x14ac:dyDescent="0.3">
      <c r="B98" s="533">
        <v>2</v>
      </c>
      <c r="C98" s="546"/>
      <c r="D98" s="1184"/>
      <c r="E98" s="1068"/>
      <c r="F98" s="1190"/>
      <c r="G98" s="1190"/>
      <c r="H98" s="1190"/>
      <c r="I98" s="568"/>
      <c r="J98" s="568"/>
      <c r="K98" s="568"/>
      <c r="L98" s="568"/>
      <c r="M98" s="568"/>
      <c r="N98" s="568"/>
      <c r="O98" s="1501"/>
      <c r="P98" s="1502"/>
      <c r="Q98" s="1503"/>
      <c r="R98" s="488"/>
    </row>
    <row r="99" spans="2:18" ht="13" x14ac:dyDescent="0.3">
      <c r="B99" s="533">
        <v>3</v>
      </c>
      <c r="C99" s="546"/>
      <c r="D99" s="1184"/>
      <c r="E99" s="1068"/>
      <c r="F99" s="1190"/>
      <c r="G99" s="1190"/>
      <c r="H99" s="1190"/>
      <c r="I99" s="568"/>
      <c r="J99" s="568"/>
      <c r="K99" s="568"/>
      <c r="L99" s="568"/>
      <c r="M99" s="568"/>
      <c r="N99" s="568"/>
      <c r="O99" s="1501"/>
      <c r="P99" s="1502"/>
      <c r="Q99" s="1503"/>
      <c r="R99" s="488"/>
    </row>
    <row r="100" spans="2:18" ht="13" x14ac:dyDescent="0.3">
      <c r="B100" s="533">
        <v>4</v>
      </c>
      <c r="C100" s="546"/>
      <c r="D100" s="1184"/>
      <c r="E100" s="1068"/>
      <c r="F100" s="1190"/>
      <c r="G100" s="1190"/>
      <c r="H100" s="1190"/>
      <c r="I100" s="568"/>
      <c r="J100" s="568"/>
      <c r="K100" s="568"/>
      <c r="L100" s="568"/>
      <c r="M100" s="568"/>
      <c r="N100" s="568"/>
      <c r="O100" s="1501"/>
      <c r="P100" s="1502"/>
      <c r="Q100" s="1503"/>
      <c r="R100" s="488"/>
    </row>
    <row r="101" spans="2:18" ht="13" x14ac:dyDescent="0.3">
      <c r="B101" s="533">
        <v>5</v>
      </c>
      <c r="C101" s="546"/>
      <c r="D101" s="1184"/>
      <c r="E101" s="1068"/>
      <c r="F101" s="1190"/>
      <c r="G101" s="1190"/>
      <c r="H101" s="1190"/>
      <c r="I101" s="568"/>
      <c r="J101" s="568"/>
      <c r="K101" s="568"/>
      <c r="L101" s="568"/>
      <c r="M101" s="568"/>
      <c r="N101" s="568"/>
      <c r="O101" s="1501"/>
      <c r="P101" s="1502"/>
      <c r="Q101" s="1503"/>
      <c r="R101" s="488"/>
    </row>
    <row r="102" spans="2:18" ht="13" x14ac:dyDescent="0.3">
      <c r="B102" s="533">
        <v>6</v>
      </c>
      <c r="C102" s="546"/>
      <c r="D102" s="570"/>
      <c r="E102" s="1190"/>
      <c r="F102" s="622"/>
      <c r="G102" s="1190"/>
      <c r="H102" s="1190"/>
      <c r="I102" s="569"/>
      <c r="J102" s="569"/>
      <c r="K102" s="569"/>
      <c r="L102" s="569"/>
      <c r="M102" s="569"/>
      <c r="N102" s="569"/>
      <c r="O102" s="1492"/>
      <c r="P102" s="1493"/>
      <c r="Q102" s="1494"/>
      <c r="R102" s="488"/>
    </row>
    <row r="103" spans="2:18" ht="13" x14ac:dyDescent="0.3">
      <c r="B103" s="533">
        <v>7</v>
      </c>
      <c r="C103" s="546"/>
      <c r="D103" s="570"/>
      <c r="E103" s="1190"/>
      <c r="F103" s="569"/>
      <c r="G103" s="569"/>
      <c r="H103" s="1190"/>
      <c r="I103" s="569"/>
      <c r="J103" s="569"/>
      <c r="K103" s="569"/>
      <c r="L103" s="569"/>
      <c r="M103" s="569"/>
      <c r="N103" s="569"/>
      <c r="O103" s="1492"/>
      <c r="P103" s="1493"/>
      <c r="Q103" s="1494"/>
      <c r="R103" s="488"/>
    </row>
    <row r="104" spans="2:18" ht="13" x14ac:dyDescent="0.3">
      <c r="B104" s="533">
        <v>8</v>
      </c>
      <c r="C104" s="546"/>
      <c r="D104" s="570"/>
      <c r="E104" s="1190"/>
      <c r="F104" s="569"/>
      <c r="G104" s="569"/>
      <c r="H104" s="569"/>
      <c r="I104" s="569"/>
      <c r="J104" s="569"/>
      <c r="K104" s="569"/>
      <c r="L104" s="569"/>
      <c r="M104" s="569"/>
      <c r="N104" s="569"/>
      <c r="O104" s="1492"/>
      <c r="P104" s="1493"/>
      <c r="Q104" s="1494"/>
      <c r="R104" s="488"/>
    </row>
    <row r="105" spans="2:18" ht="13" x14ac:dyDescent="0.3">
      <c r="B105" s="533">
        <v>9</v>
      </c>
      <c r="C105" s="546"/>
      <c r="D105" s="570"/>
      <c r="E105" s="1190"/>
      <c r="F105" s="1217"/>
      <c r="G105" s="1217"/>
      <c r="H105" s="1217"/>
      <c r="I105" s="569"/>
      <c r="J105" s="569"/>
      <c r="K105" s="569"/>
      <c r="L105" s="569"/>
      <c r="M105" s="569"/>
      <c r="N105" s="569"/>
      <c r="O105" s="1492"/>
      <c r="P105" s="1493"/>
      <c r="Q105" s="1494"/>
      <c r="R105" s="488"/>
    </row>
    <row r="106" spans="2:18" ht="13" x14ac:dyDescent="0.3">
      <c r="B106" s="533">
        <v>10</v>
      </c>
      <c r="C106" s="546"/>
      <c r="D106" s="570"/>
      <c r="E106" s="1217"/>
      <c r="F106" s="1217"/>
      <c r="G106" s="1217"/>
      <c r="H106" s="1217"/>
      <c r="I106" s="569"/>
      <c r="J106" s="569"/>
      <c r="K106" s="569"/>
      <c r="L106" s="569"/>
      <c r="M106" s="569"/>
      <c r="N106" s="569"/>
      <c r="O106" s="1492"/>
      <c r="P106" s="1493"/>
      <c r="Q106" s="1494"/>
      <c r="R106" s="488"/>
    </row>
    <row r="107" spans="2:18" ht="13" x14ac:dyDescent="0.3">
      <c r="B107" s="533">
        <v>11</v>
      </c>
      <c r="C107" s="546"/>
      <c r="D107" s="570"/>
      <c r="E107" s="571"/>
      <c r="F107" s="1190"/>
      <c r="G107" s="571"/>
      <c r="H107" s="571"/>
      <c r="I107" s="569"/>
      <c r="J107" s="569"/>
      <c r="K107" s="569"/>
      <c r="L107" s="569"/>
      <c r="M107" s="569"/>
      <c r="N107" s="569"/>
      <c r="O107" s="1492"/>
      <c r="P107" s="1493"/>
      <c r="Q107" s="1494"/>
      <c r="R107" s="488"/>
    </row>
    <row r="108" spans="2:18" ht="13" x14ac:dyDescent="0.3">
      <c r="B108" s="533">
        <v>12</v>
      </c>
      <c r="C108" s="546"/>
      <c r="D108" s="570"/>
      <c r="E108" s="1217"/>
      <c r="F108" s="1190"/>
      <c r="G108" s="1217"/>
      <c r="H108" s="1217"/>
      <c r="I108" s="569"/>
      <c r="J108" s="569"/>
      <c r="K108" s="569"/>
      <c r="L108" s="569"/>
      <c r="M108" s="569"/>
      <c r="N108" s="569"/>
      <c r="O108" s="1492"/>
      <c r="P108" s="1493"/>
      <c r="Q108" s="1494"/>
      <c r="R108" s="488"/>
    </row>
    <row r="109" spans="2:18" ht="13" x14ac:dyDescent="0.3">
      <c r="B109" s="533">
        <v>13</v>
      </c>
      <c r="C109" s="546"/>
      <c r="D109" s="570"/>
      <c r="E109" s="1217"/>
      <c r="F109" s="1217"/>
      <c r="G109" s="1217"/>
      <c r="H109" s="1217"/>
      <c r="I109" s="569"/>
      <c r="J109" s="569"/>
      <c r="K109" s="569"/>
      <c r="L109" s="569"/>
      <c r="M109" s="569"/>
      <c r="N109" s="569"/>
      <c r="O109" s="1492"/>
      <c r="P109" s="1493"/>
      <c r="Q109" s="1494"/>
      <c r="R109" s="488"/>
    </row>
    <row r="110" spans="2:18" ht="13" x14ac:dyDescent="0.3">
      <c r="B110" s="533">
        <v>14</v>
      </c>
      <c r="C110" s="546"/>
      <c r="D110" s="570"/>
      <c r="E110" s="572"/>
      <c r="F110" s="572"/>
      <c r="G110" s="572"/>
      <c r="H110" s="572"/>
      <c r="I110" s="569"/>
      <c r="J110" s="569"/>
      <c r="K110" s="569"/>
      <c r="L110" s="569"/>
      <c r="M110" s="569"/>
      <c r="N110" s="569"/>
      <c r="O110" s="1492"/>
      <c r="P110" s="1493"/>
      <c r="Q110" s="1494"/>
      <c r="R110" s="488"/>
    </row>
    <row r="111" spans="2:18" ht="13" x14ac:dyDescent="0.3">
      <c r="B111" s="533">
        <v>15</v>
      </c>
      <c r="C111" s="546"/>
      <c r="D111" s="570"/>
      <c r="E111" s="572"/>
      <c r="F111" s="572"/>
      <c r="G111" s="572"/>
      <c r="H111" s="572"/>
      <c r="I111" s="569"/>
      <c r="J111" s="569"/>
      <c r="K111" s="569"/>
      <c r="L111" s="569"/>
      <c r="M111" s="569"/>
      <c r="N111" s="569"/>
      <c r="O111" s="1492"/>
      <c r="P111" s="1493"/>
      <c r="Q111" s="1494"/>
      <c r="R111" s="488"/>
    </row>
    <row r="112" spans="2:18" ht="13" x14ac:dyDescent="0.3">
      <c r="B112" s="533">
        <v>16</v>
      </c>
      <c r="C112" s="546"/>
      <c r="D112" s="570"/>
      <c r="E112" s="572"/>
      <c r="F112" s="572"/>
      <c r="G112" s="572"/>
      <c r="H112" s="572"/>
      <c r="I112" s="569"/>
      <c r="J112" s="569"/>
      <c r="K112" s="569"/>
      <c r="L112" s="569"/>
      <c r="M112" s="569"/>
      <c r="N112" s="569"/>
      <c r="O112" s="1492"/>
      <c r="P112" s="1493"/>
      <c r="Q112" s="1494"/>
      <c r="R112" s="488"/>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sheetData>
  <sheetProtection algorithmName="SHA-512" hashValue="gMUUDwahXcdaDV7R93roGN1PnU07N4pIDjDQBr+8gYFOtV8Y5El5ls704L0bmRGOxSnOad0rQTaXgvmzFtSa0w==" saltValue="hhgXhLzrPPZszdXJzimHnQ==" spinCount="100000" sheet="1" objects="1" scenarios="1" selectLockedCells="1" selectUnlockedCells="1"/>
  <mergeCells count="121">
    <mergeCell ref="C2:F2"/>
    <mergeCell ref="C3:F3"/>
    <mergeCell ref="C4:F4"/>
    <mergeCell ref="C5:F5"/>
    <mergeCell ref="D7:F7"/>
    <mergeCell ref="D8:F16"/>
    <mergeCell ref="D25:Q25"/>
    <mergeCell ref="D26:Q26"/>
    <mergeCell ref="D27:Q27"/>
    <mergeCell ref="D28:Q28"/>
    <mergeCell ref="D29:Q29"/>
    <mergeCell ref="D30:Q30"/>
    <mergeCell ref="D17:F17"/>
    <mergeCell ref="D18:F18"/>
    <mergeCell ref="B20:Q20"/>
    <mergeCell ref="C21:Q21"/>
    <mergeCell ref="C22:Q22"/>
    <mergeCell ref="C23:Q23"/>
    <mergeCell ref="C41:M41"/>
    <mergeCell ref="P41:Q41"/>
    <mergeCell ref="C42:M42"/>
    <mergeCell ref="P42:Q42"/>
    <mergeCell ref="C43:M43"/>
    <mergeCell ref="P43:Q43"/>
    <mergeCell ref="E32:Q32"/>
    <mergeCell ref="E33:Q33"/>
    <mergeCell ref="E34:Q34"/>
    <mergeCell ref="E35:Q35"/>
    <mergeCell ref="E36:Q36"/>
    <mergeCell ref="E37:Q37"/>
    <mergeCell ref="C48:M48"/>
    <mergeCell ref="P48:Q48"/>
    <mergeCell ref="C49:M49"/>
    <mergeCell ref="P49:Q49"/>
    <mergeCell ref="C50:M50"/>
    <mergeCell ref="P50:Q50"/>
    <mergeCell ref="C44:M44"/>
    <mergeCell ref="P44:Q44"/>
    <mergeCell ref="C45:M45"/>
    <mergeCell ref="P45:Q45"/>
    <mergeCell ref="C47:M47"/>
    <mergeCell ref="P47:Q47"/>
    <mergeCell ref="C55:M55"/>
    <mergeCell ref="P55:Q55"/>
    <mergeCell ref="C56:M56"/>
    <mergeCell ref="P56:Q56"/>
    <mergeCell ref="C57:M57"/>
    <mergeCell ref="P57:Q57"/>
    <mergeCell ref="C51:M51"/>
    <mergeCell ref="P51:Q51"/>
    <mergeCell ref="C53:M53"/>
    <mergeCell ref="P53:Q53"/>
    <mergeCell ref="C54:M54"/>
    <mergeCell ref="P54:Q54"/>
    <mergeCell ref="D64:E64"/>
    <mergeCell ref="J64:Q64"/>
    <mergeCell ref="D65:E65"/>
    <mergeCell ref="J65:Q65"/>
    <mergeCell ref="D66:E66"/>
    <mergeCell ref="J66:Q66"/>
    <mergeCell ref="D61:E61"/>
    <mergeCell ref="J61:Q61"/>
    <mergeCell ref="D62:E62"/>
    <mergeCell ref="J62:Q62"/>
    <mergeCell ref="D63:E63"/>
    <mergeCell ref="J63:Q63"/>
    <mergeCell ref="D70:E70"/>
    <mergeCell ref="J70:Q70"/>
    <mergeCell ref="D71:E71"/>
    <mergeCell ref="J71:Q71"/>
    <mergeCell ref="D72:E72"/>
    <mergeCell ref="J72:Q72"/>
    <mergeCell ref="D67:E67"/>
    <mergeCell ref="J67:Q67"/>
    <mergeCell ref="D68:E68"/>
    <mergeCell ref="J68:Q68"/>
    <mergeCell ref="D69:E69"/>
    <mergeCell ref="J69:Q69"/>
    <mergeCell ref="D76:E76"/>
    <mergeCell ref="J76:Q76"/>
    <mergeCell ref="F80:Q80"/>
    <mergeCell ref="F81:Q81"/>
    <mergeCell ref="F82:Q82"/>
    <mergeCell ref="F83:Q83"/>
    <mergeCell ref="D73:E73"/>
    <mergeCell ref="J73:Q73"/>
    <mergeCell ref="D74:E74"/>
    <mergeCell ref="J74:Q74"/>
    <mergeCell ref="D75:E75"/>
    <mergeCell ref="J75:Q75"/>
    <mergeCell ref="B95:D95"/>
    <mergeCell ref="C96:D96"/>
    <mergeCell ref="O97:Q97"/>
    <mergeCell ref="F84:Q84"/>
    <mergeCell ref="F85:Q85"/>
    <mergeCell ref="F86:Q86"/>
    <mergeCell ref="F87:Q87"/>
    <mergeCell ref="F88:Q88"/>
    <mergeCell ref="F89:Q89"/>
    <mergeCell ref="O98:Q98"/>
    <mergeCell ref="O99:Q99"/>
    <mergeCell ref="O100:Q100"/>
    <mergeCell ref="O101:Q101"/>
    <mergeCell ref="O102:Q102"/>
    <mergeCell ref="O103:Q103"/>
    <mergeCell ref="F90:Q90"/>
    <mergeCell ref="E94:N94"/>
    <mergeCell ref="O94:Q96"/>
    <mergeCell ref="O116:Q116"/>
    <mergeCell ref="O110:Q110"/>
    <mergeCell ref="O111:Q111"/>
    <mergeCell ref="O112:Q112"/>
    <mergeCell ref="O113:Q113"/>
    <mergeCell ref="O114:Q114"/>
    <mergeCell ref="O115:Q115"/>
    <mergeCell ref="O104:Q104"/>
    <mergeCell ref="O105:Q105"/>
    <mergeCell ref="O106:Q106"/>
    <mergeCell ref="O107:Q107"/>
    <mergeCell ref="O108:Q108"/>
    <mergeCell ref="O109:Q109"/>
  </mergeCells>
  <conditionalFormatting sqref="F109:F116 G102:G116 H104:H116">
    <cfRule type="expression" dxfId="1322" priority="24">
      <formula>IF(OR(#REF!="L",#REF!="C"),TRUE,FALSE)</formula>
    </cfRule>
  </conditionalFormatting>
  <conditionalFormatting sqref="E110:E116">
    <cfRule type="expression" dxfId="1321" priority="23">
      <formula>IF(OR(#REF!="L",#REF!="C"),TRUE,FALSE)</formula>
    </cfRule>
  </conditionalFormatting>
  <conditionalFormatting sqref="E107">
    <cfRule type="expression" dxfId="1320" priority="22">
      <formula>IF(OR(#REF!="L",#REF!="C"),TRUE,FALSE)</formula>
    </cfRule>
  </conditionalFormatting>
  <conditionalFormatting sqref="E106">
    <cfRule type="expression" dxfId="1319" priority="19">
      <formula>IF(OR(#REF!="L",#REF!="C"),TRUE,FALSE)</formula>
    </cfRule>
  </conditionalFormatting>
  <conditionalFormatting sqref="E108">
    <cfRule type="expression" dxfId="1318" priority="21">
      <formula>IF(OR(#REF!="L",#REF!="C"),TRUE,FALSE)</formula>
    </cfRule>
  </conditionalFormatting>
  <conditionalFormatting sqref="E109">
    <cfRule type="expression" dxfId="1317" priority="20">
      <formula>IF(OR(#REF!="L",#REF!="C"),TRUE,FALSE)</formula>
    </cfRule>
  </conditionalFormatting>
  <conditionalFormatting sqref="E95 G95 I95 K95 M95">
    <cfRule type="duplicateValues" dxfId="1316" priority="18"/>
  </conditionalFormatting>
  <conditionalFormatting sqref="M104:M116">
    <cfRule type="expression" dxfId="1315" priority="8">
      <formula>IF(OR(#REF!="L",#REF!="C"),TRUE,FALSE)</formula>
    </cfRule>
  </conditionalFormatting>
  <conditionalFormatting sqref="F102:F106">
    <cfRule type="expression" dxfId="1314" priority="17">
      <formula>IF(OR(#REF!="L",#REF!="C"),TRUE,FALSE)</formula>
    </cfRule>
  </conditionalFormatting>
  <conditionalFormatting sqref="I102:I103">
    <cfRule type="expression" dxfId="1313" priority="15">
      <formula>IF(OR(#REF!="L",#REF!="C"),TRUE,FALSE)</formula>
    </cfRule>
  </conditionalFormatting>
  <conditionalFormatting sqref="N102:N103">
    <cfRule type="expression" dxfId="1312" priority="5">
      <formula>IF(OR(#REF!="L",#REF!="C"),TRUE,FALSE)</formula>
    </cfRule>
  </conditionalFormatting>
  <conditionalFormatting sqref="I104:I116">
    <cfRule type="expression" dxfId="1311" priority="16">
      <formula>IF(OR(#REF!="L",#REF!="C"),TRUE,FALSE)</formula>
    </cfRule>
  </conditionalFormatting>
  <conditionalFormatting sqref="J102:J103">
    <cfRule type="expression" dxfId="1310" priority="13">
      <formula>IF(OR(#REF!="L",#REF!="C"),TRUE,FALSE)</formula>
    </cfRule>
  </conditionalFormatting>
  <conditionalFormatting sqref="J104:J116">
    <cfRule type="expression" dxfId="1309" priority="14">
      <formula>IF(OR(#REF!="L",#REF!="C"),TRUE,FALSE)</formula>
    </cfRule>
  </conditionalFormatting>
  <conditionalFormatting sqref="K102:K103">
    <cfRule type="expression" dxfId="1308" priority="11">
      <formula>IF(OR(#REF!="L",#REF!="C"),TRUE,FALSE)</formula>
    </cfRule>
  </conditionalFormatting>
  <conditionalFormatting sqref="K104:K116">
    <cfRule type="expression" dxfId="1307" priority="12">
      <formula>IF(OR(#REF!="L",#REF!="C"),TRUE,FALSE)</formula>
    </cfRule>
  </conditionalFormatting>
  <conditionalFormatting sqref="L102:L103">
    <cfRule type="expression" dxfId="1306" priority="9">
      <formula>IF(OR(#REF!="L",#REF!="C"),TRUE,FALSE)</formula>
    </cfRule>
  </conditionalFormatting>
  <conditionalFormatting sqref="L104:L116">
    <cfRule type="expression" dxfId="1305" priority="10">
      <formula>IF(OR(#REF!="L",#REF!="C"),TRUE,FALSE)</formula>
    </cfRule>
  </conditionalFormatting>
  <conditionalFormatting sqref="M102:M103">
    <cfRule type="expression" dxfId="1304" priority="7">
      <formula>IF(OR(#REF!="L",#REF!="C"),TRUE,FALSE)</formula>
    </cfRule>
  </conditionalFormatting>
  <conditionalFormatting sqref="N104:N116">
    <cfRule type="expression" dxfId="1303" priority="6">
      <formula>IF(OR(#REF!="L",#REF!="C"),TRUE,FALSE)</formula>
    </cfRule>
  </conditionalFormatting>
  <conditionalFormatting sqref="O102:O103">
    <cfRule type="expression" dxfId="1302" priority="3">
      <formula>IF(OR(#REF!="L",#REF!="C"),TRUE,FALSE)</formula>
    </cfRule>
  </conditionalFormatting>
  <conditionalFormatting sqref="O104:O116">
    <cfRule type="expression" dxfId="1301" priority="4">
      <formula>IF(OR(#REF!="L",#REF!="C"),TRUE,FALSE)</formula>
    </cfRule>
  </conditionalFormatting>
  <conditionalFormatting sqref="E96:N96">
    <cfRule type="duplicateValues" dxfId="1300" priority="2"/>
  </conditionalFormatting>
  <conditionalFormatting sqref="H62:H76">
    <cfRule type="expression" dxfId="1299" priority="1">
      <formula>IF(OR(#REF!="L",#REF!="C"),TRUE,FALSE)</formula>
    </cfRule>
  </conditionalFormatting>
  <dataValidations count="5">
    <dataValidation type="list" allowBlank="1" showInputMessage="1" showErrorMessage="1" sqref="C9" xr:uid="{182F60F3-0137-4681-AA3C-EC5B4CD956B9}">
      <formula1>INDIRECT("MeasureTypeList[Index]")</formula1>
    </dataValidation>
    <dataValidation type="list" allowBlank="1" showInputMessage="1" showErrorMessage="1" sqref="C26" xr:uid="{54572B55-17E4-4E4E-92B8-4D17CB01079F}">
      <formula1>INDIRECT("RegionList[Index]")</formula1>
    </dataValidation>
    <dataValidation type="list" allowBlank="1" showInputMessage="1" showErrorMessage="1" sqref="C27" xr:uid="{02F0686D-AC72-476E-B70C-5B4072883568}">
      <formula1>INDIRECT("ReplacementTypeList[Index]")</formula1>
    </dataValidation>
    <dataValidation type="list" allowBlank="1" showInputMessage="1" showErrorMessage="1" sqref="C28" xr:uid="{4B9ABA32-3553-4B2A-914D-F305D8BF41B8}">
      <formula1>INDIRECT("BuildingType[Building]")</formula1>
    </dataValidation>
    <dataValidation type="list" allowBlank="1" showInputMessage="1" showErrorMessage="1" sqref="C29 C30" xr:uid="{26C761A2-3108-4B13-8026-540FF6A29D8D}">
      <formula1>INDIRECT("FuelTypeList[Index]")</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404C760-05C5-4BBF-ABC5-453626E99FCF}">
          <x14:formula1>
            <xm:f>'Climate Data'!$B$286:$B$291</xm:f>
          </x14:formula1>
          <xm:sqref>H65</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BD550-EF2E-44AE-8799-4ED9AF0ED50C}">
  <sheetPr codeName="Sheet6">
    <tabColor rgb="FFFFC000"/>
  </sheetPr>
  <dimension ref="A1"/>
  <sheetViews>
    <sheetView workbookViewId="0">
      <selection activeCell="M20" sqref="M20"/>
    </sheetView>
  </sheetViews>
  <sheetFormatPr defaultColWidth="8.81640625" defaultRowHeight="14.5" x14ac:dyDescent="0.35"/>
  <sheetData/>
  <sheetProtection algorithmName="SHA-512" hashValue="1O97ll0Zk/ueitPC+KQZQF8u1PlFV4vO89z0h8YWpblDT/2xEzpN1P/qL4cMtWn/GNWy6benlpY0rmuNiPVBtA==" saltValue="fhhqPUjJ13nXblkviY+Tlg==" spinCount="100000" sheet="1" objects="1" scenarios="1" selectLockedCells="1" selectUnlockedCells="1"/>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63BE0-A85E-4B11-A14A-7AA8167911F0}">
  <sheetPr codeName="Sheet7">
    <tabColor rgb="FFFFC000"/>
    <pageSetUpPr fitToPage="1"/>
  </sheetPr>
  <dimension ref="A1:F116"/>
  <sheetViews>
    <sheetView workbookViewId="0">
      <selection sqref="A1:XFD1048576"/>
    </sheetView>
  </sheetViews>
  <sheetFormatPr defaultColWidth="8" defaultRowHeight="14.5" x14ac:dyDescent="0.35"/>
  <cols>
    <col min="1" max="1" width="4.36328125" style="377" customWidth="1"/>
    <col min="2" max="2" width="65.08984375" style="142" customWidth="1"/>
    <col min="3" max="3" width="31.26953125" style="346" customWidth="1"/>
    <col min="4" max="4" width="17.36328125" style="346" customWidth="1"/>
    <col min="5" max="5" width="94.7265625" style="444" customWidth="1"/>
    <col min="6" max="6" width="61.6328125" style="142" customWidth="1"/>
    <col min="7" max="7" width="6.7265625" style="142" customWidth="1"/>
    <col min="8" max="8" width="8" style="142"/>
    <col min="9" max="11" width="15.36328125" style="142" customWidth="1"/>
    <col min="12" max="12" width="12.08984375" style="142" customWidth="1"/>
    <col min="13" max="16384" width="8" style="142"/>
  </cols>
  <sheetData>
    <row r="1" spans="2:5" ht="18.5" x14ac:dyDescent="0.45">
      <c r="B1" s="476" t="s">
        <v>2022</v>
      </c>
    </row>
    <row r="2" spans="2:5" x14ac:dyDescent="0.35">
      <c r="C2" s="367"/>
      <c r="D2" s="142"/>
      <c r="E2" s="445"/>
    </row>
    <row r="3" spans="2:5" ht="15" thickBot="1" x14ac:dyDescent="0.4">
      <c r="B3" s="366" t="s">
        <v>2023</v>
      </c>
      <c r="C3" s="366"/>
      <c r="D3" s="366"/>
      <c r="E3" s="445"/>
    </row>
    <row r="4" spans="2:5" ht="15" thickTop="1" x14ac:dyDescent="0.35">
      <c r="B4" s="368" t="s">
        <v>2024</v>
      </c>
      <c r="C4" s="368" t="s">
        <v>472</v>
      </c>
      <c r="D4" s="369" t="s">
        <v>406</v>
      </c>
      <c r="E4" s="446" t="s">
        <v>419</v>
      </c>
    </row>
    <row r="5" spans="2:5" x14ac:dyDescent="0.35">
      <c r="B5" s="466" t="s">
        <v>2025</v>
      </c>
      <c r="C5" s="466" t="s">
        <v>2026</v>
      </c>
      <c r="D5" s="370">
        <v>0.05</v>
      </c>
      <c r="E5" s="443" t="s">
        <v>2027</v>
      </c>
    </row>
    <row r="6" spans="2:5" x14ac:dyDescent="0.35">
      <c r="B6" s="466" t="s">
        <v>2028</v>
      </c>
      <c r="C6" s="466" t="s">
        <v>2029</v>
      </c>
      <c r="D6" s="370">
        <f>Discount.Rate.Nominal-Inflation</f>
        <v>3.0000000000000002E-2</v>
      </c>
      <c r="E6" s="443" t="s">
        <v>2030</v>
      </c>
    </row>
    <row r="7" spans="2:5" ht="29" x14ac:dyDescent="0.35">
      <c r="B7" s="371" t="s">
        <v>2031</v>
      </c>
      <c r="C7" s="371" t="s">
        <v>2032</v>
      </c>
      <c r="D7" s="372">
        <v>0.02</v>
      </c>
      <c r="E7" s="447" t="s">
        <v>2033</v>
      </c>
    </row>
    <row r="8" spans="2:5" x14ac:dyDescent="0.35">
      <c r="C8" s="142"/>
      <c r="D8" s="142"/>
      <c r="E8" s="445"/>
    </row>
    <row r="9" spans="2:5" x14ac:dyDescent="0.35">
      <c r="B9" s="368" t="s">
        <v>2034</v>
      </c>
      <c r="C9" s="368" t="s">
        <v>472</v>
      </c>
      <c r="D9" s="369" t="s">
        <v>406</v>
      </c>
      <c r="E9" s="446" t="s">
        <v>419</v>
      </c>
    </row>
    <row r="10" spans="2:5" ht="29" x14ac:dyDescent="0.35">
      <c r="B10" s="466" t="s">
        <v>2035</v>
      </c>
      <c r="C10" s="466" t="s">
        <v>2036</v>
      </c>
      <c r="D10" s="373">
        <v>21</v>
      </c>
      <c r="E10" s="448" t="s">
        <v>2037</v>
      </c>
    </row>
    <row r="11" spans="2:5" ht="29" x14ac:dyDescent="0.35">
      <c r="B11" s="466" t="s">
        <v>2038</v>
      </c>
      <c r="C11" s="466" t="s">
        <v>2039</v>
      </c>
      <c r="D11" s="373">
        <v>15</v>
      </c>
      <c r="E11" s="448" t="s">
        <v>2037</v>
      </c>
    </row>
    <row r="12" spans="2:5" x14ac:dyDescent="0.35">
      <c r="B12" s="466" t="s">
        <v>2040</v>
      </c>
      <c r="C12" s="466" t="s">
        <v>2041</v>
      </c>
      <c r="D12" s="373">
        <f>AVERAGE(D10:D11)</f>
        <v>18</v>
      </c>
      <c r="E12" s="443" t="s">
        <v>2042</v>
      </c>
    </row>
    <row r="13" spans="2:5" ht="29" x14ac:dyDescent="0.35">
      <c r="B13" s="466" t="s">
        <v>2043</v>
      </c>
      <c r="C13" s="466" t="s">
        <v>2044</v>
      </c>
      <c r="D13" s="373">
        <v>1.7E-5</v>
      </c>
      <c r="E13" s="448" t="s">
        <v>2045</v>
      </c>
    </row>
    <row r="14" spans="2:5" ht="29" x14ac:dyDescent="0.35">
      <c r="B14" s="466" t="s">
        <v>2046</v>
      </c>
      <c r="C14" s="466" t="s">
        <v>2047</v>
      </c>
      <c r="D14" s="373">
        <v>2.4000000000000001E-5</v>
      </c>
      <c r="E14" s="448" t="s">
        <v>2045</v>
      </c>
    </row>
    <row r="15" spans="2:5" ht="29" x14ac:dyDescent="0.35">
      <c r="B15" s="466" t="s">
        <v>2048</v>
      </c>
      <c r="C15" s="466" t="s">
        <v>2049</v>
      </c>
      <c r="D15" s="373">
        <v>2.3199999999999998</v>
      </c>
      <c r="E15" s="448" t="s">
        <v>2050</v>
      </c>
    </row>
    <row r="16" spans="2:5" ht="29" x14ac:dyDescent="0.35">
      <c r="B16" s="466" t="s">
        <v>2051</v>
      </c>
      <c r="C16" s="466" t="s">
        <v>2052</v>
      </c>
      <c r="D16" s="373">
        <v>5.0999999999999996</v>
      </c>
      <c r="E16" s="448" t="s">
        <v>2050</v>
      </c>
    </row>
    <row r="17" spans="2:5" ht="29" x14ac:dyDescent="0.35">
      <c r="B17" s="371" t="s">
        <v>2053</v>
      </c>
      <c r="C17" s="371" t="s">
        <v>2054</v>
      </c>
      <c r="D17" s="374">
        <v>900000</v>
      </c>
      <c r="E17" s="449" t="s">
        <v>2055</v>
      </c>
    </row>
    <row r="18" spans="2:5" x14ac:dyDescent="0.35">
      <c r="B18" s="375"/>
      <c r="C18" s="375"/>
      <c r="D18" s="1139"/>
      <c r="E18" s="1140"/>
    </row>
    <row r="19" spans="2:5" x14ac:dyDescent="0.35">
      <c r="B19" s="1141" t="s">
        <v>2056</v>
      </c>
      <c r="C19" s="142"/>
      <c r="D19" s="142"/>
      <c r="E19" s="142"/>
    </row>
    <row r="20" spans="2:5" ht="69.75" customHeight="1" x14ac:dyDescent="0.35">
      <c r="B20" s="2038" t="s">
        <v>2057</v>
      </c>
      <c r="C20" s="2039"/>
      <c r="D20" s="2039"/>
      <c r="E20" s="2040"/>
    </row>
    <row r="21" spans="2:5" s="377" customFormat="1" x14ac:dyDescent="0.35">
      <c r="B21" s="375"/>
      <c r="C21" s="376"/>
      <c r="D21" s="375"/>
      <c r="E21" s="450"/>
    </row>
    <row r="22" spans="2:5" ht="15" thickBot="1" x14ac:dyDescent="0.4">
      <c r="B22" s="2041" t="s">
        <v>2058</v>
      </c>
      <c r="C22" s="2041"/>
      <c r="D22" s="2041"/>
      <c r="E22" s="445"/>
    </row>
    <row r="23" spans="2:5" ht="15" thickTop="1" x14ac:dyDescent="0.35">
      <c r="B23" s="368" t="s">
        <v>2059</v>
      </c>
      <c r="C23" s="368" t="s">
        <v>472</v>
      </c>
      <c r="D23" s="369" t="s">
        <v>406</v>
      </c>
      <c r="E23" s="446" t="s">
        <v>419</v>
      </c>
    </row>
    <row r="24" spans="2:5" x14ac:dyDescent="0.35">
      <c r="B24" s="378" t="s">
        <v>2060</v>
      </c>
      <c r="C24" s="378" t="s">
        <v>2061</v>
      </c>
      <c r="D24" s="379">
        <v>8.2999999999999963E-2</v>
      </c>
      <c r="E24" s="443" t="s">
        <v>2062</v>
      </c>
    </row>
    <row r="25" spans="2:5" x14ac:dyDescent="0.35">
      <c r="B25" s="380" t="s">
        <v>2063</v>
      </c>
      <c r="C25" s="380" t="s">
        <v>2064</v>
      </c>
      <c r="D25" s="381">
        <v>0.02</v>
      </c>
      <c r="E25" s="447" t="s">
        <v>2065</v>
      </c>
    </row>
    <row r="26" spans="2:5" x14ac:dyDescent="0.35">
      <c r="C26" s="367"/>
      <c r="D26" s="142"/>
      <c r="E26" s="445"/>
    </row>
    <row r="27" spans="2:5" x14ac:dyDescent="0.35">
      <c r="B27" s="368" t="s">
        <v>2066</v>
      </c>
      <c r="C27" s="368" t="s">
        <v>472</v>
      </c>
      <c r="D27" s="369" t="s">
        <v>406</v>
      </c>
      <c r="E27" s="446" t="s">
        <v>419</v>
      </c>
    </row>
    <row r="28" spans="2:5" ht="29" x14ac:dyDescent="0.35">
      <c r="B28" s="438" t="s">
        <v>2067</v>
      </c>
      <c r="C28" s="438" t="s">
        <v>2068</v>
      </c>
      <c r="D28" s="401">
        <f>51.587/1000</f>
        <v>5.1587000000000001E-2</v>
      </c>
      <c r="E28" s="465" t="s">
        <v>2069</v>
      </c>
    </row>
    <row r="29" spans="2:5" x14ac:dyDescent="0.35">
      <c r="B29" s="377"/>
      <c r="C29" s="367"/>
      <c r="D29" s="142"/>
      <c r="E29" s="445"/>
    </row>
    <row r="30" spans="2:5" x14ac:dyDescent="0.35">
      <c r="B30" s="368" t="s">
        <v>2070</v>
      </c>
      <c r="C30" s="399" t="s">
        <v>472</v>
      </c>
      <c r="D30" s="369" t="s">
        <v>406</v>
      </c>
      <c r="E30" s="446" t="s">
        <v>419</v>
      </c>
    </row>
    <row r="31" spans="2:5" x14ac:dyDescent="0.35">
      <c r="B31" s="466" t="s">
        <v>2071</v>
      </c>
      <c r="C31" s="402" t="s">
        <v>2072</v>
      </c>
      <c r="D31" s="383">
        <f>0.64/1000</f>
        <v>6.4000000000000005E-4</v>
      </c>
      <c r="E31" s="443" t="s">
        <v>2073</v>
      </c>
    </row>
    <row r="32" spans="2:5" x14ac:dyDescent="0.35">
      <c r="B32" s="371" t="s">
        <v>2074</v>
      </c>
      <c r="C32" s="403" t="s">
        <v>2075</v>
      </c>
      <c r="D32" s="384">
        <f>0.57/1000</f>
        <v>5.6999999999999998E-4</v>
      </c>
      <c r="E32" s="443" t="s">
        <v>2076</v>
      </c>
    </row>
    <row r="33" spans="2:5" x14ac:dyDescent="0.35">
      <c r="C33" s="367"/>
      <c r="D33" s="142"/>
      <c r="E33" s="445"/>
    </row>
    <row r="34" spans="2:5" ht="15" thickBot="1" x14ac:dyDescent="0.4">
      <c r="B34" s="2041" t="s">
        <v>2852</v>
      </c>
      <c r="C34" s="2041"/>
      <c r="D34" s="2041"/>
      <c r="E34" s="445"/>
    </row>
    <row r="35" spans="2:5" ht="15" thickTop="1" x14ac:dyDescent="0.35">
      <c r="B35" s="368" t="s">
        <v>2077</v>
      </c>
      <c r="C35" s="368" t="s">
        <v>472</v>
      </c>
      <c r="D35" s="369" t="s">
        <v>406</v>
      </c>
      <c r="E35" s="446" t="s">
        <v>419</v>
      </c>
    </row>
    <row r="36" spans="2:5" x14ac:dyDescent="0.35">
      <c r="B36" s="466" t="s">
        <v>2078</v>
      </c>
      <c r="C36" s="466" t="s">
        <v>2079</v>
      </c>
      <c r="D36" s="382">
        <v>277.77800000000002</v>
      </c>
      <c r="E36" s="443" t="s">
        <v>2080</v>
      </c>
    </row>
    <row r="37" spans="2:5" x14ac:dyDescent="0.35">
      <c r="B37" s="466" t="s">
        <v>2081</v>
      </c>
      <c r="C37" s="466" t="s">
        <v>483</v>
      </c>
      <c r="D37" s="383">
        <v>3.5999999999999999E-3</v>
      </c>
      <c r="E37" s="443" t="s">
        <v>2080</v>
      </c>
    </row>
    <row r="38" spans="2:5" x14ac:dyDescent="0.35">
      <c r="B38" s="466" t="s">
        <v>2082</v>
      </c>
      <c r="C38" s="466" t="s">
        <v>2083</v>
      </c>
      <c r="D38" s="385">
        <v>1.05506E-6</v>
      </c>
      <c r="E38" s="447" t="s">
        <v>2080</v>
      </c>
    </row>
    <row r="39" spans="2:5" x14ac:dyDescent="0.35">
      <c r="B39" s="371" t="s">
        <v>2084</v>
      </c>
      <c r="C39" s="371" t="s">
        <v>2085</v>
      </c>
      <c r="D39" s="386">
        <v>2.93071E-4</v>
      </c>
      <c r="E39" s="447" t="s">
        <v>2080</v>
      </c>
    </row>
    <row r="40" spans="2:5" x14ac:dyDescent="0.35">
      <c r="B40" s="371" t="s">
        <v>2086</v>
      </c>
      <c r="C40" s="371" t="s">
        <v>880</v>
      </c>
      <c r="D40" s="386">
        <f>1/kWh_per_BTU</f>
        <v>3412.1424501230076</v>
      </c>
      <c r="E40" s="447" t="s">
        <v>2080</v>
      </c>
    </row>
    <row r="41" spans="2:5" x14ac:dyDescent="0.35">
      <c r="B41" s="466" t="s">
        <v>2087</v>
      </c>
      <c r="C41" s="466" t="s">
        <v>2088</v>
      </c>
      <c r="D41" s="383">
        <v>1.056</v>
      </c>
      <c r="E41" s="443" t="s">
        <v>2080</v>
      </c>
    </row>
    <row r="42" spans="2:5" x14ac:dyDescent="0.35">
      <c r="B42" s="466" t="s">
        <v>2089</v>
      </c>
      <c r="C42" s="466" t="s">
        <v>2090</v>
      </c>
      <c r="D42" s="383">
        <v>3.7400000000000003E-2</v>
      </c>
      <c r="E42" s="448" t="s">
        <v>2091</v>
      </c>
    </row>
    <row r="43" spans="2:5" x14ac:dyDescent="0.35">
      <c r="B43" s="371" t="s">
        <v>2092</v>
      </c>
      <c r="C43" s="371" t="s">
        <v>2093</v>
      </c>
      <c r="D43" s="384">
        <v>0.1055</v>
      </c>
      <c r="E43" s="443" t="s">
        <v>2080</v>
      </c>
    </row>
    <row r="44" spans="2:5" x14ac:dyDescent="0.35">
      <c r="B44" s="466" t="s">
        <v>2094</v>
      </c>
      <c r="C44" s="466" t="s">
        <v>2095</v>
      </c>
      <c r="D44" s="383">
        <v>3.6</v>
      </c>
      <c r="E44" s="443" t="s">
        <v>2080</v>
      </c>
    </row>
    <row r="45" spans="2:5" x14ac:dyDescent="0.35">
      <c r="B45" s="466" t="s">
        <v>2096</v>
      </c>
      <c r="C45" s="371" t="s">
        <v>1485</v>
      </c>
      <c r="D45" s="383">
        <v>0.746</v>
      </c>
      <c r="E45" s="443" t="s">
        <v>2080</v>
      </c>
    </row>
    <row r="46" spans="2:5" x14ac:dyDescent="0.35">
      <c r="B46" s="466" t="s">
        <v>2097</v>
      </c>
      <c r="C46" s="466" t="s">
        <v>2098</v>
      </c>
      <c r="D46" s="382">
        <f>1/1.8</f>
        <v>0.55555555555555558</v>
      </c>
      <c r="E46" s="443" t="s">
        <v>2080</v>
      </c>
    </row>
    <row r="47" spans="2:5" x14ac:dyDescent="0.35">
      <c r="B47" s="378" t="s">
        <v>2099</v>
      </c>
      <c r="C47" s="378" t="s">
        <v>2100</v>
      </c>
      <c r="D47" s="383">
        <v>1.31</v>
      </c>
      <c r="E47" s="448" t="s">
        <v>2101</v>
      </c>
    </row>
    <row r="48" spans="2:5" x14ac:dyDescent="0.35">
      <c r="B48" s="466" t="s">
        <v>2102</v>
      </c>
      <c r="C48" s="390" t="s">
        <v>2103</v>
      </c>
      <c r="D48" s="394">
        <v>365.25</v>
      </c>
      <c r="E48" s="437" t="s">
        <v>674</v>
      </c>
    </row>
    <row r="49" spans="2:5" x14ac:dyDescent="0.35">
      <c r="B49" s="466" t="s">
        <v>2104</v>
      </c>
      <c r="C49" s="371" t="s">
        <v>980</v>
      </c>
      <c r="D49" s="391">
        <v>24</v>
      </c>
      <c r="E49" s="463" t="s">
        <v>2080</v>
      </c>
    </row>
    <row r="50" spans="2:5" x14ac:dyDescent="0.35">
      <c r="B50" s="466" t="s">
        <v>2105</v>
      </c>
      <c r="C50" s="371" t="s">
        <v>2106</v>
      </c>
      <c r="D50" s="391">
        <v>8766</v>
      </c>
      <c r="E50" s="463" t="s">
        <v>2080</v>
      </c>
    </row>
    <row r="51" spans="2:5" x14ac:dyDescent="0.35">
      <c r="B51" s="371" t="s">
        <v>2107</v>
      </c>
      <c r="C51" s="371" t="s">
        <v>2108</v>
      </c>
      <c r="D51" s="393">
        <v>60</v>
      </c>
      <c r="E51" s="465" t="s">
        <v>2080</v>
      </c>
    </row>
    <row r="52" spans="2:5" x14ac:dyDescent="0.35">
      <c r="B52" s="371" t="s">
        <v>2109</v>
      </c>
      <c r="C52" s="371" t="s">
        <v>2110</v>
      </c>
      <c r="D52" s="393">
        <v>60</v>
      </c>
      <c r="E52" s="465" t="s">
        <v>2080</v>
      </c>
    </row>
    <row r="53" spans="2:5" x14ac:dyDescent="0.35">
      <c r="B53" s="378" t="s">
        <v>2111</v>
      </c>
      <c r="C53" s="378" t="s">
        <v>2112</v>
      </c>
      <c r="D53" s="383">
        <v>3.7854100000000002</v>
      </c>
      <c r="E53" s="463" t="s">
        <v>2080</v>
      </c>
    </row>
    <row r="54" spans="2:5" x14ac:dyDescent="0.35">
      <c r="B54" s="371" t="s">
        <v>2113</v>
      </c>
      <c r="C54" s="371" t="s">
        <v>2114</v>
      </c>
      <c r="D54" s="384">
        <f>Litre_per_Gallon/1000</f>
        <v>3.7854100000000003E-3</v>
      </c>
      <c r="E54" s="465" t="s">
        <v>2080</v>
      </c>
    </row>
    <row r="55" spans="2:5" x14ac:dyDescent="0.35">
      <c r="B55" s="371" t="s">
        <v>2115</v>
      </c>
      <c r="C55" s="371" t="s">
        <v>2116</v>
      </c>
      <c r="D55" s="384">
        <v>1000</v>
      </c>
      <c r="E55" s="463" t="s">
        <v>2080</v>
      </c>
    </row>
    <row r="56" spans="2:5" x14ac:dyDescent="0.35">
      <c r="B56" s="402" t="s">
        <v>2117</v>
      </c>
      <c r="C56" s="390" t="s">
        <v>2118</v>
      </c>
      <c r="D56" s="394">
        <v>88</v>
      </c>
      <c r="E56" s="437" t="s">
        <v>674</v>
      </c>
    </row>
    <row r="57" spans="2:5" x14ac:dyDescent="0.35">
      <c r="B57" s="387"/>
      <c r="C57" s="388"/>
      <c r="D57" s="389"/>
    </row>
    <row r="58" spans="2:5" x14ac:dyDescent="0.35">
      <c r="B58" s="368" t="s">
        <v>2119</v>
      </c>
      <c r="C58" s="368" t="s">
        <v>472</v>
      </c>
      <c r="D58" s="369" t="s">
        <v>406</v>
      </c>
      <c r="E58" s="446" t="s">
        <v>419</v>
      </c>
    </row>
    <row r="59" spans="2:5" x14ac:dyDescent="0.35">
      <c r="B59" s="390" t="s">
        <v>2120</v>
      </c>
      <c r="C59" s="390" t="s">
        <v>2121</v>
      </c>
      <c r="D59" s="391">
        <f>70</f>
        <v>70</v>
      </c>
      <c r="E59" s="448" t="s">
        <v>2122</v>
      </c>
    </row>
    <row r="60" spans="2:5" x14ac:dyDescent="0.35">
      <c r="B60" s="390" t="s">
        <v>2123</v>
      </c>
      <c r="C60" s="390" t="s">
        <v>2124</v>
      </c>
      <c r="D60" s="391">
        <f>12*600</f>
        <v>7200</v>
      </c>
      <c r="E60" s="448" t="s">
        <v>2125</v>
      </c>
    </row>
    <row r="61" spans="2:5" x14ac:dyDescent="0.35">
      <c r="B61" s="390" t="s">
        <v>2126</v>
      </c>
      <c r="C61" s="390" t="s">
        <v>2127</v>
      </c>
      <c r="D61" s="391">
        <f>Equivalent.Homes*GJ_per_kWh+D59</f>
        <v>95.92</v>
      </c>
      <c r="E61" s="443" t="s">
        <v>2128</v>
      </c>
    </row>
    <row r="62" spans="2:5" x14ac:dyDescent="0.35">
      <c r="B62" s="390" t="s">
        <v>2129</v>
      </c>
      <c r="C62" s="390" t="s">
        <v>2130</v>
      </c>
      <c r="D62" s="391">
        <v>0.214</v>
      </c>
      <c r="E62" s="448" t="s">
        <v>2131</v>
      </c>
    </row>
    <row r="63" spans="2:5" x14ac:dyDescent="0.35">
      <c r="B63" s="392" t="s">
        <v>2132</v>
      </c>
      <c r="C63" s="392" t="s">
        <v>2133</v>
      </c>
      <c r="D63" s="393">
        <f>50*25*2</f>
        <v>2500</v>
      </c>
      <c r="E63" s="449" t="s">
        <v>2134</v>
      </c>
    </row>
    <row r="64" spans="2:5" x14ac:dyDescent="0.35">
      <c r="C64" s="142"/>
      <c r="D64" s="142"/>
    </row>
    <row r="65" spans="2:6" x14ac:dyDescent="0.35">
      <c r="B65" s="368" t="s">
        <v>2135</v>
      </c>
      <c r="C65" s="368" t="s">
        <v>472</v>
      </c>
      <c r="D65" s="369" t="s">
        <v>406</v>
      </c>
      <c r="E65" s="446" t="s">
        <v>419</v>
      </c>
      <c r="F65" s="346"/>
    </row>
    <row r="66" spans="2:6" x14ac:dyDescent="0.35">
      <c r="B66" s="406" t="s">
        <v>2136</v>
      </c>
      <c r="C66" s="406" t="s">
        <v>2137</v>
      </c>
      <c r="D66" s="407">
        <v>310.92777777777775</v>
      </c>
      <c r="E66" s="437" t="s">
        <v>674</v>
      </c>
      <c r="F66" s="346"/>
    </row>
    <row r="67" spans="2:6" x14ac:dyDescent="0.35">
      <c r="B67" s="406" t="s">
        <v>2138</v>
      </c>
      <c r="C67" s="406" t="s">
        <v>2139</v>
      </c>
      <c r="D67" s="407">
        <v>68</v>
      </c>
      <c r="E67" s="464" t="s">
        <v>2140</v>
      </c>
      <c r="F67" s="346"/>
    </row>
    <row r="68" spans="2:6" x14ac:dyDescent="0.35">
      <c r="B68" s="406" t="s">
        <v>2141</v>
      </c>
      <c r="C68" s="406" t="s">
        <v>2142</v>
      </c>
      <c r="D68" s="407">
        <v>21</v>
      </c>
      <c r="E68" s="464" t="s">
        <v>2140</v>
      </c>
      <c r="F68" s="346"/>
    </row>
    <row r="69" spans="2:6" x14ac:dyDescent="0.35">
      <c r="B69" s="406" t="s">
        <v>2143</v>
      </c>
      <c r="C69" s="406" t="s">
        <v>2144</v>
      </c>
      <c r="D69" s="415">
        <v>1.08</v>
      </c>
      <c r="E69" s="464" t="s">
        <v>2140</v>
      </c>
      <c r="F69" s="346"/>
    </row>
    <row r="70" spans="2:6" x14ac:dyDescent="0.35">
      <c r="B70" s="406" t="s">
        <v>2145</v>
      </c>
      <c r="C70" s="406" t="s">
        <v>2146</v>
      </c>
      <c r="D70" s="407">
        <v>8.33</v>
      </c>
      <c r="E70" s="465" t="s">
        <v>2080</v>
      </c>
      <c r="F70" s="346"/>
    </row>
    <row r="71" spans="2:6" x14ac:dyDescent="0.35">
      <c r="B71" s="405" t="s">
        <v>2147</v>
      </c>
      <c r="C71" s="405" t="s">
        <v>2148</v>
      </c>
      <c r="D71" s="408">
        <v>997</v>
      </c>
      <c r="E71" s="465" t="s">
        <v>2080</v>
      </c>
      <c r="F71" s="346"/>
    </row>
    <row r="72" spans="2:6" x14ac:dyDescent="0.35">
      <c r="B72" s="405" t="s">
        <v>2149</v>
      </c>
      <c r="C72" s="405" t="s">
        <v>2150</v>
      </c>
      <c r="D72" s="408">
        <v>1</v>
      </c>
      <c r="E72" s="465" t="s">
        <v>2080</v>
      </c>
      <c r="F72" s="346"/>
    </row>
    <row r="73" spans="2:6" x14ac:dyDescent="0.35">
      <c r="B73" s="405" t="s">
        <v>2151</v>
      </c>
      <c r="C73" s="405" t="s">
        <v>2152</v>
      </c>
      <c r="D73" s="413">
        <f>4179.6/1000000000</f>
        <v>4.1796000000000006E-6</v>
      </c>
      <c r="E73" s="465" t="s">
        <v>2080</v>
      </c>
    </row>
    <row r="74" spans="2:6" x14ac:dyDescent="0.35">
      <c r="B74" s="405" t="s">
        <v>2153</v>
      </c>
      <c r="C74" s="405" t="s">
        <v>2154</v>
      </c>
      <c r="D74" s="408">
        <v>130</v>
      </c>
      <c r="E74" s="409" t="s">
        <v>2155</v>
      </c>
      <c r="F74" s="346"/>
    </row>
    <row r="75" spans="2:6" x14ac:dyDescent="0.35">
      <c r="B75" s="405" t="s">
        <v>2156</v>
      </c>
      <c r="C75" s="405" t="s">
        <v>2157</v>
      </c>
      <c r="D75" s="408">
        <v>54.4</v>
      </c>
      <c r="E75" s="409" t="s">
        <v>2158</v>
      </c>
      <c r="F75" s="346"/>
    </row>
    <row r="76" spans="2:6" x14ac:dyDescent="0.35">
      <c r="B76" s="405" t="s">
        <v>2159</v>
      </c>
      <c r="C76" s="405" t="s">
        <v>2160</v>
      </c>
      <c r="D76" s="408">
        <v>32.200000000000003</v>
      </c>
      <c r="E76" s="409" t="s">
        <v>2080</v>
      </c>
      <c r="F76" s="346"/>
    </row>
    <row r="77" spans="2:6" x14ac:dyDescent="0.35">
      <c r="B77" s="410"/>
      <c r="C77" s="410"/>
      <c r="D77" s="411"/>
      <c r="E77" s="412"/>
    </row>
    <row r="78" spans="2:6" ht="15" thickBot="1" x14ac:dyDescent="0.4">
      <c r="B78" s="2041" t="s">
        <v>347</v>
      </c>
      <c r="C78" s="2041"/>
      <c r="D78" s="2041"/>
    </row>
    <row r="79" spans="2:6" ht="15" thickTop="1" x14ac:dyDescent="0.35">
      <c r="B79" s="368" t="s">
        <v>2161</v>
      </c>
      <c r="C79" s="368" t="s">
        <v>472</v>
      </c>
      <c r="D79" s="369" t="s">
        <v>406</v>
      </c>
      <c r="E79" s="446" t="s">
        <v>419</v>
      </c>
      <c r="F79" s="346"/>
    </row>
    <row r="80" spans="2:6" x14ac:dyDescent="0.35">
      <c r="B80" s="390" t="s">
        <v>2162</v>
      </c>
      <c r="C80" s="390" t="s">
        <v>2163</v>
      </c>
      <c r="D80" s="395">
        <v>8.4338503387460337E-2</v>
      </c>
      <c r="E80" s="463" t="s">
        <v>2164</v>
      </c>
      <c r="F80" s="346"/>
    </row>
    <row r="81" spans="1:6" x14ac:dyDescent="0.35">
      <c r="B81" s="390" t="s">
        <v>2165</v>
      </c>
      <c r="C81" s="390" t="s">
        <v>2166</v>
      </c>
      <c r="D81" s="395">
        <v>0.88550958769403665</v>
      </c>
      <c r="E81" s="463" t="s">
        <v>2164</v>
      </c>
      <c r="F81" s="346"/>
    </row>
    <row r="82" spans="1:6" x14ac:dyDescent="0.35">
      <c r="B82" s="392" t="s">
        <v>2167</v>
      </c>
      <c r="C82" s="392" t="s">
        <v>2168</v>
      </c>
      <c r="D82" s="396">
        <f>17.6*Litre_per_Gallon</f>
        <v>66.623216000000014</v>
      </c>
      <c r="E82" s="465" t="s">
        <v>2169</v>
      </c>
      <c r="F82" s="346"/>
    </row>
    <row r="83" spans="1:6" x14ac:dyDescent="0.35">
      <c r="B83" s="390" t="s">
        <v>2170</v>
      </c>
      <c r="C83" s="390" t="s">
        <v>2171</v>
      </c>
      <c r="D83" s="395">
        <v>2.7719067474633957E-2</v>
      </c>
      <c r="E83" s="463" t="s">
        <v>2164</v>
      </c>
      <c r="F83" s="346"/>
    </row>
    <row r="84" spans="1:6" x14ac:dyDescent="0.35">
      <c r="B84" s="390" t="s">
        <v>2172</v>
      </c>
      <c r="C84" s="390" t="s">
        <v>2173</v>
      </c>
      <c r="D84" s="395">
        <v>0.94970212059486481</v>
      </c>
      <c r="E84" s="463" t="s">
        <v>2164</v>
      </c>
      <c r="F84" s="346"/>
    </row>
    <row r="85" spans="1:6" s="442" customFormat="1" ht="57.75" customHeight="1" x14ac:dyDescent="0.35">
      <c r="A85" s="440"/>
      <c r="B85" s="417" t="s">
        <v>2174</v>
      </c>
      <c r="C85" s="417" t="s">
        <v>2175</v>
      </c>
      <c r="D85" s="397">
        <v>0.13760414926305545</v>
      </c>
      <c r="E85" s="463" t="s">
        <v>2176</v>
      </c>
      <c r="F85" s="441"/>
    </row>
    <row r="86" spans="1:6" ht="15.75" customHeight="1" x14ac:dyDescent="0.35">
      <c r="B86" s="390" t="s">
        <v>2177</v>
      </c>
      <c r="C86" s="390" t="s">
        <v>2178</v>
      </c>
      <c r="D86" s="398">
        <v>2.9</v>
      </c>
      <c r="E86" s="463" t="s">
        <v>2179</v>
      </c>
      <c r="F86" s="346"/>
    </row>
    <row r="88" spans="1:6" x14ac:dyDescent="0.35">
      <c r="B88" s="368" t="s">
        <v>2180</v>
      </c>
      <c r="C88" s="399" t="s">
        <v>472</v>
      </c>
      <c r="D88" s="369" t="s">
        <v>406</v>
      </c>
      <c r="E88" s="446" t="s">
        <v>419</v>
      </c>
      <c r="F88" s="346"/>
    </row>
    <row r="89" spans="1:6" x14ac:dyDescent="0.35">
      <c r="B89" s="390" t="s">
        <v>2181</v>
      </c>
      <c r="C89" s="462" t="s">
        <v>2182</v>
      </c>
      <c r="D89" s="395">
        <v>0.85</v>
      </c>
      <c r="E89" s="463" t="s">
        <v>2183</v>
      </c>
      <c r="F89" s="346"/>
    </row>
    <row r="90" spans="1:6" x14ac:dyDescent="0.35">
      <c r="B90" s="459" t="s">
        <v>2184</v>
      </c>
      <c r="C90" s="462" t="s">
        <v>2185</v>
      </c>
      <c r="D90" s="433">
        <v>1.92</v>
      </c>
      <c r="E90" s="463" t="s">
        <v>893</v>
      </c>
      <c r="F90" s="346"/>
    </row>
    <row r="91" spans="1:6" x14ac:dyDescent="0.35">
      <c r="B91" s="390" t="s">
        <v>2186</v>
      </c>
      <c r="C91" s="462" t="s">
        <v>2187</v>
      </c>
      <c r="D91" s="395">
        <v>1.28</v>
      </c>
      <c r="E91" s="463" t="s">
        <v>2188</v>
      </c>
      <c r="F91" s="346"/>
    </row>
    <row r="92" spans="1:6" x14ac:dyDescent="0.35">
      <c r="B92" s="390" t="s">
        <v>2189</v>
      </c>
      <c r="C92" s="462" t="s">
        <v>2190</v>
      </c>
      <c r="D92" s="433">
        <v>13</v>
      </c>
      <c r="E92" s="463" t="s">
        <v>2191</v>
      </c>
      <c r="F92" s="346"/>
    </row>
    <row r="93" spans="1:6" x14ac:dyDescent="0.35">
      <c r="B93" s="390" t="s">
        <v>2192</v>
      </c>
      <c r="C93" s="462" t="s">
        <v>2193</v>
      </c>
      <c r="D93" s="395">
        <v>0.55000000000000004</v>
      </c>
      <c r="E93" s="463" t="s">
        <v>2194</v>
      </c>
      <c r="F93" s="346"/>
    </row>
    <row r="94" spans="1:6" x14ac:dyDescent="0.35">
      <c r="B94" s="390" t="s">
        <v>2195</v>
      </c>
      <c r="C94" s="462" t="s">
        <v>2196</v>
      </c>
      <c r="D94" s="395">
        <v>0.98</v>
      </c>
      <c r="E94" s="443" t="s">
        <v>2197</v>
      </c>
      <c r="F94" s="346"/>
    </row>
    <row r="95" spans="1:6" x14ac:dyDescent="0.35">
      <c r="B95" s="390" t="s">
        <v>2198</v>
      </c>
      <c r="C95" s="462" t="s">
        <v>2199</v>
      </c>
      <c r="D95" s="395">
        <v>0.95</v>
      </c>
      <c r="E95" s="463" t="s">
        <v>2194</v>
      </c>
      <c r="F95" s="346"/>
    </row>
    <row r="96" spans="1:6" x14ac:dyDescent="0.35">
      <c r="B96" s="459" t="s">
        <v>2200</v>
      </c>
      <c r="C96" s="462" t="s">
        <v>2201</v>
      </c>
      <c r="D96" s="398">
        <v>9.5</v>
      </c>
      <c r="E96" s="437" t="s">
        <v>2202</v>
      </c>
      <c r="F96" s="346"/>
    </row>
    <row r="97" spans="2:6" x14ac:dyDescent="0.35">
      <c r="B97" s="416" t="s">
        <v>2203</v>
      </c>
      <c r="C97" s="467" t="s">
        <v>2204</v>
      </c>
      <c r="D97" s="400"/>
      <c r="E97" s="468" t="s">
        <v>2202</v>
      </c>
      <c r="F97" s="346"/>
    </row>
    <row r="98" spans="2:6" x14ac:dyDescent="0.35">
      <c r="B98" s="390" t="s">
        <v>2205</v>
      </c>
      <c r="C98" s="462" t="s">
        <v>2206</v>
      </c>
      <c r="D98" s="395">
        <v>6.4000000000000001E-2</v>
      </c>
      <c r="E98" s="463" t="s">
        <v>2207</v>
      </c>
      <c r="F98" s="346"/>
    </row>
    <row r="99" spans="2:6" x14ac:dyDescent="0.35">
      <c r="B99" s="390" t="s">
        <v>2208</v>
      </c>
      <c r="C99" s="462" t="s">
        <v>2209</v>
      </c>
      <c r="D99" s="395">
        <v>0.1</v>
      </c>
      <c r="E99" s="463" t="s">
        <v>2210</v>
      </c>
      <c r="F99" s="346"/>
    </row>
    <row r="100" spans="2:6" x14ac:dyDescent="0.35">
      <c r="B100" s="390" t="s">
        <v>2211</v>
      </c>
      <c r="C100" s="462" t="s">
        <v>2212</v>
      </c>
      <c r="D100" s="395">
        <f>2.8</f>
        <v>2.8</v>
      </c>
      <c r="E100" s="463" t="s">
        <v>841</v>
      </c>
      <c r="F100" s="346"/>
    </row>
    <row r="102" spans="2:6" ht="15" thickBot="1" x14ac:dyDescent="0.4">
      <c r="B102" s="2041" t="s">
        <v>12</v>
      </c>
      <c r="C102" s="2041"/>
      <c r="D102" s="2041"/>
    </row>
    <row r="103" spans="2:6" ht="15" thickTop="1" x14ac:dyDescent="0.35">
      <c r="B103" s="368" t="s">
        <v>2213</v>
      </c>
      <c r="C103" s="368" t="s">
        <v>472</v>
      </c>
      <c r="D103" s="369" t="s">
        <v>406</v>
      </c>
      <c r="E103" s="446" t="s">
        <v>419</v>
      </c>
      <c r="F103" s="346"/>
    </row>
    <row r="104" spans="2:6" x14ac:dyDescent="0.35">
      <c r="B104" s="390" t="s">
        <v>2214</v>
      </c>
      <c r="C104" s="390" t="s">
        <v>2215</v>
      </c>
      <c r="D104" s="395">
        <f>WaterHeatingShare.R.NG</f>
        <v>0.88550958769403665</v>
      </c>
      <c r="E104" s="463" t="s">
        <v>2164</v>
      </c>
      <c r="F104" s="346"/>
    </row>
    <row r="105" spans="2:6" x14ac:dyDescent="0.35">
      <c r="B105" s="392" t="s">
        <v>2216</v>
      </c>
      <c r="C105" s="392" t="s">
        <v>2217</v>
      </c>
      <c r="D105" s="400">
        <f>WaterHeatingShare.R.E</f>
        <v>8.4338503387460337E-2</v>
      </c>
      <c r="E105" s="463" t="s">
        <v>2164</v>
      </c>
      <c r="F105" s="346"/>
    </row>
    <row r="106" spans="2:6" x14ac:dyDescent="0.35">
      <c r="B106" s="392"/>
      <c r="C106" s="392"/>
      <c r="D106" s="400"/>
      <c r="E106" s="465"/>
      <c r="F106" s="346"/>
    </row>
    <row r="107" spans="2:6" x14ac:dyDescent="0.35">
      <c r="B107" s="368" t="s">
        <v>2218</v>
      </c>
      <c r="C107" s="399" t="s">
        <v>472</v>
      </c>
      <c r="D107" s="369" t="s">
        <v>406</v>
      </c>
      <c r="E107" s="446" t="s">
        <v>419</v>
      </c>
      <c r="F107" s="346"/>
    </row>
    <row r="108" spans="2:6" x14ac:dyDescent="0.35">
      <c r="B108" s="1263" t="s">
        <v>2192</v>
      </c>
      <c r="C108" s="1264" t="s">
        <v>2219</v>
      </c>
      <c r="D108" s="404">
        <v>0.8</v>
      </c>
      <c r="E108" s="1265" t="s">
        <v>2220</v>
      </c>
    </row>
    <row r="109" spans="2:6" x14ac:dyDescent="0.35">
      <c r="B109" s="390" t="s">
        <v>2198</v>
      </c>
      <c r="C109" s="462" t="s">
        <v>2221</v>
      </c>
      <c r="D109" s="395">
        <v>0.98</v>
      </c>
      <c r="E109" s="463" t="s">
        <v>1039</v>
      </c>
    </row>
    <row r="110" spans="2:6" x14ac:dyDescent="0.35">
      <c r="B110" s="459" t="s">
        <v>2200</v>
      </c>
      <c r="C110" s="462" t="s">
        <v>2222</v>
      </c>
      <c r="D110" s="398">
        <f>WaterHeating.R.Shower.SI</f>
        <v>9.5</v>
      </c>
      <c r="E110" s="437" t="s">
        <v>2223</v>
      </c>
      <c r="F110" s="346"/>
    </row>
    <row r="111" spans="2:6" x14ac:dyDescent="0.35">
      <c r="B111" s="459" t="s">
        <v>2203</v>
      </c>
      <c r="C111" s="462" t="s">
        <v>2224</v>
      </c>
      <c r="D111" s="398">
        <f>WaterHeating.R.Faucet.SI</f>
        <v>0</v>
      </c>
      <c r="E111" s="437" t="s">
        <v>2223</v>
      </c>
      <c r="F111" s="346"/>
    </row>
    <row r="112" spans="2:6" x14ac:dyDescent="0.35">
      <c r="B112" s="390" t="s">
        <v>2225</v>
      </c>
      <c r="C112" s="1264" t="s">
        <v>2226</v>
      </c>
      <c r="D112" s="1266">
        <v>0.85</v>
      </c>
      <c r="E112" s="1265" t="s">
        <v>2183</v>
      </c>
    </row>
    <row r="113" spans="2:5" x14ac:dyDescent="0.35">
      <c r="B113" s="390" t="s">
        <v>2186</v>
      </c>
      <c r="C113" s="462" t="s">
        <v>2227</v>
      </c>
      <c r="D113" s="395">
        <f>Electric_Space_Heat!$D$8</f>
        <v>1.4798798798798796</v>
      </c>
      <c r="E113" s="463" t="s">
        <v>2228</v>
      </c>
    </row>
    <row r="114" spans="2:5" ht="29" x14ac:dyDescent="0.35">
      <c r="B114" s="417" t="s">
        <v>2229</v>
      </c>
      <c r="C114" s="1267" t="s">
        <v>2230</v>
      </c>
      <c r="D114" s="1268">
        <v>12</v>
      </c>
      <c r="E114" s="1269" t="s">
        <v>2231</v>
      </c>
    </row>
    <row r="115" spans="2:5" ht="29" x14ac:dyDescent="0.35">
      <c r="B115" s="417" t="s">
        <v>2232</v>
      </c>
      <c r="C115" s="1267" t="s">
        <v>2233</v>
      </c>
      <c r="D115" s="1270">
        <f>2.5</f>
        <v>2.5</v>
      </c>
      <c r="E115" s="1271" t="s">
        <v>2231</v>
      </c>
    </row>
    <row r="116" spans="2:5" ht="29" x14ac:dyDescent="0.35">
      <c r="B116" s="438" t="s">
        <v>2234</v>
      </c>
      <c r="C116" s="439" t="s">
        <v>2235</v>
      </c>
      <c r="D116" s="434">
        <f>SpaceHeatingEfficiency.CI.COP*BTU_per_kWh/1000</f>
        <v>8.5303561253075184</v>
      </c>
      <c r="E116" s="1272" t="s">
        <v>2231</v>
      </c>
    </row>
  </sheetData>
  <sheetProtection algorithmName="SHA-512" hashValue="Qoxdm6bjV/eC2zhNSOLtOmlndPMFGaDCMe3/ahMmqUYVnk/O0t0J984wYR3OpKhuFcwRlR2RhNMVCgjnxxTtTg==" saltValue="Y7bx1PuyacPzBPX3/5PC/A==" spinCount="100000" sheet="1" objects="1" scenarios="1" selectLockedCells="1" selectUnlockedCells="1"/>
  <mergeCells count="5">
    <mergeCell ref="B20:E20"/>
    <mergeCell ref="B78:D78"/>
    <mergeCell ref="B22:D22"/>
    <mergeCell ref="B34:D34"/>
    <mergeCell ref="B102:D102"/>
  </mergeCells>
  <phoneticPr fontId="22" type="noConversion"/>
  <hyperlinks>
    <hyperlink ref="E14" r:id="rId1" xr:uid="{01C325FB-B93A-4514-AC55-B22593340598}"/>
    <hyperlink ref="E16" r:id="rId2" xr:uid="{DB9EDDF8-2174-4CC8-86D9-CB7048BF55BF}"/>
    <hyperlink ref="E15" r:id="rId3" xr:uid="{D96E4F4F-0FB3-45E0-A685-74F06A8FF6BA}"/>
    <hyperlink ref="E13" r:id="rId4" xr:uid="{094C4D20-4591-49F5-A660-3F000AFF02ED}"/>
    <hyperlink ref="E60" r:id="rId5" xr:uid="{7D78AE03-2907-41B9-BA94-966B754A46AD}"/>
    <hyperlink ref="E62" r:id="rId6" xr:uid="{B3227105-B056-44E3-8414-A6F7DFF9EC3F}"/>
    <hyperlink ref="E63" r:id="rId7" xr:uid="{657FAAFA-2FFF-4248-BD8F-FC45FD482518}"/>
    <hyperlink ref="E59" r:id="rId8" xr:uid="{F4EB24AA-E299-4936-9F1D-4DFA06259CF5}"/>
    <hyperlink ref="E10" r:id="rId9" xr:uid="{A420E8F4-609C-497C-8891-C2733210E87D}"/>
    <hyperlink ref="E11" r:id="rId10" xr:uid="{4CF7ED08-370C-4463-84B0-86209498E383}"/>
    <hyperlink ref="E42" r:id="rId11" xr:uid="{558DFE9C-444D-4FF0-B168-8D53BE7DD03A}"/>
    <hyperlink ref="E47" r:id="rId12" xr:uid="{BDE43D03-D38F-4F3C-8EAC-951972BF4E90}"/>
    <hyperlink ref="E114" r:id="rId13" display="Canada’s Energy Efficiency Act (Act) and Energy Efficiency Regulations (the Regulations)" xr:uid="{DB2B526F-2F34-4BF3-8238-87A364825918}"/>
    <hyperlink ref="E115" r:id="rId14" display="Canada’s Energy Efficiency Act (Act) and Energy Efficiency Regulations (the Regulations)" xr:uid="{C2EE4D64-DC03-4CA7-A5B0-5B6E0FA3508E}"/>
    <hyperlink ref="E17" r:id="rId15" display="Market Analysis of Ontario's Renewable Energy Sector (Compass RE Consulting, 2017)" xr:uid="{614C99D0-BBAB-4B33-BC08-16A9BE255654}"/>
    <hyperlink ref="E116" r:id="rId16" display="Canada’s Energy Efficiency Act (Act) and Energy Efficiency Regulations (the Regulations)" xr:uid="{C9134022-606B-42F4-A3DA-9F34E34ABBBD}"/>
  </hyperlinks>
  <printOptions horizontalCentered="1"/>
  <pageMargins left="0.70866141732283472" right="0.70866141732283472" top="0.74803149606299213" bottom="0.74803149606299213" header="0.31496062992125984" footer="0.31496062992125984"/>
  <pageSetup scale="42" orientation="landscape" r:id="rId17"/>
  <tableParts count="12">
    <tablePart r:id="rId18"/>
    <tablePart r:id="rId19"/>
    <tablePart r:id="rId20"/>
    <tablePart r:id="rId21"/>
    <tablePart r:id="rId22"/>
    <tablePart r:id="rId23"/>
    <tablePart r:id="rId24"/>
    <tablePart r:id="rId25"/>
    <tablePart r:id="rId26"/>
    <tablePart r:id="rId27"/>
    <tablePart r:id="rId28"/>
    <tablePart r:id="rId29"/>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8A588-9433-4E58-B5EC-6C0995AFB008}">
  <sheetPr codeName="Sheet8">
    <tabColor rgb="FFFFC000"/>
  </sheetPr>
  <dimension ref="A1:G100"/>
  <sheetViews>
    <sheetView workbookViewId="0">
      <selection sqref="A1:XFD1048576"/>
    </sheetView>
  </sheetViews>
  <sheetFormatPr defaultColWidth="9.08984375" defaultRowHeight="14.5" x14ac:dyDescent="0.35"/>
  <cols>
    <col min="1" max="1" width="9.08984375" style="3"/>
    <col min="2" max="4" width="15.26953125" style="3" customWidth="1"/>
    <col min="5" max="7" width="18.81640625" style="135" customWidth="1"/>
    <col min="8" max="16384" width="9.08984375" style="3"/>
  </cols>
  <sheetData>
    <row r="1" spans="1:7" s="119" customFormat="1" ht="21" x14ac:dyDescent="0.5">
      <c r="B1" s="126" t="s">
        <v>2236</v>
      </c>
      <c r="C1" s="121"/>
      <c r="D1" s="121"/>
      <c r="E1" s="121"/>
    </row>
    <row r="2" spans="1:7" s="119" customFormat="1" x14ac:dyDescent="0.35">
      <c r="C2" s="120"/>
    </row>
    <row r="3" spans="1:7" s="142" customFormat="1" ht="15" thickBot="1" x14ac:dyDescent="0.4">
      <c r="A3" s="377"/>
      <c r="B3" s="366" t="s">
        <v>2237</v>
      </c>
      <c r="C3" s="366"/>
      <c r="D3" s="366"/>
      <c r="E3" s="445"/>
    </row>
    <row r="4" spans="1:7" s="142" customFormat="1" ht="15" thickTop="1" x14ac:dyDescent="0.35">
      <c r="A4" s="377"/>
      <c r="B4" s="368" t="s">
        <v>2024</v>
      </c>
      <c r="C4" s="368" t="s">
        <v>472</v>
      </c>
      <c r="D4" s="369" t="s">
        <v>406</v>
      </c>
      <c r="E4" s="446" t="s">
        <v>419</v>
      </c>
    </row>
    <row r="5" spans="1:7" s="142" customFormat="1" x14ac:dyDescent="0.35">
      <c r="A5" s="377"/>
      <c r="B5" s="477" t="s">
        <v>2238</v>
      </c>
      <c r="C5" s="466" t="s">
        <v>2239</v>
      </c>
      <c r="D5" s="414">
        <f>Dashboard!$G$6</f>
        <v>2020</v>
      </c>
      <c r="E5" s="443" t="s">
        <v>2240</v>
      </c>
    </row>
    <row r="6" spans="1:7" s="142" customFormat="1" x14ac:dyDescent="0.35">
      <c r="A6" s="377"/>
      <c r="B6" s="477" t="s">
        <v>7</v>
      </c>
      <c r="C6" s="466" t="s">
        <v>2241</v>
      </c>
      <c r="D6" s="370" t="str" cm="1">
        <f t="array" ref="D6">_xlfn.SWITCH(Dashboard!G7,"Avoided Cost", "Savings_AC","Bill Savings", "Savings_BS")</f>
        <v>Savings_AC</v>
      </c>
      <c r="E6" s="443" t="s">
        <v>2240</v>
      </c>
    </row>
    <row r="7" spans="1:7" s="119" customFormat="1" x14ac:dyDescent="0.35">
      <c r="C7" s="120"/>
    </row>
    <row r="8" spans="1:7" s="119" customFormat="1" ht="17.5" thickBot="1" x14ac:dyDescent="0.45">
      <c r="B8" s="155" t="s">
        <v>2242</v>
      </c>
      <c r="C8" s="155"/>
      <c r="D8" s="155"/>
      <c r="E8" s="155"/>
      <c r="F8" s="155"/>
      <c r="G8" s="155"/>
    </row>
    <row r="9" spans="1:7" ht="29.5" thickTop="1" x14ac:dyDescent="0.35">
      <c r="B9" s="2042" t="s">
        <v>2243</v>
      </c>
      <c r="C9" s="2042"/>
      <c r="D9" s="146" t="s">
        <v>2244</v>
      </c>
      <c r="E9" s="146" t="s">
        <v>2245</v>
      </c>
      <c r="F9" s="146" t="s">
        <v>2246</v>
      </c>
      <c r="G9" s="146" t="s">
        <v>2247</v>
      </c>
    </row>
    <row r="10" spans="1:7" x14ac:dyDescent="0.35">
      <c r="B10" s="167" t="s">
        <v>2248</v>
      </c>
      <c r="C10" s="167" t="s">
        <v>2249</v>
      </c>
      <c r="D10" s="167" t="s">
        <v>2250</v>
      </c>
      <c r="E10" s="167" t="s">
        <v>2251</v>
      </c>
      <c r="F10" s="167" t="s">
        <v>2252</v>
      </c>
      <c r="G10" s="167" t="s">
        <v>2253</v>
      </c>
    </row>
    <row r="11" spans="1:7" x14ac:dyDescent="0.35">
      <c r="B11" s="147" t="str">
        <f>C11&amp;D11</f>
        <v>Residential1</v>
      </c>
      <c r="C11" s="136" t="s">
        <v>347</v>
      </c>
      <c r="D11" s="136">
        <v>1</v>
      </c>
      <c r="E11" s="137" cm="1">
        <f t="array" aca="1" ref="E11" ca="1">_xlfn.XLOOKUP($D$5&amp;AvoidedCost[[#This Row],[INDEX]],INDIRECT($D$6&amp;"!E:E"),INDIRECT($D$6&amp;"!F:F"),0,0,1)</f>
        <v>7.8870338441306198E-2</v>
      </c>
      <c r="F11" s="137" cm="1">
        <f t="array" aca="1" ref="F11" ca="1">_xlfn.XLOOKUP($D$5&amp;AvoidedCost[[#This Row],[INDEX]],INDIRECT($D$6&amp;"!E:E"),INDIRECT($D$6&amp;"!G:G"),0,0,1)</f>
        <v>4.0184662570122702</v>
      </c>
      <c r="G11" s="148" cm="1">
        <f t="array" aca="1" ref="G11" ca="1">_xlfn.XLOOKUP($D$5&amp;AvoidedCost[[#This Row],[INDEX]],INDIRECT($D$6&amp;"!E:E"),INDIRECT($D$6&amp;"!H:H"),0,0,1)</f>
        <v>30</v>
      </c>
    </row>
    <row r="12" spans="1:7" x14ac:dyDescent="0.35">
      <c r="B12" s="147" t="str">
        <f t="shared" ref="B12:B75" si="0">C12&amp;D12</f>
        <v>Residential2</v>
      </c>
      <c r="C12" s="136" t="s">
        <v>347</v>
      </c>
      <c r="D12" s="136">
        <v>2</v>
      </c>
      <c r="E12" s="137" cm="1">
        <f t="array" aca="1" ref="E12" ca="1">_xlfn.XLOOKUP($D$5&amp;AvoidedCost[[#This Row],[INDEX]],INDIRECT($D$6&amp;"!E:E"),INDIRECT($D$6&amp;"!F:F"),0,0,1)</f>
        <v>0.15574914496598793</v>
      </c>
      <c r="F12" s="137" cm="1">
        <f t="array" aca="1" ref="F12" ca="1">_xlfn.XLOOKUP($D$5&amp;AvoidedCost[[#This Row],[INDEX]],INDIRECT($D$6&amp;"!E:E"),INDIRECT($D$6&amp;"!G:G"),0,0,1)</f>
        <v>7.6033246455532355</v>
      </c>
      <c r="G12" s="148" cm="1">
        <f t="array" aca="1" ref="G12" ca="1">_xlfn.XLOOKUP($D$5&amp;AvoidedCost[[#This Row],[INDEX]],INDIRECT($D$6&amp;"!E:E"),INDIRECT($D$6&amp;"!H:H"),0,0,1)</f>
        <v>64.852607709750572</v>
      </c>
    </row>
    <row r="13" spans="1:7" x14ac:dyDescent="0.35">
      <c r="B13" s="147" t="str">
        <f t="shared" si="0"/>
        <v>Residential3</v>
      </c>
      <c r="C13" s="136" t="s">
        <v>347</v>
      </c>
      <c r="D13" s="136">
        <v>3</v>
      </c>
      <c r="E13" s="137" cm="1">
        <f t="array" aca="1" ref="E13" ca="1">_xlfn.XLOOKUP($D$5&amp;AvoidedCost[[#This Row],[INDEX]],INDIRECT($D$6&amp;"!E:E"),INDIRECT($D$6&amp;"!F:F"),0,0,1)</f>
        <v>0.23459301675054114</v>
      </c>
      <c r="F13" s="137" cm="1">
        <f t="array" aca="1" ref="F13" ca="1">_xlfn.XLOOKUP($D$5&amp;AvoidedCost[[#This Row],[INDEX]],INDIRECT($D$6&amp;"!E:E"),INDIRECT($D$6&amp;"!G:G"),0,0,1)</f>
        <v>11.376932487378715</v>
      </c>
      <c r="G13" s="148" cm="1">
        <f t="array" aca="1" ref="G13" ca="1">_xlfn.XLOOKUP($D$5&amp;AvoidedCost[[#This Row],[INDEX]],INDIRECT($D$6&amp;"!E:E"),INDIRECT($D$6&amp;"!H:H"),0,0,1)</f>
        <v>108.04448763632438</v>
      </c>
    </row>
    <row r="14" spans="1:7" x14ac:dyDescent="0.35">
      <c r="B14" s="147" t="str">
        <f t="shared" si="0"/>
        <v>Residential4</v>
      </c>
      <c r="C14" s="136" t="s">
        <v>347</v>
      </c>
      <c r="D14" s="136">
        <v>4</v>
      </c>
      <c r="E14" s="137" cm="1">
        <f t="array" aca="1" ref="E14" ca="1">_xlfn.XLOOKUP($D$5&amp;AvoidedCost[[#This Row],[INDEX]],INDIRECT($D$6&amp;"!E:E"),INDIRECT($D$6&amp;"!F:F"),0,0,1)</f>
        <v>0.31080679905580355</v>
      </c>
      <c r="F14" s="137" cm="1">
        <f t="array" aca="1" ref="F14" ca="1">_xlfn.XLOOKUP($D$5&amp;AvoidedCost[[#This Row],[INDEX]],INDIRECT($D$6&amp;"!E:E"),INDIRECT($D$6&amp;"!G:G"),0,0,1)</f>
        <v>15.149547535770409</v>
      </c>
      <c r="G14" s="148" cm="1">
        <f t="array" aca="1" ref="G14" ca="1">_xlfn.XLOOKUP($D$5&amp;AvoidedCost[[#This Row],[INDEX]],INDIRECT($D$6&amp;"!E:E"),INDIRECT($D$6&amp;"!H:H"),0,0,1)</f>
        <v>149.17961137591845</v>
      </c>
    </row>
    <row r="15" spans="1:7" x14ac:dyDescent="0.35">
      <c r="B15" s="147" t="str">
        <f t="shared" si="0"/>
        <v>Residential5</v>
      </c>
      <c r="C15" s="136" t="s">
        <v>347</v>
      </c>
      <c r="D15" s="136">
        <v>5</v>
      </c>
      <c r="E15" s="137" cm="1">
        <f t="array" aca="1" ref="E15" ca="1">_xlfn.XLOOKUP($D$5&amp;AvoidedCost[[#This Row],[INDEX]],INDIRECT($D$6&amp;"!E:E"),INDIRECT($D$6&amp;"!F:F"),0,0,1)</f>
        <v>0.37836370251570439</v>
      </c>
      <c r="F15" s="137" cm="1">
        <f t="array" aca="1" ref="F15" ca="1">_xlfn.XLOOKUP($D$5&amp;AvoidedCost[[#This Row],[INDEX]],INDIRECT($D$6&amp;"!E:E"),INDIRECT($D$6&amp;"!G:G"),0,0,1)</f>
        <v>18.922162584162098</v>
      </c>
      <c r="G15" s="148" cm="1">
        <f t="array" aca="1" ref="G15" ca="1">_xlfn.XLOOKUP($D$5&amp;AvoidedCost[[#This Row],[INDEX]],INDIRECT($D$6&amp;"!E:E"),INDIRECT($D$6&amp;"!H:H"),0,0,1)</f>
        <v>188.3559196993414</v>
      </c>
    </row>
    <row r="16" spans="1:7" x14ac:dyDescent="0.35">
      <c r="B16" s="147" t="str">
        <f t="shared" si="0"/>
        <v>Residential6</v>
      </c>
      <c r="C16" s="136" t="s">
        <v>347</v>
      </c>
      <c r="D16" s="136">
        <v>6</v>
      </c>
      <c r="E16" s="137" cm="1">
        <f t="array" aca="1" ref="E16" ca="1">_xlfn.XLOOKUP($D$5&amp;AvoidedCost[[#This Row],[INDEX]],INDIRECT($D$6&amp;"!E:E"),INDIRECT($D$6&amp;"!F:F"),0,0,1)</f>
        <v>0.44318779093625066</v>
      </c>
      <c r="F16" s="137" cm="1">
        <f t="array" aca="1" ref="F16" ca="1">_xlfn.XLOOKUP($D$5&amp;AvoidedCost[[#This Row],[INDEX]],INDIRECT($D$6&amp;"!E:E"),INDIRECT($D$6&amp;"!G:G"),0,0,1)</f>
        <v>22.686222949904376</v>
      </c>
      <c r="G16" s="148" cm="1">
        <f t="array" aca="1" ref="G16" ca="1">_xlfn.XLOOKUP($D$5&amp;AvoidedCost[[#This Row],[INDEX]],INDIRECT($D$6&amp;"!E:E"),INDIRECT($D$6&amp;"!H:H"),0,0,1)</f>
        <v>225.66668953117278</v>
      </c>
    </row>
    <row r="17" spans="2:7" x14ac:dyDescent="0.35">
      <c r="B17" s="147" t="str">
        <f t="shared" si="0"/>
        <v>Residential7</v>
      </c>
      <c r="C17" s="136" t="s">
        <v>347</v>
      </c>
      <c r="D17" s="136">
        <v>7</v>
      </c>
      <c r="E17" s="137" cm="1">
        <f t="array" aca="1" ref="E17" ca="1">_xlfn.XLOOKUP($D$5&amp;AvoidedCost[[#This Row],[INDEX]],INDIRECT($D$6&amp;"!E:E"),INDIRECT($D$6&amp;"!F:F"),0,0,1)</f>
        <v>0.51226046448765306</v>
      </c>
      <c r="F17" s="137" cm="1">
        <f t="array" aca="1" ref="F17" ca="1">_xlfn.XLOOKUP($D$5&amp;AvoidedCost[[#This Row],[INDEX]],INDIRECT($D$6&amp;"!E:E"),INDIRECT($D$6&amp;"!G:G"),0,0,1)</f>
        <v>26.442564804985523</v>
      </c>
      <c r="G17" s="148" cm="1">
        <f t="array" aca="1" ref="G17" ca="1">_xlfn.XLOOKUP($D$5&amp;AvoidedCost[[#This Row],[INDEX]],INDIRECT($D$6&amp;"!E:E"),INDIRECT($D$6&amp;"!H:H"),0,0,1)</f>
        <v>261.20075603767884</v>
      </c>
    </row>
    <row r="18" spans="2:7" x14ac:dyDescent="0.35">
      <c r="B18" s="147" t="str">
        <f t="shared" si="0"/>
        <v>Residential8</v>
      </c>
      <c r="C18" s="136" t="s">
        <v>347</v>
      </c>
      <c r="D18" s="136">
        <v>8</v>
      </c>
      <c r="E18" s="137" cm="1">
        <f t="array" aca="1" ref="E18" ca="1">_xlfn.XLOOKUP($D$5&amp;AvoidedCost[[#This Row],[INDEX]],INDIRECT($D$6&amp;"!E:E"),INDIRECT($D$6&amp;"!F:F"),0,0,1)</f>
        <v>0.57944510681521844</v>
      </c>
      <c r="F18" s="137" cm="1">
        <f t="array" aca="1" ref="F18" ca="1">_xlfn.XLOOKUP($D$5&amp;AvoidedCost[[#This Row],[INDEX]],INDIRECT($D$6&amp;"!E:E"),INDIRECT($D$6&amp;"!G:G"),0,0,1)</f>
        <v>30.188311370281312</v>
      </c>
      <c r="G18" s="148" cm="1">
        <f t="array" aca="1" ref="G18" ca="1">_xlfn.XLOOKUP($D$5&amp;AvoidedCost[[#This Row],[INDEX]],INDIRECT($D$6&amp;"!E:E"),INDIRECT($D$6&amp;"!H:H"),0,0,1)</f>
        <v>295.04272413911315</v>
      </c>
    </row>
    <row r="19" spans="2:7" x14ac:dyDescent="0.35">
      <c r="B19" s="147" t="str">
        <f t="shared" si="0"/>
        <v>Residential9</v>
      </c>
      <c r="C19" s="136" t="s">
        <v>347</v>
      </c>
      <c r="D19" s="136">
        <v>9</v>
      </c>
      <c r="E19" s="137" cm="1">
        <f t="array" aca="1" ref="E19" ca="1">_xlfn.XLOOKUP($D$5&amp;AvoidedCost[[#This Row],[INDEX]],INDIRECT($D$6&amp;"!E:E"),INDIRECT($D$6&amp;"!F:F"),0,0,1)</f>
        <v>0.64490118986825584</v>
      </c>
      <c r="F19" s="137" cm="1">
        <f t="array" aca="1" ref="F19" ca="1">_xlfn.XLOOKUP($D$5&amp;AvoidedCost[[#This Row],[INDEX]],INDIRECT($D$6&amp;"!E:E"),INDIRECT($D$6&amp;"!G:G"),0,0,1)</f>
        <v>33.921889675599516</v>
      </c>
      <c r="G19" s="148" cm="1">
        <f t="array" aca="1" ref="G19" ca="1">_xlfn.XLOOKUP($D$5&amp;AvoidedCost[[#This Row],[INDEX]],INDIRECT($D$6&amp;"!E:E"),INDIRECT($D$6&amp;"!H:H"),0,0,1)</f>
        <v>327.27316995000302</v>
      </c>
    </row>
    <row r="20" spans="2:7" x14ac:dyDescent="0.35">
      <c r="B20" s="147" t="str">
        <f t="shared" si="0"/>
        <v>Residential10</v>
      </c>
      <c r="C20" s="136" t="s">
        <v>347</v>
      </c>
      <c r="D20" s="136">
        <v>10</v>
      </c>
      <c r="E20" s="137" cm="1">
        <f t="array" aca="1" ref="E20" ca="1">_xlfn.XLOOKUP($D$5&amp;AvoidedCost[[#This Row],[INDEX]],INDIRECT($D$6&amp;"!E:E"),INDIRECT($D$6&amp;"!F:F"),0,0,1)</f>
        <v>0.70787397096943572</v>
      </c>
      <c r="F20" s="137" cm="1">
        <f t="array" aca="1" ref="F20" ca="1">_xlfn.XLOOKUP($D$5&amp;AvoidedCost[[#This Row],[INDEX]],INDIRECT($D$6&amp;"!E:E"),INDIRECT($D$6&amp;"!G:G"),0,0,1)</f>
        <v>37.630311764007033</v>
      </c>
      <c r="G20" s="148" cm="1">
        <f t="array" aca="1" ref="G20" ca="1">_xlfn.XLOOKUP($D$5&amp;AvoidedCost[[#This Row],[INDEX]],INDIRECT($D$6&amp;"!E:E"),INDIRECT($D$6&amp;"!H:H"),0,0,1)</f>
        <v>357.96883262704102</v>
      </c>
    </row>
    <row r="21" spans="2:7" x14ac:dyDescent="0.35">
      <c r="B21" s="147" t="str">
        <f t="shared" si="0"/>
        <v>Residential11</v>
      </c>
      <c r="C21" s="136" t="s">
        <v>347</v>
      </c>
      <c r="D21" s="136">
        <v>11</v>
      </c>
      <c r="E21" s="137" cm="1">
        <f t="array" aca="1" ref="E21" ca="1">_xlfn.XLOOKUP($D$5&amp;AvoidedCost[[#This Row],[INDEX]],INDIRECT($D$6&amp;"!E:E"),INDIRECT($D$6&amp;"!F:F"),0,0,1)</f>
        <v>0.76870475344323563</v>
      </c>
      <c r="F21" s="137" cm="1">
        <f t="array" aca="1" ref="F21" ca="1">_xlfn.XLOOKUP($D$5&amp;AvoidedCost[[#This Row],[INDEX]],INDIRECT($D$6&amp;"!E:E"),INDIRECT($D$6&amp;"!G:G"),0,0,1)</f>
        <v>41.269820085382577</v>
      </c>
      <c r="G21" s="148" cm="1">
        <f t="array" aca="1" ref="G21" ca="1">_xlfn.XLOOKUP($D$5&amp;AvoidedCost[[#This Row],[INDEX]],INDIRECT($D$6&amp;"!E:E"),INDIRECT($D$6&amp;"!H:H"),0,0,1)</f>
        <v>387.20279708136286</v>
      </c>
    </row>
    <row r="22" spans="2:7" x14ac:dyDescent="0.35">
      <c r="B22" s="147" t="str">
        <f t="shared" si="0"/>
        <v>Residential12</v>
      </c>
      <c r="C22" s="136" t="s">
        <v>347</v>
      </c>
      <c r="D22" s="136">
        <v>12</v>
      </c>
      <c r="E22" s="137" cm="1">
        <f t="array" aca="1" ref="E22" ca="1">_xlfn.XLOOKUP($D$5&amp;AvoidedCost[[#This Row],[INDEX]],INDIRECT($D$6&amp;"!E:E"),INDIRECT($D$6&amp;"!F:F"),0,0,1)</f>
        <v>0.82816356697640259</v>
      </c>
      <c r="F22" s="137" cm="1">
        <f t="array" aca="1" ref="F22" ca="1">_xlfn.XLOOKUP($D$5&amp;AvoidedCost[[#This Row],[INDEX]],INDIRECT($D$6&amp;"!E:E"),INDIRECT($D$6&amp;"!G:G"),0,0,1)</f>
        <v>44.884716347103847</v>
      </c>
      <c r="G22" s="148" cm="1">
        <f t="array" aca="1" ref="G22" ca="1">_xlfn.XLOOKUP($D$5&amp;AvoidedCost[[#This Row],[INDEX]],INDIRECT($D$6&amp;"!E:E"),INDIRECT($D$6&amp;"!H:H"),0,0,1)</f>
        <v>415.04466799024078</v>
      </c>
    </row>
    <row r="23" spans="2:7" x14ac:dyDescent="0.35">
      <c r="B23" s="147" t="str">
        <f t="shared" si="0"/>
        <v>Residential13</v>
      </c>
      <c r="C23" s="136" t="s">
        <v>347</v>
      </c>
      <c r="D23" s="136">
        <v>13</v>
      </c>
      <c r="E23" s="137" cm="1">
        <f t="array" aca="1" ref="E23" ca="1">_xlfn.XLOOKUP($D$5&amp;AvoidedCost[[#This Row],[INDEX]],INDIRECT($D$6&amp;"!E:E"),INDIRECT($D$6&amp;"!F:F"),0,0,1)</f>
        <v>0.88530778160058465</v>
      </c>
      <c r="F23" s="137" cm="1">
        <f t="array" aca="1" ref="F23" ca="1">_xlfn.XLOOKUP($D$5&amp;AvoidedCost[[#This Row],[INDEX]],INDIRECT($D$6&amp;"!E:E"),INDIRECT($D$6&amp;"!G:G"),0,0,1)</f>
        <v>48.400724869142785</v>
      </c>
      <c r="G23" s="148" cm="1">
        <f t="array" aca="1" ref="G23" ca="1">_xlfn.XLOOKUP($D$5&amp;AvoidedCost[[#This Row],[INDEX]],INDIRECT($D$6&amp;"!E:E"),INDIRECT($D$6&amp;"!H:H"),0,0,1)</f>
        <v>441.56073552250552</v>
      </c>
    </row>
    <row r="24" spans="2:7" x14ac:dyDescent="0.35">
      <c r="B24" s="147" t="str">
        <f t="shared" si="0"/>
        <v>Residential14</v>
      </c>
      <c r="C24" s="136" t="s">
        <v>347</v>
      </c>
      <c r="D24" s="136">
        <v>14</v>
      </c>
      <c r="E24" s="137" cm="1">
        <f t="array" aca="1" ref="E24" ca="1">_xlfn.XLOOKUP($D$5&amp;AvoidedCost[[#This Row],[INDEX]],INDIRECT($D$6&amp;"!E:E"),INDIRECT($D$6&amp;"!F:F"),0,0,1)</f>
        <v>0.94071034221291483</v>
      </c>
      <c r="F24" s="137" cm="1">
        <f t="array" aca="1" ref="F24" ca="1">_xlfn.XLOOKUP($D$5&amp;AvoidedCost[[#This Row],[INDEX]],INDIRECT($D$6&amp;"!E:E"),INDIRECT($D$6&amp;"!G:G"),0,0,1)</f>
        <v>51.763256828711761</v>
      </c>
      <c r="G24" s="148" cm="1">
        <f t="array" aca="1" ref="G24" ca="1">_xlfn.XLOOKUP($D$5&amp;AvoidedCost[[#This Row],[INDEX]],INDIRECT($D$6&amp;"!E:E"),INDIRECT($D$6&amp;"!H:H"),0,0,1)</f>
        <v>466.81413317228152</v>
      </c>
    </row>
    <row r="25" spans="2:7" x14ac:dyDescent="0.35">
      <c r="B25" s="147" t="str">
        <f t="shared" si="0"/>
        <v>Residential15</v>
      </c>
      <c r="C25" s="136" t="s">
        <v>347</v>
      </c>
      <c r="D25" s="136">
        <v>15</v>
      </c>
      <c r="E25" s="137" cm="1">
        <f t="array" aca="1" ref="E25" ca="1">_xlfn.XLOOKUP($D$5&amp;AvoidedCost[[#This Row],[INDEX]],INDIRECT($D$6&amp;"!E:E"),INDIRECT($D$6&amp;"!F:F"),0,0,1)</f>
        <v>0.99440754190607739</v>
      </c>
      <c r="F25" s="137" cm="1">
        <f t="array" aca="1" ref="F25" ca="1">_xlfn.XLOOKUP($D$5&amp;AvoidedCost[[#This Row],[INDEX]],INDIRECT($D$6&amp;"!E:E"),INDIRECT($D$6&amp;"!G:G"),0,0,1)</f>
        <v>55.009961598999666</v>
      </c>
      <c r="G25" s="148" cm="1">
        <f t="array" aca="1" ref="G25" ca="1">_xlfn.XLOOKUP($D$5&amp;AvoidedCost[[#This Row],[INDEX]],INDIRECT($D$6&amp;"!E:E"),INDIRECT($D$6&amp;"!H:H"),0,0,1)</f>
        <v>490.86498807682995</v>
      </c>
    </row>
    <row r="26" spans="2:7" x14ac:dyDescent="0.35">
      <c r="B26" s="147" t="str">
        <f t="shared" si="0"/>
        <v>Residential16</v>
      </c>
      <c r="C26" s="136" t="s">
        <v>347</v>
      </c>
      <c r="D26" s="136">
        <v>16</v>
      </c>
      <c r="E26" s="137" cm="1">
        <f t="array" aca="1" ref="E26" ca="1">_xlfn.XLOOKUP($D$5&amp;AvoidedCost[[#This Row],[INDEX]],INDIRECT($D$6&amp;"!E:E"),INDIRECT($D$6&amp;"!F:F"),0,0,1)</f>
        <v>1.0464361666165631</v>
      </c>
      <c r="F26" s="137" cm="1">
        <f t="array" aca="1" ref="F26" ca="1">_xlfn.XLOOKUP($D$5&amp;AvoidedCost[[#This Row],[INDEX]],INDIRECT($D$6&amp;"!E:E"),INDIRECT($D$6&amp;"!G:G"),0,0,1)</f>
        <v>58.21595864365478</v>
      </c>
      <c r="G26" s="148" cm="1">
        <f t="array" aca="1" ref="G26" ca="1">_xlfn.XLOOKUP($D$5&amp;AvoidedCost[[#This Row],[INDEX]],INDIRECT($D$6&amp;"!E:E"),INDIRECT($D$6&amp;"!H:H"),0,0,1)</f>
        <v>513.77056417639994</v>
      </c>
    </row>
    <row r="27" spans="2:7" x14ac:dyDescent="0.35">
      <c r="B27" s="147" t="str">
        <f t="shared" si="0"/>
        <v>Residential17</v>
      </c>
      <c r="C27" s="136" t="s">
        <v>347</v>
      </c>
      <c r="D27" s="136">
        <v>17</v>
      </c>
      <c r="E27" s="137" cm="1">
        <f t="array" aca="1" ref="E27" ca="1">_xlfn.XLOOKUP($D$5&amp;AvoidedCost[[#This Row],[INDEX]],INDIRECT($D$6&amp;"!E:E"),INDIRECT($D$6&amp;"!F:F"),0,0,1)</f>
        <v>1.0968333658899039</v>
      </c>
      <c r="F27" s="137" cm="1">
        <f t="array" aca="1" ref="F27" ca="1">_xlfn.XLOOKUP($D$5&amp;AvoidedCost[[#This Row],[INDEX]],INDIRECT($D$6&amp;"!E:E"),INDIRECT($D$6&amp;"!G:G"),0,0,1)</f>
        <v>61.313482104092223</v>
      </c>
      <c r="G27" s="148" cm="1">
        <f t="array" aca="1" ref="G27" ca="1">_xlfn.XLOOKUP($D$5&amp;AvoidedCost[[#This Row],[INDEX]],INDIRECT($D$6&amp;"!E:E"),INDIRECT($D$6&amp;"!H:H"),0,0,1)</f>
        <v>535.58539855694278</v>
      </c>
    </row>
    <row r="28" spans="2:7" x14ac:dyDescent="0.35">
      <c r="B28" s="147" t="str">
        <f t="shared" si="0"/>
        <v>Residential18</v>
      </c>
      <c r="C28" s="136" t="s">
        <v>347</v>
      </c>
      <c r="D28" s="136">
        <v>18</v>
      </c>
      <c r="E28" s="137" cm="1">
        <f t="array" aca="1" ref="E28" ca="1">_xlfn.XLOOKUP($D$5&amp;AvoidedCost[[#This Row],[INDEX]],INDIRECT($D$6&amp;"!E:E"),INDIRECT($D$6&amp;"!F:F"),0,0,1)</f>
        <v>1.1456365348364161</v>
      </c>
      <c r="F28" s="137" cm="1">
        <f t="array" aca="1" ref="F28" ca="1">_xlfn.XLOOKUP($D$5&amp;AvoidedCost[[#This Row],[INDEX]],INDIRECT($D$6&amp;"!E:E"),INDIRECT($D$6&amp;"!G:G"),0,0,1)</f>
        <v>64.320897878168992</v>
      </c>
      <c r="G28" s="148" cm="1">
        <f t="array" aca="1" ref="G28" ca="1">_xlfn.XLOOKUP($D$5&amp;AvoidedCost[[#This Row],[INDEX]],INDIRECT($D$6&amp;"!E:E"),INDIRECT($D$6&amp;"!H:H"),0,0,1)</f>
        <v>556.36143130031689</v>
      </c>
    </row>
    <row r="29" spans="2:7" x14ac:dyDescent="0.35">
      <c r="B29" s="147" t="str">
        <f t="shared" si="0"/>
        <v>Residential19</v>
      </c>
      <c r="C29" s="136" t="s">
        <v>347</v>
      </c>
      <c r="D29" s="136">
        <v>19</v>
      </c>
      <c r="E29" s="137" cm="1">
        <f t="array" aca="1" ref="E29" ca="1">_xlfn.XLOOKUP($D$5&amp;AvoidedCost[[#This Row],[INDEX]],INDIRECT($D$6&amp;"!E:E"),INDIRECT($D$6&amp;"!F:F"),0,0,1)</f>
        <v>1.1930453275273138</v>
      </c>
      <c r="F29" s="137" cm="1">
        <f t="array" aca="1" ref="F29" ca="1">_xlfn.XLOOKUP($D$5&amp;AvoidedCost[[#This Row],[INDEX]],INDIRECT($D$6&amp;"!E:E"),INDIRECT($D$6&amp;"!G:G"),0,0,1)</f>
        <v>67.242387487272126</v>
      </c>
      <c r="G29" s="148" cm="1">
        <f t="array" aca="1" ref="G29" ca="1">_xlfn.XLOOKUP($D$5&amp;AvoidedCost[[#This Row],[INDEX]],INDIRECT($D$6&amp;"!E:E"),INDIRECT($D$6&amp;"!H:H"),0,0,1)</f>
        <v>576.14812915114942</v>
      </c>
    </row>
    <row r="30" spans="2:7" x14ac:dyDescent="0.35">
      <c r="B30" s="147" t="str">
        <f t="shared" si="0"/>
        <v>Residential20</v>
      </c>
      <c r="C30" s="136" t="s">
        <v>347</v>
      </c>
      <c r="D30" s="136">
        <v>20</v>
      </c>
      <c r="E30" s="137" cm="1">
        <f t="array" aca="1" ref="E30" ca="1">_xlfn.XLOOKUP($D$5&amp;AvoidedCost[[#This Row],[INDEX]],INDIRECT($D$6&amp;"!E:E"),INDIRECT($D$6&amp;"!F:F"),0,0,1)</f>
        <v>1.2390995832841858</v>
      </c>
      <c r="F30" s="137" cm="1">
        <f t="array" aca="1" ref="F30" ca="1">_xlfn.XLOOKUP($D$5&amp;AvoidedCost[[#This Row],[INDEX]],INDIRECT($D$6&amp;"!E:E"),INDIRECT($D$6&amp;"!G:G"),0,0,1)</f>
        <v>70.080405964686605</v>
      </c>
      <c r="G30" s="148" cm="1">
        <f t="array" aca="1" ref="G30" ca="1">_xlfn.XLOOKUP($D$5&amp;AvoidedCost[[#This Row],[INDEX]],INDIRECT($D$6&amp;"!E:E"),INDIRECT($D$6&amp;"!H:H"),0,0,1)</f>
        <v>594.99260329479944</v>
      </c>
    </row>
    <row r="31" spans="2:7" x14ac:dyDescent="0.35">
      <c r="B31" s="147" t="str">
        <f t="shared" si="0"/>
        <v>Residential21</v>
      </c>
      <c r="C31" s="136" t="s">
        <v>347</v>
      </c>
      <c r="D31" s="136">
        <v>21</v>
      </c>
      <c r="E31" s="137" cm="1">
        <f t="array" aca="1" ref="E31" ca="1">_xlfn.XLOOKUP($D$5&amp;AvoidedCost[[#This Row],[INDEX]],INDIRECT($D$6&amp;"!E:E"),INDIRECT($D$6&amp;"!F:F"),0,0,1)</f>
        <v>1.2838380031622898</v>
      </c>
      <c r="F31" s="137" cm="1">
        <f t="array" aca="1" ref="F31" ca="1">_xlfn.XLOOKUP($D$5&amp;AvoidedCost[[#This Row],[INDEX]],INDIRECT($D$6&amp;"!E:E"),INDIRECT($D$6&amp;"!G:G"),0,0,1)</f>
        <v>72.837338199889246</v>
      </c>
      <c r="G31" s="148" cm="1">
        <f t="array" aca="1" ref="G31" ca="1">_xlfn.XLOOKUP($D$5&amp;AvoidedCost[[#This Row],[INDEX]],INDIRECT($D$6&amp;"!E:E"),INDIRECT($D$6&amp;"!H:H"),0,0,1)</f>
        <v>612.93972152684705</v>
      </c>
    </row>
    <row r="32" spans="2:7" x14ac:dyDescent="0.35">
      <c r="B32" s="147" t="str">
        <f t="shared" si="0"/>
        <v>Residential22</v>
      </c>
      <c r="C32" s="136" t="s">
        <v>347</v>
      </c>
      <c r="D32" s="136">
        <v>22</v>
      </c>
      <c r="E32" s="137" cm="1">
        <f t="array" aca="1" ref="E32" ca="1">_xlfn.XLOOKUP($D$5&amp;AvoidedCost[[#This Row],[INDEX]],INDIRECT($D$6&amp;"!E:E"),INDIRECT($D$6&amp;"!F:F"),0,0,1)</f>
        <v>1.3272981824724481</v>
      </c>
      <c r="F32" s="137" cm="1">
        <f t="array" aca="1" ref="F32" ca="1">_xlfn.XLOOKUP($D$5&amp;AvoidedCost[[#This Row],[INDEX]],INDIRECT($D$6&amp;"!E:E"),INDIRECT($D$6&amp;"!G:G"),0,0,1)</f>
        <v>75.515500942657511</v>
      </c>
      <c r="G32" s="148" cm="1">
        <f t="array" aca="1" ref="G32" ca="1">_xlfn.XLOOKUP($D$5&amp;AvoidedCost[[#This Row],[INDEX]],INDIRECT($D$6&amp;"!E:E"),INDIRECT($D$6&amp;"!H:H"),0,0,1)</f>
        <v>630.03221508117815</v>
      </c>
    </row>
    <row r="33" spans="2:7" x14ac:dyDescent="0.35">
      <c r="B33" s="147" t="str">
        <f t="shared" si="0"/>
        <v>Residential23</v>
      </c>
      <c r="C33" s="136" t="s">
        <v>347</v>
      </c>
      <c r="D33" s="136">
        <v>23</v>
      </c>
      <c r="E33" s="137" cm="1">
        <f t="array" aca="1" ref="E33" ca="1">_xlfn.XLOOKUP($D$5&amp;AvoidedCost[[#This Row],[INDEX]],INDIRECT($D$6&amp;"!E:E"),INDIRECT($D$6&amp;"!F:F"),0,0,1)</f>
        <v>1.3695166423737446</v>
      </c>
      <c r="F33" s="137" cm="1">
        <f t="array" aca="1" ref="F33" ca="1">_xlfn.XLOOKUP($D$5&amp;AvoidedCost[[#This Row],[INDEX]],INDIRECT($D$6&amp;"!E:E"),INDIRECT($D$6&amp;"!G:G"),0,0,1)</f>
        <v>78.117144749918126</v>
      </c>
      <c r="G33" s="148" cm="1">
        <f t="array" aca="1" ref="G33" ca="1">_xlfn.XLOOKUP($D$5&amp;AvoidedCost[[#This Row],[INDEX]],INDIRECT($D$6&amp;"!E:E"),INDIRECT($D$6&amp;"!H:H"),0,0,1)</f>
        <v>646.31078037101724</v>
      </c>
    </row>
    <row r="34" spans="2:7" x14ac:dyDescent="0.35">
      <c r="B34" s="147" t="str">
        <f t="shared" si="0"/>
        <v>Residential24</v>
      </c>
      <c r="C34" s="136" t="s">
        <v>347</v>
      </c>
      <c r="D34" s="136">
        <v>24</v>
      </c>
      <c r="E34" s="137" cm="1">
        <f t="array" aca="1" ref="E34" ca="1">_xlfn.XLOOKUP($D$5&amp;AvoidedCost[[#This Row],[INDEX]],INDIRECT($D$6&amp;"!E:E"),INDIRECT($D$6&amp;"!F:F"),0,0,1)</f>
        <v>1.4105288605635755</v>
      </c>
      <c r="F34" s="137" cm="1">
        <f t="array" aca="1" ref="F34" ca="1">_xlfn.XLOOKUP($D$5&amp;AvoidedCost[[#This Row],[INDEX]],INDIRECT($D$6&amp;"!E:E"),INDIRECT($D$6&amp;"!G:G"),0,0,1)</f>
        <v>80.644455876971293</v>
      </c>
      <c r="G34" s="148" cm="1">
        <f t="array" aca="1" ref="G34" ca="1">_xlfn.XLOOKUP($D$5&amp;AvoidedCost[[#This Row],[INDEX]],INDIRECT($D$6&amp;"!E:E"),INDIRECT($D$6&amp;"!H:H"),0,0,1)</f>
        <v>661.81417588514978</v>
      </c>
    </row>
    <row r="35" spans="2:7" x14ac:dyDescent="0.35">
      <c r="B35" s="147" t="str">
        <f t="shared" si="0"/>
        <v>Residential25</v>
      </c>
      <c r="C35" s="136" t="s">
        <v>347</v>
      </c>
      <c r="D35" s="136">
        <v>25</v>
      </c>
      <c r="E35" s="137" cm="1">
        <f t="array" aca="1" ref="E35" ca="1">_xlfn.XLOOKUP($D$5&amp;AvoidedCost[[#This Row],[INDEX]],INDIRECT($D$6&amp;"!E:E"),INDIRECT($D$6&amp;"!F:F"),0,0,1)</f>
        <v>1.4503693010908401</v>
      </c>
      <c r="F35" s="137" cm="1">
        <f t="array" aca="1" ref="F35" ca="1">_xlfn.XLOOKUP($D$5&amp;AvoidedCost[[#This Row],[INDEX]],INDIRECT($D$6&amp;"!E:E"),INDIRECT($D$6&amp;"!G:G"),0,0,1)</f>
        <v>83.099558114680079</v>
      </c>
      <c r="G35" s="148" cm="1">
        <f t="array" aca="1" ref="G35" ca="1">_xlfn.XLOOKUP($D$5&amp;AvoidedCost[[#This Row],[INDEX]],INDIRECT($D$6&amp;"!E:E"),INDIRECT($D$6&amp;"!H:H"),0,0,1)</f>
        <v>676.57931447003784</v>
      </c>
    </row>
    <row r="36" spans="2:7" x14ac:dyDescent="0.35">
      <c r="B36" s="147" t="str">
        <f t="shared" si="0"/>
        <v>Residential26</v>
      </c>
      <c r="C36" s="136" t="s">
        <v>347</v>
      </c>
      <c r="D36" s="136">
        <v>26</v>
      </c>
      <c r="E36" s="137" cm="1">
        <f t="array" aca="1" ref="E36" ca="1">_xlfn.XLOOKUP($D$5&amp;AvoidedCost[[#This Row],[INDEX]],INDIRECT($D$6&amp;"!E:E"),INDIRECT($D$6&amp;"!F:F"),0,0,1)</f>
        <v>1.4890714433173253</v>
      </c>
      <c r="F36" s="137" cm="1">
        <f t="array" aca="1" ref="F36" ca="1">_xlfn.XLOOKUP($D$5&amp;AvoidedCost[[#This Row],[INDEX]],INDIRECT($D$6&amp;"!E:E"),INDIRECT($D$6&amp;"!G:G"),0,0,1)</f>
        <v>85.484514574168614</v>
      </c>
      <c r="G36" s="148" cm="1">
        <f t="array" aca="1" ref="G36" ca="1">_xlfn.XLOOKUP($D$5&amp;AvoidedCost[[#This Row],[INDEX]],INDIRECT($D$6&amp;"!E:E"),INDIRECT($D$6&amp;"!H:H"),0,0,1)</f>
        <v>690.64135121755032</v>
      </c>
    </row>
    <row r="37" spans="2:7" x14ac:dyDescent="0.35">
      <c r="B37" s="147" t="str">
        <f t="shared" si="0"/>
        <v>Residential27</v>
      </c>
      <c r="C37" s="136" t="s">
        <v>347</v>
      </c>
      <c r="D37" s="136">
        <v>27</v>
      </c>
      <c r="E37" s="137" cm="1">
        <f t="array" aca="1" ref="E37" ca="1">_xlfn.XLOOKUP($D$5&amp;AvoidedCost[[#This Row],[INDEX]],INDIRECT($D$6&amp;"!E:E"),INDIRECT($D$6&amp;"!F:F"),0,0,1)</f>
        <v>1.5266678100516253</v>
      </c>
      <c r="F37" s="137" cm="1">
        <f t="array" aca="1" ref="F37" ca="1">_xlfn.XLOOKUP($D$5&amp;AvoidedCost[[#This Row],[INDEX]],INDIRECT($D$6&amp;"!E:E"),INDIRECT($D$6&amp;"!G:G"),0,0,1)</f>
        <v>87.801329420528901</v>
      </c>
      <c r="G37" s="148" cm="1">
        <f t="array" aca="1" ref="G37" ca="1">_xlfn.XLOOKUP($D$5&amp;AvoidedCost[[#This Row],[INDEX]],INDIRECT($D$6&amp;"!E:E"),INDIRECT($D$6&amp;"!H:H"),0,0,1)</f>
        <v>704.03376716756213</v>
      </c>
    </row>
    <row r="38" spans="2:7" x14ac:dyDescent="0.35">
      <c r="B38" s="147" t="str">
        <f t="shared" si="0"/>
        <v>Residential28</v>
      </c>
      <c r="C38" s="136" t="s">
        <v>347</v>
      </c>
      <c r="D38" s="136">
        <v>28</v>
      </c>
      <c r="E38" s="137" cm="1">
        <f t="array" aca="1" ref="E38" ca="1">_xlfn.XLOOKUP($D$5&amp;AvoidedCost[[#This Row],[INDEX]],INDIRECT($D$6&amp;"!E:E"),INDIRECT($D$6&amp;"!F:F"),0,0,1)</f>
        <v>1.5631899948792312</v>
      </c>
      <c r="F38" s="137" cm="1">
        <f t="array" aca="1" ref="F38" ca="1">_xlfn.XLOOKUP($D$5&amp;AvoidedCost[[#This Row],[INDEX]],INDIRECT($D$6&amp;"!E:E"),INDIRECT($D$6&amp;"!G:G"),0,0,1)</f>
        <v>90.051949556993179</v>
      </c>
      <c r="G38" s="148" cm="1">
        <f t="array" aca="1" ref="G38" ca="1">_xlfn.XLOOKUP($D$5&amp;AvoidedCost[[#This Row],[INDEX]],INDIRECT($D$6&amp;"!E:E"),INDIRECT($D$6&amp;"!H:H"),0,0,1)</f>
        <v>716.78844902471644</v>
      </c>
    </row>
    <row r="39" spans="2:7" x14ac:dyDescent="0.35">
      <c r="B39" s="147" t="str">
        <f t="shared" si="0"/>
        <v>Residential29</v>
      </c>
      <c r="C39" s="136" t="s">
        <v>347</v>
      </c>
      <c r="D39" s="136">
        <v>29</v>
      </c>
      <c r="E39" s="137" cm="1">
        <f t="array" aca="1" ref="E39" ca="1">_xlfn.XLOOKUP($D$5&amp;AvoidedCost[[#This Row],[INDEX]],INDIRECT($D$6&amp;"!E:E"),INDIRECT($D$6&amp;"!F:F"),0,0,1)</f>
        <v>1.5986686887117627</v>
      </c>
      <c r="F39" s="137" cm="1">
        <f t="array" aca="1" ref="F39" ca="1">_xlfn.XLOOKUP($D$5&amp;AvoidedCost[[#This Row],[INDEX]],INDIRECT($D$6&amp;"!E:E"),INDIRECT($D$6&amp;"!G:G"),0,0,1)</f>
        <v>92.238266260987047</v>
      </c>
      <c r="G39" s="148" cm="1">
        <f t="array" aca="1" ref="G39" ca="1">_xlfn.XLOOKUP($D$5&amp;AvoidedCost[[#This Row],[INDEX]],INDIRECT($D$6&amp;"!E:E"),INDIRECT($D$6&amp;"!H:H"),0,0,1)</f>
        <v>728.93576507914895</v>
      </c>
    </row>
    <row r="40" spans="2:7" x14ac:dyDescent="0.35">
      <c r="B40" s="147" t="str">
        <f t="shared" si="0"/>
        <v>Residential30</v>
      </c>
      <c r="C40" s="136" t="s">
        <v>347</v>
      </c>
      <c r="D40" s="136">
        <v>30</v>
      </c>
      <c r="E40" s="137" cm="1">
        <f t="array" aca="1" ref="E40" ca="1">_xlfn.XLOOKUP($D$5&amp;AvoidedCost[[#This Row],[INDEX]],INDIRECT($D$6&amp;"!E:E"),INDIRECT($D$6&amp;"!F:F"),0,0,1)</f>
        <v>1.6331337055776503</v>
      </c>
      <c r="F40" s="137" cm="1">
        <f t="array" aca="1" ref="F40" ca="1">_xlfn.XLOOKUP($D$5&amp;AvoidedCost[[#This Row],[INDEX]],INDIRECT($D$6&amp;"!E:E"),INDIRECT($D$6&amp;"!G:G"),0,0,1)</f>
        <v>94.362116773438245</v>
      </c>
      <c r="G40" s="148" cm="1">
        <f t="array" aca="1" ref="G40" ca="1">_xlfn.XLOOKUP($D$5&amp;AvoidedCost[[#This Row],[INDEX]],INDIRECT($D$6&amp;"!E:E"),INDIRECT($D$6&amp;"!H:H"),0,0,1)</f>
        <v>740.50463751194184</v>
      </c>
    </row>
    <row r="41" spans="2:7" x14ac:dyDescent="0.35">
      <c r="B41" s="147" t="str">
        <f t="shared" si="0"/>
        <v>Industrial1</v>
      </c>
      <c r="C41" s="136" t="s">
        <v>2254</v>
      </c>
      <c r="D41" s="136">
        <v>1</v>
      </c>
      <c r="E41" s="137" cm="1">
        <f t="array" aca="1" ref="E41" ca="1">_xlfn.XLOOKUP($D$5&amp;AvoidedCost[[#This Row],[INDEX]],INDIRECT($D$6&amp;"!E:E"),INDIRECT($D$6&amp;"!F:F"),0,0,1)</f>
        <v>5.9496971405441232E-2</v>
      </c>
      <c r="F41" s="137" cm="1">
        <f t="array" aca="1" ref="F41" ca="1">_xlfn.XLOOKUP($D$5&amp;AvoidedCost[[#This Row],[INDEX]],INDIRECT($D$6&amp;"!E:E"),INDIRECT($D$6&amp;"!G:G"),0,0,1)</f>
        <v>3.1714285714285713</v>
      </c>
      <c r="G41" s="148" cm="1">
        <f t="array" aca="1" ref="G41" ca="1">_xlfn.XLOOKUP($D$5&amp;AvoidedCost[[#This Row],[INDEX]],INDIRECT($D$6&amp;"!E:E"),INDIRECT($D$6&amp;"!H:H"),0,0,1)</f>
        <v>30</v>
      </c>
    </row>
    <row r="42" spans="2:7" x14ac:dyDescent="0.35">
      <c r="B42" s="147" t="str">
        <f t="shared" si="0"/>
        <v>Industrial2</v>
      </c>
      <c r="C42" s="136" t="s">
        <v>2254</v>
      </c>
      <c r="D42" s="136">
        <v>2</v>
      </c>
      <c r="E42" s="137" cm="1">
        <f t="array" aca="1" ref="E42" ca="1">_xlfn.XLOOKUP($D$5&amp;AvoidedCost[[#This Row],[INDEX]],INDIRECT($D$6&amp;"!E:E"),INDIRECT($D$6&amp;"!F:F"),0,0,1)</f>
        <v>0.12336618224260956</v>
      </c>
      <c r="F42" s="137" cm="1">
        <f t="array" aca="1" ref="F42" ca="1">_xlfn.XLOOKUP($D$5&amp;AvoidedCost[[#This Row],[INDEX]],INDIRECT($D$6&amp;"!E:E"),INDIRECT($D$6&amp;"!G:G"),0,0,1)</f>
        <v>6.300680272108842</v>
      </c>
      <c r="G42" s="148" cm="1">
        <f t="array" aca="1" ref="G42" ca="1">_xlfn.XLOOKUP($D$5&amp;AvoidedCost[[#This Row],[INDEX]],INDIRECT($D$6&amp;"!E:E"),INDIRECT($D$6&amp;"!H:H"),0,0,1)</f>
        <v>64.852607709750572</v>
      </c>
    </row>
    <row r="43" spans="2:7" x14ac:dyDescent="0.35">
      <c r="B43" s="147" t="str">
        <f t="shared" si="0"/>
        <v>Industrial3</v>
      </c>
      <c r="C43" s="136" t="s">
        <v>2254</v>
      </c>
      <c r="D43" s="136">
        <v>3</v>
      </c>
      <c r="E43" s="137" cm="1">
        <f t="array" aca="1" ref="E43" ca="1">_xlfn.XLOOKUP($D$5&amp;AvoidedCost[[#This Row],[INDEX]],INDIRECT($D$6&amp;"!E:E"),INDIRECT($D$6&amp;"!F:F"),0,0,1)</f>
        <v>0.18581703844095473</v>
      </c>
      <c r="F43" s="137" cm="1">
        <f t="array" aca="1" ref="F43" ca="1">_xlfn.XLOOKUP($D$5&amp;AvoidedCost[[#This Row],[INDEX]],INDIRECT($D$6&amp;"!E:E"),INDIRECT($D$6&amp;"!G:G"),0,0,1)</f>
        <v>9.4277723787927847</v>
      </c>
      <c r="G43" s="148" cm="1">
        <f t="array" aca="1" ref="G43" ca="1">_xlfn.XLOOKUP($D$5&amp;AvoidedCost[[#This Row],[INDEX]],INDIRECT($D$6&amp;"!E:E"),INDIRECT($D$6&amp;"!H:H"),0,0,1)</f>
        <v>108.04448763632438</v>
      </c>
    </row>
    <row r="44" spans="2:7" x14ac:dyDescent="0.35">
      <c r="B44" s="147" t="str">
        <f t="shared" si="0"/>
        <v>Industrial4</v>
      </c>
      <c r="C44" s="136" t="s">
        <v>2254</v>
      </c>
      <c r="D44" s="136">
        <v>4</v>
      </c>
      <c r="E44" s="137" cm="1">
        <f t="array" aca="1" ref="E44" ca="1">_xlfn.XLOOKUP($D$5&amp;AvoidedCost[[#This Row],[INDEX]],INDIRECT($D$6&amp;"!E:E"),INDIRECT($D$6&amp;"!F:F"),0,0,1)</f>
        <v>0.24618464661834022</v>
      </c>
      <c r="F44" s="137" cm="1">
        <f t="array" aca="1" ref="F44" ca="1">_xlfn.XLOOKUP($D$5&amp;AvoidedCost[[#This Row],[INDEX]],INDIRECT($D$6&amp;"!E:E"),INDIRECT($D$6&amp;"!G:G"),0,0,1)</f>
        <v>12.554041783001935</v>
      </c>
      <c r="G44" s="148" cm="1">
        <f t="array" aca="1" ref="G44" ca="1">_xlfn.XLOOKUP($D$5&amp;AvoidedCost[[#This Row],[INDEX]],INDIRECT($D$6&amp;"!E:E"),INDIRECT($D$6&amp;"!H:H"),0,0,1)</f>
        <v>149.17961137591845</v>
      </c>
    </row>
    <row r="45" spans="2:7" x14ac:dyDescent="0.35">
      <c r="B45" s="147" t="str">
        <f t="shared" si="0"/>
        <v>Industrial5</v>
      </c>
      <c r="C45" s="136" t="s">
        <v>2254</v>
      </c>
      <c r="D45" s="136">
        <v>5</v>
      </c>
      <c r="E45" s="137" cm="1">
        <f t="array" aca="1" ref="E45" ca="1">_xlfn.XLOOKUP($D$5&amp;AvoidedCost[[#This Row],[INDEX]],INDIRECT($D$6&amp;"!E:E"),INDIRECT($D$6&amp;"!F:F"),0,0,1)</f>
        <v>0.29969529199492001</v>
      </c>
      <c r="F45" s="137" cm="1">
        <f t="array" aca="1" ref="F45" ca="1">_xlfn.XLOOKUP($D$5&amp;AvoidedCost[[#This Row],[INDEX]],INDIRECT($D$6&amp;"!E:E"),INDIRECT($D$6&amp;"!G:G"),0,0,1)</f>
        <v>15.680311187211089</v>
      </c>
      <c r="G45" s="148" cm="1">
        <f t="array" aca="1" ref="G45" ca="1">_xlfn.XLOOKUP($D$5&amp;AvoidedCost[[#This Row],[INDEX]],INDIRECT($D$6&amp;"!E:E"),INDIRECT($D$6&amp;"!H:H"),0,0,1)</f>
        <v>188.3559196993414</v>
      </c>
    </row>
    <row r="46" spans="2:7" x14ac:dyDescent="0.35">
      <c r="B46" s="147" t="str">
        <f t="shared" si="0"/>
        <v>Industrial6</v>
      </c>
      <c r="C46" s="136" t="s">
        <v>2254</v>
      </c>
      <c r="D46" s="136">
        <v>6</v>
      </c>
      <c r="E46" s="137" cm="1">
        <f t="array" aca="1" ref="E46" ca="1">_xlfn.XLOOKUP($D$5&amp;AvoidedCost[[#This Row],[INDEX]],INDIRECT($D$6&amp;"!E:E"),INDIRECT($D$6&amp;"!F:F"),0,0,1)</f>
        <v>0.35104132222543294</v>
      </c>
      <c r="F46" s="137" cm="1">
        <f t="array" aca="1" ref="F46" ca="1">_xlfn.XLOOKUP($D$5&amp;AvoidedCost[[#This Row],[INDEX]],INDIRECT($D$6&amp;"!E:E"),INDIRECT($D$6&amp;"!G:G"),0,0,1)</f>
        <v>18.79949154515219</v>
      </c>
      <c r="G46" s="148" cm="1">
        <f t="array" aca="1" ref="G46" ca="1">_xlfn.XLOOKUP($D$5&amp;AvoidedCost[[#This Row],[INDEX]],INDIRECT($D$6&amp;"!E:E"),INDIRECT($D$6&amp;"!H:H"),0,0,1)</f>
        <v>225.66668953117278</v>
      </c>
    </row>
    <row r="47" spans="2:7" x14ac:dyDescent="0.35">
      <c r="B47" s="147" t="str">
        <f t="shared" si="0"/>
        <v>Industrial7</v>
      </c>
      <c r="C47" s="136" t="s">
        <v>2254</v>
      </c>
      <c r="D47" s="136">
        <v>7</v>
      </c>
      <c r="E47" s="137" cm="1">
        <f t="array" aca="1" ref="E47" ca="1">_xlfn.XLOOKUP($D$5&amp;AvoidedCost[[#This Row],[INDEX]],INDIRECT($D$6&amp;"!E:E"),INDIRECT($D$6&amp;"!F:F"),0,0,1)</f>
        <v>0.40575258266405312</v>
      </c>
      <c r="F47" s="137" cm="1">
        <f t="array" aca="1" ref="F47" ca="1">_xlfn.XLOOKUP($D$5&amp;AvoidedCost[[#This Row],[INDEX]],INDIRECT($D$6&amp;"!E:E"),INDIRECT($D$6&amp;"!G:G"),0,0,1)</f>
        <v>21.912275771122122</v>
      </c>
      <c r="G47" s="148" cm="1">
        <f t="array" aca="1" ref="G47" ca="1">_xlfn.XLOOKUP($D$5&amp;AvoidedCost[[#This Row],[INDEX]],INDIRECT($D$6&amp;"!E:E"),INDIRECT($D$6&amp;"!H:H"),0,0,1)</f>
        <v>261.20075603767884</v>
      </c>
    </row>
    <row r="48" spans="2:7" x14ac:dyDescent="0.35">
      <c r="B48" s="147" t="str">
        <f t="shared" si="0"/>
        <v>Industrial8</v>
      </c>
      <c r="C48" s="136" t="s">
        <v>2254</v>
      </c>
      <c r="D48" s="136">
        <v>8</v>
      </c>
      <c r="E48" s="137" cm="1">
        <f t="array" aca="1" ref="E48" ca="1">_xlfn.XLOOKUP($D$5&amp;AvoidedCost[[#This Row],[INDEX]],INDIRECT($D$6&amp;"!E:E"),INDIRECT($D$6&amp;"!F:F"),0,0,1)</f>
        <v>0.45896836648807959</v>
      </c>
      <c r="F48" s="137" cm="1">
        <f t="array" aca="1" ref="F48" ca="1">_xlfn.XLOOKUP($D$5&amp;AvoidedCost[[#This Row],[INDEX]],INDIRECT($D$6&amp;"!E:E"),INDIRECT($D$6&amp;"!G:G"),0,0,1)</f>
        <v>25.0162799519881</v>
      </c>
      <c r="G48" s="148" cm="1">
        <f t="array" aca="1" ref="G48" ca="1">_xlfn.XLOOKUP($D$5&amp;AvoidedCost[[#This Row],[INDEX]],INDIRECT($D$6&amp;"!E:E"),INDIRECT($D$6&amp;"!H:H"),0,0,1)</f>
        <v>295.04272413911315</v>
      </c>
    </row>
    <row r="49" spans="2:7" x14ac:dyDescent="0.35">
      <c r="B49" s="147" t="str">
        <f t="shared" si="0"/>
        <v>Industrial9</v>
      </c>
      <c r="C49" s="136" t="s">
        <v>2254</v>
      </c>
      <c r="D49" s="136">
        <v>9</v>
      </c>
      <c r="E49" s="137" cm="1">
        <f t="array" aca="1" ref="E49" ca="1">_xlfn.XLOOKUP($D$5&amp;AvoidedCost[[#This Row],[INDEX]],INDIRECT($D$6&amp;"!E:E"),INDIRECT($D$6&amp;"!F:F"),0,0,1)</f>
        <v>0.5108149886481681</v>
      </c>
      <c r="F49" s="137" cm="1">
        <f t="array" aca="1" ref="F49" ca="1">_xlfn.XLOOKUP($D$5&amp;AvoidedCost[[#This Row],[INDEX]],INDIRECT($D$6&amp;"!E:E"),INDIRECT($D$6&amp;"!G:G"),0,0,1)</f>
        <v>28.110200607664673</v>
      </c>
      <c r="G49" s="148" cm="1">
        <f t="array" aca="1" ref="G49" ca="1">_xlfn.XLOOKUP($D$5&amp;AvoidedCost[[#This Row],[INDEX]],INDIRECT($D$6&amp;"!E:E"),INDIRECT($D$6&amp;"!H:H"),0,0,1)</f>
        <v>327.27316995000302</v>
      </c>
    </row>
    <row r="50" spans="2:7" x14ac:dyDescent="0.35">
      <c r="B50" s="147" t="str">
        <f t="shared" si="0"/>
        <v>Industrial10</v>
      </c>
      <c r="C50" s="136" t="s">
        <v>2254</v>
      </c>
      <c r="D50" s="136">
        <v>10</v>
      </c>
      <c r="E50" s="137" cm="1">
        <f t="array" aca="1" ref="E50" ca="1">_xlfn.XLOOKUP($D$5&amp;AvoidedCost[[#This Row],[INDEX]],INDIRECT($D$6&amp;"!E:E"),INDIRECT($D$6&amp;"!F:F"),0,0,1)</f>
        <v>0.56069463062853786</v>
      </c>
      <c r="F50" s="137" cm="1">
        <f t="array" aca="1" ref="F50" ca="1">_xlfn.XLOOKUP($D$5&amp;AvoidedCost[[#This Row],[INDEX]],INDIRECT($D$6&amp;"!E:E"),INDIRECT($D$6&amp;"!G:G"),0,0,1)</f>
        <v>31.183274951102984</v>
      </c>
      <c r="G50" s="148" cm="1">
        <f t="array" aca="1" ref="G50" ca="1">_xlfn.XLOOKUP($D$5&amp;AvoidedCost[[#This Row],[INDEX]],INDIRECT($D$6&amp;"!E:E"),INDIRECT($D$6&amp;"!H:H"),0,0,1)</f>
        <v>357.96883262704102</v>
      </c>
    </row>
    <row r="51" spans="2:7" x14ac:dyDescent="0.35">
      <c r="B51" s="147" t="str">
        <f t="shared" si="0"/>
        <v>Industrial11</v>
      </c>
      <c r="C51" s="136" t="s">
        <v>2254</v>
      </c>
      <c r="D51" s="136">
        <v>11</v>
      </c>
      <c r="E51" s="137" cm="1">
        <f t="array" aca="1" ref="E51" ca="1">_xlfn.XLOOKUP($D$5&amp;AvoidedCost[[#This Row],[INDEX]],INDIRECT($D$6&amp;"!E:E"),INDIRECT($D$6&amp;"!F:F"),0,0,1)</f>
        <v>0.60887763284188656</v>
      </c>
      <c r="F51" s="137" cm="1">
        <f t="array" aca="1" ref="F51" ca="1">_xlfn.XLOOKUP($D$5&amp;AvoidedCost[[#This Row],[INDEX]],INDIRECT($D$6&amp;"!E:E"),INDIRECT($D$6&amp;"!G:G"),0,0,1)</f>
        <v>34.199242221957078</v>
      </c>
      <c r="G51" s="148" cm="1">
        <f t="array" aca="1" ref="G51" ca="1">_xlfn.XLOOKUP($D$5&amp;AvoidedCost[[#This Row],[INDEX]],INDIRECT($D$6&amp;"!E:E"),INDIRECT($D$6&amp;"!H:H"),0,0,1)</f>
        <v>387.20279708136286</v>
      </c>
    </row>
    <row r="52" spans="2:7" x14ac:dyDescent="0.35">
      <c r="B52" s="147" t="str">
        <f t="shared" si="0"/>
        <v>Industrial12</v>
      </c>
      <c r="C52" s="136" t="s">
        <v>2254</v>
      </c>
      <c r="D52" s="136">
        <v>12</v>
      </c>
      <c r="E52" s="137" cm="1">
        <f t="array" aca="1" ref="E52" ca="1">_xlfn.XLOOKUP($D$5&amp;AvoidedCost[[#This Row],[INDEX]],INDIRECT($D$6&amp;"!E:E"),INDIRECT($D$6&amp;"!F:F"),0,0,1)</f>
        <v>0.6559739223776262</v>
      </c>
      <c r="F52" s="137" cm="1">
        <f t="array" aca="1" ref="F52" ca="1">_xlfn.XLOOKUP($D$5&amp;AvoidedCost[[#This Row],[INDEX]],INDIRECT($D$6&amp;"!E:E"),INDIRECT($D$6&amp;"!G:G"),0,0,1)</f>
        <v>37.194814109745373</v>
      </c>
      <c r="G52" s="148" cm="1">
        <f t="array" aca="1" ref="G52" ca="1">_xlfn.XLOOKUP($D$5&amp;AvoidedCost[[#This Row],[INDEX]],INDIRECT($D$6&amp;"!E:E"),INDIRECT($D$6&amp;"!H:H"),0,0,1)</f>
        <v>415.04466799024078</v>
      </c>
    </row>
    <row r="53" spans="2:7" x14ac:dyDescent="0.35">
      <c r="B53" s="147" t="str">
        <f t="shared" si="0"/>
        <v>Industrial13</v>
      </c>
      <c r="C53" s="136" t="s">
        <v>2254</v>
      </c>
      <c r="D53" s="136">
        <v>13</v>
      </c>
      <c r="E53" s="137" cm="1">
        <f t="array" aca="1" ref="E53" ca="1">_xlfn.XLOOKUP($D$5&amp;AvoidedCost[[#This Row],[INDEX]],INDIRECT($D$6&amp;"!E:E"),INDIRECT($D$6&amp;"!F:F"),0,0,1)</f>
        <v>0.70123685847257011</v>
      </c>
      <c r="F53" s="137" cm="1">
        <f t="array" aca="1" ref="F53" ca="1">_xlfn.XLOOKUP($D$5&amp;AvoidedCost[[#This Row],[INDEX]],INDIRECT($D$6&amp;"!E:E"),INDIRECT($D$6&amp;"!G:G"),0,0,1)</f>
        <v>40.108440262001473</v>
      </c>
      <c r="G53" s="148" cm="1">
        <f t="array" aca="1" ref="G53" ca="1">_xlfn.XLOOKUP($D$5&amp;AvoidedCost[[#This Row],[INDEX]],INDIRECT($D$6&amp;"!E:E"),INDIRECT($D$6&amp;"!H:H"),0,0,1)</f>
        <v>441.56073552250552</v>
      </c>
    </row>
    <row r="54" spans="2:7" x14ac:dyDescent="0.35">
      <c r="B54" s="147" t="str">
        <f t="shared" si="0"/>
        <v>Industrial14</v>
      </c>
      <c r="C54" s="136" t="s">
        <v>2254</v>
      </c>
      <c r="D54" s="136">
        <v>14</v>
      </c>
      <c r="E54" s="137" cm="1">
        <f t="array" aca="1" ref="E54" ca="1">_xlfn.XLOOKUP($D$5&amp;AvoidedCost[[#This Row],[INDEX]],INDIRECT($D$6&amp;"!E:E"),INDIRECT($D$6&amp;"!F:F"),0,0,1)</f>
        <v>0.74512026079044824</v>
      </c>
      <c r="F54" s="137" cm="1">
        <f t="array" aca="1" ref="F54" ca="1">_xlfn.XLOOKUP($D$5&amp;AvoidedCost[[#This Row],[INDEX]],INDIRECT($D$6&amp;"!E:E"),INDIRECT($D$6&amp;"!G:G"),0,0,1)</f>
        <v>42.894884320309885</v>
      </c>
      <c r="G54" s="148" cm="1">
        <f t="array" aca="1" ref="G54" ca="1">_xlfn.XLOOKUP($D$5&amp;AvoidedCost[[#This Row],[INDEX]],INDIRECT($D$6&amp;"!E:E"),INDIRECT($D$6&amp;"!H:H"),0,0,1)</f>
        <v>466.81413317228152</v>
      </c>
    </row>
    <row r="55" spans="2:7" x14ac:dyDescent="0.35">
      <c r="B55" s="147" t="str">
        <f t="shared" si="0"/>
        <v>Industrial15</v>
      </c>
      <c r="C55" s="136" t="s">
        <v>2254</v>
      </c>
      <c r="D55" s="136">
        <v>15</v>
      </c>
      <c r="E55" s="137" cm="1">
        <f t="array" aca="1" ref="E55" ca="1">_xlfn.XLOOKUP($D$5&amp;AvoidedCost[[#This Row],[INDEX]],INDIRECT($D$6&amp;"!E:E"),INDIRECT($D$6&amp;"!F:F"),0,0,1)</f>
        <v>0.78765287645720594</v>
      </c>
      <c r="F55" s="137" cm="1">
        <f t="array" aca="1" ref="F55" ca="1">_xlfn.XLOOKUP($D$5&amp;AvoidedCost[[#This Row],[INDEX]],INDIRECT($D$6&amp;"!E:E"),INDIRECT($D$6&amp;"!G:G"),0,0,1)</f>
        <v>45.585345355335988</v>
      </c>
      <c r="G55" s="148" cm="1">
        <f t="array" aca="1" ref="G55" ca="1">_xlfn.XLOOKUP($D$5&amp;AvoidedCost[[#This Row],[INDEX]],INDIRECT($D$6&amp;"!E:E"),INDIRECT($D$6&amp;"!H:H"),0,0,1)</f>
        <v>490.86498807682995</v>
      </c>
    </row>
    <row r="56" spans="2:7" x14ac:dyDescent="0.35">
      <c r="B56" s="147" t="str">
        <f t="shared" si="0"/>
        <v>Industrial16</v>
      </c>
      <c r="C56" s="136" t="s">
        <v>2254</v>
      </c>
      <c r="D56" s="136">
        <v>16</v>
      </c>
      <c r="E56" s="137" cm="1">
        <f t="array" aca="1" ref="E56" ca="1">_xlfn.XLOOKUP($D$5&amp;AvoidedCost[[#This Row],[INDEX]],INDIRECT($D$6&amp;"!E:E"),INDIRECT($D$6&amp;"!F:F"),0,0,1)</f>
        <v>0.82886384297177551</v>
      </c>
      <c r="F56" s="137" cm="1">
        <f t="array" aca="1" ref="F56" ca="1">_xlfn.XLOOKUP($D$5&amp;AvoidedCost[[#This Row],[INDEX]],INDIRECT($D$6&amp;"!E:E"),INDIRECT($D$6&amp;"!G:G"),0,0,1)</f>
        <v>48.242072941407365</v>
      </c>
      <c r="G56" s="148" cm="1">
        <f t="array" aca="1" ref="G56" ca="1">_xlfn.XLOOKUP($D$5&amp;AvoidedCost[[#This Row],[INDEX]],INDIRECT($D$6&amp;"!E:E"),INDIRECT($D$6&amp;"!H:H"),0,0,1)</f>
        <v>513.77056417639994</v>
      </c>
    </row>
    <row r="57" spans="2:7" x14ac:dyDescent="0.35">
      <c r="B57" s="147" t="str">
        <f t="shared" si="0"/>
        <v>Industrial17</v>
      </c>
      <c r="C57" s="136" t="s">
        <v>2254</v>
      </c>
      <c r="D57" s="136">
        <v>17</v>
      </c>
      <c r="E57" s="137" cm="1">
        <f t="array" aca="1" ref="E57" ca="1">_xlfn.XLOOKUP($D$5&amp;AvoidedCost[[#This Row],[INDEX]],INDIRECT($D$6&amp;"!E:E"),INDIRECT($D$6&amp;"!F:F"),0,0,1)</f>
        <v>0.86878258584147028</v>
      </c>
      <c r="F57" s="137" cm="1">
        <f t="array" aca="1" ref="F57" ca="1">_xlfn.XLOOKUP($D$5&amp;AvoidedCost[[#This Row],[INDEX]],INDIRECT($D$6&amp;"!E:E"),INDIRECT($D$6&amp;"!G:G"),0,0,1)</f>
        <v>50.808911248250759</v>
      </c>
      <c r="G57" s="148" cm="1">
        <f t="array" aca="1" ref="G57" ca="1">_xlfn.XLOOKUP($D$5&amp;AvoidedCost[[#This Row],[INDEX]],INDIRECT($D$6&amp;"!E:E"),INDIRECT($D$6&amp;"!H:H"),0,0,1)</f>
        <v>535.58539855694278</v>
      </c>
    </row>
    <row r="58" spans="2:7" x14ac:dyDescent="0.35">
      <c r="B58" s="147" t="str">
        <f t="shared" si="0"/>
        <v>Industrial18</v>
      </c>
      <c r="C58" s="136" t="s">
        <v>2254</v>
      </c>
      <c r="D58" s="136">
        <v>18</v>
      </c>
      <c r="E58" s="137" cm="1">
        <f t="array" aca="1" ref="E58" ca="1">_xlfn.XLOOKUP($D$5&amp;AvoidedCost[[#This Row],[INDEX]],INDIRECT($D$6&amp;"!E:E"),INDIRECT($D$6&amp;"!F:F"),0,0,1)</f>
        <v>0.90743872508118861</v>
      </c>
      <c r="F58" s="137" cm="1">
        <f t="array" aca="1" ref="F58" ca="1">_xlfn.XLOOKUP($D$5&amp;AvoidedCost[[#This Row],[INDEX]],INDIRECT($D$6&amp;"!E:E"),INDIRECT($D$6&amp;"!G:G"),0,0,1)</f>
        <v>53.301079624730178</v>
      </c>
      <c r="G58" s="148" cm="1">
        <f t="array" aca="1" ref="G58" ca="1">_xlfn.XLOOKUP($D$5&amp;AvoidedCost[[#This Row],[INDEX]],INDIRECT($D$6&amp;"!E:E"),INDIRECT($D$6&amp;"!H:H"),0,0,1)</f>
        <v>556.36143130031689</v>
      </c>
    </row>
    <row r="59" spans="2:7" x14ac:dyDescent="0.35">
      <c r="B59" s="147" t="str">
        <f t="shared" si="0"/>
        <v>Industrial19</v>
      </c>
      <c r="C59" s="136" t="s">
        <v>2254</v>
      </c>
      <c r="D59" s="136">
        <v>19</v>
      </c>
      <c r="E59" s="137" cm="1">
        <f t="array" aca="1" ref="E59" ca="1">_xlfn.XLOOKUP($D$5&amp;AvoidedCost[[#This Row],[INDEX]],INDIRECT($D$6&amp;"!E:E"),INDIRECT($D$6&amp;"!F:F"),0,0,1)</f>
        <v>0.94499040319977212</v>
      </c>
      <c r="F59" s="137" cm="1">
        <f t="array" aca="1" ref="F59" ca="1">_xlfn.XLOOKUP($D$5&amp;AvoidedCost[[#This Row],[INDEX]],INDIRECT($D$6&amp;"!E:E"),INDIRECT($D$6&amp;"!G:G"),0,0,1)</f>
        <v>55.722043190453036</v>
      </c>
      <c r="G59" s="148" cm="1">
        <f t="array" aca="1" ref="G59" ca="1">_xlfn.XLOOKUP($D$5&amp;AvoidedCost[[#This Row],[INDEX]],INDIRECT($D$6&amp;"!E:E"),INDIRECT($D$6&amp;"!H:H"),0,0,1)</f>
        <v>576.14812915114942</v>
      </c>
    </row>
    <row r="60" spans="2:7" x14ac:dyDescent="0.35">
      <c r="B60" s="147" t="str">
        <f t="shared" si="0"/>
        <v>Industrial20</v>
      </c>
      <c r="C60" s="136" t="s">
        <v>2254</v>
      </c>
      <c r="D60" s="136">
        <v>20</v>
      </c>
      <c r="E60" s="137" cm="1">
        <f t="array" aca="1" ref="E60" ca="1">_xlfn.XLOOKUP($D$5&amp;AvoidedCost[[#This Row],[INDEX]],INDIRECT($D$6&amp;"!E:E"),INDIRECT($D$6&amp;"!F:F"),0,0,1)</f>
        <v>0.98146917622925312</v>
      </c>
      <c r="F60" s="137" cm="1">
        <f t="array" aca="1" ref="F60" ca="1">_xlfn.XLOOKUP($D$5&amp;AvoidedCost[[#This Row],[INDEX]],INDIRECT($D$6&amp;"!E:E"),INDIRECT($D$6&amp;"!G:G"),0,0,1)</f>
        <v>58.073836368583819</v>
      </c>
      <c r="G60" s="148" cm="1">
        <f t="array" aca="1" ref="G60" ca="1">_xlfn.XLOOKUP($D$5&amp;AvoidedCost[[#This Row],[INDEX]],INDIRECT($D$6&amp;"!E:E"),INDIRECT($D$6&amp;"!H:H"),0,0,1)</f>
        <v>594.99260329479944</v>
      </c>
    </row>
    <row r="61" spans="2:7" x14ac:dyDescent="0.35">
      <c r="B61" s="147" t="str">
        <f t="shared" si="0"/>
        <v>Industrial21</v>
      </c>
      <c r="C61" s="136" t="s">
        <v>2254</v>
      </c>
      <c r="D61" s="136">
        <v>21</v>
      </c>
      <c r="E61" s="137" cm="1">
        <f t="array" aca="1" ref="E61" ca="1">_xlfn.XLOOKUP($D$5&amp;AvoidedCost[[#This Row],[INDEX]],INDIRECT($D$6&amp;"!E:E"),INDIRECT($D$6&amp;"!F:F"),0,0,1)</f>
        <v>1.016905698600749</v>
      </c>
      <c r="F61" s="137" cm="1">
        <f t="array" aca="1" ref="F61" ca="1">_xlfn.XLOOKUP($D$5&amp;AvoidedCost[[#This Row],[INDEX]],INDIRECT($D$6&amp;"!E:E"),INDIRECT($D$6&amp;"!G:G"),0,0,1)</f>
        <v>60.358435455910865</v>
      </c>
      <c r="G61" s="148" cm="1">
        <f t="array" aca="1" ref="G61" ca="1">_xlfn.XLOOKUP($D$5&amp;AvoidedCost[[#This Row],[INDEX]],INDIRECT($D$6&amp;"!E:E"),INDIRECT($D$6&amp;"!H:H"),0,0,1)</f>
        <v>612.93972152684705</v>
      </c>
    </row>
    <row r="62" spans="2:7" x14ac:dyDescent="0.35">
      <c r="B62" s="147" t="str">
        <f t="shared" si="0"/>
        <v>Industrial22</v>
      </c>
      <c r="C62" s="136" t="s">
        <v>2254</v>
      </c>
      <c r="D62" s="136">
        <v>22</v>
      </c>
      <c r="E62" s="137" cm="1">
        <f t="array" aca="1" ref="E62" ca="1">_xlfn.XLOOKUP($D$5&amp;AvoidedCost[[#This Row],[INDEX]],INDIRECT($D$6&amp;"!E:E"),INDIRECT($D$6&amp;"!F:F"),0,0,1)</f>
        <v>1.0513297489044879</v>
      </c>
      <c r="F62" s="137" cm="1">
        <f t="array" aca="1" ref="F62" ca="1">_xlfn.XLOOKUP($D$5&amp;AvoidedCost[[#This Row],[INDEX]],INDIRECT($D$6&amp;"!E:E"),INDIRECT($D$6&amp;"!G:G"),0,0,1)</f>
        <v>62.577760283599993</v>
      </c>
      <c r="G62" s="148" cm="1">
        <f t="array" aca="1" ref="G62" ca="1">_xlfn.XLOOKUP($D$5&amp;AvoidedCost[[#This Row],[INDEX]],INDIRECT($D$6&amp;"!E:E"),INDIRECT($D$6&amp;"!H:H"),0,0,1)</f>
        <v>630.03221508117815</v>
      </c>
    </row>
    <row r="63" spans="2:7" x14ac:dyDescent="0.35">
      <c r="B63" s="147" t="str">
        <f t="shared" si="0"/>
        <v>Industrial23</v>
      </c>
      <c r="C63" s="136" t="s">
        <v>2254</v>
      </c>
      <c r="D63" s="136">
        <v>23</v>
      </c>
      <c r="E63" s="137" cm="1">
        <f t="array" aca="1" ref="E63" ca="1">_xlfn.XLOOKUP($D$5&amp;AvoidedCost[[#This Row],[INDEX]],INDIRECT($D$6&amp;"!E:E"),INDIRECT($D$6&amp;"!F:F"),0,0,1)</f>
        <v>1.0847702549138343</v>
      </c>
      <c r="F63" s="137" cm="1">
        <f t="array" aca="1" ref="F63" ca="1">_xlfn.XLOOKUP($D$5&amp;AvoidedCost[[#This Row],[INDEX]],INDIRECT($D$6&amp;"!E:E"),INDIRECT($D$6&amp;"!G:G"),0,0,1)</f>
        <v>64.733675830498001</v>
      </c>
      <c r="G63" s="148" cm="1">
        <f t="array" aca="1" ref="G63" ca="1">_xlfn.XLOOKUP($D$5&amp;AvoidedCost[[#This Row],[INDEX]],INDIRECT($D$6&amp;"!E:E"),INDIRECT($D$6&amp;"!H:H"),0,0,1)</f>
        <v>646.31078037101724</v>
      </c>
    </row>
    <row r="64" spans="2:7" x14ac:dyDescent="0.35">
      <c r="B64" s="147" t="str">
        <f t="shared" si="0"/>
        <v>Industrial24</v>
      </c>
      <c r="C64" s="136" t="s">
        <v>2254</v>
      </c>
      <c r="D64" s="136">
        <v>24</v>
      </c>
      <c r="E64" s="137" cm="1">
        <f t="array" aca="1" ref="E64" ca="1">_xlfn.XLOOKUP($D$5&amp;AvoidedCost[[#This Row],[INDEX]],INDIRECT($D$6&amp;"!E:E"),INDIRECT($D$6&amp;"!F:F"),0,0,1)</f>
        <v>1.1172553178943421</v>
      </c>
      <c r="F64" s="137" cm="1">
        <f t="array" aca="1" ref="F64" ca="1">_xlfn.XLOOKUP($D$5&amp;AvoidedCost[[#This Row],[INDEX]],INDIRECT($D$6&amp;"!E:E"),INDIRECT($D$6&amp;"!G:G"),0,0,1)</f>
        <v>66.827993790341779</v>
      </c>
      <c r="G64" s="148" cm="1">
        <f t="array" aca="1" ref="G64" ca="1">_xlfn.XLOOKUP($D$5&amp;AvoidedCost[[#This Row],[INDEX]],INDIRECT($D$6&amp;"!E:E"),INDIRECT($D$6&amp;"!H:H"),0,0,1)</f>
        <v>661.81417588514978</v>
      </c>
    </row>
    <row r="65" spans="2:7" x14ac:dyDescent="0.35">
      <c r="B65" s="147" t="str">
        <f t="shared" si="0"/>
        <v>Industrial25</v>
      </c>
      <c r="C65" s="136" t="s">
        <v>2254</v>
      </c>
      <c r="D65" s="136">
        <v>25</v>
      </c>
      <c r="E65" s="137" cm="1">
        <f t="array" aca="1" ref="E65" ca="1">_xlfn.XLOOKUP($D$5&amp;AvoidedCost[[#This Row],[INDEX]],INDIRECT($D$6&amp;"!E:E"),INDIRECT($D$6&amp;"!F:F"),0,0,1)</f>
        <v>1.1488122362182638</v>
      </c>
      <c r="F65" s="137" cm="1">
        <f t="array" aca="1" ref="F65" ca="1">_xlfn.XLOOKUP($D$5&amp;AvoidedCost[[#This Row],[INDEX]],INDIRECT($D$6&amp;"!E:E"),INDIRECT($D$6&amp;"!G:G"),0,0,1)</f>
        <v>68.86247409419002</v>
      </c>
      <c r="G65" s="148" cm="1">
        <f t="array" aca="1" ref="G65" ca="1">_xlfn.XLOOKUP($D$5&amp;AvoidedCost[[#This Row],[INDEX]],INDIRECT($D$6&amp;"!E:E"),INDIRECT($D$6&amp;"!H:H"),0,0,1)</f>
        <v>676.57931447003784</v>
      </c>
    </row>
    <row r="66" spans="2:7" x14ac:dyDescent="0.35">
      <c r="B66" s="147" t="str">
        <f t="shared" si="0"/>
        <v>Industrial26</v>
      </c>
      <c r="C66" s="136" t="s">
        <v>2254</v>
      </c>
      <c r="D66" s="136">
        <v>26</v>
      </c>
      <c r="E66" s="137" cm="1">
        <f t="array" aca="1" ref="E66" ca="1">_xlfn.XLOOKUP($D$5&amp;AvoidedCost[[#This Row],[INDEX]],INDIRECT($D$6&amp;"!E:E"),INDIRECT($D$6&amp;"!F:F"),0,0,1)</f>
        <v>1.1794675283043594</v>
      </c>
      <c r="F66" s="137" cm="1">
        <f t="array" aca="1" ref="F66" ca="1">_xlfn.XLOOKUP($D$5&amp;AvoidedCost[[#This Row],[INDEX]],INDIRECT($D$6&amp;"!E:E"),INDIRECT($D$6&amp;"!G:G"),0,0,1)</f>
        <v>70.838826389356882</v>
      </c>
      <c r="G66" s="148" cm="1">
        <f t="array" aca="1" ref="G66" ca="1">_xlfn.XLOOKUP($D$5&amp;AvoidedCost[[#This Row],[INDEX]],INDIRECT($D$6&amp;"!E:E"),INDIRECT($D$6&amp;"!H:H"),0,0,1)</f>
        <v>690.64135121755032</v>
      </c>
    </row>
    <row r="67" spans="2:7" x14ac:dyDescent="0.35">
      <c r="B67" s="147" t="str">
        <f t="shared" si="0"/>
        <v>Industrial27</v>
      </c>
      <c r="C67" s="136" t="s">
        <v>2254</v>
      </c>
      <c r="D67" s="136">
        <v>27</v>
      </c>
      <c r="E67" s="137" cm="1">
        <f t="array" aca="1" ref="E67" ca="1">_xlfn.XLOOKUP($D$5&amp;AvoidedCost[[#This Row],[INDEX]],INDIRECT($D$6&amp;"!E:E"),INDIRECT($D$6&amp;"!F:F"),0,0,1)</f>
        <v>1.2092469549022806</v>
      </c>
      <c r="F67" s="137" cm="1">
        <f t="array" aca="1" ref="F67" ca="1">_xlfn.XLOOKUP($D$5&amp;AvoidedCost[[#This Row],[INDEX]],INDIRECT($D$6&amp;"!E:E"),INDIRECT($D$6&amp;"!G:G"),0,0,1)</f>
        <v>72.758711476090411</v>
      </c>
      <c r="G67" s="148" cm="1">
        <f t="array" aca="1" ref="G67" ca="1">_xlfn.XLOOKUP($D$5&amp;AvoidedCost[[#This Row],[INDEX]],INDIRECT($D$6&amp;"!E:E"),INDIRECT($D$6&amp;"!H:H"),0,0,1)</f>
        <v>704.03376716756213</v>
      </c>
    </row>
    <row r="68" spans="2:7" x14ac:dyDescent="0.35">
      <c r="B68" s="147" t="str">
        <f t="shared" si="0"/>
        <v>Industrial28</v>
      </c>
      <c r="C68" s="136" t="s">
        <v>2254</v>
      </c>
      <c r="D68" s="136">
        <v>28</v>
      </c>
      <c r="E68" s="137" cm="1">
        <f t="array" aca="1" ref="E68" ca="1">_xlfn.XLOOKUP($D$5&amp;AvoidedCost[[#This Row],[INDEX]],INDIRECT($D$6&amp;"!E:E"),INDIRECT($D$6&amp;"!F:F"),0,0,1)</f>
        <v>1.2381755407402615</v>
      </c>
      <c r="F68" s="137" cm="1">
        <f t="array" aca="1" ref="F68" ca="1">_xlfn.XLOOKUP($D$5&amp;AvoidedCost[[#This Row],[INDEX]],INDIRECT($D$6&amp;"!E:E"),INDIRECT($D$6&amp;"!G:G"),0,0,1)</f>
        <v>74.623742703202979</v>
      </c>
      <c r="G68" s="148" cm="1">
        <f t="array" aca="1" ref="G68" ca="1">_xlfn.XLOOKUP($D$5&amp;AvoidedCost[[#This Row],[INDEX]],INDIRECT($D$6&amp;"!E:E"),INDIRECT($D$6&amp;"!H:H"),0,0,1)</f>
        <v>716.78844902471644</v>
      </c>
    </row>
    <row r="69" spans="2:7" x14ac:dyDescent="0.35">
      <c r="B69" s="147" t="str">
        <f t="shared" si="0"/>
        <v>Industrial29</v>
      </c>
      <c r="C69" s="136" t="s">
        <v>2254</v>
      </c>
      <c r="D69" s="136">
        <v>29</v>
      </c>
      <c r="E69" s="137" cm="1">
        <f t="array" aca="1" ref="E69" ca="1">_xlfn.XLOOKUP($D$5&amp;AvoidedCost[[#This Row],[INDEX]],INDIRECT($D$6&amp;"!E:E"),INDIRECT($D$6&amp;"!F:F"),0,0,1)</f>
        <v>1.2662775955542998</v>
      </c>
      <c r="F69" s="137" cm="1">
        <f t="array" aca="1" ref="F69" ca="1">_xlfn.XLOOKUP($D$5&amp;AvoidedCost[[#This Row],[INDEX]],INDIRECT($D$6&amp;"!E:E"),INDIRECT($D$6&amp;"!G:G"),0,0,1)</f>
        <v>76.435487323826621</v>
      </c>
      <c r="G69" s="148" cm="1">
        <f t="array" aca="1" ref="G69" ca="1">_xlfn.XLOOKUP($D$5&amp;AvoidedCost[[#This Row],[INDEX]],INDIRECT($D$6&amp;"!E:E"),INDIRECT($D$6&amp;"!H:H"),0,0,1)</f>
        <v>728.93576507914895</v>
      </c>
    </row>
    <row r="70" spans="2:7" x14ac:dyDescent="0.35">
      <c r="B70" s="147" t="str">
        <f t="shared" si="0"/>
        <v>Industrial30</v>
      </c>
      <c r="C70" s="136" t="s">
        <v>2254</v>
      </c>
      <c r="D70" s="136">
        <v>30</v>
      </c>
      <c r="E70" s="137" cm="1">
        <f t="array" aca="1" ref="E70" ca="1">_xlfn.XLOOKUP($D$5&amp;AvoidedCost[[#This Row],[INDEX]],INDIRECT($D$6&amp;"!E:E"),INDIRECT($D$6&amp;"!F:F"),0,0,1)</f>
        <v>1.2935767345165086</v>
      </c>
      <c r="F70" s="137" cm="1">
        <f t="array" aca="1" ref="F70" ca="1">_xlfn.XLOOKUP($D$5&amp;AvoidedCost[[#This Row],[INDEX]],INDIRECT($D$6&amp;"!E:E"),INDIRECT($D$6&amp;"!G:G"),0,0,1)</f>
        <v>78.19546781243244</v>
      </c>
      <c r="G70" s="148" cm="1">
        <f t="array" aca="1" ref="G70" ca="1">_xlfn.XLOOKUP($D$5&amp;AvoidedCost[[#This Row],[INDEX]],INDIRECT($D$6&amp;"!E:E"),INDIRECT($D$6&amp;"!H:H"),0,0,1)</f>
        <v>740.50463751194184</v>
      </c>
    </row>
    <row r="71" spans="2:7" x14ac:dyDescent="0.35">
      <c r="B71" s="147" t="str">
        <f t="shared" si="0"/>
        <v>Commercial1</v>
      </c>
      <c r="C71" s="136" t="s">
        <v>12</v>
      </c>
      <c r="D71" s="136">
        <v>1</v>
      </c>
      <c r="E71" s="137" cm="1">
        <f t="array" aca="1" ref="E71" ca="1">_xlfn.XLOOKUP($D$5&amp;AvoidedCost[[#This Row],[INDEX]],INDIRECT($D$6&amp;"!E:E"),INDIRECT($D$6&amp;"!F:F"),0,0,1)</f>
        <v>7.511460803933924E-2</v>
      </c>
      <c r="F71" s="137" cm="1">
        <f t="array" aca="1" ref="F71" ca="1">_xlfn.XLOOKUP($D$5&amp;AvoidedCost[[#This Row],[INDEX]],INDIRECT($D$6&amp;"!E:E"),INDIRECT($D$6&amp;"!G:G"),0,0,1)</f>
        <v>3.8271107209640669</v>
      </c>
      <c r="G71" s="148" cm="1">
        <f t="array" aca="1" ref="G71" ca="1">_xlfn.XLOOKUP($D$5&amp;AvoidedCost[[#This Row],[INDEX]],INDIRECT($D$6&amp;"!E:E"),INDIRECT($D$6&amp;"!H:H"),0,0,1)</f>
        <v>30</v>
      </c>
    </row>
    <row r="72" spans="2:7" x14ac:dyDescent="0.35">
      <c r="B72" s="147" t="str">
        <f t="shared" si="0"/>
        <v>Commercial2</v>
      </c>
      <c r="C72" s="136" t="s">
        <v>12</v>
      </c>
      <c r="D72" s="136">
        <v>2</v>
      </c>
      <c r="E72" s="137" cm="1">
        <f t="array" aca="1" ref="E72" ca="1">_xlfn.XLOOKUP($D$5&amp;AvoidedCost[[#This Row],[INDEX]],INDIRECT($D$6&amp;"!E:E"),INDIRECT($D$6&amp;"!F:F"),0,0,1)</f>
        <v>0.15574914496598793</v>
      </c>
      <c r="F72" s="137" cm="1">
        <f t="array" aca="1" ref="F72" ca="1">_xlfn.XLOOKUP($D$5&amp;AvoidedCost[[#This Row],[INDEX]],INDIRECT($D$6&amp;"!E:E"),INDIRECT($D$6&amp;"!G:G"),0,0,1)</f>
        <v>7.6033246455532355</v>
      </c>
      <c r="G72" s="148" cm="1">
        <f t="array" aca="1" ref="G72" ca="1">_xlfn.XLOOKUP($D$5&amp;AvoidedCost[[#This Row],[INDEX]],INDIRECT($D$6&amp;"!E:E"),INDIRECT($D$6&amp;"!H:H"),0,0,1)</f>
        <v>64.852607709750572</v>
      </c>
    </row>
    <row r="73" spans="2:7" x14ac:dyDescent="0.35">
      <c r="B73" s="147" t="str">
        <f t="shared" si="0"/>
        <v>Commercial3</v>
      </c>
      <c r="C73" s="136" t="s">
        <v>12</v>
      </c>
      <c r="D73" s="136">
        <v>3</v>
      </c>
      <c r="E73" s="137" cm="1">
        <f t="array" aca="1" ref="E73" ca="1">_xlfn.XLOOKUP($D$5&amp;AvoidedCost[[#This Row],[INDEX]],INDIRECT($D$6&amp;"!E:E"),INDIRECT($D$6&amp;"!F:F"),0,0,1)</f>
        <v>0.23459301675054114</v>
      </c>
      <c r="F73" s="137" cm="1">
        <f t="array" aca="1" ref="F73" ca="1">_xlfn.XLOOKUP($D$5&amp;AvoidedCost[[#This Row],[INDEX]],INDIRECT($D$6&amp;"!E:E"),INDIRECT($D$6&amp;"!G:G"),0,0,1)</f>
        <v>11.376932487378715</v>
      </c>
      <c r="G73" s="148" cm="1">
        <f t="array" aca="1" ref="G73" ca="1">_xlfn.XLOOKUP($D$5&amp;AvoidedCost[[#This Row],[INDEX]],INDIRECT($D$6&amp;"!E:E"),INDIRECT($D$6&amp;"!H:H"),0,0,1)</f>
        <v>108.04448763632438</v>
      </c>
    </row>
    <row r="74" spans="2:7" x14ac:dyDescent="0.35">
      <c r="B74" s="147" t="str">
        <f t="shared" si="0"/>
        <v>Commercial4</v>
      </c>
      <c r="C74" s="136" t="s">
        <v>12</v>
      </c>
      <c r="D74" s="136">
        <v>4</v>
      </c>
      <c r="E74" s="137" cm="1">
        <f t="array" aca="1" ref="E74" ca="1">_xlfn.XLOOKUP($D$5&amp;AvoidedCost[[#This Row],[INDEX]],INDIRECT($D$6&amp;"!E:E"),INDIRECT($D$6&amp;"!F:F"),0,0,1)</f>
        <v>0.31080679905580355</v>
      </c>
      <c r="F74" s="137" cm="1">
        <f t="array" aca="1" ref="F74" ca="1">_xlfn.XLOOKUP($D$5&amp;AvoidedCost[[#This Row],[INDEX]],INDIRECT($D$6&amp;"!E:E"),INDIRECT($D$6&amp;"!G:G"),0,0,1)</f>
        <v>15.149547535770409</v>
      </c>
      <c r="G74" s="148" cm="1">
        <f t="array" aca="1" ref="G74" ca="1">_xlfn.XLOOKUP($D$5&amp;AvoidedCost[[#This Row],[INDEX]],INDIRECT($D$6&amp;"!E:E"),INDIRECT($D$6&amp;"!H:H"),0,0,1)</f>
        <v>149.17961137591845</v>
      </c>
    </row>
    <row r="75" spans="2:7" x14ac:dyDescent="0.35">
      <c r="B75" s="147" t="str">
        <f t="shared" si="0"/>
        <v>Commercial5</v>
      </c>
      <c r="C75" s="136" t="s">
        <v>12</v>
      </c>
      <c r="D75" s="136">
        <v>5</v>
      </c>
      <c r="E75" s="137" cm="1">
        <f t="array" aca="1" ref="E75" ca="1">_xlfn.XLOOKUP($D$5&amp;AvoidedCost[[#This Row],[INDEX]],INDIRECT($D$6&amp;"!E:E"),INDIRECT($D$6&amp;"!F:F"),0,0,1)</f>
        <v>0.37836370251570439</v>
      </c>
      <c r="F75" s="137" cm="1">
        <f t="array" aca="1" ref="F75" ca="1">_xlfn.XLOOKUP($D$5&amp;AvoidedCost[[#This Row],[INDEX]],INDIRECT($D$6&amp;"!E:E"),INDIRECT($D$6&amp;"!G:G"),0,0,1)</f>
        <v>18.922162584162098</v>
      </c>
      <c r="G75" s="148" cm="1">
        <f t="array" aca="1" ref="G75" ca="1">_xlfn.XLOOKUP($D$5&amp;AvoidedCost[[#This Row],[INDEX]],INDIRECT($D$6&amp;"!E:E"),INDIRECT($D$6&amp;"!H:H"),0,0,1)</f>
        <v>188.3559196993414</v>
      </c>
    </row>
    <row r="76" spans="2:7" x14ac:dyDescent="0.35">
      <c r="B76" s="147" t="str">
        <f t="shared" ref="B76:B100" si="1">C76&amp;D76</f>
        <v>Commercial6</v>
      </c>
      <c r="C76" s="136" t="s">
        <v>12</v>
      </c>
      <c r="D76" s="136">
        <v>6</v>
      </c>
      <c r="E76" s="137" cm="1">
        <f t="array" aca="1" ref="E76" ca="1">_xlfn.XLOOKUP($D$5&amp;AvoidedCost[[#This Row],[INDEX]],INDIRECT($D$6&amp;"!E:E"),INDIRECT($D$6&amp;"!F:F"),0,0,1)</f>
        <v>0.44318779093625066</v>
      </c>
      <c r="F76" s="137" cm="1">
        <f t="array" aca="1" ref="F76" ca="1">_xlfn.XLOOKUP($D$5&amp;AvoidedCost[[#This Row],[INDEX]],INDIRECT($D$6&amp;"!E:E"),INDIRECT($D$6&amp;"!G:G"),0,0,1)</f>
        <v>22.686222949904376</v>
      </c>
      <c r="G76" s="148" cm="1">
        <f t="array" aca="1" ref="G76" ca="1">_xlfn.XLOOKUP($D$5&amp;AvoidedCost[[#This Row],[INDEX]],INDIRECT($D$6&amp;"!E:E"),INDIRECT($D$6&amp;"!H:H"),0,0,1)</f>
        <v>225.66668953117278</v>
      </c>
    </row>
    <row r="77" spans="2:7" x14ac:dyDescent="0.35">
      <c r="B77" s="147" t="str">
        <f t="shared" si="1"/>
        <v>Commercial7</v>
      </c>
      <c r="C77" s="136" t="s">
        <v>12</v>
      </c>
      <c r="D77" s="136">
        <v>7</v>
      </c>
      <c r="E77" s="137" cm="1">
        <f t="array" aca="1" ref="E77" ca="1">_xlfn.XLOOKUP($D$5&amp;AvoidedCost[[#This Row],[INDEX]],INDIRECT($D$6&amp;"!E:E"),INDIRECT($D$6&amp;"!F:F"),0,0,1)</f>
        <v>0.51226046448765306</v>
      </c>
      <c r="F77" s="137" cm="1">
        <f t="array" aca="1" ref="F77" ca="1">_xlfn.XLOOKUP($D$5&amp;AvoidedCost[[#This Row],[INDEX]],INDIRECT($D$6&amp;"!E:E"),INDIRECT($D$6&amp;"!G:G"),0,0,1)</f>
        <v>26.442564804985523</v>
      </c>
      <c r="G77" s="148" cm="1">
        <f t="array" aca="1" ref="G77" ca="1">_xlfn.XLOOKUP($D$5&amp;AvoidedCost[[#This Row],[INDEX]],INDIRECT($D$6&amp;"!E:E"),INDIRECT($D$6&amp;"!H:H"),0,0,1)</f>
        <v>261.20075603767884</v>
      </c>
    </row>
    <row r="78" spans="2:7" x14ac:dyDescent="0.35">
      <c r="B78" s="147" t="str">
        <f t="shared" si="1"/>
        <v>Commercial8</v>
      </c>
      <c r="C78" s="136" t="s">
        <v>12</v>
      </c>
      <c r="D78" s="136">
        <v>8</v>
      </c>
      <c r="E78" s="137" cm="1">
        <f t="array" aca="1" ref="E78" ca="1">_xlfn.XLOOKUP($D$5&amp;AvoidedCost[[#This Row],[INDEX]],INDIRECT($D$6&amp;"!E:E"),INDIRECT($D$6&amp;"!F:F"),0,0,1)</f>
        <v>0.57944510681521844</v>
      </c>
      <c r="F78" s="137" cm="1">
        <f t="array" aca="1" ref="F78" ca="1">_xlfn.XLOOKUP($D$5&amp;AvoidedCost[[#This Row],[INDEX]],INDIRECT($D$6&amp;"!E:E"),INDIRECT($D$6&amp;"!G:G"),0,0,1)</f>
        <v>30.188311370281312</v>
      </c>
      <c r="G78" s="148" cm="1">
        <f t="array" aca="1" ref="G78" ca="1">_xlfn.XLOOKUP($D$5&amp;AvoidedCost[[#This Row],[INDEX]],INDIRECT($D$6&amp;"!E:E"),INDIRECT($D$6&amp;"!H:H"),0,0,1)</f>
        <v>295.04272413911315</v>
      </c>
    </row>
    <row r="79" spans="2:7" x14ac:dyDescent="0.35">
      <c r="B79" s="147" t="str">
        <f t="shared" si="1"/>
        <v>Commercial9</v>
      </c>
      <c r="C79" s="136" t="s">
        <v>12</v>
      </c>
      <c r="D79" s="136">
        <v>9</v>
      </c>
      <c r="E79" s="137" cm="1">
        <f t="array" aca="1" ref="E79" ca="1">_xlfn.XLOOKUP($D$5&amp;AvoidedCost[[#This Row],[INDEX]],INDIRECT($D$6&amp;"!E:E"),INDIRECT($D$6&amp;"!F:F"),0,0,1)</f>
        <v>0.64490118986825584</v>
      </c>
      <c r="F79" s="137" cm="1">
        <f t="array" aca="1" ref="F79" ca="1">_xlfn.XLOOKUP($D$5&amp;AvoidedCost[[#This Row],[INDEX]],INDIRECT($D$6&amp;"!E:E"),INDIRECT($D$6&amp;"!G:G"),0,0,1)</f>
        <v>33.921889675599516</v>
      </c>
      <c r="G79" s="148" cm="1">
        <f t="array" aca="1" ref="G79" ca="1">_xlfn.XLOOKUP($D$5&amp;AvoidedCost[[#This Row],[INDEX]],INDIRECT($D$6&amp;"!E:E"),INDIRECT($D$6&amp;"!H:H"),0,0,1)</f>
        <v>327.27316995000302</v>
      </c>
    </row>
    <row r="80" spans="2:7" x14ac:dyDescent="0.35">
      <c r="B80" s="147" t="str">
        <f t="shared" si="1"/>
        <v>Commercial10</v>
      </c>
      <c r="C80" s="136" t="s">
        <v>12</v>
      </c>
      <c r="D80" s="136">
        <v>10</v>
      </c>
      <c r="E80" s="137" cm="1">
        <f t="array" aca="1" ref="E80" ca="1">_xlfn.XLOOKUP($D$5&amp;AvoidedCost[[#This Row],[INDEX]],INDIRECT($D$6&amp;"!E:E"),INDIRECT($D$6&amp;"!F:F"),0,0,1)</f>
        <v>0.70787397096943572</v>
      </c>
      <c r="F80" s="137" cm="1">
        <f t="array" aca="1" ref="F80" ca="1">_xlfn.XLOOKUP($D$5&amp;AvoidedCost[[#This Row],[INDEX]],INDIRECT($D$6&amp;"!E:E"),INDIRECT($D$6&amp;"!G:G"),0,0,1)</f>
        <v>37.630311764007033</v>
      </c>
      <c r="G80" s="148" cm="1">
        <f t="array" aca="1" ref="G80" ca="1">_xlfn.XLOOKUP($D$5&amp;AvoidedCost[[#This Row],[INDEX]],INDIRECT($D$6&amp;"!E:E"),INDIRECT($D$6&amp;"!H:H"),0,0,1)</f>
        <v>357.96883262704102</v>
      </c>
    </row>
    <row r="81" spans="2:7" x14ac:dyDescent="0.35">
      <c r="B81" s="147" t="str">
        <f t="shared" si="1"/>
        <v>Commercial11</v>
      </c>
      <c r="C81" s="136" t="s">
        <v>12</v>
      </c>
      <c r="D81" s="136">
        <v>11</v>
      </c>
      <c r="E81" s="137" cm="1">
        <f t="array" aca="1" ref="E81" ca="1">_xlfn.XLOOKUP($D$5&amp;AvoidedCost[[#This Row],[INDEX]],INDIRECT($D$6&amp;"!E:E"),INDIRECT($D$6&amp;"!F:F"),0,0,1)</f>
        <v>0.76870475344323563</v>
      </c>
      <c r="F81" s="137" cm="1">
        <f t="array" aca="1" ref="F81" ca="1">_xlfn.XLOOKUP($D$5&amp;AvoidedCost[[#This Row],[INDEX]],INDIRECT($D$6&amp;"!E:E"),INDIRECT($D$6&amp;"!G:G"),0,0,1)</f>
        <v>41.269820085382577</v>
      </c>
      <c r="G81" s="148" cm="1">
        <f t="array" aca="1" ref="G81" ca="1">_xlfn.XLOOKUP($D$5&amp;AvoidedCost[[#This Row],[INDEX]],INDIRECT($D$6&amp;"!E:E"),INDIRECT($D$6&amp;"!H:H"),0,0,1)</f>
        <v>387.20279708136286</v>
      </c>
    </row>
    <row r="82" spans="2:7" x14ac:dyDescent="0.35">
      <c r="B82" s="147" t="str">
        <f t="shared" si="1"/>
        <v>Commercial12</v>
      </c>
      <c r="C82" s="136" t="s">
        <v>12</v>
      </c>
      <c r="D82" s="136">
        <v>12</v>
      </c>
      <c r="E82" s="137" cm="1">
        <f t="array" aca="1" ref="E82" ca="1">_xlfn.XLOOKUP($D$5&amp;AvoidedCost[[#This Row],[INDEX]],INDIRECT($D$6&amp;"!E:E"),INDIRECT($D$6&amp;"!F:F"),0,0,1)</f>
        <v>0.82816356697640259</v>
      </c>
      <c r="F82" s="137" cm="1">
        <f t="array" aca="1" ref="F82" ca="1">_xlfn.XLOOKUP($D$5&amp;AvoidedCost[[#This Row],[INDEX]],INDIRECT($D$6&amp;"!E:E"),INDIRECT($D$6&amp;"!G:G"),0,0,1)</f>
        <v>44.884716347103847</v>
      </c>
      <c r="G82" s="148" cm="1">
        <f t="array" aca="1" ref="G82" ca="1">_xlfn.XLOOKUP($D$5&amp;AvoidedCost[[#This Row],[INDEX]],INDIRECT($D$6&amp;"!E:E"),INDIRECT($D$6&amp;"!H:H"),0,0,1)</f>
        <v>415.04466799024078</v>
      </c>
    </row>
    <row r="83" spans="2:7" x14ac:dyDescent="0.35">
      <c r="B83" s="147" t="str">
        <f t="shared" si="1"/>
        <v>Commercial13</v>
      </c>
      <c r="C83" s="136" t="s">
        <v>12</v>
      </c>
      <c r="D83" s="136">
        <v>13</v>
      </c>
      <c r="E83" s="137" cm="1">
        <f t="array" aca="1" ref="E83" ca="1">_xlfn.XLOOKUP($D$5&amp;AvoidedCost[[#This Row],[INDEX]],INDIRECT($D$6&amp;"!E:E"),INDIRECT($D$6&amp;"!F:F"),0,0,1)</f>
        <v>0.88530778160058465</v>
      </c>
      <c r="F83" s="137" cm="1">
        <f t="array" aca="1" ref="F83" ca="1">_xlfn.XLOOKUP($D$5&amp;AvoidedCost[[#This Row],[INDEX]],INDIRECT($D$6&amp;"!E:E"),INDIRECT($D$6&amp;"!G:G"),0,0,1)</f>
        <v>48.400724869142785</v>
      </c>
      <c r="G83" s="148" cm="1">
        <f t="array" aca="1" ref="G83" ca="1">_xlfn.XLOOKUP($D$5&amp;AvoidedCost[[#This Row],[INDEX]],INDIRECT($D$6&amp;"!E:E"),INDIRECT($D$6&amp;"!H:H"),0,0,1)</f>
        <v>441.56073552250552</v>
      </c>
    </row>
    <row r="84" spans="2:7" x14ac:dyDescent="0.35">
      <c r="B84" s="147" t="str">
        <f t="shared" si="1"/>
        <v>Commercial14</v>
      </c>
      <c r="C84" s="136" t="s">
        <v>12</v>
      </c>
      <c r="D84" s="136">
        <v>14</v>
      </c>
      <c r="E84" s="137" cm="1">
        <f t="array" aca="1" ref="E84" ca="1">_xlfn.XLOOKUP($D$5&amp;AvoidedCost[[#This Row],[INDEX]],INDIRECT($D$6&amp;"!E:E"),INDIRECT($D$6&amp;"!F:F"),0,0,1)</f>
        <v>0.94071034221291483</v>
      </c>
      <c r="F84" s="137" cm="1">
        <f t="array" aca="1" ref="F84" ca="1">_xlfn.XLOOKUP($D$5&amp;AvoidedCost[[#This Row],[INDEX]],INDIRECT($D$6&amp;"!E:E"),INDIRECT($D$6&amp;"!G:G"),0,0,1)</f>
        <v>51.763256828711761</v>
      </c>
      <c r="G84" s="148" cm="1">
        <f t="array" aca="1" ref="G84" ca="1">_xlfn.XLOOKUP($D$5&amp;AvoidedCost[[#This Row],[INDEX]],INDIRECT($D$6&amp;"!E:E"),INDIRECT($D$6&amp;"!H:H"),0,0,1)</f>
        <v>466.81413317228152</v>
      </c>
    </row>
    <row r="85" spans="2:7" x14ac:dyDescent="0.35">
      <c r="B85" s="147" t="str">
        <f t="shared" si="1"/>
        <v>Commercial15</v>
      </c>
      <c r="C85" s="136" t="s">
        <v>12</v>
      </c>
      <c r="D85" s="136">
        <v>15</v>
      </c>
      <c r="E85" s="137" cm="1">
        <f t="array" aca="1" ref="E85" ca="1">_xlfn.XLOOKUP($D$5&amp;AvoidedCost[[#This Row],[INDEX]],INDIRECT($D$6&amp;"!E:E"),INDIRECT($D$6&amp;"!F:F"),0,0,1)</f>
        <v>0.99440754190607739</v>
      </c>
      <c r="F85" s="137" cm="1">
        <f t="array" aca="1" ref="F85" ca="1">_xlfn.XLOOKUP($D$5&amp;AvoidedCost[[#This Row],[INDEX]],INDIRECT($D$6&amp;"!E:E"),INDIRECT($D$6&amp;"!G:G"),0,0,1)</f>
        <v>55.009961598999666</v>
      </c>
      <c r="G85" s="148" cm="1">
        <f t="array" aca="1" ref="G85" ca="1">_xlfn.XLOOKUP($D$5&amp;AvoidedCost[[#This Row],[INDEX]],INDIRECT($D$6&amp;"!E:E"),INDIRECT($D$6&amp;"!H:H"),0,0,1)</f>
        <v>490.86498807682995</v>
      </c>
    </row>
    <row r="86" spans="2:7" x14ac:dyDescent="0.35">
      <c r="B86" s="147" t="str">
        <f t="shared" si="1"/>
        <v>Commercial16</v>
      </c>
      <c r="C86" s="136" t="s">
        <v>12</v>
      </c>
      <c r="D86" s="136">
        <v>16</v>
      </c>
      <c r="E86" s="137" cm="1">
        <f t="array" aca="1" ref="E86" ca="1">_xlfn.XLOOKUP($D$5&amp;AvoidedCost[[#This Row],[INDEX]],INDIRECT($D$6&amp;"!E:E"),INDIRECT($D$6&amp;"!F:F"),0,0,1)</f>
        <v>1.0464361666165631</v>
      </c>
      <c r="F86" s="137" cm="1">
        <f t="array" aca="1" ref="F86" ca="1">_xlfn.XLOOKUP($D$5&amp;AvoidedCost[[#This Row],[INDEX]],INDIRECT($D$6&amp;"!E:E"),INDIRECT($D$6&amp;"!G:G"),0,0,1)</f>
        <v>58.21595864365478</v>
      </c>
      <c r="G86" s="148" cm="1">
        <f t="array" aca="1" ref="G86" ca="1">_xlfn.XLOOKUP($D$5&amp;AvoidedCost[[#This Row],[INDEX]],INDIRECT($D$6&amp;"!E:E"),INDIRECT($D$6&amp;"!H:H"),0,0,1)</f>
        <v>513.77056417639994</v>
      </c>
    </row>
    <row r="87" spans="2:7" x14ac:dyDescent="0.35">
      <c r="B87" s="147" t="str">
        <f t="shared" si="1"/>
        <v>Commercial17</v>
      </c>
      <c r="C87" s="136" t="s">
        <v>12</v>
      </c>
      <c r="D87" s="136">
        <v>17</v>
      </c>
      <c r="E87" s="137" cm="1">
        <f t="array" aca="1" ref="E87" ca="1">_xlfn.XLOOKUP($D$5&amp;AvoidedCost[[#This Row],[INDEX]],INDIRECT($D$6&amp;"!E:E"),INDIRECT($D$6&amp;"!F:F"),0,0,1)</f>
        <v>1.0968333658899039</v>
      </c>
      <c r="F87" s="137" cm="1">
        <f t="array" aca="1" ref="F87" ca="1">_xlfn.XLOOKUP($D$5&amp;AvoidedCost[[#This Row],[INDEX]],INDIRECT($D$6&amp;"!E:E"),INDIRECT($D$6&amp;"!G:G"),0,0,1)</f>
        <v>61.313482104092223</v>
      </c>
      <c r="G87" s="148" cm="1">
        <f t="array" aca="1" ref="G87" ca="1">_xlfn.XLOOKUP($D$5&amp;AvoidedCost[[#This Row],[INDEX]],INDIRECT($D$6&amp;"!E:E"),INDIRECT($D$6&amp;"!H:H"),0,0,1)</f>
        <v>535.58539855694278</v>
      </c>
    </row>
    <row r="88" spans="2:7" x14ac:dyDescent="0.35">
      <c r="B88" s="147" t="str">
        <f t="shared" si="1"/>
        <v>Commercial18</v>
      </c>
      <c r="C88" s="136" t="s">
        <v>12</v>
      </c>
      <c r="D88" s="136">
        <v>18</v>
      </c>
      <c r="E88" s="137" cm="1">
        <f t="array" aca="1" ref="E88" ca="1">_xlfn.XLOOKUP($D$5&amp;AvoidedCost[[#This Row],[INDEX]],INDIRECT($D$6&amp;"!E:E"),INDIRECT($D$6&amp;"!F:F"),0,0,1)</f>
        <v>1.1456365348364161</v>
      </c>
      <c r="F88" s="137" cm="1">
        <f t="array" aca="1" ref="F88" ca="1">_xlfn.XLOOKUP($D$5&amp;AvoidedCost[[#This Row],[INDEX]],INDIRECT($D$6&amp;"!E:E"),INDIRECT($D$6&amp;"!G:G"),0,0,1)</f>
        <v>64.320897878168992</v>
      </c>
      <c r="G88" s="148" cm="1">
        <f t="array" aca="1" ref="G88" ca="1">_xlfn.XLOOKUP($D$5&amp;AvoidedCost[[#This Row],[INDEX]],INDIRECT($D$6&amp;"!E:E"),INDIRECT($D$6&amp;"!H:H"),0,0,1)</f>
        <v>556.36143130031689</v>
      </c>
    </row>
    <row r="89" spans="2:7" x14ac:dyDescent="0.35">
      <c r="B89" s="147" t="str">
        <f t="shared" si="1"/>
        <v>Commercial19</v>
      </c>
      <c r="C89" s="136" t="s">
        <v>12</v>
      </c>
      <c r="D89" s="136">
        <v>19</v>
      </c>
      <c r="E89" s="137" cm="1">
        <f t="array" aca="1" ref="E89" ca="1">_xlfn.XLOOKUP($D$5&amp;AvoidedCost[[#This Row],[INDEX]],INDIRECT($D$6&amp;"!E:E"),INDIRECT($D$6&amp;"!F:F"),0,0,1)</f>
        <v>1.1930453275273138</v>
      </c>
      <c r="F89" s="137" cm="1">
        <f t="array" aca="1" ref="F89" ca="1">_xlfn.XLOOKUP($D$5&amp;AvoidedCost[[#This Row],[INDEX]],INDIRECT($D$6&amp;"!E:E"),INDIRECT($D$6&amp;"!G:G"),0,0,1)</f>
        <v>67.242387487272126</v>
      </c>
      <c r="G89" s="148" cm="1">
        <f t="array" aca="1" ref="G89" ca="1">_xlfn.XLOOKUP($D$5&amp;AvoidedCost[[#This Row],[INDEX]],INDIRECT($D$6&amp;"!E:E"),INDIRECT($D$6&amp;"!H:H"),0,0,1)</f>
        <v>576.14812915114942</v>
      </c>
    </row>
    <row r="90" spans="2:7" x14ac:dyDescent="0.35">
      <c r="B90" s="147" t="str">
        <f t="shared" si="1"/>
        <v>Commercial20</v>
      </c>
      <c r="C90" s="136" t="s">
        <v>12</v>
      </c>
      <c r="D90" s="136">
        <v>20</v>
      </c>
      <c r="E90" s="137" cm="1">
        <f t="array" aca="1" ref="E90" ca="1">_xlfn.XLOOKUP($D$5&amp;AvoidedCost[[#This Row],[INDEX]],INDIRECT($D$6&amp;"!E:E"),INDIRECT($D$6&amp;"!F:F"),0,0,1)</f>
        <v>1.2390995832841858</v>
      </c>
      <c r="F90" s="137" cm="1">
        <f t="array" aca="1" ref="F90" ca="1">_xlfn.XLOOKUP($D$5&amp;AvoidedCost[[#This Row],[INDEX]],INDIRECT($D$6&amp;"!E:E"),INDIRECT($D$6&amp;"!G:G"),0,0,1)</f>
        <v>70.080405964686605</v>
      </c>
      <c r="G90" s="148" cm="1">
        <f t="array" aca="1" ref="G90" ca="1">_xlfn.XLOOKUP($D$5&amp;AvoidedCost[[#This Row],[INDEX]],INDIRECT($D$6&amp;"!E:E"),INDIRECT($D$6&amp;"!H:H"),0,0,1)</f>
        <v>594.99260329479944</v>
      </c>
    </row>
    <row r="91" spans="2:7" x14ac:dyDescent="0.35">
      <c r="B91" s="147" t="str">
        <f t="shared" si="1"/>
        <v>Commercial21</v>
      </c>
      <c r="C91" s="136" t="s">
        <v>12</v>
      </c>
      <c r="D91" s="136">
        <v>21</v>
      </c>
      <c r="E91" s="137" cm="1">
        <f t="array" aca="1" ref="E91" ca="1">_xlfn.XLOOKUP($D$5&amp;AvoidedCost[[#This Row],[INDEX]],INDIRECT($D$6&amp;"!E:E"),INDIRECT($D$6&amp;"!F:F"),0,0,1)</f>
        <v>1.2838380031622898</v>
      </c>
      <c r="F91" s="137" cm="1">
        <f t="array" aca="1" ref="F91" ca="1">_xlfn.XLOOKUP($D$5&amp;AvoidedCost[[#This Row],[INDEX]],INDIRECT($D$6&amp;"!E:E"),INDIRECT($D$6&amp;"!G:G"),0,0,1)</f>
        <v>72.837338199889246</v>
      </c>
      <c r="G91" s="148" cm="1">
        <f t="array" aca="1" ref="G91" ca="1">_xlfn.XLOOKUP($D$5&amp;AvoidedCost[[#This Row],[INDEX]],INDIRECT($D$6&amp;"!E:E"),INDIRECT($D$6&amp;"!H:H"),0,0,1)</f>
        <v>612.93972152684705</v>
      </c>
    </row>
    <row r="92" spans="2:7" x14ac:dyDescent="0.35">
      <c r="B92" s="147" t="str">
        <f t="shared" si="1"/>
        <v>Commercial22</v>
      </c>
      <c r="C92" s="136" t="s">
        <v>12</v>
      </c>
      <c r="D92" s="136">
        <v>22</v>
      </c>
      <c r="E92" s="137" cm="1">
        <f t="array" aca="1" ref="E92" ca="1">_xlfn.XLOOKUP($D$5&amp;AvoidedCost[[#This Row],[INDEX]],INDIRECT($D$6&amp;"!E:E"),INDIRECT($D$6&amp;"!F:F"),0,0,1)</f>
        <v>1.3272981824724481</v>
      </c>
      <c r="F92" s="137" cm="1">
        <f t="array" aca="1" ref="F92" ca="1">_xlfn.XLOOKUP($D$5&amp;AvoidedCost[[#This Row],[INDEX]],INDIRECT($D$6&amp;"!E:E"),INDIRECT($D$6&amp;"!G:G"),0,0,1)</f>
        <v>75.515500942657511</v>
      </c>
      <c r="G92" s="148" cm="1">
        <f t="array" aca="1" ref="G92" ca="1">_xlfn.XLOOKUP($D$5&amp;AvoidedCost[[#This Row],[INDEX]],INDIRECT($D$6&amp;"!E:E"),INDIRECT($D$6&amp;"!H:H"),0,0,1)</f>
        <v>630.03221508117815</v>
      </c>
    </row>
    <row r="93" spans="2:7" x14ac:dyDescent="0.35">
      <c r="B93" s="147" t="str">
        <f t="shared" si="1"/>
        <v>Commercial23</v>
      </c>
      <c r="C93" s="136" t="s">
        <v>12</v>
      </c>
      <c r="D93" s="136">
        <v>23</v>
      </c>
      <c r="E93" s="137" cm="1">
        <f t="array" aca="1" ref="E93" ca="1">_xlfn.XLOOKUP($D$5&amp;AvoidedCost[[#This Row],[INDEX]],INDIRECT($D$6&amp;"!E:E"),INDIRECT($D$6&amp;"!F:F"),0,0,1)</f>
        <v>1.3695166423737446</v>
      </c>
      <c r="F93" s="137" cm="1">
        <f t="array" aca="1" ref="F93" ca="1">_xlfn.XLOOKUP($D$5&amp;AvoidedCost[[#This Row],[INDEX]],INDIRECT($D$6&amp;"!E:E"),INDIRECT($D$6&amp;"!G:G"),0,0,1)</f>
        <v>78.117144749918126</v>
      </c>
      <c r="G93" s="148" cm="1">
        <f t="array" aca="1" ref="G93" ca="1">_xlfn.XLOOKUP($D$5&amp;AvoidedCost[[#This Row],[INDEX]],INDIRECT($D$6&amp;"!E:E"),INDIRECT($D$6&amp;"!H:H"),0,0,1)</f>
        <v>646.31078037101724</v>
      </c>
    </row>
    <row r="94" spans="2:7" x14ac:dyDescent="0.35">
      <c r="B94" s="147" t="str">
        <f t="shared" si="1"/>
        <v>Commercial24</v>
      </c>
      <c r="C94" s="136" t="s">
        <v>12</v>
      </c>
      <c r="D94" s="136">
        <v>24</v>
      </c>
      <c r="E94" s="137" cm="1">
        <f t="array" aca="1" ref="E94" ca="1">_xlfn.XLOOKUP($D$5&amp;AvoidedCost[[#This Row],[INDEX]],INDIRECT($D$6&amp;"!E:E"),INDIRECT($D$6&amp;"!F:F"),0,0,1)</f>
        <v>1.4105288605635755</v>
      </c>
      <c r="F94" s="137" cm="1">
        <f t="array" aca="1" ref="F94" ca="1">_xlfn.XLOOKUP($D$5&amp;AvoidedCost[[#This Row],[INDEX]],INDIRECT($D$6&amp;"!E:E"),INDIRECT($D$6&amp;"!G:G"),0,0,1)</f>
        <v>80.644455876971293</v>
      </c>
      <c r="G94" s="148" cm="1">
        <f t="array" aca="1" ref="G94" ca="1">_xlfn.XLOOKUP($D$5&amp;AvoidedCost[[#This Row],[INDEX]],INDIRECT($D$6&amp;"!E:E"),INDIRECT($D$6&amp;"!H:H"),0,0,1)</f>
        <v>661.81417588514978</v>
      </c>
    </row>
    <row r="95" spans="2:7" x14ac:dyDescent="0.35">
      <c r="B95" s="147" t="str">
        <f t="shared" si="1"/>
        <v>Commercial25</v>
      </c>
      <c r="C95" s="136" t="s">
        <v>12</v>
      </c>
      <c r="D95" s="136">
        <v>25</v>
      </c>
      <c r="E95" s="137" cm="1">
        <f t="array" aca="1" ref="E95" ca="1">_xlfn.XLOOKUP($D$5&amp;AvoidedCost[[#This Row],[INDEX]],INDIRECT($D$6&amp;"!E:E"),INDIRECT($D$6&amp;"!F:F"),0,0,1)</f>
        <v>1.4503693010908401</v>
      </c>
      <c r="F95" s="137" cm="1">
        <f t="array" aca="1" ref="F95" ca="1">_xlfn.XLOOKUP($D$5&amp;AvoidedCost[[#This Row],[INDEX]],INDIRECT($D$6&amp;"!E:E"),INDIRECT($D$6&amp;"!G:G"),0,0,1)</f>
        <v>83.099558114680079</v>
      </c>
      <c r="G95" s="148" cm="1">
        <f t="array" aca="1" ref="G95" ca="1">_xlfn.XLOOKUP($D$5&amp;AvoidedCost[[#This Row],[INDEX]],INDIRECT($D$6&amp;"!E:E"),INDIRECT($D$6&amp;"!H:H"),0,0,1)</f>
        <v>676.57931447003784</v>
      </c>
    </row>
    <row r="96" spans="2:7" x14ac:dyDescent="0.35">
      <c r="B96" s="147" t="str">
        <f t="shared" si="1"/>
        <v>Commercial26</v>
      </c>
      <c r="C96" s="136" t="s">
        <v>12</v>
      </c>
      <c r="D96" s="136">
        <v>26</v>
      </c>
      <c r="E96" s="137" cm="1">
        <f t="array" aca="1" ref="E96" ca="1">_xlfn.XLOOKUP($D$5&amp;AvoidedCost[[#This Row],[INDEX]],INDIRECT($D$6&amp;"!E:E"),INDIRECT($D$6&amp;"!F:F"),0,0,1)</f>
        <v>1.4890714433173253</v>
      </c>
      <c r="F96" s="137" cm="1">
        <f t="array" aca="1" ref="F96" ca="1">_xlfn.XLOOKUP($D$5&amp;AvoidedCost[[#This Row],[INDEX]],INDIRECT($D$6&amp;"!E:E"),INDIRECT($D$6&amp;"!G:G"),0,0,1)</f>
        <v>85.484514574168614</v>
      </c>
      <c r="G96" s="148" cm="1">
        <f t="array" aca="1" ref="G96" ca="1">_xlfn.XLOOKUP($D$5&amp;AvoidedCost[[#This Row],[INDEX]],INDIRECT($D$6&amp;"!E:E"),INDIRECT($D$6&amp;"!H:H"),0,0,1)</f>
        <v>690.64135121755032</v>
      </c>
    </row>
    <row r="97" spans="2:7" x14ac:dyDescent="0.35">
      <c r="B97" s="147" t="str">
        <f t="shared" si="1"/>
        <v>Commercial27</v>
      </c>
      <c r="C97" s="136" t="s">
        <v>12</v>
      </c>
      <c r="D97" s="136">
        <v>27</v>
      </c>
      <c r="E97" s="137" cm="1">
        <f t="array" aca="1" ref="E97" ca="1">_xlfn.XLOOKUP($D$5&amp;AvoidedCost[[#This Row],[INDEX]],INDIRECT($D$6&amp;"!E:E"),INDIRECT($D$6&amp;"!F:F"),0,0,1)</f>
        <v>1.5266678100516253</v>
      </c>
      <c r="F97" s="137" cm="1">
        <f t="array" aca="1" ref="F97" ca="1">_xlfn.XLOOKUP($D$5&amp;AvoidedCost[[#This Row],[INDEX]],INDIRECT($D$6&amp;"!E:E"),INDIRECT($D$6&amp;"!G:G"),0,0,1)</f>
        <v>87.801329420528901</v>
      </c>
      <c r="G97" s="148" cm="1">
        <f t="array" aca="1" ref="G97" ca="1">_xlfn.XLOOKUP($D$5&amp;AvoidedCost[[#This Row],[INDEX]],INDIRECT($D$6&amp;"!E:E"),INDIRECT($D$6&amp;"!H:H"),0,0,1)</f>
        <v>704.03376716756213</v>
      </c>
    </row>
    <row r="98" spans="2:7" x14ac:dyDescent="0.35">
      <c r="B98" s="147" t="str">
        <f t="shared" si="1"/>
        <v>Commercial28</v>
      </c>
      <c r="C98" s="136" t="s">
        <v>12</v>
      </c>
      <c r="D98" s="136">
        <v>28</v>
      </c>
      <c r="E98" s="137" cm="1">
        <f t="array" aca="1" ref="E98" ca="1">_xlfn.XLOOKUP($D$5&amp;AvoidedCost[[#This Row],[INDEX]],INDIRECT($D$6&amp;"!E:E"),INDIRECT($D$6&amp;"!F:F"),0,0,1)</f>
        <v>1.5631899948792312</v>
      </c>
      <c r="F98" s="137" cm="1">
        <f t="array" aca="1" ref="F98" ca="1">_xlfn.XLOOKUP($D$5&amp;AvoidedCost[[#This Row],[INDEX]],INDIRECT($D$6&amp;"!E:E"),INDIRECT($D$6&amp;"!G:G"),0,0,1)</f>
        <v>90.051949556993179</v>
      </c>
      <c r="G98" s="148" cm="1">
        <f t="array" aca="1" ref="G98" ca="1">_xlfn.XLOOKUP($D$5&amp;AvoidedCost[[#This Row],[INDEX]],INDIRECT($D$6&amp;"!E:E"),INDIRECT($D$6&amp;"!H:H"),0,0,1)</f>
        <v>716.78844902471644</v>
      </c>
    </row>
    <row r="99" spans="2:7" x14ac:dyDescent="0.35">
      <c r="B99" s="147" t="str">
        <f t="shared" si="1"/>
        <v>Commercial29</v>
      </c>
      <c r="C99" s="136" t="s">
        <v>12</v>
      </c>
      <c r="D99" s="136">
        <v>29</v>
      </c>
      <c r="E99" s="137" cm="1">
        <f t="array" aca="1" ref="E99" ca="1">_xlfn.XLOOKUP($D$5&amp;AvoidedCost[[#This Row],[INDEX]],INDIRECT($D$6&amp;"!E:E"),INDIRECT($D$6&amp;"!F:F"),0,0,1)</f>
        <v>1.5986686887117627</v>
      </c>
      <c r="F99" s="137" cm="1">
        <f t="array" aca="1" ref="F99" ca="1">_xlfn.XLOOKUP($D$5&amp;AvoidedCost[[#This Row],[INDEX]],INDIRECT($D$6&amp;"!E:E"),INDIRECT($D$6&amp;"!G:G"),0,0,1)</f>
        <v>92.238266260987047</v>
      </c>
      <c r="G99" s="148" cm="1">
        <f t="array" aca="1" ref="G99" ca="1">_xlfn.XLOOKUP($D$5&amp;AvoidedCost[[#This Row],[INDEX]],INDIRECT($D$6&amp;"!E:E"),INDIRECT($D$6&amp;"!H:H"),0,0,1)</f>
        <v>728.93576507914895</v>
      </c>
    </row>
    <row r="100" spans="2:7" x14ac:dyDescent="0.35">
      <c r="B100" s="149" t="str">
        <f t="shared" si="1"/>
        <v>Commercial30</v>
      </c>
      <c r="C100" s="150" t="s">
        <v>12</v>
      </c>
      <c r="D100" s="150">
        <v>30</v>
      </c>
      <c r="E100" s="137" cm="1">
        <f t="array" aca="1" ref="E100" ca="1">_xlfn.XLOOKUP($D$5&amp;AvoidedCost[[#This Row],[INDEX]],INDIRECT($D$6&amp;"!E:E"),INDIRECT($D$6&amp;"!F:F"),0,0,1)</f>
        <v>1.6331337055776503</v>
      </c>
      <c r="F100" s="137" cm="1">
        <f t="array" aca="1" ref="F100" ca="1">_xlfn.XLOOKUP($D$5&amp;AvoidedCost[[#This Row],[INDEX]],INDIRECT($D$6&amp;"!E:E"),INDIRECT($D$6&amp;"!G:G"),0,0,1)</f>
        <v>94.362116773438245</v>
      </c>
      <c r="G100" s="148" cm="1">
        <f t="array" aca="1" ref="G100" ca="1">_xlfn.XLOOKUP($D$5&amp;AvoidedCost[[#This Row],[INDEX]],INDIRECT($D$6&amp;"!E:E"),INDIRECT($D$6&amp;"!H:H"),0,0,1)</f>
        <v>740.50463751194184</v>
      </c>
    </row>
  </sheetData>
  <sheetProtection algorithmName="SHA-512" hashValue="hZ6EAhYGTD4zXnZMfaBcPwaMFrYksOjRKjZ9G8VEfqeXM3DPOBCPpjzBhpyJ69W/z0yRmkAAeMwdurwaFaF17A==" saltValue="GLmw/6ldbwlMIZqciQ/iJg==" spinCount="100000" sheet="1" objects="1" scenarios="1" selectLockedCells="1" selectUnlockedCells="1"/>
  <mergeCells count="1">
    <mergeCell ref="B9:C9"/>
  </mergeCells>
  <pageMargins left="0.7" right="0.7" top="0.75" bottom="0.75" header="0.3" footer="0.3"/>
  <tableParts count="2">
    <tablePart r:id="rId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C4F66-1AEF-4BC5-8150-0EF57F7AB7F3}">
  <sheetPr codeName="Sheet9">
    <tabColor rgb="FFFFC000"/>
  </sheetPr>
  <dimension ref="A1:AE496"/>
  <sheetViews>
    <sheetView workbookViewId="0">
      <selection activeCell="H11" sqref="A1:XFD1048576"/>
    </sheetView>
  </sheetViews>
  <sheetFormatPr defaultColWidth="8.81640625" defaultRowHeight="14.5" x14ac:dyDescent="0.35"/>
  <cols>
    <col min="1" max="1" width="5.6328125" style="125" customWidth="1"/>
    <col min="2" max="2" width="36.6328125" style="125" customWidth="1"/>
    <col min="3" max="3" width="22.6328125" style="125" customWidth="1"/>
    <col min="4" max="4" width="17.08984375" style="125" customWidth="1"/>
    <col min="5" max="5" width="13.08984375" style="125" customWidth="1"/>
    <col min="6" max="6" width="24" style="125" customWidth="1"/>
    <col min="7" max="7" width="25.08984375" style="125" customWidth="1"/>
    <col min="8" max="8" width="21.7265625" style="125" customWidth="1"/>
    <col min="9" max="9" width="19.26953125" style="125" customWidth="1"/>
    <col min="10" max="10" width="13.36328125" style="125" customWidth="1"/>
    <col min="11" max="14" width="16.6328125" style="125" customWidth="1"/>
    <col min="15" max="15" width="17.08984375" style="123" customWidth="1"/>
    <col min="16" max="31" width="8.81640625" style="123"/>
    <col min="32" max="16384" width="8.81640625" style="125"/>
  </cols>
  <sheetData>
    <row r="1" spans="2:7" s="123" customFormat="1" ht="21" x14ac:dyDescent="0.35">
      <c r="B1" s="127" t="s">
        <v>2255</v>
      </c>
    </row>
    <row r="2" spans="2:7" s="123" customFormat="1" x14ac:dyDescent="0.35">
      <c r="B2" s="350" t="s">
        <v>2256</v>
      </c>
    </row>
    <row r="3" spans="2:7" s="123" customFormat="1" x14ac:dyDescent="0.35">
      <c r="B3" s="321"/>
    </row>
    <row r="4" spans="2:7" s="1" customFormat="1" ht="102" customHeight="1" x14ac:dyDescent="0.35">
      <c r="B4" s="181" t="s">
        <v>2257</v>
      </c>
      <c r="C4" s="182" t="s">
        <v>2258</v>
      </c>
      <c r="D4" s="2043" t="s">
        <v>2259</v>
      </c>
      <c r="E4" s="2044"/>
      <c r="F4" s="183" t="s">
        <v>2260</v>
      </c>
      <c r="G4" s="436" t="s">
        <v>2261</v>
      </c>
    </row>
    <row r="5" spans="2:7" s="123" customFormat="1" ht="15" customHeight="1" x14ac:dyDescent="0.35">
      <c r="B5" s="151" t="s">
        <v>9</v>
      </c>
      <c r="C5" s="152" t="s">
        <v>2262</v>
      </c>
      <c r="D5" s="152" t="s">
        <v>899</v>
      </c>
      <c r="E5" s="152" t="s">
        <v>896</v>
      </c>
      <c r="F5" s="184" t="s">
        <v>780</v>
      </c>
      <c r="G5" s="152" t="s">
        <v>1336</v>
      </c>
    </row>
    <row r="6" spans="2:7" s="123" customFormat="1" x14ac:dyDescent="0.35">
      <c r="B6" s="314" t="s">
        <v>10</v>
      </c>
      <c r="C6" s="188"/>
      <c r="D6" s="315">
        <f>AVERAGE(D7:D17)</f>
        <v>5480.7825814536336</v>
      </c>
      <c r="E6" s="315">
        <f>AVERAGE(E7:E17)</f>
        <v>61.861244019138759</v>
      </c>
      <c r="F6" s="315">
        <f>AVERAGE(F7:F17)</f>
        <v>5.3782145782145783</v>
      </c>
      <c r="G6" s="185">
        <f>AVERAGE(G7:G17)</f>
        <v>-32.172727272727265</v>
      </c>
    </row>
    <row r="7" spans="2:7" s="123" customFormat="1" x14ac:dyDescent="0.35">
      <c r="B7" s="320" t="s">
        <v>1361</v>
      </c>
      <c r="C7" s="319">
        <v>6</v>
      </c>
      <c r="D7" s="188">
        <v>5086</v>
      </c>
      <c r="E7" s="188">
        <v>58.789473684210542</v>
      </c>
      <c r="F7" s="185">
        <v>6.0270270270270272</v>
      </c>
      <c r="G7" s="185">
        <v>-29.2</v>
      </c>
    </row>
    <row r="8" spans="2:7" s="123" customFormat="1" x14ac:dyDescent="0.35">
      <c r="B8" s="320" t="s">
        <v>1811</v>
      </c>
      <c r="C8" s="319" t="s">
        <v>2263</v>
      </c>
      <c r="D8" s="188">
        <v>5552.4285714285716</v>
      </c>
      <c r="E8" s="188">
        <v>28.105263157894736</v>
      </c>
      <c r="F8" s="185">
        <v>5</v>
      </c>
      <c r="G8" s="185">
        <v>-32.799999999999997</v>
      </c>
    </row>
    <row r="9" spans="2:7" s="123" customFormat="1" x14ac:dyDescent="0.35">
      <c r="B9" s="320" t="s">
        <v>1812</v>
      </c>
      <c r="C9" s="319" t="s">
        <v>2263</v>
      </c>
      <c r="D9" s="188">
        <v>5768.8421052631575</v>
      </c>
      <c r="E9" s="188">
        <v>53.210526315789473</v>
      </c>
      <c r="F9" s="185">
        <v>4.8</v>
      </c>
      <c r="G9" s="185">
        <v>-32.799999999999997</v>
      </c>
    </row>
    <row r="10" spans="2:7" s="123" customFormat="1" x14ac:dyDescent="0.35">
      <c r="B10" s="320" t="s">
        <v>1362</v>
      </c>
      <c r="C10" s="319" t="s">
        <v>2263</v>
      </c>
      <c r="D10" s="188">
        <v>5755</v>
      </c>
      <c r="E10" s="188">
        <v>30.052631578947352</v>
      </c>
      <c r="F10" s="185">
        <v>5</v>
      </c>
      <c r="G10" s="185">
        <v>-32.799999999999997</v>
      </c>
    </row>
    <row r="11" spans="2:7" s="123" customFormat="1" x14ac:dyDescent="0.35">
      <c r="B11" s="320" t="s">
        <v>1813</v>
      </c>
      <c r="C11" s="319" t="s">
        <v>2264</v>
      </c>
      <c r="D11" s="188">
        <v>5743.4824561403511</v>
      </c>
      <c r="E11" s="188">
        <v>44.842105263157897</v>
      </c>
      <c r="F11" s="185">
        <v>4.333333333333333</v>
      </c>
      <c r="G11" s="185">
        <v>-37</v>
      </c>
    </row>
    <row r="12" spans="2:7" s="123" customFormat="1" x14ac:dyDescent="0.35">
      <c r="B12" s="320" t="s">
        <v>1814</v>
      </c>
      <c r="C12" s="319" t="s">
        <v>2264</v>
      </c>
      <c r="D12" s="188">
        <v>6451.2105263157891</v>
      </c>
      <c r="E12" s="188">
        <v>53.789473684210535</v>
      </c>
      <c r="F12" s="185">
        <v>4</v>
      </c>
      <c r="G12" s="185">
        <v>-33.799999999999997</v>
      </c>
    </row>
    <row r="13" spans="2:7" s="123" customFormat="1" x14ac:dyDescent="0.35">
      <c r="B13" s="320" t="s">
        <v>1815</v>
      </c>
      <c r="C13" s="319" t="s">
        <v>2264</v>
      </c>
      <c r="D13" s="188">
        <v>5795.6315789473683</v>
      </c>
      <c r="E13" s="188">
        <v>31.894736842105267</v>
      </c>
      <c r="F13" s="185">
        <v>4.75</v>
      </c>
      <c r="G13" s="185">
        <v>-36.700000000000003</v>
      </c>
    </row>
    <row r="14" spans="2:7" s="123" customFormat="1" x14ac:dyDescent="0.35">
      <c r="B14" s="320" t="s">
        <v>1816</v>
      </c>
      <c r="C14" s="319">
        <v>6</v>
      </c>
      <c r="D14" s="188">
        <v>4583.4473684210534</v>
      </c>
      <c r="E14" s="188">
        <v>106.78947368421052</v>
      </c>
      <c r="F14" s="185">
        <v>8</v>
      </c>
      <c r="G14" s="185">
        <v>-29.7</v>
      </c>
    </row>
    <row r="15" spans="2:7" s="123" customFormat="1" x14ac:dyDescent="0.35">
      <c r="B15" s="320" t="s">
        <v>1817</v>
      </c>
      <c r="C15" s="319">
        <v>6</v>
      </c>
      <c r="D15" s="188">
        <v>4664.2236842105267</v>
      </c>
      <c r="E15" s="188">
        <v>206.15789473684214</v>
      </c>
      <c r="F15" s="185">
        <v>7.25</v>
      </c>
      <c r="G15" s="185">
        <v>-29.7</v>
      </c>
    </row>
    <row r="16" spans="2:7" s="123" customFormat="1" x14ac:dyDescent="0.35">
      <c r="B16" s="320" t="s">
        <v>1818</v>
      </c>
      <c r="C16" s="319" t="s">
        <v>2263</v>
      </c>
      <c r="D16" s="188">
        <v>5187.5789473684217</v>
      </c>
      <c r="E16" s="188">
        <v>55.684210526315788</v>
      </c>
      <c r="F16" s="185">
        <v>5</v>
      </c>
      <c r="G16" s="185">
        <v>-29.7</v>
      </c>
    </row>
    <row r="17" spans="2:14" s="123" customFormat="1" x14ac:dyDescent="0.35">
      <c r="B17" s="143" t="s">
        <v>1819</v>
      </c>
      <c r="C17" s="186" t="s">
        <v>2263</v>
      </c>
      <c r="D17" s="189">
        <v>5700.7631578947367</v>
      </c>
      <c r="E17" s="189">
        <v>11.157894736842104</v>
      </c>
      <c r="F17" s="187">
        <v>5</v>
      </c>
      <c r="G17" s="187">
        <v>-29.7</v>
      </c>
    </row>
    <row r="18" spans="2:14" s="142" customFormat="1" x14ac:dyDescent="0.35">
      <c r="B18" s="173"/>
      <c r="C18" s="173"/>
      <c r="D18" s="174"/>
      <c r="E18" s="174"/>
      <c r="F18" s="174"/>
      <c r="G18" s="174"/>
    </row>
    <row r="19" spans="2:14" s="142" customFormat="1" x14ac:dyDescent="0.35">
      <c r="B19" s="173"/>
      <c r="C19" s="173"/>
      <c r="D19" s="174"/>
      <c r="E19" s="174"/>
      <c r="F19" s="174"/>
      <c r="G19" s="174"/>
    </row>
    <row r="20" spans="2:14" s="142" customFormat="1" ht="17" x14ac:dyDescent="0.4">
      <c r="B20" s="190" t="s">
        <v>2265</v>
      </c>
      <c r="C20" s="190"/>
      <c r="D20" s="190"/>
      <c r="E20" s="190"/>
    </row>
    <row r="21" spans="2:14" s="142" customFormat="1" ht="17" x14ac:dyDescent="0.4">
      <c r="B21" s="435" t="s">
        <v>2266</v>
      </c>
      <c r="C21" s="2045"/>
      <c r="D21" s="2045"/>
      <c r="E21" s="2045"/>
      <c r="F21" s="2045"/>
      <c r="G21" s="2045"/>
      <c r="H21" s="2045"/>
      <c r="I21" s="2045"/>
      <c r="J21" s="2045"/>
      <c r="K21" s="2045"/>
      <c r="L21" s="2045"/>
      <c r="M21" s="2045"/>
      <c r="N21" s="2045"/>
    </row>
    <row r="22" spans="2:14" s="142" customFormat="1" ht="31.5" customHeight="1" x14ac:dyDescent="0.35">
      <c r="B22" s="153" t="s">
        <v>545</v>
      </c>
      <c r="C22" s="327" t="s">
        <v>1361</v>
      </c>
      <c r="D22" s="327" t="s">
        <v>1811</v>
      </c>
      <c r="E22" s="327" t="s">
        <v>1812</v>
      </c>
      <c r="F22" s="327" t="s">
        <v>1362</v>
      </c>
      <c r="G22" s="327" t="s">
        <v>1813</v>
      </c>
      <c r="H22" s="327" t="s">
        <v>1814</v>
      </c>
      <c r="I22" s="327" t="s">
        <v>1815</v>
      </c>
      <c r="J22" s="327" t="s">
        <v>1816</v>
      </c>
      <c r="K22" s="327" t="s">
        <v>1817</v>
      </c>
      <c r="L22" s="327" t="s">
        <v>1818</v>
      </c>
      <c r="M22" s="327" t="s">
        <v>1819</v>
      </c>
      <c r="N22" s="194" t="s">
        <v>10</v>
      </c>
    </row>
    <row r="23" spans="2:14" s="142" customFormat="1" x14ac:dyDescent="0.35">
      <c r="B23" s="177" t="s">
        <v>1366</v>
      </c>
      <c r="C23" s="175">
        <v>102.76051330963325</v>
      </c>
      <c r="D23" s="175">
        <v>49.126333131015343</v>
      </c>
      <c r="E23" s="175">
        <v>93.008844186248155</v>
      </c>
      <c r="F23" s="175">
        <v>52.530217636347842</v>
      </c>
      <c r="G23" s="175">
        <v>78.381340501170556</v>
      </c>
      <c r="H23" s="175">
        <v>94.020809849995686</v>
      </c>
      <c r="I23" s="175">
        <v>55.750108384635404</v>
      </c>
      <c r="J23" s="175">
        <v>186.66166652215381</v>
      </c>
      <c r="K23" s="175">
        <v>360.35177317263509</v>
      </c>
      <c r="L23" s="175">
        <v>97.332697476805691</v>
      </c>
      <c r="M23" s="175">
        <v>19.503338246770138</v>
      </c>
      <c r="N23" s="316">
        <v>108.12978567431009</v>
      </c>
    </row>
    <row r="24" spans="2:14" s="142" customFormat="1" x14ac:dyDescent="0.35">
      <c r="B24" s="177" t="s">
        <v>2267</v>
      </c>
      <c r="C24" s="175">
        <v>107.31258128847658</v>
      </c>
      <c r="D24" s="175">
        <v>51.302523194311966</v>
      </c>
      <c r="E24" s="175">
        <v>97.1289343622648</v>
      </c>
      <c r="F24" s="175">
        <v>54.857192404404721</v>
      </c>
      <c r="G24" s="175">
        <v>81.853463972947196</v>
      </c>
      <c r="H24" s="175">
        <v>98.18572791121133</v>
      </c>
      <c r="I24" s="175">
        <v>58.2197173328709</v>
      </c>
      <c r="J24" s="175">
        <v>194.93037371022282</v>
      </c>
      <c r="K24" s="175">
        <v>376.31457556576783</v>
      </c>
      <c r="L24" s="175">
        <v>101.64432498049077</v>
      </c>
      <c r="M24" s="175">
        <v>20.367293852423479</v>
      </c>
      <c r="N24" s="316">
        <v>112.91970077958113</v>
      </c>
    </row>
    <row r="25" spans="2:14" s="142" customFormat="1" x14ac:dyDescent="0.35">
      <c r="B25" s="177" t="s">
        <v>2268</v>
      </c>
      <c r="C25" s="175">
        <v>97.143067718720218</v>
      </c>
      <c r="D25" s="175">
        <v>46.440821989074827</v>
      </c>
      <c r="E25" s="175">
        <v>87.924477586057392</v>
      </c>
      <c r="F25" s="175">
        <v>49.658631752362759</v>
      </c>
      <c r="G25" s="175">
        <v>74.096592387063211</v>
      </c>
      <c r="H25" s="175">
        <v>88.881123731899791</v>
      </c>
      <c r="I25" s="175">
        <v>52.702505852770315</v>
      </c>
      <c r="J25" s="175">
        <v>176.45772999219631</v>
      </c>
      <c r="K25" s="175">
        <v>340.65299575132235</v>
      </c>
      <c r="L25" s="175">
        <v>92.011965663747503</v>
      </c>
      <c r="M25" s="175">
        <v>18.437180265325587</v>
      </c>
      <c r="N25" s="316">
        <v>102.21882660823093</v>
      </c>
    </row>
    <row r="26" spans="2:14" s="142" customFormat="1" x14ac:dyDescent="0.35">
      <c r="B26" s="177" t="s">
        <v>811</v>
      </c>
      <c r="C26" s="175">
        <v>89.879129454608545</v>
      </c>
      <c r="D26" s="175">
        <v>42.968178271048295</v>
      </c>
      <c r="E26" s="175">
        <v>81.349865603052109</v>
      </c>
      <c r="F26" s="175">
        <v>45.945374143761356</v>
      </c>
      <c r="G26" s="175">
        <v>68.555969825717511</v>
      </c>
      <c r="H26" s="175">
        <v>82.234977889534392</v>
      </c>
      <c r="I26" s="175">
        <v>48.761640509841328</v>
      </c>
      <c r="J26" s="175">
        <v>163.26298447932021</v>
      </c>
      <c r="K26" s="175">
        <v>315.18043874100414</v>
      </c>
      <c r="L26" s="175">
        <v>85.131709008930898</v>
      </c>
      <c r="M26" s="175">
        <v>17.058527703112805</v>
      </c>
      <c r="N26" s="316">
        <v>94.575345057266517</v>
      </c>
    </row>
    <row r="27" spans="2:14" s="142" customFormat="1" x14ac:dyDescent="0.35">
      <c r="B27" s="177" t="s">
        <v>812</v>
      </c>
      <c r="C27" s="175">
        <v>76.222925518078583</v>
      </c>
      <c r="D27" s="175">
        <v>36.439608081158411</v>
      </c>
      <c r="E27" s="175">
        <v>68.989595075002157</v>
      </c>
      <c r="F27" s="175">
        <v>38.964449839590714</v>
      </c>
      <c r="G27" s="175">
        <v>58.139599410387582</v>
      </c>
      <c r="H27" s="175">
        <v>69.740223705887473</v>
      </c>
      <c r="I27" s="175">
        <v>41.352813665134839</v>
      </c>
      <c r="J27" s="175">
        <v>138.45686291511316</v>
      </c>
      <c r="K27" s="175">
        <v>267.29203156160588</v>
      </c>
      <c r="L27" s="175">
        <v>72.196826497875662</v>
      </c>
      <c r="M27" s="175">
        <v>14.466660886152779</v>
      </c>
      <c r="N27" s="316">
        <v>80.205599741453398</v>
      </c>
    </row>
    <row r="28" spans="2:14" s="142" customFormat="1" x14ac:dyDescent="0.35">
      <c r="B28" s="177" t="s">
        <v>1367</v>
      </c>
      <c r="C28" s="175">
        <v>97.143067718720218</v>
      </c>
      <c r="D28" s="175">
        <v>46.440821989074827</v>
      </c>
      <c r="E28" s="175">
        <v>87.924477586057392</v>
      </c>
      <c r="F28" s="175">
        <v>49.658631752362759</v>
      </c>
      <c r="G28" s="175">
        <v>74.096592387063211</v>
      </c>
      <c r="H28" s="175">
        <v>88.881123731899791</v>
      </c>
      <c r="I28" s="175">
        <v>52.702505852770315</v>
      </c>
      <c r="J28" s="175">
        <v>176.45772999219631</v>
      </c>
      <c r="K28" s="175">
        <v>340.65299575132235</v>
      </c>
      <c r="L28" s="175">
        <v>92.011965663747503</v>
      </c>
      <c r="M28" s="175">
        <v>18.437180265325587</v>
      </c>
      <c r="N28" s="316">
        <v>102.21882660823093</v>
      </c>
    </row>
    <row r="29" spans="2:14" s="142" customFormat="1" x14ac:dyDescent="0.35">
      <c r="B29" s="177" t="s">
        <v>2269</v>
      </c>
      <c r="C29" s="175">
        <v>70.21806988641292</v>
      </c>
      <c r="D29" s="175">
        <v>33.568889274256478</v>
      </c>
      <c r="E29" s="175">
        <v>63.554582502384456</v>
      </c>
      <c r="F29" s="175">
        <v>35.894823549813559</v>
      </c>
      <c r="G29" s="175">
        <v>53.559351426341799</v>
      </c>
      <c r="H29" s="175">
        <v>64.246076476198752</v>
      </c>
      <c r="I29" s="175">
        <v>38.095031648313544</v>
      </c>
      <c r="J29" s="175">
        <v>127.54920662446891</v>
      </c>
      <c r="K29" s="175">
        <v>246.23471776640946</v>
      </c>
      <c r="L29" s="175">
        <v>66.509147663227253</v>
      </c>
      <c r="M29" s="175">
        <v>13.32697476805688</v>
      </c>
      <c r="N29" s="316">
        <v>73.886988325989464</v>
      </c>
    </row>
    <row r="30" spans="2:14" s="142" customFormat="1" x14ac:dyDescent="0.35">
      <c r="B30" s="177" t="s">
        <v>2270</v>
      </c>
      <c r="C30" s="175">
        <v>142.85745252752974</v>
      </c>
      <c r="D30" s="175">
        <v>68.295326454521799</v>
      </c>
      <c r="E30" s="175">
        <v>129.30070233243734</v>
      </c>
      <c r="F30" s="175">
        <v>73.027399635827578</v>
      </c>
      <c r="G30" s="175">
        <v>108.96557703979883</v>
      </c>
      <c r="H30" s="175">
        <v>130.70753489985262</v>
      </c>
      <c r="I30" s="175">
        <v>77.503685077603407</v>
      </c>
      <c r="J30" s="175">
        <v>259.49666175322983</v>
      </c>
      <c r="K30" s="175">
        <v>500.9602878695917</v>
      </c>
      <c r="L30" s="175">
        <v>135.31171421139339</v>
      </c>
      <c r="M30" s="175">
        <v>27.113500390184686</v>
      </c>
      <c r="N30" s="316">
        <v>150.32180383563372</v>
      </c>
    </row>
    <row r="31" spans="2:14" s="142" customFormat="1" x14ac:dyDescent="0.35">
      <c r="B31" s="177" t="s">
        <v>1665</v>
      </c>
      <c r="C31" s="175">
        <v>105.37553108471346</v>
      </c>
      <c r="D31" s="175">
        <v>50.376484869504893</v>
      </c>
      <c r="E31" s="175">
        <v>95.375704500130055</v>
      </c>
      <c r="F31" s="175">
        <v>53.866990375444345</v>
      </c>
      <c r="G31" s="175">
        <v>80.375964623255001</v>
      </c>
      <c r="H31" s="175">
        <v>96.413422353247228</v>
      </c>
      <c r="I31" s="175">
        <v>57.168819908089837</v>
      </c>
      <c r="J31" s="175">
        <v>191.41177490678922</v>
      </c>
      <c r="K31" s="175">
        <v>369.52189369634965</v>
      </c>
      <c r="L31" s="175">
        <v>99.809589872539661</v>
      </c>
      <c r="M31" s="175">
        <v>19.999653169166738</v>
      </c>
      <c r="N31" s="316">
        <v>110.88143903265728</v>
      </c>
    </row>
    <row r="32" spans="2:14" s="142" customFormat="1" x14ac:dyDescent="0.35">
      <c r="B32" s="177" t="s">
        <v>2271</v>
      </c>
      <c r="C32" s="175">
        <v>90.460244515737472</v>
      </c>
      <c r="D32" s="175">
        <v>43.245989768490418</v>
      </c>
      <c r="E32" s="175">
        <v>81.875834561692528</v>
      </c>
      <c r="F32" s="175">
        <v>46.242434752449462</v>
      </c>
      <c r="G32" s="175">
        <v>68.999219630625163</v>
      </c>
      <c r="H32" s="175">
        <v>82.766669556923631</v>
      </c>
      <c r="I32" s="175">
        <v>49.076909737275649</v>
      </c>
      <c r="J32" s="175">
        <v>164.31856412035029</v>
      </c>
      <c r="K32" s="175">
        <v>317.2182433018296</v>
      </c>
      <c r="L32" s="175">
        <v>85.682129541316215</v>
      </c>
      <c r="M32" s="175">
        <v>17.16881990808983</v>
      </c>
      <c r="N32" s="316">
        <v>95.186823581343646</v>
      </c>
    </row>
    <row r="33" spans="2:14" s="142" customFormat="1" x14ac:dyDescent="0.35">
      <c r="B33" s="177" t="s">
        <v>1365</v>
      </c>
      <c r="C33" s="175">
        <v>118.16006242955002</v>
      </c>
      <c r="D33" s="175">
        <v>56.488337813231588</v>
      </c>
      <c r="E33" s="175">
        <v>106.94702159021936</v>
      </c>
      <c r="F33" s="175">
        <v>60.402323766582811</v>
      </c>
      <c r="G33" s="175">
        <v>90.127460331223446</v>
      </c>
      <c r="H33" s="175">
        <v>108.11063903581031</v>
      </c>
      <c r="I33" s="175">
        <v>64.104742911644848</v>
      </c>
      <c r="J33" s="175">
        <v>214.63452700945115</v>
      </c>
      <c r="K33" s="175">
        <v>414.35359403450974</v>
      </c>
      <c r="L33" s="175">
        <v>111.91884158501691</v>
      </c>
      <c r="M33" s="175">
        <v>22.426081678661234</v>
      </c>
      <c r="N33" s="316">
        <v>124.33396656235468</v>
      </c>
    </row>
    <row r="34" spans="2:14" s="142" customFormat="1" x14ac:dyDescent="0.35">
      <c r="B34" s="177" t="s">
        <v>569</v>
      </c>
      <c r="C34" s="175">
        <v>97.143067718720218</v>
      </c>
      <c r="D34" s="175">
        <v>46.440821989074827</v>
      </c>
      <c r="E34" s="175">
        <v>87.924477586057392</v>
      </c>
      <c r="F34" s="175">
        <v>49.658631752362759</v>
      </c>
      <c r="G34" s="175">
        <v>74.096592387063211</v>
      </c>
      <c r="H34" s="175">
        <v>88.881123731899791</v>
      </c>
      <c r="I34" s="175">
        <v>52.702505852770315</v>
      </c>
      <c r="J34" s="175">
        <v>176.45772999219631</v>
      </c>
      <c r="K34" s="175">
        <v>340.65299575132235</v>
      </c>
      <c r="L34" s="175">
        <v>92.011965663747503</v>
      </c>
      <c r="M34" s="175">
        <v>18.437180265325587</v>
      </c>
      <c r="N34" s="316">
        <v>102.21882660823093</v>
      </c>
    </row>
    <row r="35" spans="2:14" s="142" customFormat="1" x14ac:dyDescent="0.35">
      <c r="B35" s="177" t="s">
        <v>30</v>
      </c>
      <c r="C35" s="175">
        <v>97.143067718720218</v>
      </c>
      <c r="D35" s="175">
        <v>46.440821989074827</v>
      </c>
      <c r="E35" s="175">
        <v>87.924477586057392</v>
      </c>
      <c r="F35" s="175">
        <v>49.658631752362759</v>
      </c>
      <c r="G35" s="175">
        <v>74.096592387063211</v>
      </c>
      <c r="H35" s="175">
        <v>88.881123731899791</v>
      </c>
      <c r="I35" s="175">
        <v>52.702505852770315</v>
      </c>
      <c r="J35" s="175">
        <v>176.45772999219631</v>
      </c>
      <c r="K35" s="175">
        <v>340.65299575132235</v>
      </c>
      <c r="L35" s="175">
        <v>92.011965663747503</v>
      </c>
      <c r="M35" s="175">
        <v>18.437180265325587</v>
      </c>
      <c r="N35" s="316">
        <v>102.21882660823093</v>
      </c>
    </row>
    <row r="36" spans="2:14" s="142" customFormat="1" x14ac:dyDescent="0.35">
      <c r="B36" s="177" t="s">
        <v>814</v>
      </c>
      <c r="C36" s="175">
        <v>97.143067718720218</v>
      </c>
      <c r="D36" s="175">
        <v>46.440821989074827</v>
      </c>
      <c r="E36" s="175">
        <v>87.924477586057392</v>
      </c>
      <c r="F36" s="175">
        <v>49.658631752362759</v>
      </c>
      <c r="G36" s="175">
        <v>74.096592387063211</v>
      </c>
      <c r="H36" s="175">
        <v>88.881123731899791</v>
      </c>
      <c r="I36" s="175">
        <v>52.702505852770315</v>
      </c>
      <c r="J36" s="175">
        <v>176.45772999219631</v>
      </c>
      <c r="K36" s="175">
        <v>340.65299575132235</v>
      </c>
      <c r="L36" s="175">
        <v>92.011965663747503</v>
      </c>
      <c r="M36" s="175">
        <v>18.437180265325587</v>
      </c>
      <c r="N36" s="316">
        <v>102.21882660823093</v>
      </c>
    </row>
    <row r="37" spans="2:14" s="142" customFormat="1" x14ac:dyDescent="0.35">
      <c r="B37" s="177" t="s">
        <v>1368</v>
      </c>
      <c r="C37" s="175">
        <v>166.48946501343974</v>
      </c>
      <c r="D37" s="175">
        <v>79.592994017168124</v>
      </c>
      <c r="E37" s="175">
        <v>150.69010665048123</v>
      </c>
      <c r="F37" s="175">
        <v>85.10786438914414</v>
      </c>
      <c r="G37" s="175">
        <v>126.99106910604353</v>
      </c>
      <c r="H37" s="175">
        <v>152.32966270701468</v>
      </c>
      <c r="I37" s="175">
        <v>90.324633659932374</v>
      </c>
      <c r="J37" s="175">
        <v>302.42356715512011</v>
      </c>
      <c r="K37" s="175">
        <v>583.83100667649364</v>
      </c>
      <c r="L37" s="175">
        <v>157.69548252839678</v>
      </c>
      <c r="M37" s="175">
        <v>31.598716725916933</v>
      </c>
      <c r="N37" s="316">
        <v>175.18859714810466</v>
      </c>
    </row>
    <row r="38" spans="2:14" s="142" customFormat="1" x14ac:dyDescent="0.35">
      <c r="B38" s="177" t="s">
        <v>2272</v>
      </c>
      <c r="C38" s="175">
        <v>97.821035290037315</v>
      </c>
      <c r="D38" s="175">
        <v>46.764935402757303</v>
      </c>
      <c r="E38" s="175">
        <v>88.538108037804548</v>
      </c>
      <c r="F38" s="175">
        <v>50.005202462498886</v>
      </c>
      <c r="G38" s="175">
        <v>74.613717159455476</v>
      </c>
      <c r="H38" s="175">
        <v>89.501430677187216</v>
      </c>
      <c r="I38" s="175">
        <v>53.070319951443693</v>
      </c>
      <c r="J38" s="175">
        <v>177.68923957339808</v>
      </c>
      <c r="K38" s="175">
        <v>343.03043440561873</v>
      </c>
      <c r="L38" s="175">
        <v>92.654122951530383</v>
      </c>
      <c r="M38" s="175">
        <v>18.565854504465445</v>
      </c>
      <c r="N38" s="316">
        <v>102.93221821965427</v>
      </c>
    </row>
    <row r="39" spans="2:14" s="142" customFormat="1" x14ac:dyDescent="0.35">
      <c r="B39" s="177" t="s">
        <v>2273</v>
      </c>
      <c r="C39" s="175">
        <v>84.84279892482445</v>
      </c>
      <c r="D39" s="175">
        <v>40.560478626549894</v>
      </c>
      <c r="E39" s="175">
        <v>76.791467961501766</v>
      </c>
      <c r="F39" s="175">
        <v>43.370848868464378</v>
      </c>
      <c r="G39" s="175">
        <v>64.714471516517818</v>
      </c>
      <c r="H39" s="175">
        <v>77.626983438827722</v>
      </c>
      <c r="I39" s="175">
        <v>46.029307205410568</v>
      </c>
      <c r="J39" s="175">
        <v>154.11462759039279</v>
      </c>
      <c r="K39" s="175">
        <v>297.5194658805168</v>
      </c>
      <c r="L39" s="175">
        <v>80.361397728258041</v>
      </c>
      <c r="M39" s="175">
        <v>16.102661926645279</v>
      </c>
      <c r="N39" s="316">
        <v>89.275864515264502</v>
      </c>
    </row>
    <row r="40" spans="2:14" s="142" customFormat="1" x14ac:dyDescent="0.35">
      <c r="B40" s="177" t="s">
        <v>1371</v>
      </c>
      <c r="C40" s="175">
        <v>131.42885632532736</v>
      </c>
      <c r="D40" s="175">
        <v>62.831700338160054</v>
      </c>
      <c r="E40" s="175">
        <v>118.95664614584236</v>
      </c>
      <c r="F40" s="175">
        <v>67.185207664961382</v>
      </c>
      <c r="G40" s="175">
        <v>100.24833087661493</v>
      </c>
      <c r="H40" s="175">
        <v>120.25093210786441</v>
      </c>
      <c r="I40" s="175">
        <v>71.303390271395131</v>
      </c>
      <c r="J40" s="175">
        <v>238.73692881297146</v>
      </c>
      <c r="K40" s="175">
        <v>460.88346484002437</v>
      </c>
      <c r="L40" s="175">
        <v>124.48677707448192</v>
      </c>
      <c r="M40" s="175">
        <v>24.944420358969911</v>
      </c>
      <c r="N40" s="316">
        <v>138.29605952878302</v>
      </c>
    </row>
    <row r="41" spans="2:14" s="142" customFormat="1" x14ac:dyDescent="0.35">
      <c r="B41" s="177" t="s">
        <v>1369</v>
      </c>
      <c r="C41" s="175">
        <v>173.94710829792774</v>
      </c>
      <c r="D41" s="175">
        <v>83.158241567675361</v>
      </c>
      <c r="E41" s="175">
        <v>157.44004161969997</v>
      </c>
      <c r="F41" s="175">
        <v>88.920142200641578</v>
      </c>
      <c r="G41" s="175">
        <v>132.67944160235845</v>
      </c>
      <c r="H41" s="175">
        <v>159.15303910517648</v>
      </c>
      <c r="I41" s="175">
        <v>94.370588745339475</v>
      </c>
      <c r="J41" s="175">
        <v>315.97017254833952</v>
      </c>
      <c r="K41" s="175">
        <v>609.98283187375364</v>
      </c>
      <c r="L41" s="175">
        <v>164.75921269400848</v>
      </c>
      <c r="M41" s="175">
        <v>33.014133356455389</v>
      </c>
      <c r="N41" s="316">
        <v>183.03590487376147</v>
      </c>
    </row>
    <row r="42" spans="2:14" s="142" customFormat="1" x14ac:dyDescent="0.35">
      <c r="B42" s="177" t="s">
        <v>1370</v>
      </c>
      <c r="C42" s="175">
        <v>109.2496314922397</v>
      </c>
      <c r="D42" s="175">
        <v>52.228561519119047</v>
      </c>
      <c r="E42" s="175">
        <v>98.882164224399546</v>
      </c>
      <c r="F42" s="175">
        <v>55.847394433365096</v>
      </c>
      <c r="G42" s="175">
        <v>83.330963322639377</v>
      </c>
      <c r="H42" s="175">
        <v>99.958033469175433</v>
      </c>
      <c r="I42" s="175">
        <v>59.270614757651963</v>
      </c>
      <c r="J42" s="175">
        <v>198.44897251365646</v>
      </c>
      <c r="K42" s="175">
        <v>383.10725743518606</v>
      </c>
      <c r="L42" s="175">
        <v>103.47906008844186</v>
      </c>
      <c r="M42" s="175">
        <v>20.734934535680221</v>
      </c>
      <c r="N42" s="316">
        <v>114.95796252650497</v>
      </c>
    </row>
    <row r="43" spans="2:14" s="142" customFormat="1" x14ac:dyDescent="0.35">
      <c r="B43" s="177" t="s">
        <v>32</v>
      </c>
      <c r="C43" s="175">
        <v>97.143067718720218</v>
      </c>
      <c r="D43" s="175">
        <v>46.440821989074827</v>
      </c>
      <c r="E43" s="175">
        <v>87.924477586057392</v>
      </c>
      <c r="F43" s="175">
        <v>49.658631752362759</v>
      </c>
      <c r="G43" s="175">
        <v>74.096592387063211</v>
      </c>
      <c r="H43" s="175">
        <v>88.881123731899791</v>
      </c>
      <c r="I43" s="175">
        <v>52.702505852770315</v>
      </c>
      <c r="J43" s="175">
        <v>176.45772999219631</v>
      </c>
      <c r="K43" s="175">
        <v>340.65299575132235</v>
      </c>
      <c r="L43" s="175">
        <v>92.011965663747503</v>
      </c>
      <c r="M43" s="175">
        <v>18.437180265325587</v>
      </c>
      <c r="N43" s="316">
        <v>102.21882660823093</v>
      </c>
    </row>
    <row r="44" spans="2:14" s="142" customFormat="1" x14ac:dyDescent="0.35">
      <c r="B44" s="177" t="s">
        <v>2274</v>
      </c>
      <c r="C44" s="175">
        <v>97.143067718720218</v>
      </c>
      <c r="D44" s="175">
        <v>46.440821989074827</v>
      </c>
      <c r="E44" s="175">
        <v>87.924477586057392</v>
      </c>
      <c r="F44" s="175">
        <v>49.658631752362759</v>
      </c>
      <c r="G44" s="175">
        <v>74.096592387063211</v>
      </c>
      <c r="H44" s="175">
        <v>88.881123731899791</v>
      </c>
      <c r="I44" s="175">
        <v>52.702505852770315</v>
      </c>
      <c r="J44" s="175">
        <v>176.45772999219631</v>
      </c>
      <c r="K44" s="175">
        <v>340.65299575132235</v>
      </c>
      <c r="L44" s="175">
        <v>92.011965663747503</v>
      </c>
      <c r="M44" s="175">
        <v>18.437180265325587</v>
      </c>
      <c r="N44" s="316">
        <v>102.21882660823093</v>
      </c>
    </row>
    <row r="45" spans="2:14" s="142" customFormat="1" x14ac:dyDescent="0.35">
      <c r="B45" s="177" t="s">
        <v>2275</v>
      </c>
      <c r="C45" s="175">
        <v>83.390011272002113</v>
      </c>
      <c r="D45" s="175">
        <v>39.865949882944591</v>
      </c>
      <c r="E45" s="175">
        <v>75.476545564900718</v>
      </c>
      <c r="F45" s="175">
        <v>42.628197346744102</v>
      </c>
      <c r="G45" s="175">
        <v>63.606347004248676</v>
      </c>
      <c r="H45" s="175">
        <v>76.297754270354645</v>
      </c>
      <c r="I45" s="175">
        <v>45.241134136824769</v>
      </c>
      <c r="J45" s="175">
        <v>151.47567848781756</v>
      </c>
      <c r="K45" s="175">
        <v>292.42495447845317</v>
      </c>
      <c r="L45" s="175">
        <v>78.98534639729472</v>
      </c>
      <c r="M45" s="175">
        <v>15.826931414202722</v>
      </c>
      <c r="N45" s="316">
        <v>87.747168205071617</v>
      </c>
    </row>
    <row r="46" spans="2:14" s="142" customFormat="1" x14ac:dyDescent="0.35">
      <c r="B46" s="177" t="s">
        <v>2276</v>
      </c>
      <c r="C46" s="175">
        <v>97.143067718720218</v>
      </c>
      <c r="D46" s="175">
        <v>46.440821989074827</v>
      </c>
      <c r="E46" s="175">
        <v>87.924477586057392</v>
      </c>
      <c r="F46" s="175">
        <v>49.658631752362759</v>
      </c>
      <c r="G46" s="175">
        <v>74.096592387063211</v>
      </c>
      <c r="H46" s="175">
        <v>88.881123731899791</v>
      </c>
      <c r="I46" s="175">
        <v>52.702505852770315</v>
      </c>
      <c r="J46" s="175">
        <v>176.45772999219631</v>
      </c>
      <c r="K46" s="175">
        <v>340.65299575132235</v>
      </c>
      <c r="L46" s="175">
        <v>92.011965663747503</v>
      </c>
      <c r="M46" s="175">
        <v>18.437180265325587</v>
      </c>
      <c r="N46" s="316">
        <v>102.21882660823093</v>
      </c>
    </row>
    <row r="47" spans="2:14" s="142" customFormat="1" x14ac:dyDescent="0.35">
      <c r="B47" s="177" t="s">
        <v>1666</v>
      </c>
      <c r="C47" s="175">
        <v>95.883985086274194</v>
      </c>
      <c r="D47" s="175">
        <v>45.838897077950229</v>
      </c>
      <c r="E47" s="175">
        <v>86.784878175669803</v>
      </c>
      <c r="F47" s="175">
        <v>49.015000433538511</v>
      </c>
      <c r="G47" s="175">
        <v>73.136217809763281</v>
      </c>
      <c r="H47" s="175">
        <v>87.729125119223113</v>
      </c>
      <c r="I47" s="175">
        <v>52.01942252666263</v>
      </c>
      <c r="J47" s="175">
        <v>174.17064076996445</v>
      </c>
      <c r="K47" s="175">
        <v>336.2377525362005</v>
      </c>
      <c r="L47" s="175">
        <v>90.819387843579293</v>
      </c>
      <c r="M47" s="175">
        <v>18.198213821208704</v>
      </c>
      <c r="N47" s="316">
        <v>100.89395647273045</v>
      </c>
    </row>
    <row r="48" spans="2:14" s="142" customFormat="1" x14ac:dyDescent="0.35">
      <c r="B48" s="177" t="s">
        <v>1373</v>
      </c>
      <c r="C48" s="175">
        <v>61.88875401023153</v>
      </c>
      <c r="D48" s="175">
        <v>29.586924477586056</v>
      </c>
      <c r="E48" s="175">
        <v>56.015694095205056</v>
      </c>
      <c r="F48" s="175">
        <v>31.636954825283947</v>
      </c>
      <c r="G48" s="175">
        <v>47.206104222665395</v>
      </c>
      <c r="H48" s="175">
        <v>56.625162576953102</v>
      </c>
      <c r="I48" s="175">
        <v>33.576172721754972</v>
      </c>
      <c r="J48" s="175">
        <v>112.41923176970433</v>
      </c>
      <c r="K48" s="175">
        <v>217.02618572791124</v>
      </c>
      <c r="L48" s="175">
        <v>58.61978669903754</v>
      </c>
      <c r="M48" s="175">
        <v>11.746119830052891</v>
      </c>
      <c r="N48" s="316">
        <v>65.122462814216902</v>
      </c>
    </row>
    <row r="49" spans="2:14" s="142" customFormat="1" x14ac:dyDescent="0.35">
      <c r="B49" s="177" t="s">
        <v>1372</v>
      </c>
      <c r="C49" s="175">
        <v>80.000173415416654</v>
      </c>
      <c r="D49" s="175">
        <v>38.245382814532206</v>
      </c>
      <c r="E49" s="175">
        <v>72.408393306164911</v>
      </c>
      <c r="F49" s="175">
        <v>40.895343796063443</v>
      </c>
      <c r="G49" s="175">
        <v>61.020723142287345</v>
      </c>
      <c r="H49" s="175">
        <v>73.196219543917465</v>
      </c>
      <c r="I49" s="175">
        <v>43.402063643457907</v>
      </c>
      <c r="J49" s="175">
        <v>145.31813058180873</v>
      </c>
      <c r="K49" s="175">
        <v>280.53776120697137</v>
      </c>
      <c r="L49" s="175">
        <v>75.774559958380294</v>
      </c>
      <c r="M49" s="175">
        <v>15.183560218503425</v>
      </c>
      <c r="N49" s="316">
        <v>84.180210147954895</v>
      </c>
    </row>
    <row r="50" spans="2:14" s="142" customFormat="1" x14ac:dyDescent="0.35">
      <c r="B50" s="177" t="s">
        <v>1374</v>
      </c>
      <c r="C50" s="175">
        <v>67.506199601144559</v>
      </c>
      <c r="D50" s="175">
        <v>32.272435619526576</v>
      </c>
      <c r="E50" s="175">
        <v>61.100060695395818</v>
      </c>
      <c r="F50" s="175">
        <v>34.508540709269035</v>
      </c>
      <c r="G50" s="175">
        <v>51.49085233677274</v>
      </c>
      <c r="H50" s="175">
        <v>61.764848695049004</v>
      </c>
      <c r="I50" s="175">
        <v>36.623775253620053</v>
      </c>
      <c r="J50" s="175">
        <v>122.62316829966184</v>
      </c>
      <c r="K50" s="175">
        <v>236.72496314922401</v>
      </c>
      <c r="L50" s="175">
        <v>63.940518512095721</v>
      </c>
      <c r="M50" s="175">
        <v>12.812277811497442</v>
      </c>
      <c r="N50" s="316">
        <v>71.033421880296075</v>
      </c>
    </row>
    <row r="51" spans="2:14" s="142" customFormat="1" x14ac:dyDescent="0.35">
      <c r="B51" s="177" t="s">
        <v>1376</v>
      </c>
      <c r="C51" s="175">
        <v>80.774993496921908</v>
      </c>
      <c r="D51" s="175">
        <v>38.615798144455042</v>
      </c>
      <c r="E51" s="175">
        <v>73.109685251018803</v>
      </c>
      <c r="F51" s="175">
        <v>41.291424607647592</v>
      </c>
      <c r="G51" s="175">
        <v>61.611722882164223</v>
      </c>
      <c r="H51" s="175">
        <v>73.905141767103117</v>
      </c>
      <c r="I51" s="175">
        <v>43.822422613370335</v>
      </c>
      <c r="J51" s="175">
        <v>146.72557010318218</v>
      </c>
      <c r="K51" s="175">
        <v>283.25483395473861</v>
      </c>
      <c r="L51" s="175">
        <v>76.508454001560736</v>
      </c>
      <c r="M51" s="175">
        <v>15.33061649180612</v>
      </c>
      <c r="N51" s="316">
        <v>84.995514846724419</v>
      </c>
    </row>
    <row r="52" spans="2:14" s="142" customFormat="1" x14ac:dyDescent="0.35">
      <c r="B52" s="177" t="s">
        <v>1377</v>
      </c>
      <c r="C52" s="175">
        <v>86.39243908783493</v>
      </c>
      <c r="D52" s="175">
        <v>41.301309286395558</v>
      </c>
      <c r="E52" s="175">
        <v>78.194051851209565</v>
      </c>
      <c r="F52" s="175">
        <v>44.163010491632683</v>
      </c>
      <c r="G52" s="175">
        <v>65.89647099627156</v>
      </c>
      <c r="H52" s="175">
        <v>79.044827885199012</v>
      </c>
      <c r="I52" s="175">
        <v>46.870025145235417</v>
      </c>
      <c r="J52" s="175">
        <v>156.92950663313968</v>
      </c>
      <c r="K52" s="175">
        <v>302.95361137605136</v>
      </c>
      <c r="L52" s="175">
        <v>81.82918581461891</v>
      </c>
      <c r="M52" s="175">
        <v>16.396774473250673</v>
      </c>
      <c r="N52" s="316">
        <v>90.906473912803577</v>
      </c>
    </row>
    <row r="53" spans="2:14" s="142" customFormat="1" x14ac:dyDescent="0.35">
      <c r="B53" s="177" t="s">
        <v>1375</v>
      </c>
      <c r="C53" s="175">
        <v>55.39963582762509</v>
      </c>
      <c r="D53" s="175">
        <v>26.484696089482352</v>
      </c>
      <c r="E53" s="175">
        <v>50.142374057053665</v>
      </c>
      <c r="F53" s="175">
        <v>28.319778028266697</v>
      </c>
      <c r="G53" s="175">
        <v>42.256481401196567</v>
      </c>
      <c r="H53" s="175">
        <v>50.687938957773355</v>
      </c>
      <c r="I53" s="175">
        <v>30.055666348738406</v>
      </c>
      <c r="J53" s="175">
        <v>100.63192577820168</v>
      </c>
      <c r="K53" s="175">
        <v>194.2707014653603</v>
      </c>
      <c r="L53" s="175">
        <v>52.473424087401369</v>
      </c>
      <c r="M53" s="175">
        <v>10.514523541142808</v>
      </c>
      <c r="N53" s="316">
        <v>58.294285962022016</v>
      </c>
    </row>
    <row r="54" spans="2:14" s="142" customFormat="1" x14ac:dyDescent="0.35">
      <c r="B54" s="177" t="s">
        <v>2277</v>
      </c>
      <c r="C54" s="175">
        <v>97.143067718720218</v>
      </c>
      <c r="D54" s="175">
        <v>46.440821989074827</v>
      </c>
      <c r="E54" s="175">
        <v>87.924477586057392</v>
      </c>
      <c r="F54" s="175">
        <v>49.658631752362759</v>
      </c>
      <c r="G54" s="175">
        <v>74.096592387063211</v>
      </c>
      <c r="H54" s="175">
        <v>88.881123731899791</v>
      </c>
      <c r="I54" s="175">
        <v>52.702505852770315</v>
      </c>
      <c r="J54" s="175">
        <v>176.45772999219631</v>
      </c>
      <c r="K54" s="175">
        <v>340.65299575132235</v>
      </c>
      <c r="L54" s="175">
        <v>92.011965663747503</v>
      </c>
      <c r="M54" s="175">
        <v>18.437180265325587</v>
      </c>
      <c r="N54" s="316">
        <v>102.21882660823093</v>
      </c>
    </row>
    <row r="55" spans="2:14" s="142" customFormat="1" x14ac:dyDescent="0.35">
      <c r="B55" s="177" t="s">
        <v>1757</v>
      </c>
      <c r="C55" s="175">
        <v>24.40683256741525</v>
      </c>
      <c r="D55" s="175">
        <v>11.668082892569148</v>
      </c>
      <c r="E55" s="175">
        <v>22.090696262897769</v>
      </c>
      <c r="F55" s="175">
        <v>12.476545564900713</v>
      </c>
      <c r="G55" s="175">
        <v>18.616491806121562</v>
      </c>
      <c r="H55" s="175">
        <v>22.331050030347704</v>
      </c>
      <c r="I55" s="175">
        <v>13.241307552241397</v>
      </c>
      <c r="J55" s="175">
        <v>44.334344923263679</v>
      </c>
      <c r="K55" s="175">
        <v>85.587791554669224</v>
      </c>
      <c r="L55" s="175">
        <v>23.117662360183818</v>
      </c>
      <c r="M55" s="175">
        <v>4.6322726090349429</v>
      </c>
      <c r="N55" s="316">
        <v>25.682098011240473</v>
      </c>
    </row>
    <row r="56" spans="2:14" s="142" customFormat="1" x14ac:dyDescent="0.35">
      <c r="B56" s="177" t="s">
        <v>2278</v>
      </c>
      <c r="C56" s="175">
        <v>97.143067718720218</v>
      </c>
      <c r="D56" s="175">
        <v>46.440821989074827</v>
      </c>
      <c r="E56" s="175">
        <v>87.924477586057392</v>
      </c>
      <c r="F56" s="175">
        <v>49.658631752362759</v>
      </c>
      <c r="G56" s="175">
        <v>74.096592387063211</v>
      </c>
      <c r="H56" s="175">
        <v>88.881123731899791</v>
      </c>
      <c r="I56" s="175">
        <v>52.702505852770315</v>
      </c>
      <c r="J56" s="175">
        <v>176.45772999219631</v>
      </c>
      <c r="K56" s="175">
        <v>340.65299575132235</v>
      </c>
      <c r="L56" s="175">
        <v>92.011965663747503</v>
      </c>
      <c r="M56" s="175">
        <v>18.437180265325587</v>
      </c>
      <c r="N56" s="316">
        <v>102.21882660823093</v>
      </c>
    </row>
    <row r="57" spans="2:14" s="142" customFormat="1" x14ac:dyDescent="0.35">
      <c r="B57" s="177" t="s">
        <v>2279</v>
      </c>
      <c r="C57" s="175">
        <v>97.143067718720218</v>
      </c>
      <c r="D57" s="175">
        <v>46.440821989074827</v>
      </c>
      <c r="E57" s="175">
        <v>87.924477586057392</v>
      </c>
      <c r="F57" s="175">
        <v>49.658631752362759</v>
      </c>
      <c r="G57" s="175">
        <v>74.096592387063211</v>
      </c>
      <c r="H57" s="175">
        <v>88.881123731899791</v>
      </c>
      <c r="I57" s="175">
        <v>52.702505852770315</v>
      </c>
      <c r="J57" s="175">
        <v>176.45772999219631</v>
      </c>
      <c r="K57" s="175">
        <v>340.65299575132235</v>
      </c>
      <c r="L57" s="175">
        <v>92.011965663747503</v>
      </c>
      <c r="M57" s="175">
        <v>18.437180265325587</v>
      </c>
      <c r="N57" s="316">
        <v>102.21882660823093</v>
      </c>
    </row>
    <row r="58" spans="2:14" s="142" customFormat="1" x14ac:dyDescent="0.35"/>
    <row r="59" spans="2:14" s="142" customFormat="1" ht="17.5" thickBot="1" x14ac:dyDescent="0.45">
      <c r="B59" s="176" t="s">
        <v>2280</v>
      </c>
      <c r="C59" s="176"/>
      <c r="D59" s="176"/>
      <c r="E59" s="176"/>
    </row>
    <row r="60" spans="2:14" s="142" customFormat="1" ht="17.5" thickTop="1" x14ac:dyDescent="0.4">
      <c r="B60" s="435" t="s">
        <v>2266</v>
      </c>
      <c r="C60" s="2045"/>
      <c r="D60" s="2045"/>
      <c r="E60" s="2045"/>
      <c r="F60" s="2045"/>
      <c r="G60" s="2045"/>
      <c r="H60" s="2045"/>
      <c r="I60" s="2045"/>
      <c r="J60" s="2045"/>
      <c r="K60" s="2045"/>
      <c r="L60" s="2045"/>
      <c r="M60" s="2045"/>
      <c r="N60" s="2045"/>
    </row>
    <row r="61" spans="2:14" s="142" customFormat="1" x14ac:dyDescent="0.35">
      <c r="B61" s="153" t="s">
        <v>530</v>
      </c>
      <c r="C61" s="212" t="s">
        <v>1361</v>
      </c>
      <c r="D61" s="212" t="s">
        <v>1811</v>
      </c>
      <c r="E61" s="212" t="s">
        <v>1812</v>
      </c>
      <c r="F61" s="227" t="s">
        <v>1362</v>
      </c>
      <c r="G61" s="227" t="s">
        <v>1813</v>
      </c>
      <c r="H61" s="227" t="s">
        <v>1814</v>
      </c>
      <c r="I61" s="227" t="s">
        <v>1815</v>
      </c>
      <c r="J61" s="227" t="s">
        <v>1816</v>
      </c>
      <c r="K61" s="227" t="s">
        <v>1817</v>
      </c>
      <c r="L61" s="227" t="s">
        <v>1818</v>
      </c>
      <c r="M61" s="227" t="s">
        <v>1819</v>
      </c>
      <c r="N61" s="194" t="s">
        <v>10</v>
      </c>
    </row>
    <row r="62" spans="2:14" s="142" customFormat="1" x14ac:dyDescent="0.35">
      <c r="B62" s="177" t="s">
        <v>1366</v>
      </c>
      <c r="C62" s="175">
        <v>2210.3773057574067</v>
      </c>
      <c r="D62" s="175">
        <v>2413.0873193324283</v>
      </c>
      <c r="E62" s="175">
        <v>2507.1407137183369</v>
      </c>
      <c r="F62" s="175">
        <v>2501.1249301285634</v>
      </c>
      <c r="G62" s="175">
        <v>2496.1194017043726</v>
      </c>
      <c r="H62" s="175">
        <v>2803.6982583625077</v>
      </c>
      <c r="I62" s="175">
        <v>2518.7834279662266</v>
      </c>
      <c r="J62" s="175">
        <v>1991.9677635256394</v>
      </c>
      <c r="K62" s="175">
        <v>2027.0731774587393</v>
      </c>
      <c r="L62" s="175">
        <v>2254.5235503515637</v>
      </c>
      <c r="M62" s="175">
        <v>2477.5535803595071</v>
      </c>
      <c r="N62" s="316">
        <v>2381.9499480604813</v>
      </c>
    </row>
    <row r="63" spans="2:14" s="142" customFormat="1" x14ac:dyDescent="0.35">
      <c r="B63" s="177" t="s">
        <v>2267</v>
      </c>
      <c r="C63" s="175">
        <v>2373.845723868083</v>
      </c>
      <c r="D63" s="175">
        <v>2591.547153238042</v>
      </c>
      <c r="E63" s="175">
        <v>2692.5562648936479</v>
      </c>
      <c r="F63" s="175">
        <v>2686.0955841252098</v>
      </c>
      <c r="G63" s="175">
        <v>2680.7198719268827</v>
      </c>
      <c r="H63" s="175">
        <v>3011.0457179841719</v>
      </c>
      <c r="I63" s="175">
        <v>2705.0600158865582</v>
      </c>
      <c r="J63" s="175">
        <v>2139.283707451973</v>
      </c>
      <c r="K63" s="175">
        <v>2176.9853417080994</v>
      </c>
      <c r="L63" s="175">
        <v>2421.2568032714544</v>
      </c>
      <c r="M63" s="175">
        <v>2660.7810155629431</v>
      </c>
      <c r="N63" s="316">
        <v>2558.1070181742789</v>
      </c>
    </row>
    <row r="64" spans="2:14" s="142" customFormat="1" x14ac:dyDescent="0.35">
      <c r="B64" s="177" t="s">
        <v>2268</v>
      </c>
      <c r="C64" s="175">
        <v>2429.2828395751817</v>
      </c>
      <c r="D64" s="175">
        <v>2652.0683143016849</v>
      </c>
      <c r="E64" s="175">
        <v>2755.4363213791885</v>
      </c>
      <c r="F64" s="175">
        <v>2748.8247624371156</v>
      </c>
      <c r="G64" s="175">
        <v>2743.3235096545163</v>
      </c>
      <c r="H64" s="175">
        <v>3081.3635521167366</v>
      </c>
      <c r="I64" s="175">
        <v>2768.2320761378014</v>
      </c>
      <c r="J64" s="175">
        <v>2189.2430275661209</v>
      </c>
      <c r="K64" s="175">
        <v>2227.8251191491868</v>
      </c>
      <c r="L64" s="175">
        <v>2477.8011238268955</v>
      </c>
      <c r="M64" s="175">
        <v>2722.9190153275867</v>
      </c>
      <c r="N64" s="316">
        <v>2617.8472419520012</v>
      </c>
    </row>
    <row r="65" spans="2:14" s="142" customFormat="1" x14ac:dyDescent="0.35">
      <c r="B65" s="177" t="s">
        <v>811</v>
      </c>
      <c r="C65" s="175">
        <v>2224.5919508105089</v>
      </c>
      <c r="D65" s="175">
        <v>2428.6055657590036</v>
      </c>
      <c r="E65" s="175">
        <v>2523.2638051248859</v>
      </c>
      <c r="F65" s="175">
        <v>2517.2093348239241</v>
      </c>
      <c r="G65" s="175">
        <v>2512.1716165063299</v>
      </c>
      <c r="H65" s="175">
        <v>2821.7284722426525</v>
      </c>
      <c r="I65" s="175">
        <v>2534.981392133212</v>
      </c>
      <c r="J65" s="175">
        <v>2004.7778456061901</v>
      </c>
      <c r="K65" s="175">
        <v>2040.1090178282489</v>
      </c>
      <c r="L65" s="175">
        <v>2269.022094083728</v>
      </c>
      <c r="M65" s="175">
        <v>2493.4864008119798</v>
      </c>
      <c r="N65" s="316">
        <v>2397.2679541573334</v>
      </c>
    </row>
    <row r="66" spans="2:14" s="142" customFormat="1" x14ac:dyDescent="0.35">
      <c r="B66" s="177" t="s">
        <v>812</v>
      </c>
      <c r="C66" s="175">
        <v>2459.1335941866964</v>
      </c>
      <c r="D66" s="175">
        <v>2684.6566317974925</v>
      </c>
      <c r="E66" s="175">
        <v>2789.294813332941</v>
      </c>
      <c r="F66" s="175">
        <v>2782.6020122973728</v>
      </c>
      <c r="G66" s="175">
        <v>2777.033160738627</v>
      </c>
      <c r="H66" s="175">
        <v>3119.2270012650406</v>
      </c>
      <c r="I66" s="175">
        <v>2802.2478008884705</v>
      </c>
      <c r="J66" s="175">
        <v>2216.1441999352774</v>
      </c>
      <c r="K66" s="175">
        <v>2255.200383925157</v>
      </c>
      <c r="L66" s="175">
        <v>2508.2480656644407</v>
      </c>
      <c r="M66" s="175">
        <v>2756.3779382777793</v>
      </c>
      <c r="N66" s="316">
        <v>2650.0150547553903</v>
      </c>
    </row>
    <row r="67" spans="2:14" s="142" customFormat="1" x14ac:dyDescent="0.35">
      <c r="B67" s="177" t="s">
        <v>1367</v>
      </c>
      <c r="C67" s="175">
        <v>2429.2828395751817</v>
      </c>
      <c r="D67" s="175">
        <v>2652.0683143016849</v>
      </c>
      <c r="E67" s="175">
        <v>2755.4363213791885</v>
      </c>
      <c r="F67" s="175">
        <v>2748.8247624371156</v>
      </c>
      <c r="G67" s="175">
        <v>2743.3235096545163</v>
      </c>
      <c r="H67" s="175">
        <v>3081.3635521167366</v>
      </c>
      <c r="I67" s="175">
        <v>2768.2320761378014</v>
      </c>
      <c r="J67" s="175">
        <v>2189.2430275661209</v>
      </c>
      <c r="K67" s="175">
        <v>2227.8251191491868</v>
      </c>
      <c r="L67" s="175">
        <v>2477.8011238268955</v>
      </c>
      <c r="M67" s="175">
        <v>2722.9190153275867</v>
      </c>
      <c r="N67" s="316">
        <v>2617.8472419520012</v>
      </c>
    </row>
    <row r="68" spans="2:14" s="142" customFormat="1" x14ac:dyDescent="0.35">
      <c r="B68" s="177" t="s">
        <v>2269</v>
      </c>
      <c r="C68" s="175">
        <v>2540.1570709893799</v>
      </c>
      <c r="D68" s="175">
        <v>2773.1106364289708</v>
      </c>
      <c r="E68" s="175">
        <v>2881.1964343502691</v>
      </c>
      <c r="F68" s="175">
        <v>2874.2831190609281</v>
      </c>
      <c r="G68" s="175">
        <v>2868.5307851097841</v>
      </c>
      <c r="H68" s="175">
        <v>3221.9992203818656</v>
      </c>
      <c r="I68" s="175">
        <v>2894.5761966402874</v>
      </c>
      <c r="J68" s="175">
        <v>2289.1616677944162</v>
      </c>
      <c r="K68" s="175">
        <v>2329.5046740313614</v>
      </c>
      <c r="L68" s="175">
        <v>2590.8897649377777</v>
      </c>
      <c r="M68" s="175">
        <v>2847.195014856874</v>
      </c>
      <c r="N68" s="316">
        <v>2737.3276895074464</v>
      </c>
    </row>
    <row r="69" spans="2:14" s="142" customFormat="1" x14ac:dyDescent="0.35">
      <c r="B69" s="177" t="s">
        <v>2270</v>
      </c>
      <c r="C69" s="175">
        <v>2392.3247624371161</v>
      </c>
      <c r="D69" s="175">
        <v>2611.7208735925897</v>
      </c>
      <c r="E69" s="175">
        <v>2713.5162837221615</v>
      </c>
      <c r="F69" s="175">
        <v>2707.0053102291786</v>
      </c>
      <c r="G69" s="175">
        <v>2701.5877511694271</v>
      </c>
      <c r="H69" s="175">
        <v>3034.4849960283605</v>
      </c>
      <c r="I69" s="175">
        <v>2726.1173693036394</v>
      </c>
      <c r="J69" s="175">
        <v>2155.9368141566888</v>
      </c>
      <c r="K69" s="175">
        <v>2193.931934188462</v>
      </c>
      <c r="L69" s="175">
        <v>2440.1049101232679</v>
      </c>
      <c r="M69" s="175">
        <v>2681.4936821511578</v>
      </c>
      <c r="N69" s="316">
        <v>2578.0204261001863</v>
      </c>
    </row>
    <row r="70" spans="2:14" s="142" customFormat="1" x14ac:dyDescent="0.35">
      <c r="B70" s="177" t="s">
        <v>1665</v>
      </c>
      <c r="C70" s="175">
        <v>2105.1889323644496</v>
      </c>
      <c r="D70" s="175">
        <v>2298.2522957757724</v>
      </c>
      <c r="E70" s="175">
        <v>2387.829837309876</v>
      </c>
      <c r="F70" s="175">
        <v>2382.1003353828955</v>
      </c>
      <c r="G70" s="175">
        <v>2377.3330121698882</v>
      </c>
      <c r="H70" s="175">
        <v>2670.2746756494366</v>
      </c>
      <c r="I70" s="175">
        <v>2398.9184931305344</v>
      </c>
      <c r="J70" s="175">
        <v>1897.1731561295639</v>
      </c>
      <c r="K70" s="175">
        <v>1930.6079587243682</v>
      </c>
      <c r="L70" s="175">
        <v>2147.2343267335473</v>
      </c>
      <c r="M70" s="175">
        <v>2359.6507090112091</v>
      </c>
      <c r="N70" s="316">
        <v>2268.5967029437766</v>
      </c>
    </row>
    <row r="71" spans="2:14" s="142" customFormat="1" x14ac:dyDescent="0.35">
      <c r="B71" s="177" t="s">
        <v>2271</v>
      </c>
      <c r="C71" s="175">
        <v>1400.1425377305759</v>
      </c>
      <c r="D71" s="175">
        <v>1528.5472730176475</v>
      </c>
      <c r="E71" s="175">
        <v>1588.1245035450559</v>
      </c>
      <c r="F71" s="175">
        <v>1584.3138624930129</v>
      </c>
      <c r="G71" s="175">
        <v>1581.1431579928019</v>
      </c>
      <c r="H71" s="175">
        <v>1775.9760671942572</v>
      </c>
      <c r="I71" s="175">
        <v>1595.4994704480598</v>
      </c>
      <c r="J71" s="175">
        <v>1261.7930849342474</v>
      </c>
      <c r="K71" s="175">
        <v>1284.0302763966934</v>
      </c>
      <c r="L71" s="175">
        <v>1428.1065576181932</v>
      </c>
      <c r="M71" s="175">
        <v>1569.3828145685623</v>
      </c>
      <c r="N71" s="316">
        <v>1508.8236005399192</v>
      </c>
    </row>
    <row r="72" spans="2:14" s="142" customFormat="1" x14ac:dyDescent="0.35">
      <c r="B72" s="177" t="s">
        <v>1365</v>
      </c>
      <c r="C72" s="175">
        <v>2055.4376746785915</v>
      </c>
      <c r="D72" s="175">
        <v>2243.9384332827599</v>
      </c>
      <c r="E72" s="175">
        <v>2331.3990173869552</v>
      </c>
      <c r="F72" s="175">
        <v>2325.8049189491335</v>
      </c>
      <c r="G72" s="175">
        <v>2321.1502603630374</v>
      </c>
      <c r="H72" s="175">
        <v>2607.1689270689299</v>
      </c>
      <c r="I72" s="175">
        <v>2342.225618546086</v>
      </c>
      <c r="J72" s="175">
        <v>1852.3378688476364</v>
      </c>
      <c r="K72" s="175">
        <v>1884.9825174310849</v>
      </c>
      <c r="L72" s="175">
        <v>2096.489423670972</v>
      </c>
      <c r="M72" s="175">
        <v>2303.8858374275542</v>
      </c>
      <c r="N72" s="316">
        <v>2214.983681604795</v>
      </c>
    </row>
    <row r="73" spans="2:14" s="142" customFormat="1" x14ac:dyDescent="0.35">
      <c r="B73" s="177" t="s">
        <v>569</v>
      </c>
      <c r="C73" s="175">
        <v>2429.2828395751817</v>
      </c>
      <c r="D73" s="175">
        <v>2652.0683143016849</v>
      </c>
      <c r="E73" s="175">
        <v>2755.4363213791885</v>
      </c>
      <c r="F73" s="175">
        <v>2748.8247624371156</v>
      </c>
      <c r="G73" s="175">
        <v>2743.3235096545163</v>
      </c>
      <c r="H73" s="175">
        <v>3081.3635521167366</v>
      </c>
      <c r="I73" s="175">
        <v>2768.2320761378014</v>
      </c>
      <c r="J73" s="175">
        <v>2189.2430275661209</v>
      </c>
      <c r="K73" s="175">
        <v>2227.8251191491868</v>
      </c>
      <c r="L73" s="175">
        <v>2477.8011238268955</v>
      </c>
      <c r="M73" s="175">
        <v>2722.9190153275867</v>
      </c>
      <c r="N73" s="316">
        <v>2617.8472419520012</v>
      </c>
    </row>
    <row r="74" spans="2:14" s="142" customFormat="1" x14ac:dyDescent="0.35">
      <c r="B74" s="177" t="s">
        <v>30</v>
      </c>
      <c r="C74" s="175">
        <v>2429.2828395751817</v>
      </c>
      <c r="D74" s="175">
        <v>2652.0683143016849</v>
      </c>
      <c r="E74" s="175">
        <v>2755.4363213791885</v>
      </c>
      <c r="F74" s="175">
        <v>2748.8247624371156</v>
      </c>
      <c r="G74" s="175">
        <v>2743.3235096545163</v>
      </c>
      <c r="H74" s="175">
        <v>3081.3635521167366</v>
      </c>
      <c r="I74" s="175">
        <v>2768.2320761378014</v>
      </c>
      <c r="J74" s="175">
        <v>2189.2430275661209</v>
      </c>
      <c r="K74" s="175">
        <v>2227.8251191491868</v>
      </c>
      <c r="L74" s="175">
        <v>2477.8011238268955</v>
      </c>
      <c r="M74" s="175">
        <v>2722.9190153275867</v>
      </c>
      <c r="N74" s="316">
        <v>2617.8472419520012</v>
      </c>
    </row>
    <row r="75" spans="2:14" s="142" customFormat="1" x14ac:dyDescent="0.35">
      <c r="B75" s="177" t="s">
        <v>814</v>
      </c>
      <c r="C75" s="175">
        <v>2429.2828395751817</v>
      </c>
      <c r="D75" s="175">
        <v>2652.0683143016849</v>
      </c>
      <c r="E75" s="175">
        <v>2755.4363213791885</v>
      </c>
      <c r="F75" s="175">
        <v>2748.8247624371156</v>
      </c>
      <c r="G75" s="175">
        <v>2743.3235096545163</v>
      </c>
      <c r="H75" s="175">
        <v>3081.3635521167366</v>
      </c>
      <c r="I75" s="175">
        <v>2768.2320761378014</v>
      </c>
      <c r="J75" s="175">
        <v>2189.2430275661209</v>
      </c>
      <c r="K75" s="175">
        <v>2227.8251191491868</v>
      </c>
      <c r="L75" s="175">
        <v>2477.8011238268955</v>
      </c>
      <c r="M75" s="175">
        <v>2722.9190153275867</v>
      </c>
      <c r="N75" s="316">
        <v>2617.8472419520012</v>
      </c>
    </row>
    <row r="76" spans="2:14" s="142" customFormat="1" x14ac:dyDescent="0.35">
      <c r="B76" s="177" t="s">
        <v>1368</v>
      </c>
      <c r="C76" s="175">
        <v>1728.5008384572388</v>
      </c>
      <c r="D76" s="175">
        <v>1887.0187654715323</v>
      </c>
      <c r="E76" s="175">
        <v>1960.567915036333</v>
      </c>
      <c r="F76" s="175">
        <v>1955.8636109558413</v>
      </c>
      <c r="G76" s="175">
        <v>1951.9493199180174</v>
      </c>
      <c r="H76" s="175">
        <v>2192.4740078256009</v>
      </c>
      <c r="I76" s="175">
        <v>1969.6724427054221</v>
      </c>
      <c r="J76" s="175">
        <v>1557.7059809949694</v>
      </c>
      <c r="K76" s="175">
        <v>1585.1581889323645</v>
      </c>
      <c r="L76" s="175">
        <v>1763.0229178311906</v>
      </c>
      <c r="M76" s="175">
        <v>1937.4309670206819</v>
      </c>
      <c r="N76" s="316">
        <v>1862.6695413771993</v>
      </c>
    </row>
    <row r="77" spans="2:14" s="142" customFormat="1" x14ac:dyDescent="0.35">
      <c r="B77" s="177" t="s">
        <v>2272</v>
      </c>
      <c r="C77" s="175">
        <v>1489.6948015651203</v>
      </c>
      <c r="D77" s="175">
        <v>1626.3122255050707</v>
      </c>
      <c r="E77" s="175">
        <v>1689.6999794063133</v>
      </c>
      <c r="F77" s="175">
        <v>1685.6456120737842</v>
      </c>
      <c r="G77" s="175">
        <v>1682.2721112451336</v>
      </c>
      <c r="H77" s="175">
        <v>1889.5664146391691</v>
      </c>
      <c r="I77" s="175">
        <v>1697.5466447000676</v>
      </c>
      <c r="J77" s="175">
        <v>1342.4966020417171</v>
      </c>
      <c r="K77" s="175">
        <v>1366.1560707246038</v>
      </c>
      <c r="L77" s="175">
        <v>1519.4473831308289</v>
      </c>
      <c r="M77" s="175">
        <v>1669.7595834191404</v>
      </c>
      <c r="N77" s="316">
        <v>1605.3270389500865</v>
      </c>
    </row>
    <row r="78" spans="2:14" s="142" customFormat="1" x14ac:dyDescent="0.35">
      <c r="B78" s="177" t="s">
        <v>2273</v>
      </c>
      <c r="C78" s="175">
        <v>2723.5259921743991</v>
      </c>
      <c r="D78" s="175">
        <v>2973.2960153317895</v>
      </c>
      <c r="E78" s="175">
        <v>3089.1843134947485</v>
      </c>
      <c r="F78" s="175">
        <v>3081.771939631079</v>
      </c>
      <c r="G78" s="175">
        <v>3075.6043560550343</v>
      </c>
      <c r="H78" s="175">
        <v>3454.5889794357327</v>
      </c>
      <c r="I78" s="175">
        <v>3103.5299343943984</v>
      </c>
      <c r="J78" s="175">
        <v>2454.4117266335211</v>
      </c>
      <c r="K78" s="175">
        <v>2497.6670147980349</v>
      </c>
      <c r="L78" s="175">
        <v>2777.9209790826985</v>
      </c>
      <c r="M78" s="175">
        <v>3052.7283986937719</v>
      </c>
      <c r="N78" s="316">
        <v>2934.9299681568368</v>
      </c>
    </row>
    <row r="79" spans="2:14" s="142" customFormat="1" x14ac:dyDescent="0.35">
      <c r="B79" s="177" t="s">
        <v>1371</v>
      </c>
      <c r="C79" s="175">
        <v>1414.3571827836781</v>
      </c>
      <c r="D79" s="175">
        <v>1544.0655194442227</v>
      </c>
      <c r="E79" s="175">
        <v>1604.2475949516047</v>
      </c>
      <c r="F79" s="175">
        <v>1600.3982671883734</v>
      </c>
      <c r="G79" s="175">
        <v>1597.1953727947594</v>
      </c>
      <c r="H79" s="175">
        <v>1794.0062810744018</v>
      </c>
      <c r="I79" s="175">
        <v>1611.6974346150453</v>
      </c>
      <c r="J79" s="175">
        <v>1274.6031670147981</v>
      </c>
      <c r="K79" s="175">
        <v>1297.0661167662029</v>
      </c>
      <c r="L79" s="175">
        <v>1442.6051013503575</v>
      </c>
      <c r="M79" s="175">
        <v>1585.315635021035</v>
      </c>
      <c r="N79" s="316">
        <v>1524.1416066367708</v>
      </c>
    </row>
    <row r="80" spans="2:14" s="142" customFormat="1" x14ac:dyDescent="0.35">
      <c r="B80" s="177" t="s">
        <v>1369</v>
      </c>
      <c r="C80" s="175">
        <v>4015.6372275013978</v>
      </c>
      <c r="D80" s="175">
        <v>4383.9046155074666</v>
      </c>
      <c r="E80" s="175">
        <v>4554.7733223500336</v>
      </c>
      <c r="F80" s="175">
        <v>4543.8443264393518</v>
      </c>
      <c r="G80" s="175">
        <v>4534.7506815529605</v>
      </c>
      <c r="H80" s="175">
        <v>5093.5354211408903</v>
      </c>
      <c r="I80" s="175">
        <v>4575.9248771733692</v>
      </c>
      <c r="J80" s="175">
        <v>3618.8481877555828</v>
      </c>
      <c r="K80" s="175">
        <v>3682.6249043864555</v>
      </c>
      <c r="L80" s="175">
        <v>4095.8386043364421</v>
      </c>
      <c r="M80" s="175">
        <v>4501.0217778235419</v>
      </c>
      <c r="N80" s="316">
        <v>4327.3367223606801</v>
      </c>
    </row>
    <row r="81" spans="2:14" s="142" customFormat="1" x14ac:dyDescent="0.35">
      <c r="B81" s="177" t="s">
        <v>1370</v>
      </c>
      <c r="C81" s="175">
        <v>2376.6886528787031</v>
      </c>
      <c r="D81" s="175">
        <v>2594.650802523357</v>
      </c>
      <c r="E81" s="175">
        <v>2695.7808831749576</v>
      </c>
      <c r="F81" s="175">
        <v>2689.3124650642817</v>
      </c>
      <c r="G81" s="175">
        <v>2683.9303148872741</v>
      </c>
      <c r="H81" s="175">
        <v>3014.6517607602009</v>
      </c>
      <c r="I81" s="175">
        <v>2708.2996087199554</v>
      </c>
      <c r="J81" s="175">
        <v>2141.845723868083</v>
      </c>
      <c r="K81" s="175">
        <v>2179.5925097820013</v>
      </c>
      <c r="L81" s="175">
        <v>2424.1565120178871</v>
      </c>
      <c r="M81" s="175">
        <v>2663.9675796534375</v>
      </c>
      <c r="N81" s="316">
        <v>2561.1706193936484</v>
      </c>
    </row>
    <row r="82" spans="2:14" s="142" customFormat="1" x14ac:dyDescent="0.35">
      <c r="B82" s="177" t="s">
        <v>32</v>
      </c>
      <c r="C82" s="175">
        <v>2429.2828395751817</v>
      </c>
      <c r="D82" s="175">
        <v>2652.0683143016849</v>
      </c>
      <c r="E82" s="175">
        <v>2755.4363213791885</v>
      </c>
      <c r="F82" s="175">
        <v>2748.8247624371156</v>
      </c>
      <c r="G82" s="175">
        <v>2743.3235096545163</v>
      </c>
      <c r="H82" s="175">
        <v>3081.3635521167366</v>
      </c>
      <c r="I82" s="175">
        <v>2768.2320761378014</v>
      </c>
      <c r="J82" s="175">
        <v>2189.2430275661209</v>
      </c>
      <c r="K82" s="175">
        <v>2227.8251191491868</v>
      </c>
      <c r="L82" s="175">
        <v>2477.8011238268955</v>
      </c>
      <c r="M82" s="175">
        <v>2722.9190153275867</v>
      </c>
      <c r="N82" s="316">
        <v>2617.8472419520012</v>
      </c>
    </row>
    <row r="83" spans="2:14" s="142" customFormat="1" x14ac:dyDescent="0.35">
      <c r="B83" s="177" t="s">
        <v>2274</v>
      </c>
      <c r="C83" s="175">
        <v>2429.2828395751817</v>
      </c>
      <c r="D83" s="175">
        <v>2652.0683143016849</v>
      </c>
      <c r="E83" s="175">
        <v>2755.4363213791885</v>
      </c>
      <c r="F83" s="175">
        <v>2748.8247624371156</v>
      </c>
      <c r="G83" s="175">
        <v>2743.3235096545163</v>
      </c>
      <c r="H83" s="175">
        <v>3081.3635521167366</v>
      </c>
      <c r="I83" s="175">
        <v>2768.2320761378014</v>
      </c>
      <c r="J83" s="175">
        <v>2189.2430275661209</v>
      </c>
      <c r="K83" s="175">
        <v>2227.8251191491868</v>
      </c>
      <c r="L83" s="175">
        <v>2477.8011238268955</v>
      </c>
      <c r="M83" s="175">
        <v>2722.9190153275867</v>
      </c>
      <c r="N83" s="316">
        <v>2617.8472419520012</v>
      </c>
    </row>
    <row r="84" spans="2:14" s="142" customFormat="1" x14ac:dyDescent="0.35">
      <c r="B84" s="177" t="s">
        <v>2275</v>
      </c>
      <c r="C84" s="175">
        <v>2278.6076020122973</v>
      </c>
      <c r="D84" s="175">
        <v>2487.5749021799888</v>
      </c>
      <c r="E84" s="175">
        <v>2584.5315524697712</v>
      </c>
      <c r="F84" s="175">
        <v>2578.3300726662942</v>
      </c>
      <c r="G84" s="175">
        <v>2573.1700327537683</v>
      </c>
      <c r="H84" s="175">
        <v>2890.2432849872025</v>
      </c>
      <c r="I84" s="175">
        <v>2596.5336559677562</v>
      </c>
      <c r="J84" s="175">
        <v>2053.456157512283</v>
      </c>
      <c r="K84" s="175">
        <v>2089.645211232385</v>
      </c>
      <c r="L84" s="175">
        <v>2324.116560265953</v>
      </c>
      <c r="M84" s="175">
        <v>2554.0311185313758</v>
      </c>
      <c r="N84" s="316">
        <v>2455.4763773253708</v>
      </c>
    </row>
    <row r="85" spans="2:14" s="142" customFormat="1" x14ac:dyDescent="0.35">
      <c r="B85" s="177" t="s">
        <v>2276</v>
      </c>
      <c r="C85" s="175">
        <v>2429.2828395751817</v>
      </c>
      <c r="D85" s="175">
        <v>2652.0683143016849</v>
      </c>
      <c r="E85" s="175">
        <v>2755.4363213791885</v>
      </c>
      <c r="F85" s="175">
        <v>2748.8247624371156</v>
      </c>
      <c r="G85" s="175">
        <v>2743.3235096545163</v>
      </c>
      <c r="H85" s="175">
        <v>3081.3635521167366</v>
      </c>
      <c r="I85" s="175">
        <v>2768.2320761378014</v>
      </c>
      <c r="J85" s="175">
        <v>2189.2430275661209</v>
      </c>
      <c r="K85" s="175">
        <v>2227.8251191491868</v>
      </c>
      <c r="L85" s="175">
        <v>2477.8011238268955</v>
      </c>
      <c r="M85" s="175">
        <v>2722.9190153275867</v>
      </c>
      <c r="N85" s="316">
        <v>2617.8472419520012</v>
      </c>
    </row>
    <row r="86" spans="2:14" s="142" customFormat="1" x14ac:dyDescent="0.35">
      <c r="B86" s="177" t="s">
        <v>1666</v>
      </c>
      <c r="C86" s="175">
        <v>1884.8619340413641</v>
      </c>
      <c r="D86" s="175">
        <v>2057.7194761638584</v>
      </c>
      <c r="E86" s="175">
        <v>2137.9219205083696</v>
      </c>
      <c r="F86" s="175">
        <v>2132.7920626048071</v>
      </c>
      <c r="G86" s="175">
        <v>2128.5236827395488</v>
      </c>
      <c r="H86" s="175">
        <v>2390.8063605071929</v>
      </c>
      <c r="I86" s="175">
        <v>2147.8500485422614</v>
      </c>
      <c r="J86" s="175">
        <v>1698.6168838810274</v>
      </c>
      <c r="K86" s="175">
        <v>1728.5524329969699</v>
      </c>
      <c r="L86" s="175">
        <v>1922.5068988849991</v>
      </c>
      <c r="M86" s="175">
        <v>2112.6919919978818</v>
      </c>
      <c r="N86" s="316">
        <v>2031.167608442571</v>
      </c>
    </row>
    <row r="87" spans="2:14" s="142" customFormat="1" x14ac:dyDescent="0.35">
      <c r="B87" s="177" t="s">
        <v>1373</v>
      </c>
      <c r="C87" s="175">
        <v>1940.2990497484629</v>
      </c>
      <c r="D87" s="175">
        <v>2118.2406372275013</v>
      </c>
      <c r="E87" s="175">
        <v>2200.8019769939101</v>
      </c>
      <c r="F87" s="175">
        <v>2195.5212409167134</v>
      </c>
      <c r="G87" s="175">
        <v>2191.1273204671825</v>
      </c>
      <c r="H87" s="175">
        <v>2461.1241946397577</v>
      </c>
      <c r="I87" s="175">
        <v>2211.0221087935042</v>
      </c>
      <c r="J87" s="175">
        <v>1748.5762039951753</v>
      </c>
      <c r="K87" s="175">
        <v>1779.3922104380572</v>
      </c>
      <c r="L87" s="175">
        <v>1979.0512194404403</v>
      </c>
      <c r="M87" s="175">
        <v>2174.8299917625254</v>
      </c>
      <c r="N87" s="316">
        <v>2090.9078322202936</v>
      </c>
    </row>
    <row r="88" spans="2:14" s="142" customFormat="1" x14ac:dyDescent="0.35">
      <c r="B88" s="177" t="s">
        <v>1372</v>
      </c>
      <c r="C88" s="175">
        <v>2085.2884292901063</v>
      </c>
      <c r="D88" s="175">
        <v>2276.5267507785675</v>
      </c>
      <c r="E88" s="175">
        <v>2365.2575093407077</v>
      </c>
      <c r="F88" s="175">
        <v>2359.5821688093906</v>
      </c>
      <c r="G88" s="175">
        <v>2354.8599114471476</v>
      </c>
      <c r="H88" s="175">
        <v>2645.0323762172338</v>
      </c>
      <c r="I88" s="175">
        <v>2376.2413432967551</v>
      </c>
      <c r="J88" s="175">
        <v>1879.2390412167929</v>
      </c>
      <c r="K88" s="175">
        <v>1912.3577822070549</v>
      </c>
      <c r="L88" s="175">
        <v>2126.9363655085172</v>
      </c>
      <c r="M88" s="175">
        <v>2337.3447603777472</v>
      </c>
      <c r="N88" s="316">
        <v>2247.1514944081832</v>
      </c>
    </row>
    <row r="89" spans="2:14" s="142" customFormat="1" x14ac:dyDescent="0.35">
      <c r="B89" s="177" t="s">
        <v>1374</v>
      </c>
      <c r="C89" s="175">
        <v>1914.7126886528788</v>
      </c>
      <c r="D89" s="175">
        <v>2090.307793659666</v>
      </c>
      <c r="E89" s="175">
        <v>2171.7804124621221</v>
      </c>
      <c r="F89" s="175">
        <v>2166.5693124650643</v>
      </c>
      <c r="G89" s="175">
        <v>2162.233333823659</v>
      </c>
      <c r="H89" s="175">
        <v>2428.6698096554969</v>
      </c>
      <c r="I89" s="175">
        <v>2181.8657732929305</v>
      </c>
      <c r="J89" s="175">
        <v>1725.5180562501841</v>
      </c>
      <c r="K89" s="175">
        <v>1755.9276977729401</v>
      </c>
      <c r="L89" s="175">
        <v>1952.9538407225443</v>
      </c>
      <c r="M89" s="175">
        <v>2146.1509149480744</v>
      </c>
      <c r="N89" s="316">
        <v>2063.3354212459599</v>
      </c>
    </row>
    <row r="90" spans="2:14" s="142" customFormat="1" x14ac:dyDescent="0.35">
      <c r="B90" s="177" t="s">
        <v>1376</v>
      </c>
      <c r="C90" s="175">
        <v>2294.2437115707103</v>
      </c>
      <c r="D90" s="175">
        <v>2504.6449732492215</v>
      </c>
      <c r="E90" s="175">
        <v>2602.2669530169746</v>
      </c>
      <c r="F90" s="175">
        <v>2596.0229178311906</v>
      </c>
      <c r="G90" s="175">
        <v>2590.8274690359212</v>
      </c>
      <c r="H90" s="175">
        <v>2910.0765202553616</v>
      </c>
      <c r="I90" s="175">
        <v>2614.3514165514403</v>
      </c>
      <c r="J90" s="175">
        <v>2067.5472478008887</v>
      </c>
      <c r="K90" s="175">
        <v>2103.9846356388457</v>
      </c>
      <c r="L90" s="175">
        <v>2340.0649583713339</v>
      </c>
      <c r="M90" s="175">
        <v>2571.5572210290961</v>
      </c>
      <c r="N90" s="316">
        <v>2472.3261840319074</v>
      </c>
    </row>
    <row r="91" spans="2:14" s="142" customFormat="1" x14ac:dyDescent="0.35">
      <c r="B91" s="177" t="s">
        <v>1377</v>
      </c>
      <c r="C91" s="175">
        <v>2568.5863610955844</v>
      </c>
      <c r="D91" s="175">
        <v>2804.1471292821211</v>
      </c>
      <c r="E91" s="175">
        <v>2913.4426171633663</v>
      </c>
      <c r="F91" s="175">
        <v>2906.4519284516491</v>
      </c>
      <c r="G91" s="175">
        <v>2900.6352147136986</v>
      </c>
      <c r="H91" s="175">
        <v>3258.0596481421553</v>
      </c>
      <c r="I91" s="175">
        <v>2926.9721249742579</v>
      </c>
      <c r="J91" s="175">
        <v>2314.7818319555181</v>
      </c>
      <c r="K91" s="175">
        <v>2355.5763547703805</v>
      </c>
      <c r="L91" s="175">
        <v>2619.8868524021068</v>
      </c>
      <c r="M91" s="175">
        <v>2879.0606557618194</v>
      </c>
      <c r="N91" s="316">
        <v>2767.9637017011505</v>
      </c>
    </row>
    <row r="92" spans="2:14" s="142" customFormat="1" x14ac:dyDescent="0.35">
      <c r="B92" s="177" t="s">
        <v>1375</v>
      </c>
      <c r="C92" s="175">
        <v>1785.359418669648</v>
      </c>
      <c r="D92" s="175">
        <v>1949.0917511778327</v>
      </c>
      <c r="E92" s="175">
        <v>2025.0602806625282</v>
      </c>
      <c r="F92" s="175">
        <v>2020.2012297372835</v>
      </c>
      <c r="G92" s="175">
        <v>2016.158179125847</v>
      </c>
      <c r="H92" s="175">
        <v>2264.5948633461799</v>
      </c>
      <c r="I92" s="175">
        <v>2034.4642993733637</v>
      </c>
      <c r="J92" s="175">
        <v>1608.9463093171723</v>
      </c>
      <c r="K92" s="175">
        <v>1637.3015504104028</v>
      </c>
      <c r="L92" s="175">
        <v>1821.0170927598483</v>
      </c>
      <c r="M92" s="175">
        <v>2001.1622488305727</v>
      </c>
      <c r="N92" s="316">
        <v>1923.9415657646073</v>
      </c>
    </row>
    <row r="93" spans="2:14" s="142" customFormat="1" x14ac:dyDescent="0.35">
      <c r="B93" s="177" t="s">
        <v>2277</v>
      </c>
      <c r="C93" s="175">
        <v>2429.2828395751817</v>
      </c>
      <c r="D93" s="175">
        <v>2652.0683143016849</v>
      </c>
      <c r="E93" s="175">
        <v>2755.4363213791885</v>
      </c>
      <c r="F93" s="175">
        <v>2748.8247624371156</v>
      </c>
      <c r="G93" s="175">
        <v>2743.3235096545163</v>
      </c>
      <c r="H93" s="175">
        <v>3081.3635521167366</v>
      </c>
      <c r="I93" s="175">
        <v>2768.2320761378014</v>
      </c>
      <c r="J93" s="175">
        <v>2189.2430275661209</v>
      </c>
      <c r="K93" s="175">
        <v>2227.8251191491868</v>
      </c>
      <c r="L93" s="175">
        <v>2477.8011238268955</v>
      </c>
      <c r="M93" s="175">
        <v>2722.9190153275867</v>
      </c>
      <c r="N93" s="316">
        <v>2617.8472419520012</v>
      </c>
    </row>
    <row r="94" spans="2:14" s="142" customFormat="1" x14ac:dyDescent="0.35">
      <c r="B94" s="177" t="s">
        <v>1757</v>
      </c>
      <c r="C94" s="175">
        <v>1826.5818893236446</v>
      </c>
      <c r="D94" s="175">
        <v>1994.0946658149005</v>
      </c>
      <c r="E94" s="175">
        <v>2071.8172457415194</v>
      </c>
      <c r="F94" s="175">
        <v>2066.846003353829</v>
      </c>
      <c r="G94" s="175">
        <v>2062.7096020515232</v>
      </c>
      <c r="H94" s="175">
        <v>2316.8824835985997</v>
      </c>
      <c r="I94" s="175">
        <v>2081.438395457621</v>
      </c>
      <c r="J94" s="175">
        <v>1646.0955473507695</v>
      </c>
      <c r="K94" s="175">
        <v>1675.1054874819806</v>
      </c>
      <c r="L94" s="175">
        <v>1863.0628695831251</v>
      </c>
      <c r="M94" s="175">
        <v>2047.3674281427436</v>
      </c>
      <c r="N94" s="316">
        <v>1968.3637834454782</v>
      </c>
    </row>
    <row r="95" spans="2:14" s="142" customFormat="1" x14ac:dyDescent="0.35">
      <c r="B95" s="177" t="s">
        <v>2278</v>
      </c>
      <c r="C95" s="175">
        <v>2429.2828395751817</v>
      </c>
      <c r="D95" s="175">
        <v>2652.0683143016849</v>
      </c>
      <c r="E95" s="175">
        <v>2755.4363213791885</v>
      </c>
      <c r="F95" s="175">
        <v>2748.8247624371156</v>
      </c>
      <c r="G95" s="175">
        <v>2743.3235096545163</v>
      </c>
      <c r="H95" s="175">
        <v>3081.3635521167366</v>
      </c>
      <c r="I95" s="175">
        <v>2768.2320761378014</v>
      </c>
      <c r="J95" s="175">
        <v>2189.2430275661209</v>
      </c>
      <c r="K95" s="175">
        <v>2227.8251191491868</v>
      </c>
      <c r="L95" s="175">
        <v>2477.8011238268955</v>
      </c>
      <c r="M95" s="175">
        <v>2722.9190153275867</v>
      </c>
      <c r="N95" s="316">
        <v>2617.8472419520012</v>
      </c>
    </row>
    <row r="96" spans="2:14" s="142" customFormat="1" x14ac:dyDescent="0.35">
      <c r="B96" s="177" t="s">
        <v>2279</v>
      </c>
      <c r="C96" s="175">
        <v>2429.2828395751817</v>
      </c>
      <c r="D96" s="175">
        <v>2652.0683143016849</v>
      </c>
      <c r="E96" s="175">
        <v>2755.4363213791885</v>
      </c>
      <c r="F96" s="175">
        <v>2748.8247624371156</v>
      </c>
      <c r="G96" s="175">
        <v>2743.3235096545163</v>
      </c>
      <c r="H96" s="175">
        <v>3081.3635521167366</v>
      </c>
      <c r="I96" s="175">
        <v>2768.2320761378014</v>
      </c>
      <c r="J96" s="175">
        <v>2189.2430275661209</v>
      </c>
      <c r="K96" s="175">
        <v>2227.8251191491868</v>
      </c>
      <c r="L96" s="175">
        <v>2477.8011238268955</v>
      </c>
      <c r="M96" s="175">
        <v>2722.9190153275867</v>
      </c>
      <c r="N96" s="316">
        <v>2617.8472419520012</v>
      </c>
    </row>
    <row r="97" spans="2:14" s="123" customFormat="1" x14ac:dyDescent="0.35"/>
    <row r="98" spans="2:14" s="142" customFormat="1" ht="17.5" thickBot="1" x14ac:dyDescent="0.45">
      <c r="B98" s="176" t="s">
        <v>2281</v>
      </c>
      <c r="C98" s="176"/>
      <c r="D98" s="176"/>
      <c r="E98" s="176"/>
    </row>
    <row r="99" spans="2:14" s="142" customFormat="1" ht="17.5" thickTop="1" x14ac:dyDescent="0.4">
      <c r="B99" s="435" t="s">
        <v>2266</v>
      </c>
      <c r="C99" s="2045"/>
      <c r="D99" s="2045"/>
      <c r="E99" s="2045"/>
      <c r="F99" s="2045"/>
      <c r="G99" s="2045"/>
      <c r="H99" s="2045"/>
      <c r="I99" s="2045"/>
      <c r="J99" s="2045"/>
      <c r="K99" s="2045"/>
      <c r="L99" s="2045"/>
      <c r="M99" s="2045"/>
      <c r="N99" s="2045"/>
    </row>
    <row r="100" spans="2:14" s="142" customFormat="1" x14ac:dyDescent="0.35">
      <c r="B100" s="153" t="s">
        <v>2282</v>
      </c>
      <c r="C100" s="212" t="s">
        <v>1361</v>
      </c>
      <c r="D100" s="212" t="s">
        <v>1811</v>
      </c>
      <c r="E100" s="212" t="s">
        <v>1812</v>
      </c>
      <c r="F100" s="227" t="s">
        <v>1362</v>
      </c>
      <c r="G100" s="227" t="s">
        <v>1813</v>
      </c>
      <c r="H100" s="227" t="s">
        <v>1814</v>
      </c>
      <c r="I100" s="227" t="s">
        <v>1815</v>
      </c>
      <c r="J100" s="227" t="s">
        <v>1816</v>
      </c>
      <c r="K100" s="227" t="s">
        <v>1817</v>
      </c>
      <c r="L100" s="227" t="s">
        <v>1818</v>
      </c>
      <c r="M100" s="227" t="s">
        <v>1819</v>
      </c>
      <c r="N100" s="194" t="s">
        <v>10</v>
      </c>
    </row>
    <row r="101" spans="2:14" s="142" customFormat="1" x14ac:dyDescent="0.35">
      <c r="B101" s="177" t="s">
        <v>1366</v>
      </c>
      <c r="C101" s="175" t="s">
        <v>2283</v>
      </c>
      <c r="D101" s="175" t="s">
        <v>2283</v>
      </c>
      <c r="E101" s="175" t="s">
        <v>2283</v>
      </c>
      <c r="F101" s="175" t="s">
        <v>2283</v>
      </c>
      <c r="G101" s="175" t="s">
        <v>2283</v>
      </c>
      <c r="H101" s="175" t="s">
        <v>2283</v>
      </c>
      <c r="I101" s="175" t="s">
        <v>2283</v>
      </c>
      <c r="J101" s="175" t="s">
        <v>2283</v>
      </c>
      <c r="K101" s="175" t="s">
        <v>2283</v>
      </c>
      <c r="L101" s="175" t="s">
        <v>2283</v>
      </c>
      <c r="M101" s="175" t="s">
        <v>2283</v>
      </c>
      <c r="N101" s="316" t="s">
        <v>2283</v>
      </c>
    </row>
    <row r="102" spans="2:14" s="142" customFormat="1" x14ac:dyDescent="0.35">
      <c r="B102" s="177" t="s">
        <v>2267</v>
      </c>
      <c r="C102" s="175" t="s">
        <v>2283</v>
      </c>
      <c r="D102" s="175" t="s">
        <v>2283</v>
      </c>
      <c r="E102" s="175" t="s">
        <v>2283</v>
      </c>
      <c r="F102" s="175" t="s">
        <v>2283</v>
      </c>
      <c r="G102" s="175" t="s">
        <v>2283</v>
      </c>
      <c r="H102" s="175" t="s">
        <v>2283</v>
      </c>
      <c r="I102" s="175" t="s">
        <v>2283</v>
      </c>
      <c r="J102" s="175" t="s">
        <v>2283</v>
      </c>
      <c r="K102" s="175" t="s">
        <v>2283</v>
      </c>
      <c r="L102" s="175" t="s">
        <v>2283</v>
      </c>
      <c r="M102" s="175" t="s">
        <v>2283</v>
      </c>
      <c r="N102" s="316" t="s">
        <v>2283</v>
      </c>
    </row>
    <row r="103" spans="2:14" s="142" customFormat="1" x14ac:dyDescent="0.35">
      <c r="B103" s="177" t="s">
        <v>2268</v>
      </c>
      <c r="C103" s="175" t="s">
        <v>2283</v>
      </c>
      <c r="D103" s="175" t="s">
        <v>2283</v>
      </c>
      <c r="E103" s="175" t="s">
        <v>2283</v>
      </c>
      <c r="F103" s="175" t="s">
        <v>2283</v>
      </c>
      <c r="G103" s="175" t="s">
        <v>2283</v>
      </c>
      <c r="H103" s="175" t="s">
        <v>2283</v>
      </c>
      <c r="I103" s="175" t="s">
        <v>2283</v>
      </c>
      <c r="J103" s="175" t="s">
        <v>2283</v>
      </c>
      <c r="K103" s="175" t="s">
        <v>2283</v>
      </c>
      <c r="L103" s="175" t="s">
        <v>2283</v>
      </c>
      <c r="M103" s="175" t="s">
        <v>2283</v>
      </c>
      <c r="N103" s="316" t="s">
        <v>2283</v>
      </c>
    </row>
    <row r="104" spans="2:14" s="142" customFormat="1" x14ac:dyDescent="0.35">
      <c r="B104" s="177" t="s">
        <v>811</v>
      </c>
      <c r="C104" s="175" t="s">
        <v>2283</v>
      </c>
      <c r="D104" s="175" t="s">
        <v>2283</v>
      </c>
      <c r="E104" s="175" t="s">
        <v>2283</v>
      </c>
      <c r="F104" s="175" t="s">
        <v>2283</v>
      </c>
      <c r="G104" s="175" t="s">
        <v>2283</v>
      </c>
      <c r="H104" s="175" t="s">
        <v>2283</v>
      </c>
      <c r="I104" s="175" t="s">
        <v>2283</v>
      </c>
      <c r="J104" s="175" t="s">
        <v>2283</v>
      </c>
      <c r="K104" s="175" t="s">
        <v>2283</v>
      </c>
      <c r="L104" s="175" t="s">
        <v>2283</v>
      </c>
      <c r="M104" s="175" t="s">
        <v>2283</v>
      </c>
      <c r="N104" s="316" t="s">
        <v>2283</v>
      </c>
    </row>
    <row r="105" spans="2:14" s="142" customFormat="1" x14ac:dyDescent="0.35">
      <c r="B105" s="177" t="s">
        <v>812</v>
      </c>
      <c r="C105" s="175" t="s">
        <v>2283</v>
      </c>
      <c r="D105" s="175" t="s">
        <v>2283</v>
      </c>
      <c r="E105" s="175" t="s">
        <v>2283</v>
      </c>
      <c r="F105" s="175" t="s">
        <v>2283</v>
      </c>
      <c r="G105" s="175" t="s">
        <v>2283</v>
      </c>
      <c r="H105" s="175" t="s">
        <v>2283</v>
      </c>
      <c r="I105" s="175" t="s">
        <v>2283</v>
      </c>
      <c r="J105" s="175" t="s">
        <v>2283</v>
      </c>
      <c r="K105" s="175" t="s">
        <v>2283</v>
      </c>
      <c r="L105" s="175" t="s">
        <v>2283</v>
      </c>
      <c r="M105" s="175" t="s">
        <v>2283</v>
      </c>
      <c r="N105" s="316" t="s">
        <v>2283</v>
      </c>
    </row>
    <row r="106" spans="2:14" s="142" customFormat="1" x14ac:dyDescent="0.35">
      <c r="B106" s="177" t="s">
        <v>1367</v>
      </c>
      <c r="C106" s="175" t="s">
        <v>2283</v>
      </c>
      <c r="D106" s="175" t="s">
        <v>2283</v>
      </c>
      <c r="E106" s="175" t="s">
        <v>2283</v>
      </c>
      <c r="F106" s="175" t="s">
        <v>2283</v>
      </c>
      <c r="G106" s="175" t="s">
        <v>2283</v>
      </c>
      <c r="H106" s="175" t="s">
        <v>2283</v>
      </c>
      <c r="I106" s="175" t="s">
        <v>2283</v>
      </c>
      <c r="J106" s="175" t="s">
        <v>2283</v>
      </c>
      <c r="K106" s="175" t="s">
        <v>2283</v>
      </c>
      <c r="L106" s="175" t="s">
        <v>2283</v>
      </c>
      <c r="M106" s="175" t="s">
        <v>2283</v>
      </c>
      <c r="N106" s="316" t="s">
        <v>2283</v>
      </c>
    </row>
    <row r="107" spans="2:14" s="142" customFormat="1" x14ac:dyDescent="0.35">
      <c r="B107" s="177" t="s">
        <v>2269</v>
      </c>
      <c r="C107" s="175">
        <v>800.28451648965904</v>
      </c>
      <c r="D107" s="175">
        <v>873.67727381617829</v>
      </c>
      <c r="E107" s="175">
        <v>907.73004618869686</v>
      </c>
      <c r="F107" s="175">
        <v>905.55198434879821</v>
      </c>
      <c r="G107" s="175">
        <v>903.73969335020058</v>
      </c>
      <c r="H107" s="175">
        <v>1015.101041452149</v>
      </c>
      <c r="I107" s="175">
        <v>911.94538260127683</v>
      </c>
      <c r="J107" s="175">
        <v>721.20762113500643</v>
      </c>
      <c r="K107" s="175">
        <v>733.91781280338921</v>
      </c>
      <c r="L107" s="175">
        <v>816.26801212085559</v>
      </c>
      <c r="M107" s="175">
        <v>897.01779147421382</v>
      </c>
      <c r="N107" s="316">
        <v>862.40374325276582</v>
      </c>
    </row>
    <row r="108" spans="2:14" s="142" customFormat="1" x14ac:dyDescent="0.35">
      <c r="B108" s="177" t="s">
        <v>2270</v>
      </c>
      <c r="C108" s="175" t="s">
        <v>2283</v>
      </c>
      <c r="D108" s="175" t="s">
        <v>2283</v>
      </c>
      <c r="E108" s="175" t="s">
        <v>2283</v>
      </c>
      <c r="F108" s="175" t="s">
        <v>2283</v>
      </c>
      <c r="G108" s="175" t="s">
        <v>2283</v>
      </c>
      <c r="H108" s="175" t="s">
        <v>2283</v>
      </c>
      <c r="I108" s="175" t="s">
        <v>2283</v>
      </c>
      <c r="J108" s="175" t="s">
        <v>2283</v>
      </c>
      <c r="K108" s="175" t="s">
        <v>2283</v>
      </c>
      <c r="L108" s="175" t="s">
        <v>2283</v>
      </c>
      <c r="M108" s="175" t="s">
        <v>2283</v>
      </c>
      <c r="N108" s="316" t="s">
        <v>2283</v>
      </c>
    </row>
    <row r="109" spans="2:14" s="142" customFormat="1" x14ac:dyDescent="0.35">
      <c r="B109" s="177" t="s">
        <v>1665</v>
      </c>
      <c r="C109" s="175">
        <v>504.61989938513142</v>
      </c>
      <c r="D109" s="175">
        <v>550.89774814341615</v>
      </c>
      <c r="E109" s="175">
        <v>572.36974493248204</v>
      </c>
      <c r="F109" s="175">
        <v>570.99636668529911</v>
      </c>
      <c r="G109" s="175">
        <v>569.85362546948704</v>
      </c>
      <c r="H109" s="175">
        <v>640.07259274513842</v>
      </c>
      <c r="I109" s="175">
        <v>575.027727927981</v>
      </c>
      <c r="J109" s="175">
        <v>454.75791385955108</v>
      </c>
      <c r="K109" s="175">
        <v>462.77233311758999</v>
      </c>
      <c r="L109" s="175">
        <v>514.6983024918361</v>
      </c>
      <c r="M109" s="175">
        <v>565.61512606278131</v>
      </c>
      <c r="N109" s="316">
        <v>543.78921643824492</v>
      </c>
    </row>
    <row r="110" spans="2:14" s="142" customFormat="1" x14ac:dyDescent="0.35">
      <c r="B110" s="177" t="s">
        <v>2271</v>
      </c>
      <c r="C110" s="175">
        <v>1314.8546674119621</v>
      </c>
      <c r="D110" s="175">
        <v>1435.437794458197</v>
      </c>
      <c r="E110" s="175">
        <v>1491.3859551057631</v>
      </c>
      <c r="F110" s="175">
        <v>1487.8074343208496</v>
      </c>
      <c r="G110" s="175">
        <v>1484.8298691810578</v>
      </c>
      <c r="H110" s="175">
        <v>1667.7947839133888</v>
      </c>
      <c r="I110" s="175">
        <v>1498.3116854461475</v>
      </c>
      <c r="J110" s="175">
        <v>1184.932592450943</v>
      </c>
      <c r="K110" s="175">
        <v>1205.8152341796358</v>
      </c>
      <c r="L110" s="175">
        <v>1341.1152952252066</v>
      </c>
      <c r="M110" s="175">
        <v>1473.7858918537261</v>
      </c>
      <c r="N110" s="316">
        <v>1416.9155639588071</v>
      </c>
    </row>
    <row r="111" spans="2:14" s="142" customFormat="1" x14ac:dyDescent="0.35">
      <c r="B111" s="177" t="s">
        <v>1365</v>
      </c>
      <c r="C111" s="175">
        <v>496.09111235327003</v>
      </c>
      <c r="D111" s="175">
        <v>541.58680028747108</v>
      </c>
      <c r="E111" s="175">
        <v>562.6958900885528</v>
      </c>
      <c r="F111" s="175">
        <v>561.3457238680827</v>
      </c>
      <c r="G111" s="175">
        <v>560.22229658831259</v>
      </c>
      <c r="H111" s="175">
        <v>629.25446441705151</v>
      </c>
      <c r="I111" s="175">
        <v>565.30894942778968</v>
      </c>
      <c r="J111" s="175">
        <v>447.07186461122069</v>
      </c>
      <c r="K111" s="175">
        <v>454.95082889588423</v>
      </c>
      <c r="L111" s="175">
        <v>505.99917625253744</v>
      </c>
      <c r="M111" s="175">
        <v>556.05543379129767</v>
      </c>
      <c r="N111" s="316">
        <v>534.59841278013369</v>
      </c>
    </row>
    <row r="112" spans="2:14" s="142" customFormat="1" x14ac:dyDescent="0.35">
      <c r="B112" s="177" t="s">
        <v>569</v>
      </c>
      <c r="C112" s="175" t="s">
        <v>2283</v>
      </c>
      <c r="D112" s="175" t="s">
        <v>2283</v>
      </c>
      <c r="E112" s="175" t="s">
        <v>2283</v>
      </c>
      <c r="F112" s="175" t="s">
        <v>2283</v>
      </c>
      <c r="G112" s="175" t="s">
        <v>2283</v>
      </c>
      <c r="H112" s="175" t="s">
        <v>2283</v>
      </c>
      <c r="I112" s="175" t="s">
        <v>2283</v>
      </c>
      <c r="J112" s="175" t="s">
        <v>2283</v>
      </c>
      <c r="K112" s="175" t="s">
        <v>2283</v>
      </c>
      <c r="L112" s="175" t="s">
        <v>2283</v>
      </c>
      <c r="M112" s="175" t="s">
        <v>2283</v>
      </c>
      <c r="N112" s="316" t="s">
        <v>2283</v>
      </c>
    </row>
    <row r="113" spans="2:14" s="142" customFormat="1" x14ac:dyDescent="0.35">
      <c r="B113" s="177" t="s">
        <v>30</v>
      </c>
      <c r="C113" s="175" t="s">
        <v>2283</v>
      </c>
      <c r="D113" s="175" t="s">
        <v>2283</v>
      </c>
      <c r="E113" s="175" t="s">
        <v>2283</v>
      </c>
      <c r="F113" s="175" t="s">
        <v>2283</v>
      </c>
      <c r="G113" s="175" t="s">
        <v>2283</v>
      </c>
      <c r="H113" s="175" t="s">
        <v>2283</v>
      </c>
      <c r="I113" s="175" t="s">
        <v>2283</v>
      </c>
      <c r="J113" s="175" t="s">
        <v>2283</v>
      </c>
      <c r="K113" s="175" t="s">
        <v>2283</v>
      </c>
      <c r="L113" s="175" t="s">
        <v>2283</v>
      </c>
      <c r="M113" s="175" t="s">
        <v>2283</v>
      </c>
      <c r="N113" s="316" t="s">
        <v>2283</v>
      </c>
    </row>
    <row r="114" spans="2:14" s="142" customFormat="1" x14ac:dyDescent="0.35">
      <c r="B114" s="177" t="s">
        <v>814</v>
      </c>
      <c r="C114" s="175" t="s">
        <v>2283</v>
      </c>
      <c r="D114" s="175" t="s">
        <v>2283</v>
      </c>
      <c r="E114" s="175" t="s">
        <v>2283</v>
      </c>
      <c r="F114" s="175" t="s">
        <v>2283</v>
      </c>
      <c r="G114" s="175" t="s">
        <v>2283</v>
      </c>
      <c r="H114" s="175" t="s">
        <v>2283</v>
      </c>
      <c r="I114" s="175" t="s">
        <v>2283</v>
      </c>
      <c r="J114" s="175" t="s">
        <v>2283</v>
      </c>
      <c r="K114" s="175" t="s">
        <v>2283</v>
      </c>
      <c r="L114" s="175" t="s">
        <v>2283</v>
      </c>
      <c r="M114" s="175" t="s">
        <v>2283</v>
      </c>
      <c r="N114" s="316" t="s">
        <v>2283</v>
      </c>
    </row>
    <row r="115" spans="2:14" s="142" customFormat="1" x14ac:dyDescent="0.35">
      <c r="B115" s="177" t="s">
        <v>1368</v>
      </c>
      <c r="C115" s="175" t="s">
        <v>2283</v>
      </c>
      <c r="D115" s="175" t="s">
        <v>2283</v>
      </c>
      <c r="E115" s="175" t="s">
        <v>2283</v>
      </c>
      <c r="F115" s="175" t="s">
        <v>2283</v>
      </c>
      <c r="G115" s="175" t="s">
        <v>2283</v>
      </c>
      <c r="H115" s="175" t="s">
        <v>2283</v>
      </c>
      <c r="I115" s="175" t="s">
        <v>2283</v>
      </c>
      <c r="J115" s="175" t="s">
        <v>2283</v>
      </c>
      <c r="K115" s="175" t="s">
        <v>2283</v>
      </c>
      <c r="L115" s="175" t="s">
        <v>2283</v>
      </c>
      <c r="M115" s="175" t="s">
        <v>2283</v>
      </c>
      <c r="N115" s="316" t="s">
        <v>2283</v>
      </c>
    </row>
    <row r="116" spans="2:14" s="142" customFormat="1" x14ac:dyDescent="0.35">
      <c r="B116" s="177" t="s">
        <v>2272</v>
      </c>
      <c r="C116" s="175" t="s">
        <v>2283</v>
      </c>
      <c r="D116" s="175" t="s">
        <v>2283</v>
      </c>
      <c r="E116" s="175" t="s">
        <v>2283</v>
      </c>
      <c r="F116" s="175" t="s">
        <v>2283</v>
      </c>
      <c r="G116" s="175" t="s">
        <v>2283</v>
      </c>
      <c r="H116" s="175" t="s">
        <v>2283</v>
      </c>
      <c r="I116" s="175" t="s">
        <v>2283</v>
      </c>
      <c r="J116" s="175" t="s">
        <v>2283</v>
      </c>
      <c r="K116" s="175" t="s">
        <v>2283</v>
      </c>
      <c r="L116" s="175" t="s">
        <v>2283</v>
      </c>
      <c r="M116" s="175" t="s">
        <v>2283</v>
      </c>
      <c r="N116" s="316" t="s">
        <v>2283</v>
      </c>
    </row>
    <row r="117" spans="2:14" s="142" customFormat="1" x14ac:dyDescent="0.35">
      <c r="B117" s="177" t="s">
        <v>2273</v>
      </c>
      <c r="C117" s="175" t="s">
        <v>2283</v>
      </c>
      <c r="D117" s="175" t="s">
        <v>2283</v>
      </c>
      <c r="E117" s="175" t="s">
        <v>2283</v>
      </c>
      <c r="F117" s="175" t="s">
        <v>2283</v>
      </c>
      <c r="G117" s="175" t="s">
        <v>2283</v>
      </c>
      <c r="H117" s="175" t="s">
        <v>2283</v>
      </c>
      <c r="I117" s="175" t="s">
        <v>2283</v>
      </c>
      <c r="J117" s="175" t="s">
        <v>2283</v>
      </c>
      <c r="K117" s="175" t="s">
        <v>2283</v>
      </c>
      <c r="L117" s="175" t="s">
        <v>2283</v>
      </c>
      <c r="M117" s="175" t="s">
        <v>2283</v>
      </c>
      <c r="N117" s="316" t="s">
        <v>2283</v>
      </c>
    </row>
    <row r="118" spans="2:14" s="142" customFormat="1" x14ac:dyDescent="0.35">
      <c r="B118" s="177" t="s">
        <v>1371</v>
      </c>
      <c r="C118" s="175">
        <v>379.53102291783119</v>
      </c>
      <c r="D118" s="175">
        <v>414.33717958955521</v>
      </c>
      <c r="E118" s="175">
        <v>430.4865405548527</v>
      </c>
      <c r="F118" s="175">
        <v>429.45360536612634</v>
      </c>
      <c r="G118" s="175">
        <v>428.59413521226207</v>
      </c>
      <c r="H118" s="175">
        <v>481.40671059986465</v>
      </c>
      <c r="I118" s="175">
        <v>432.48564325850964</v>
      </c>
      <c r="J118" s="175">
        <v>342.02919155070464</v>
      </c>
      <c r="K118" s="175">
        <v>348.0569378659057</v>
      </c>
      <c r="L118" s="175">
        <v>387.11111764878939</v>
      </c>
      <c r="M118" s="175">
        <v>425.40630608102146</v>
      </c>
      <c r="N118" s="316">
        <v>408.99076278594754</v>
      </c>
    </row>
    <row r="119" spans="2:14" s="142" customFormat="1" x14ac:dyDescent="0.35">
      <c r="B119" s="177" t="s">
        <v>1369</v>
      </c>
      <c r="C119" s="175">
        <v>405.11738401341535</v>
      </c>
      <c r="D119" s="175">
        <v>442.27002315739043</v>
      </c>
      <c r="E119" s="175">
        <v>459.50810508664051</v>
      </c>
      <c r="F119" s="175">
        <v>458.40553381777528</v>
      </c>
      <c r="G119" s="175">
        <v>457.48812185578532</v>
      </c>
      <c r="H119" s="175">
        <v>513.86109558412522</v>
      </c>
      <c r="I119" s="175">
        <v>461.64197875908332</v>
      </c>
      <c r="J119" s="175">
        <v>365.08733929569598</v>
      </c>
      <c r="K119" s="175">
        <v>371.52145053102294</v>
      </c>
      <c r="L119" s="175">
        <v>413.20849636668532</v>
      </c>
      <c r="M119" s="175">
        <v>454.08538289547232</v>
      </c>
      <c r="N119" s="316">
        <v>436.56317376028107</v>
      </c>
    </row>
    <row r="120" spans="2:14" s="142" customFormat="1" x14ac:dyDescent="0.35">
      <c r="B120" s="177" t="s">
        <v>1370</v>
      </c>
      <c r="C120" s="175">
        <v>319.82951369480156</v>
      </c>
      <c r="D120" s="175">
        <v>349.1605445979398</v>
      </c>
      <c r="E120" s="175">
        <v>362.76955664734777</v>
      </c>
      <c r="F120" s="175">
        <v>361.89910564561205</v>
      </c>
      <c r="G120" s="175">
        <v>361.17483304404107</v>
      </c>
      <c r="H120" s="175">
        <v>405.67981230325671</v>
      </c>
      <c r="I120" s="175">
        <v>364.45419375717103</v>
      </c>
      <c r="J120" s="175">
        <v>288.22684681239156</v>
      </c>
      <c r="K120" s="175">
        <v>293.30640831396551</v>
      </c>
      <c r="L120" s="175">
        <v>326.21723397369897</v>
      </c>
      <c r="M120" s="175">
        <v>358.48846018063608</v>
      </c>
      <c r="N120" s="316">
        <v>344.65513717916934</v>
      </c>
    </row>
    <row r="121" spans="2:14" s="142" customFormat="1" x14ac:dyDescent="0.35">
      <c r="B121" s="177" t="s">
        <v>32</v>
      </c>
      <c r="C121" s="175">
        <v>535.89211850195647</v>
      </c>
      <c r="D121" s="175">
        <v>585.03789028188135</v>
      </c>
      <c r="E121" s="175">
        <v>607.84054602688946</v>
      </c>
      <c r="F121" s="175">
        <v>606.38205701509219</v>
      </c>
      <c r="G121" s="175">
        <v>605.1684980337933</v>
      </c>
      <c r="H121" s="175">
        <v>679.73906328145677</v>
      </c>
      <c r="I121" s="175">
        <v>610.66324909534876</v>
      </c>
      <c r="J121" s="175">
        <v>482.94009443676271</v>
      </c>
      <c r="K121" s="175">
        <v>491.45118193051104</v>
      </c>
      <c r="L121" s="175">
        <v>546.59509870259774</v>
      </c>
      <c r="M121" s="175">
        <v>600.66733105822129</v>
      </c>
      <c r="N121" s="316">
        <v>577.48882985131922</v>
      </c>
    </row>
    <row r="122" spans="2:14" s="142" customFormat="1" x14ac:dyDescent="0.35">
      <c r="B122" s="177" t="s">
        <v>2274</v>
      </c>
      <c r="C122" s="175" t="s">
        <v>2283</v>
      </c>
      <c r="D122" s="175" t="s">
        <v>2283</v>
      </c>
      <c r="E122" s="175" t="s">
        <v>2283</v>
      </c>
      <c r="F122" s="175" t="s">
        <v>2283</v>
      </c>
      <c r="G122" s="175" t="s">
        <v>2283</v>
      </c>
      <c r="H122" s="175" t="s">
        <v>2283</v>
      </c>
      <c r="I122" s="175" t="s">
        <v>2283</v>
      </c>
      <c r="J122" s="175" t="s">
        <v>2283</v>
      </c>
      <c r="K122" s="175" t="s">
        <v>2283</v>
      </c>
      <c r="L122" s="175" t="s">
        <v>2283</v>
      </c>
      <c r="M122" s="175" t="s">
        <v>2283</v>
      </c>
      <c r="N122" s="316" t="s">
        <v>2283</v>
      </c>
    </row>
    <row r="123" spans="2:14" s="142" customFormat="1" x14ac:dyDescent="0.35">
      <c r="B123" s="177" t="s">
        <v>2275</v>
      </c>
      <c r="C123" s="175">
        <v>1084.5774175517049</v>
      </c>
      <c r="D123" s="175">
        <v>1184.0422023476804</v>
      </c>
      <c r="E123" s="175">
        <v>1230.1918743196727</v>
      </c>
      <c r="F123" s="175">
        <v>1227.2400782560089</v>
      </c>
      <c r="G123" s="175">
        <v>1224.7839893893481</v>
      </c>
      <c r="H123" s="175">
        <v>1375.7053190550439</v>
      </c>
      <c r="I123" s="175">
        <v>1235.9046659409844</v>
      </c>
      <c r="J123" s="175">
        <v>977.40926274602111</v>
      </c>
      <c r="K123" s="175">
        <v>994.63462019358076</v>
      </c>
      <c r="L123" s="175">
        <v>1106.2388867641434</v>
      </c>
      <c r="M123" s="175">
        <v>1215.6742005236681</v>
      </c>
      <c r="N123" s="316">
        <v>1168.7638651898053</v>
      </c>
    </row>
    <row r="124" spans="2:14" s="142" customFormat="1" x14ac:dyDescent="0.35">
      <c r="B124" s="177" t="s">
        <v>2276</v>
      </c>
      <c r="C124" s="175" t="s">
        <v>2283</v>
      </c>
      <c r="D124" s="175" t="s">
        <v>2283</v>
      </c>
      <c r="E124" s="175" t="s">
        <v>2283</v>
      </c>
      <c r="F124" s="175" t="s">
        <v>2283</v>
      </c>
      <c r="G124" s="175" t="s">
        <v>2283</v>
      </c>
      <c r="H124" s="175" t="s">
        <v>2283</v>
      </c>
      <c r="I124" s="175" t="s">
        <v>2283</v>
      </c>
      <c r="J124" s="175" t="s">
        <v>2283</v>
      </c>
      <c r="K124" s="175" t="s">
        <v>2283</v>
      </c>
      <c r="L124" s="175" t="s">
        <v>2283</v>
      </c>
      <c r="M124" s="175" t="s">
        <v>2283</v>
      </c>
      <c r="N124" s="316" t="s">
        <v>2283</v>
      </c>
    </row>
    <row r="125" spans="2:14" s="142" customFormat="1" x14ac:dyDescent="0.35">
      <c r="B125" s="177" t="s">
        <v>1666</v>
      </c>
      <c r="C125" s="175">
        <v>707.8893236444942</v>
      </c>
      <c r="D125" s="175">
        <v>772.80867204344008</v>
      </c>
      <c r="E125" s="175">
        <v>802.92995204612976</v>
      </c>
      <c r="F125" s="175">
        <v>801.00335382895469</v>
      </c>
      <c r="G125" s="175">
        <v>799.40029713747754</v>
      </c>
      <c r="H125" s="175">
        <v>897.90465123120816</v>
      </c>
      <c r="I125" s="175">
        <v>806.65861551587193</v>
      </c>
      <c r="J125" s="175">
        <v>637.94208761142659</v>
      </c>
      <c r="K125" s="175">
        <v>649.18485040157691</v>
      </c>
      <c r="L125" s="175">
        <v>722.02747786178702</v>
      </c>
      <c r="M125" s="175">
        <v>793.45445853314118</v>
      </c>
      <c r="N125" s="316">
        <v>762.836703623228</v>
      </c>
    </row>
    <row r="126" spans="2:14" s="142" customFormat="1" x14ac:dyDescent="0.35">
      <c r="B126" s="177" t="s">
        <v>1373</v>
      </c>
      <c r="C126" s="175">
        <v>551.52822806036897</v>
      </c>
      <c r="D126" s="175">
        <v>602.107961351114</v>
      </c>
      <c r="E126" s="175">
        <v>625.57594657409311</v>
      </c>
      <c r="F126" s="175">
        <v>624.07490217998884</v>
      </c>
      <c r="G126" s="175">
        <v>622.82593431594637</v>
      </c>
      <c r="H126" s="175">
        <v>699.57229854961599</v>
      </c>
      <c r="I126" s="175">
        <v>628.4810096790327</v>
      </c>
      <c r="J126" s="175">
        <v>497.03118472536852</v>
      </c>
      <c r="K126" s="175">
        <v>505.79060633697156</v>
      </c>
      <c r="L126" s="175">
        <v>562.54349680797861</v>
      </c>
      <c r="M126" s="175">
        <v>618.19343355594128</v>
      </c>
      <c r="N126" s="316">
        <v>594.33863655785638</v>
      </c>
    </row>
    <row r="127" spans="2:14" s="142" customFormat="1" x14ac:dyDescent="0.35">
      <c r="B127" s="177" t="s">
        <v>1372</v>
      </c>
      <c r="C127" s="175" t="s">
        <v>2283</v>
      </c>
      <c r="D127" s="175" t="s">
        <v>2283</v>
      </c>
      <c r="E127" s="175" t="s">
        <v>2283</v>
      </c>
      <c r="F127" s="175" t="s">
        <v>2283</v>
      </c>
      <c r="G127" s="175" t="s">
        <v>2283</v>
      </c>
      <c r="H127" s="175" t="s">
        <v>2283</v>
      </c>
      <c r="I127" s="175" t="s">
        <v>2283</v>
      </c>
      <c r="J127" s="175" t="s">
        <v>2283</v>
      </c>
      <c r="K127" s="175" t="s">
        <v>2283</v>
      </c>
      <c r="L127" s="175" t="s">
        <v>2283</v>
      </c>
      <c r="M127" s="175" t="s">
        <v>2283</v>
      </c>
      <c r="N127" s="316" t="s">
        <v>2283</v>
      </c>
    </row>
    <row r="128" spans="2:14" s="142" customFormat="1" x14ac:dyDescent="0.35">
      <c r="B128" s="177" t="s">
        <v>1374</v>
      </c>
      <c r="C128" s="175">
        <v>382.37395192845167</v>
      </c>
      <c r="D128" s="175">
        <v>417.44082887487025</v>
      </c>
      <c r="E128" s="175">
        <v>433.7111588361625</v>
      </c>
      <c r="F128" s="175">
        <v>432.67048630519844</v>
      </c>
      <c r="G128" s="175">
        <v>431.80457817265352</v>
      </c>
      <c r="H128" s="175">
        <v>485.01275337589357</v>
      </c>
      <c r="I128" s="175">
        <v>435.72523609190671</v>
      </c>
      <c r="J128" s="175">
        <v>344.59120796681481</v>
      </c>
      <c r="K128" s="175">
        <v>350.6641059398076</v>
      </c>
      <c r="L128" s="175">
        <v>390.0108263952223</v>
      </c>
      <c r="M128" s="175">
        <v>428.59287017151598</v>
      </c>
      <c r="N128" s="316">
        <v>412.05436400531795</v>
      </c>
    </row>
    <row r="129" spans="2:14" s="142" customFormat="1" x14ac:dyDescent="0.35">
      <c r="B129" s="177" t="s">
        <v>1376</v>
      </c>
      <c r="C129" s="175">
        <v>508.88429290106205</v>
      </c>
      <c r="D129" s="175">
        <v>555.55322207138863</v>
      </c>
      <c r="E129" s="175">
        <v>577.20667235444671</v>
      </c>
      <c r="F129" s="175">
        <v>575.82168809390726</v>
      </c>
      <c r="G129" s="175">
        <v>574.66928991007421</v>
      </c>
      <c r="H129" s="175">
        <v>645.48165690918177</v>
      </c>
      <c r="I129" s="175">
        <v>579.88711717807655</v>
      </c>
      <c r="J129" s="175">
        <v>458.60093848371633</v>
      </c>
      <c r="K129" s="175">
        <v>466.68308522844285</v>
      </c>
      <c r="L129" s="175">
        <v>519.04786561148546</v>
      </c>
      <c r="M129" s="175">
        <v>570.39497219852319</v>
      </c>
      <c r="N129" s="316">
        <v>548.38461826730043</v>
      </c>
    </row>
    <row r="130" spans="2:14" s="142" customFormat="1" x14ac:dyDescent="0.35">
      <c r="B130" s="177" t="s">
        <v>1377</v>
      </c>
      <c r="C130" s="175">
        <v>497.51257685858025</v>
      </c>
      <c r="D130" s="175">
        <v>543.13862493012857</v>
      </c>
      <c r="E130" s="175">
        <v>564.30819922920773</v>
      </c>
      <c r="F130" s="175">
        <v>562.95416433761875</v>
      </c>
      <c r="G130" s="175">
        <v>561.82751806850831</v>
      </c>
      <c r="H130" s="175">
        <v>631.05748580506599</v>
      </c>
      <c r="I130" s="175">
        <v>566.92874584448828</v>
      </c>
      <c r="J130" s="175">
        <v>448.35287281927572</v>
      </c>
      <c r="K130" s="175">
        <v>456.25441293283518</v>
      </c>
      <c r="L130" s="175">
        <v>507.44903062575389</v>
      </c>
      <c r="M130" s="175">
        <v>557.64871583654497</v>
      </c>
      <c r="N130" s="316">
        <v>536.13021338981889</v>
      </c>
    </row>
    <row r="131" spans="2:14" s="142" customFormat="1" x14ac:dyDescent="0.35">
      <c r="B131" s="177" t="s">
        <v>1375</v>
      </c>
      <c r="C131" s="175">
        <v>568.58580212409174</v>
      </c>
      <c r="D131" s="175">
        <v>620.72985706300403</v>
      </c>
      <c r="E131" s="175">
        <v>644.92365626195158</v>
      </c>
      <c r="F131" s="175">
        <v>643.37618781442143</v>
      </c>
      <c r="G131" s="175">
        <v>642.08859207829528</v>
      </c>
      <c r="H131" s="175">
        <v>721.20855520578971</v>
      </c>
      <c r="I131" s="175">
        <v>647.91856667941511</v>
      </c>
      <c r="J131" s="175">
        <v>512.40328322202936</v>
      </c>
      <c r="K131" s="175">
        <v>521.4336147803831</v>
      </c>
      <c r="L131" s="175">
        <v>579.94174928657594</v>
      </c>
      <c r="M131" s="175">
        <v>637.31281809890856</v>
      </c>
      <c r="N131" s="316">
        <v>612.72024387407873</v>
      </c>
    </row>
    <row r="132" spans="2:14" s="142" customFormat="1" x14ac:dyDescent="0.35">
      <c r="B132" s="177" t="s">
        <v>2277</v>
      </c>
      <c r="C132" s="175" t="s">
        <v>2283</v>
      </c>
      <c r="D132" s="175" t="s">
        <v>2283</v>
      </c>
      <c r="E132" s="175" t="s">
        <v>2283</v>
      </c>
      <c r="F132" s="175" t="s">
        <v>2283</v>
      </c>
      <c r="G132" s="175" t="s">
        <v>2283</v>
      </c>
      <c r="H132" s="175" t="s">
        <v>2283</v>
      </c>
      <c r="I132" s="175" t="s">
        <v>2283</v>
      </c>
      <c r="J132" s="175" t="s">
        <v>2283</v>
      </c>
      <c r="K132" s="175" t="s">
        <v>2283</v>
      </c>
      <c r="L132" s="175" t="s">
        <v>2283</v>
      </c>
      <c r="M132" s="175" t="s">
        <v>2283</v>
      </c>
      <c r="N132" s="316" t="s">
        <v>2283</v>
      </c>
    </row>
    <row r="133" spans="2:14" s="142" customFormat="1" x14ac:dyDescent="0.35">
      <c r="B133" s="177" t="s">
        <v>1757</v>
      </c>
      <c r="C133" s="175" t="s">
        <v>2283</v>
      </c>
      <c r="D133" s="175" t="s">
        <v>2283</v>
      </c>
      <c r="E133" s="175" t="s">
        <v>2283</v>
      </c>
      <c r="F133" s="175" t="s">
        <v>2283</v>
      </c>
      <c r="G133" s="175" t="s">
        <v>2283</v>
      </c>
      <c r="H133" s="175" t="s">
        <v>2283</v>
      </c>
      <c r="I133" s="175" t="s">
        <v>2283</v>
      </c>
      <c r="J133" s="175" t="s">
        <v>2283</v>
      </c>
      <c r="K133" s="175" t="s">
        <v>2283</v>
      </c>
      <c r="L133" s="175" t="s">
        <v>2283</v>
      </c>
      <c r="M133" s="175" t="s">
        <v>2283</v>
      </c>
      <c r="N133" s="316" t="s">
        <v>2283</v>
      </c>
    </row>
    <row r="134" spans="2:14" s="142" customFormat="1" x14ac:dyDescent="0.35">
      <c r="B134" s="177" t="s">
        <v>2278</v>
      </c>
      <c r="C134" s="175" t="s">
        <v>2283</v>
      </c>
      <c r="D134" s="175" t="s">
        <v>2283</v>
      </c>
      <c r="E134" s="175" t="s">
        <v>2283</v>
      </c>
      <c r="F134" s="175" t="s">
        <v>2283</v>
      </c>
      <c r="G134" s="175" t="s">
        <v>2283</v>
      </c>
      <c r="H134" s="175" t="s">
        <v>2283</v>
      </c>
      <c r="I134" s="175" t="s">
        <v>2283</v>
      </c>
      <c r="J134" s="175" t="s">
        <v>2283</v>
      </c>
      <c r="K134" s="175" t="s">
        <v>2283</v>
      </c>
      <c r="L134" s="175" t="s">
        <v>2283</v>
      </c>
      <c r="M134" s="175" t="s">
        <v>2283</v>
      </c>
      <c r="N134" s="316" t="s">
        <v>2283</v>
      </c>
    </row>
    <row r="135" spans="2:14" s="142" customFormat="1" x14ac:dyDescent="0.35">
      <c r="B135" s="177" t="s">
        <v>2279</v>
      </c>
      <c r="C135" s="175" t="s">
        <v>2283</v>
      </c>
      <c r="D135" s="175" t="s">
        <v>2283</v>
      </c>
      <c r="E135" s="175" t="s">
        <v>2283</v>
      </c>
      <c r="F135" s="175" t="s">
        <v>2283</v>
      </c>
      <c r="G135" s="175" t="s">
        <v>2283</v>
      </c>
      <c r="H135" s="175" t="s">
        <v>2283</v>
      </c>
      <c r="I135" s="175" t="s">
        <v>2283</v>
      </c>
      <c r="J135" s="175" t="s">
        <v>2283</v>
      </c>
      <c r="K135" s="175" t="s">
        <v>2283</v>
      </c>
      <c r="L135" s="175" t="s">
        <v>2283</v>
      </c>
      <c r="M135" s="175" t="s">
        <v>2283</v>
      </c>
      <c r="N135" s="316" t="s">
        <v>2283</v>
      </c>
    </row>
    <row r="136" spans="2:14" x14ac:dyDescent="0.35">
      <c r="H136" s="123"/>
      <c r="I136" s="123"/>
      <c r="J136" s="123"/>
      <c r="K136" s="123"/>
      <c r="L136" s="123"/>
      <c r="M136" s="123"/>
      <c r="N136" s="123"/>
    </row>
    <row r="137" spans="2:14" s="142" customFormat="1" ht="17.5" thickBot="1" x14ac:dyDescent="0.45">
      <c r="B137" s="176" t="s">
        <v>2284</v>
      </c>
      <c r="C137" s="176"/>
      <c r="D137" s="176"/>
      <c r="E137" s="176"/>
    </row>
    <row r="138" spans="2:14" s="142" customFormat="1" ht="17.5" thickTop="1" x14ac:dyDescent="0.4">
      <c r="B138" s="435" t="s">
        <v>2266</v>
      </c>
      <c r="C138" s="2045"/>
      <c r="D138" s="2045"/>
      <c r="E138" s="2045"/>
      <c r="F138" s="2045"/>
      <c r="G138" s="2045"/>
      <c r="H138" s="2045"/>
      <c r="I138" s="2045"/>
      <c r="J138" s="2045"/>
      <c r="K138" s="2045"/>
      <c r="L138" s="2045"/>
      <c r="M138" s="2045"/>
      <c r="N138" s="2045"/>
    </row>
    <row r="139" spans="2:14" s="142" customFormat="1" x14ac:dyDescent="0.35">
      <c r="B139" s="153" t="s">
        <v>2285</v>
      </c>
      <c r="C139" s="212" t="s">
        <v>1361</v>
      </c>
      <c r="D139" s="212" t="s">
        <v>1811</v>
      </c>
      <c r="E139" s="212" t="s">
        <v>1812</v>
      </c>
      <c r="F139" s="227" t="s">
        <v>1362</v>
      </c>
      <c r="G139" s="227" t="s">
        <v>1813</v>
      </c>
      <c r="H139" s="227" t="s">
        <v>1814</v>
      </c>
      <c r="I139" s="227" t="s">
        <v>1815</v>
      </c>
      <c r="J139" s="227" t="s">
        <v>1816</v>
      </c>
      <c r="K139" s="227" t="s">
        <v>1817</v>
      </c>
      <c r="L139" s="227" t="s">
        <v>1818</v>
      </c>
      <c r="M139" s="227" t="s">
        <v>1819</v>
      </c>
      <c r="N139" s="194" t="s">
        <v>10</v>
      </c>
    </row>
    <row r="140" spans="2:14" s="142" customFormat="1" x14ac:dyDescent="0.35">
      <c r="B140" s="177" t="s">
        <v>1366</v>
      </c>
      <c r="C140" s="175" t="s">
        <v>2283</v>
      </c>
      <c r="D140" s="175" t="s">
        <v>2283</v>
      </c>
      <c r="E140" s="175" t="s">
        <v>2283</v>
      </c>
      <c r="F140" s="175" t="s">
        <v>2283</v>
      </c>
      <c r="G140" s="175" t="s">
        <v>2283</v>
      </c>
      <c r="H140" s="175" t="s">
        <v>2283</v>
      </c>
      <c r="I140" s="175" t="s">
        <v>2283</v>
      </c>
      <c r="J140" s="175" t="s">
        <v>2283</v>
      </c>
      <c r="K140" s="175" t="s">
        <v>2283</v>
      </c>
      <c r="L140" s="175" t="s">
        <v>2283</v>
      </c>
      <c r="M140" s="175" t="s">
        <v>2283</v>
      </c>
      <c r="N140" s="316" t="s">
        <v>2283</v>
      </c>
    </row>
    <row r="141" spans="2:14" s="142" customFormat="1" x14ac:dyDescent="0.35">
      <c r="B141" s="177" t="s">
        <v>2267</v>
      </c>
      <c r="C141" s="175" t="s">
        <v>2283</v>
      </c>
      <c r="D141" s="175" t="s">
        <v>2283</v>
      </c>
      <c r="E141" s="175" t="s">
        <v>2283</v>
      </c>
      <c r="F141" s="175" t="s">
        <v>2283</v>
      </c>
      <c r="G141" s="175" t="s">
        <v>2283</v>
      </c>
      <c r="H141" s="175" t="s">
        <v>2283</v>
      </c>
      <c r="I141" s="175" t="s">
        <v>2283</v>
      </c>
      <c r="J141" s="175" t="s">
        <v>2283</v>
      </c>
      <c r="K141" s="175" t="s">
        <v>2283</v>
      </c>
      <c r="L141" s="175" t="s">
        <v>2283</v>
      </c>
      <c r="M141" s="175" t="s">
        <v>2283</v>
      </c>
      <c r="N141" s="316" t="s">
        <v>2283</v>
      </c>
    </row>
    <row r="142" spans="2:14" s="142" customFormat="1" x14ac:dyDescent="0.35">
      <c r="B142" s="177" t="s">
        <v>2268</v>
      </c>
      <c r="C142" s="175" t="s">
        <v>2283</v>
      </c>
      <c r="D142" s="175" t="s">
        <v>2283</v>
      </c>
      <c r="E142" s="175" t="s">
        <v>2283</v>
      </c>
      <c r="F142" s="175" t="s">
        <v>2283</v>
      </c>
      <c r="G142" s="175" t="s">
        <v>2283</v>
      </c>
      <c r="H142" s="175" t="s">
        <v>2283</v>
      </c>
      <c r="I142" s="175" t="s">
        <v>2283</v>
      </c>
      <c r="J142" s="175" t="s">
        <v>2283</v>
      </c>
      <c r="K142" s="175" t="s">
        <v>2283</v>
      </c>
      <c r="L142" s="175" t="s">
        <v>2283</v>
      </c>
      <c r="M142" s="175" t="s">
        <v>2283</v>
      </c>
      <c r="N142" s="316" t="s">
        <v>2283</v>
      </c>
    </row>
    <row r="143" spans="2:14" s="142" customFormat="1" x14ac:dyDescent="0.35">
      <c r="B143" s="177" t="s">
        <v>811</v>
      </c>
      <c r="C143" s="175" t="s">
        <v>2283</v>
      </c>
      <c r="D143" s="175" t="s">
        <v>2283</v>
      </c>
      <c r="E143" s="175" t="s">
        <v>2283</v>
      </c>
      <c r="F143" s="175" t="s">
        <v>2283</v>
      </c>
      <c r="G143" s="175" t="s">
        <v>2283</v>
      </c>
      <c r="H143" s="175" t="s">
        <v>2283</v>
      </c>
      <c r="I143" s="175" t="s">
        <v>2283</v>
      </c>
      <c r="J143" s="175" t="s">
        <v>2283</v>
      </c>
      <c r="K143" s="175" t="s">
        <v>2283</v>
      </c>
      <c r="L143" s="175" t="s">
        <v>2283</v>
      </c>
      <c r="M143" s="175" t="s">
        <v>2283</v>
      </c>
      <c r="N143" s="316" t="s">
        <v>2283</v>
      </c>
    </row>
    <row r="144" spans="2:14" s="142" customFormat="1" x14ac:dyDescent="0.35">
      <c r="B144" s="177" t="s">
        <v>812</v>
      </c>
      <c r="C144" s="175" t="s">
        <v>2283</v>
      </c>
      <c r="D144" s="175" t="s">
        <v>2283</v>
      </c>
      <c r="E144" s="175" t="s">
        <v>2283</v>
      </c>
      <c r="F144" s="175" t="s">
        <v>2283</v>
      </c>
      <c r="G144" s="175" t="s">
        <v>2283</v>
      </c>
      <c r="H144" s="175" t="s">
        <v>2283</v>
      </c>
      <c r="I144" s="175" t="s">
        <v>2283</v>
      </c>
      <c r="J144" s="175" t="s">
        <v>2283</v>
      </c>
      <c r="K144" s="175" t="s">
        <v>2283</v>
      </c>
      <c r="L144" s="175" t="s">
        <v>2283</v>
      </c>
      <c r="M144" s="175" t="s">
        <v>2283</v>
      </c>
      <c r="N144" s="316" t="s">
        <v>2283</v>
      </c>
    </row>
    <row r="145" spans="2:14" s="142" customFormat="1" x14ac:dyDescent="0.35">
      <c r="B145" s="177" t="s">
        <v>1367</v>
      </c>
      <c r="C145" s="175" t="s">
        <v>2283</v>
      </c>
      <c r="D145" s="175" t="s">
        <v>2283</v>
      </c>
      <c r="E145" s="175" t="s">
        <v>2283</v>
      </c>
      <c r="F145" s="175" t="s">
        <v>2283</v>
      </c>
      <c r="G145" s="175" t="s">
        <v>2283</v>
      </c>
      <c r="H145" s="175" t="s">
        <v>2283</v>
      </c>
      <c r="I145" s="175" t="s">
        <v>2283</v>
      </c>
      <c r="J145" s="175" t="s">
        <v>2283</v>
      </c>
      <c r="K145" s="175" t="s">
        <v>2283</v>
      </c>
      <c r="L145" s="175" t="s">
        <v>2283</v>
      </c>
      <c r="M145" s="175" t="s">
        <v>2283</v>
      </c>
      <c r="N145" s="316" t="s">
        <v>2283</v>
      </c>
    </row>
    <row r="146" spans="2:14" s="142" customFormat="1" x14ac:dyDescent="0.35">
      <c r="B146" s="177" t="s">
        <v>2269</v>
      </c>
      <c r="C146" s="175">
        <v>2520.2565679150366</v>
      </c>
      <c r="D146" s="175">
        <v>2751.3850914317654</v>
      </c>
      <c r="E146" s="175">
        <v>2858.6241063811008</v>
      </c>
      <c r="F146" s="175">
        <v>2851.7649524874232</v>
      </c>
      <c r="G146" s="175">
        <v>2846.0576843870435</v>
      </c>
      <c r="H146" s="175">
        <v>3196.7569209496628</v>
      </c>
      <c r="I146" s="175">
        <v>2871.8990468065076</v>
      </c>
      <c r="J146" s="175">
        <v>2271.2275528816454</v>
      </c>
      <c r="K146" s="175">
        <v>2311.2544975140481</v>
      </c>
      <c r="L146" s="175">
        <v>2570.5918037127476</v>
      </c>
      <c r="M146" s="175">
        <v>2824.8890662234121</v>
      </c>
      <c r="N146" s="316">
        <v>2715.882480971854</v>
      </c>
    </row>
    <row r="147" spans="2:14" s="142" customFormat="1" x14ac:dyDescent="0.35">
      <c r="B147" s="177" t="s">
        <v>2270</v>
      </c>
      <c r="C147" s="175" t="s">
        <v>2283</v>
      </c>
      <c r="D147" s="175" t="s">
        <v>2283</v>
      </c>
      <c r="E147" s="175" t="s">
        <v>2283</v>
      </c>
      <c r="F147" s="175" t="s">
        <v>2283</v>
      </c>
      <c r="G147" s="175" t="s">
        <v>2283</v>
      </c>
      <c r="H147" s="175" t="s">
        <v>2283</v>
      </c>
      <c r="I147" s="175" t="s">
        <v>2283</v>
      </c>
      <c r="J147" s="175" t="s">
        <v>2283</v>
      </c>
      <c r="K147" s="175" t="s">
        <v>2283</v>
      </c>
      <c r="L147" s="175" t="s">
        <v>2283</v>
      </c>
      <c r="M147" s="175" t="s">
        <v>2283</v>
      </c>
      <c r="N147" s="316" t="s">
        <v>2283</v>
      </c>
    </row>
    <row r="148" spans="2:14" s="142" customFormat="1" x14ac:dyDescent="0.35">
      <c r="B148" s="177" t="s">
        <v>1665</v>
      </c>
      <c r="C148" s="175">
        <v>255.86361095584127</v>
      </c>
      <c r="D148" s="175">
        <v>279.32843567835181</v>
      </c>
      <c r="E148" s="175">
        <v>290.21564531787823</v>
      </c>
      <c r="F148" s="175">
        <v>289.51928451648968</v>
      </c>
      <c r="G148" s="175">
        <v>288.93986643523283</v>
      </c>
      <c r="H148" s="175">
        <v>324.54384984260537</v>
      </c>
      <c r="I148" s="175">
        <v>291.56335500573681</v>
      </c>
      <c r="J148" s="175">
        <v>230.58147744991322</v>
      </c>
      <c r="K148" s="175">
        <v>234.64512665117238</v>
      </c>
      <c r="L148" s="175">
        <v>260.97378717895913</v>
      </c>
      <c r="M148" s="175">
        <v>286.79076814450883</v>
      </c>
      <c r="N148" s="316">
        <v>275.72410974333548</v>
      </c>
    </row>
    <row r="149" spans="2:14" s="142" customFormat="1" x14ac:dyDescent="0.35">
      <c r="B149" s="177" t="s">
        <v>2271</v>
      </c>
      <c r="C149" s="175">
        <v>0</v>
      </c>
      <c r="D149" s="175">
        <v>0</v>
      </c>
      <c r="E149" s="175">
        <v>0</v>
      </c>
      <c r="F149" s="175">
        <v>0</v>
      </c>
      <c r="G149" s="175">
        <v>0</v>
      </c>
      <c r="H149" s="175">
        <v>0</v>
      </c>
      <c r="I149" s="175">
        <v>0</v>
      </c>
      <c r="J149" s="175">
        <v>0</v>
      </c>
      <c r="K149" s="175">
        <v>0</v>
      </c>
      <c r="L149" s="175">
        <v>0</v>
      </c>
      <c r="M149" s="175">
        <v>0</v>
      </c>
      <c r="N149" s="316">
        <v>0</v>
      </c>
    </row>
    <row r="150" spans="2:14" s="142" customFormat="1" x14ac:dyDescent="0.35">
      <c r="B150" s="177" t="s">
        <v>1365</v>
      </c>
      <c r="C150" s="175">
        <v>635.39463387367243</v>
      </c>
      <c r="D150" s="175">
        <v>693.66561526790701</v>
      </c>
      <c r="E150" s="175">
        <v>720.70218587273098</v>
      </c>
      <c r="F150" s="175">
        <v>718.97288988261596</v>
      </c>
      <c r="G150" s="175">
        <v>717.53400164749496</v>
      </c>
      <c r="H150" s="175">
        <v>805.95056044246996</v>
      </c>
      <c r="I150" s="175">
        <v>724.04899826424639</v>
      </c>
      <c r="J150" s="175">
        <v>572.61066900061792</v>
      </c>
      <c r="K150" s="175">
        <v>582.70206451707804</v>
      </c>
      <c r="L150" s="175">
        <v>648.08490482774857</v>
      </c>
      <c r="M150" s="175">
        <v>712.19707422553029</v>
      </c>
      <c r="N150" s="316">
        <v>684.71487252928307</v>
      </c>
    </row>
    <row r="151" spans="2:14" s="142" customFormat="1" x14ac:dyDescent="0.35">
      <c r="B151" s="177" t="s">
        <v>569</v>
      </c>
      <c r="C151" s="175" t="s">
        <v>2283</v>
      </c>
      <c r="D151" s="175" t="s">
        <v>2283</v>
      </c>
      <c r="E151" s="175" t="s">
        <v>2283</v>
      </c>
      <c r="F151" s="175" t="s">
        <v>2283</v>
      </c>
      <c r="G151" s="175" t="s">
        <v>2283</v>
      </c>
      <c r="H151" s="175" t="s">
        <v>2283</v>
      </c>
      <c r="I151" s="175" t="s">
        <v>2283</v>
      </c>
      <c r="J151" s="175" t="s">
        <v>2283</v>
      </c>
      <c r="K151" s="175" t="s">
        <v>2283</v>
      </c>
      <c r="L151" s="175" t="s">
        <v>2283</v>
      </c>
      <c r="M151" s="175" t="s">
        <v>2283</v>
      </c>
      <c r="N151" s="316" t="s">
        <v>2283</v>
      </c>
    </row>
    <row r="152" spans="2:14" s="142" customFormat="1" x14ac:dyDescent="0.35">
      <c r="B152" s="177" t="s">
        <v>30</v>
      </c>
      <c r="C152" s="175" t="s">
        <v>2283</v>
      </c>
      <c r="D152" s="175" t="s">
        <v>2283</v>
      </c>
      <c r="E152" s="175" t="s">
        <v>2283</v>
      </c>
      <c r="F152" s="175" t="s">
        <v>2283</v>
      </c>
      <c r="G152" s="175" t="s">
        <v>2283</v>
      </c>
      <c r="H152" s="175" t="s">
        <v>2283</v>
      </c>
      <c r="I152" s="175" t="s">
        <v>2283</v>
      </c>
      <c r="J152" s="175" t="s">
        <v>2283</v>
      </c>
      <c r="K152" s="175" t="s">
        <v>2283</v>
      </c>
      <c r="L152" s="175" t="s">
        <v>2283</v>
      </c>
      <c r="M152" s="175" t="s">
        <v>2283</v>
      </c>
      <c r="N152" s="316" t="s">
        <v>2283</v>
      </c>
    </row>
    <row r="153" spans="2:14" s="142" customFormat="1" x14ac:dyDescent="0.35">
      <c r="B153" s="177" t="s">
        <v>814</v>
      </c>
      <c r="C153" s="175" t="s">
        <v>2283</v>
      </c>
      <c r="D153" s="175" t="s">
        <v>2283</v>
      </c>
      <c r="E153" s="175" t="s">
        <v>2283</v>
      </c>
      <c r="F153" s="175" t="s">
        <v>2283</v>
      </c>
      <c r="G153" s="175" t="s">
        <v>2283</v>
      </c>
      <c r="H153" s="175" t="s">
        <v>2283</v>
      </c>
      <c r="I153" s="175" t="s">
        <v>2283</v>
      </c>
      <c r="J153" s="175" t="s">
        <v>2283</v>
      </c>
      <c r="K153" s="175" t="s">
        <v>2283</v>
      </c>
      <c r="L153" s="175" t="s">
        <v>2283</v>
      </c>
      <c r="M153" s="175" t="s">
        <v>2283</v>
      </c>
      <c r="N153" s="316" t="s">
        <v>2283</v>
      </c>
    </row>
    <row r="154" spans="2:14" s="142" customFormat="1" x14ac:dyDescent="0.35">
      <c r="B154" s="177" t="s">
        <v>1368</v>
      </c>
      <c r="C154" s="175" t="s">
        <v>2283</v>
      </c>
      <c r="D154" s="175" t="s">
        <v>2283</v>
      </c>
      <c r="E154" s="175" t="s">
        <v>2283</v>
      </c>
      <c r="F154" s="175" t="s">
        <v>2283</v>
      </c>
      <c r="G154" s="175" t="s">
        <v>2283</v>
      </c>
      <c r="H154" s="175" t="s">
        <v>2283</v>
      </c>
      <c r="I154" s="175" t="s">
        <v>2283</v>
      </c>
      <c r="J154" s="175" t="s">
        <v>2283</v>
      </c>
      <c r="K154" s="175" t="s">
        <v>2283</v>
      </c>
      <c r="L154" s="175" t="s">
        <v>2283</v>
      </c>
      <c r="M154" s="175" t="s">
        <v>2283</v>
      </c>
      <c r="N154" s="316" t="s">
        <v>2283</v>
      </c>
    </row>
    <row r="155" spans="2:14" s="142" customFormat="1" x14ac:dyDescent="0.35">
      <c r="B155" s="177" t="s">
        <v>2272</v>
      </c>
      <c r="C155" s="175" t="s">
        <v>2283</v>
      </c>
      <c r="D155" s="175" t="s">
        <v>2283</v>
      </c>
      <c r="E155" s="175" t="s">
        <v>2283</v>
      </c>
      <c r="F155" s="175" t="s">
        <v>2283</v>
      </c>
      <c r="G155" s="175" t="s">
        <v>2283</v>
      </c>
      <c r="H155" s="175" t="s">
        <v>2283</v>
      </c>
      <c r="I155" s="175" t="s">
        <v>2283</v>
      </c>
      <c r="J155" s="175" t="s">
        <v>2283</v>
      </c>
      <c r="K155" s="175" t="s">
        <v>2283</v>
      </c>
      <c r="L155" s="175" t="s">
        <v>2283</v>
      </c>
      <c r="M155" s="175" t="s">
        <v>2283</v>
      </c>
      <c r="N155" s="316" t="s">
        <v>2283</v>
      </c>
    </row>
    <row r="156" spans="2:14" s="142" customFormat="1" x14ac:dyDescent="0.35">
      <c r="B156" s="177" t="s">
        <v>2273</v>
      </c>
      <c r="C156" s="175" t="s">
        <v>2283</v>
      </c>
      <c r="D156" s="175" t="s">
        <v>2283</v>
      </c>
      <c r="E156" s="175" t="s">
        <v>2283</v>
      </c>
      <c r="F156" s="175" t="s">
        <v>2283</v>
      </c>
      <c r="G156" s="175" t="s">
        <v>2283</v>
      </c>
      <c r="H156" s="175" t="s">
        <v>2283</v>
      </c>
      <c r="I156" s="175" t="s">
        <v>2283</v>
      </c>
      <c r="J156" s="175" t="s">
        <v>2283</v>
      </c>
      <c r="K156" s="175" t="s">
        <v>2283</v>
      </c>
      <c r="L156" s="175" t="s">
        <v>2283</v>
      </c>
      <c r="M156" s="175" t="s">
        <v>2283</v>
      </c>
      <c r="N156" s="316" t="s">
        <v>2283</v>
      </c>
    </row>
    <row r="157" spans="2:14" s="142" customFormat="1" x14ac:dyDescent="0.35">
      <c r="B157" s="177" t="s">
        <v>1371</v>
      </c>
      <c r="C157" s="175">
        <v>299.92901062045837</v>
      </c>
      <c r="D157" s="175">
        <v>327.43499960073467</v>
      </c>
      <c r="E157" s="175">
        <v>340.1972286781795</v>
      </c>
      <c r="F157" s="175">
        <v>339.38093907210731</v>
      </c>
      <c r="G157" s="175">
        <v>338.70173232130071</v>
      </c>
      <c r="H157" s="175">
        <v>380.43751287105408</v>
      </c>
      <c r="I157" s="175">
        <v>341.77704392339149</v>
      </c>
      <c r="J157" s="175">
        <v>270.29273189962049</v>
      </c>
      <c r="K157" s="175">
        <v>275.05623179665207</v>
      </c>
      <c r="L157" s="175">
        <v>305.91927274866879</v>
      </c>
      <c r="M157" s="175">
        <v>336.18251154717427</v>
      </c>
      <c r="N157" s="316">
        <v>323.20992864357646</v>
      </c>
    </row>
    <row r="158" spans="2:14" s="142" customFormat="1" x14ac:dyDescent="0.35">
      <c r="B158" s="177" t="s">
        <v>1369</v>
      </c>
      <c r="C158" s="175">
        <v>332.62269424259364</v>
      </c>
      <c r="D158" s="175">
        <v>363.12696638185736</v>
      </c>
      <c r="E158" s="175">
        <v>377.28033891324168</v>
      </c>
      <c r="F158" s="175">
        <v>376.37506987143655</v>
      </c>
      <c r="G158" s="175">
        <v>375.62182636580269</v>
      </c>
      <c r="H158" s="175">
        <v>421.90700479538697</v>
      </c>
      <c r="I158" s="175">
        <v>379.03236150745789</v>
      </c>
      <c r="J158" s="175">
        <v>299.7559206848872</v>
      </c>
      <c r="K158" s="175">
        <v>305.03866464652413</v>
      </c>
      <c r="L158" s="175">
        <v>339.26592333264688</v>
      </c>
      <c r="M158" s="175">
        <v>372.82799858786149</v>
      </c>
      <c r="N158" s="316">
        <v>358.44134266633608</v>
      </c>
    </row>
    <row r="159" spans="2:14" s="142" customFormat="1" x14ac:dyDescent="0.35">
      <c r="B159" s="177" t="s">
        <v>1370</v>
      </c>
      <c r="C159" s="175">
        <v>223.169927333706</v>
      </c>
      <c r="D159" s="175">
        <v>243.63646889722909</v>
      </c>
      <c r="E159" s="175">
        <v>253.13253508281602</v>
      </c>
      <c r="F159" s="175">
        <v>252.52515371716044</v>
      </c>
      <c r="G159" s="175">
        <v>252.01977239073088</v>
      </c>
      <c r="H159" s="175">
        <v>283.07435791827248</v>
      </c>
      <c r="I159" s="175">
        <v>254.30803742167046</v>
      </c>
      <c r="J159" s="175">
        <v>201.11828866464654</v>
      </c>
      <c r="K159" s="175">
        <v>204.66269380130035</v>
      </c>
      <c r="L159" s="175">
        <v>227.62713659498104</v>
      </c>
      <c r="M159" s="175">
        <v>250.14528110382159</v>
      </c>
      <c r="N159" s="316">
        <v>240.49269572057591</v>
      </c>
    </row>
    <row r="160" spans="2:14" s="142" customFormat="1" x14ac:dyDescent="0.35">
      <c r="B160" s="177" t="s">
        <v>32</v>
      </c>
      <c r="C160" s="175">
        <v>861.407490217999</v>
      </c>
      <c r="D160" s="175">
        <v>940.40573345045118</v>
      </c>
      <c r="E160" s="175">
        <v>977.05933923685677</v>
      </c>
      <c r="F160" s="175">
        <v>974.71492453884855</v>
      </c>
      <c r="G160" s="175">
        <v>972.76421699861726</v>
      </c>
      <c r="H160" s="175">
        <v>1092.6309611367715</v>
      </c>
      <c r="I160" s="175">
        <v>981.59662851931398</v>
      </c>
      <c r="J160" s="175">
        <v>776.29097408137454</v>
      </c>
      <c r="K160" s="175">
        <v>789.97192639228035</v>
      </c>
      <c r="L160" s="175">
        <v>878.61175016916252</v>
      </c>
      <c r="M160" s="175">
        <v>965.52891941984649</v>
      </c>
      <c r="N160" s="316">
        <v>928.27116946922933</v>
      </c>
    </row>
    <row r="161" spans="2:14" s="142" customFormat="1" x14ac:dyDescent="0.35">
      <c r="B161" s="177" t="s">
        <v>2274</v>
      </c>
      <c r="C161" s="175" t="s">
        <v>2283</v>
      </c>
      <c r="D161" s="175" t="s">
        <v>2283</v>
      </c>
      <c r="E161" s="175" t="s">
        <v>2283</v>
      </c>
      <c r="F161" s="175" t="s">
        <v>2283</v>
      </c>
      <c r="G161" s="175" t="s">
        <v>2283</v>
      </c>
      <c r="H161" s="175" t="s">
        <v>2283</v>
      </c>
      <c r="I161" s="175" t="s">
        <v>2283</v>
      </c>
      <c r="J161" s="175" t="s">
        <v>2283</v>
      </c>
      <c r="K161" s="175" t="s">
        <v>2283</v>
      </c>
      <c r="L161" s="175" t="s">
        <v>2283</v>
      </c>
      <c r="M161" s="175" t="s">
        <v>2283</v>
      </c>
      <c r="N161" s="316" t="s">
        <v>2283</v>
      </c>
    </row>
    <row r="162" spans="2:14" s="142" customFormat="1" x14ac:dyDescent="0.35">
      <c r="B162" s="177" t="s">
        <v>2275</v>
      </c>
      <c r="C162" s="175">
        <v>2143.5684740078259</v>
      </c>
      <c r="D162" s="175">
        <v>2340.1515611275254</v>
      </c>
      <c r="E162" s="175">
        <v>2431.3621841075578</v>
      </c>
      <c r="F162" s="175">
        <v>2425.5282280603687</v>
      </c>
      <c r="G162" s="175">
        <v>2420.6739921351732</v>
      </c>
      <c r="H162" s="175">
        <v>2718.9562531258271</v>
      </c>
      <c r="I162" s="175">
        <v>2442.652996381395</v>
      </c>
      <c r="J162" s="175">
        <v>1931.7603777470508</v>
      </c>
      <c r="K162" s="175">
        <v>1965.8047277220442</v>
      </c>
      <c r="L162" s="175">
        <v>2186.380394810391</v>
      </c>
      <c r="M162" s="175">
        <v>2402.6693242328852</v>
      </c>
      <c r="N162" s="316">
        <v>2309.9553194052769</v>
      </c>
    </row>
    <row r="163" spans="2:14" s="142" customFormat="1" x14ac:dyDescent="0.35">
      <c r="B163" s="177" t="s">
        <v>2276</v>
      </c>
      <c r="C163" s="175" t="s">
        <v>2283</v>
      </c>
      <c r="D163" s="175" t="s">
        <v>2283</v>
      </c>
      <c r="E163" s="175" t="s">
        <v>2283</v>
      </c>
      <c r="F163" s="175" t="s">
        <v>2283</v>
      </c>
      <c r="G163" s="175" t="s">
        <v>2283</v>
      </c>
      <c r="H163" s="175" t="s">
        <v>2283</v>
      </c>
      <c r="I163" s="175" t="s">
        <v>2283</v>
      </c>
      <c r="J163" s="175" t="s">
        <v>2283</v>
      </c>
      <c r="K163" s="175" t="s">
        <v>2283</v>
      </c>
      <c r="L163" s="175" t="s">
        <v>2283</v>
      </c>
      <c r="M163" s="175" t="s">
        <v>2283</v>
      </c>
      <c r="N163" s="316" t="s">
        <v>2283</v>
      </c>
    </row>
    <row r="164" spans="2:14" s="142" customFormat="1" x14ac:dyDescent="0.35">
      <c r="B164" s="177" t="s">
        <v>1666</v>
      </c>
      <c r="C164" s="175">
        <v>1516.7026271660147</v>
      </c>
      <c r="D164" s="175">
        <v>1655.7968937155633</v>
      </c>
      <c r="E164" s="175">
        <v>1720.333853078756</v>
      </c>
      <c r="F164" s="175">
        <v>1716.2059809949692</v>
      </c>
      <c r="G164" s="175">
        <v>1712.7713193688526</v>
      </c>
      <c r="H164" s="175">
        <v>1923.8238210114441</v>
      </c>
      <c r="I164" s="175">
        <v>1728.32277661734</v>
      </c>
      <c r="J164" s="175">
        <v>1366.8357579947635</v>
      </c>
      <c r="K164" s="175">
        <v>1390.9241674266718</v>
      </c>
      <c r="L164" s="175">
        <v>1546.9946162219412</v>
      </c>
      <c r="M164" s="175">
        <v>1700.0319422788386</v>
      </c>
      <c r="N164" s="316">
        <v>1634.4312505341049</v>
      </c>
    </row>
    <row r="165" spans="2:14" s="142" customFormat="1" x14ac:dyDescent="0.35">
      <c r="B165" s="177" t="s">
        <v>1373</v>
      </c>
      <c r="C165" s="175">
        <v>523.0989379541644</v>
      </c>
      <c r="D165" s="175">
        <v>571.07146849796379</v>
      </c>
      <c r="E165" s="175">
        <v>593.32976376099555</v>
      </c>
      <c r="F165" s="175">
        <v>591.90609278926775</v>
      </c>
      <c r="G165" s="175">
        <v>590.72150471203156</v>
      </c>
      <c r="H165" s="175">
        <v>663.51187078932651</v>
      </c>
      <c r="I165" s="175">
        <v>596.08508134506201</v>
      </c>
      <c r="J165" s="175">
        <v>471.41102056426706</v>
      </c>
      <c r="K165" s="175">
        <v>479.71892559795242</v>
      </c>
      <c r="L165" s="175">
        <v>533.54640934364977</v>
      </c>
      <c r="M165" s="175">
        <v>586.32779265099589</v>
      </c>
      <c r="N165" s="316">
        <v>563.70262436415248</v>
      </c>
    </row>
    <row r="166" spans="2:14" s="142" customFormat="1" x14ac:dyDescent="0.35">
      <c r="B166" s="177" t="s">
        <v>1372</v>
      </c>
      <c r="C166" s="175" t="s">
        <v>2283</v>
      </c>
      <c r="D166" s="175" t="s">
        <v>2283</v>
      </c>
      <c r="E166" s="175" t="s">
        <v>2283</v>
      </c>
      <c r="F166" s="175" t="s">
        <v>2283</v>
      </c>
      <c r="G166" s="175" t="s">
        <v>2283</v>
      </c>
      <c r="H166" s="175" t="s">
        <v>2283</v>
      </c>
      <c r="I166" s="175" t="s">
        <v>2283</v>
      </c>
      <c r="J166" s="175" t="s">
        <v>2283</v>
      </c>
      <c r="K166" s="175" t="s">
        <v>2283</v>
      </c>
      <c r="L166" s="175" t="s">
        <v>2283</v>
      </c>
      <c r="M166" s="175" t="s">
        <v>2283</v>
      </c>
      <c r="N166" s="316" t="s">
        <v>2283</v>
      </c>
    </row>
    <row r="167" spans="2:14" s="142" customFormat="1" x14ac:dyDescent="0.35">
      <c r="B167" s="177" t="s">
        <v>1374</v>
      </c>
      <c r="C167" s="175">
        <v>349.68026830631641</v>
      </c>
      <c r="D167" s="175">
        <v>381.7488620937475</v>
      </c>
      <c r="E167" s="175">
        <v>396.62804860110026</v>
      </c>
      <c r="F167" s="175">
        <v>395.6763555058692</v>
      </c>
      <c r="G167" s="175">
        <v>394.88448412815154</v>
      </c>
      <c r="H167" s="175">
        <v>443.54326145156068</v>
      </c>
      <c r="I167" s="175">
        <v>398.4699185078403</v>
      </c>
      <c r="J167" s="175">
        <v>315.1280191815481</v>
      </c>
      <c r="K167" s="175">
        <v>320.6816730899356</v>
      </c>
      <c r="L167" s="175">
        <v>356.66417581124415</v>
      </c>
      <c r="M167" s="175">
        <v>391.94738313082877</v>
      </c>
      <c r="N167" s="316">
        <v>376.82294998255838</v>
      </c>
    </row>
    <row r="168" spans="2:14" s="142" customFormat="1" x14ac:dyDescent="0.35">
      <c r="B168" s="177" t="s">
        <v>1376</v>
      </c>
      <c r="C168" s="175">
        <v>933.90217998882065</v>
      </c>
      <c r="D168" s="175">
        <v>1019.5487902259842</v>
      </c>
      <c r="E168" s="175">
        <v>1059.2871054102554</v>
      </c>
      <c r="F168" s="175">
        <v>1056.7453884851873</v>
      </c>
      <c r="G168" s="175">
        <v>1054.6305124885998</v>
      </c>
      <c r="H168" s="175">
        <v>1184.5850519255096</v>
      </c>
      <c r="I168" s="175">
        <v>1064.2062457709394</v>
      </c>
      <c r="J168" s="175">
        <v>841.62239269218333</v>
      </c>
      <c r="K168" s="175">
        <v>856.45471227677922</v>
      </c>
      <c r="L168" s="175">
        <v>952.55432320320085</v>
      </c>
      <c r="M168" s="175">
        <v>1046.7863037274574</v>
      </c>
      <c r="N168" s="316">
        <v>1006.3930005631744</v>
      </c>
    </row>
    <row r="169" spans="2:14" s="142" customFormat="1" x14ac:dyDescent="0.35">
      <c r="B169" s="177" t="s">
        <v>1377</v>
      </c>
      <c r="C169" s="175">
        <v>911.15874790385692</v>
      </c>
      <c r="D169" s="175">
        <v>994.71959594346401</v>
      </c>
      <c r="E169" s="175">
        <v>1033.4901591597775</v>
      </c>
      <c r="F169" s="175">
        <v>1031.0103409726105</v>
      </c>
      <c r="G169" s="175">
        <v>1028.946968805468</v>
      </c>
      <c r="H169" s="175">
        <v>1155.736709717278</v>
      </c>
      <c r="I169" s="175">
        <v>1038.2895031037629</v>
      </c>
      <c r="J169" s="175">
        <v>821.12626136330209</v>
      </c>
      <c r="K169" s="175">
        <v>835.59736768556388</v>
      </c>
      <c r="L169" s="175">
        <v>929.35665323173782</v>
      </c>
      <c r="M169" s="175">
        <v>1021.2937910035009</v>
      </c>
      <c r="N169" s="316">
        <v>981.88419080821143</v>
      </c>
    </row>
    <row r="170" spans="2:14" s="142" customFormat="1" x14ac:dyDescent="0.35">
      <c r="B170" s="177" t="s">
        <v>1375</v>
      </c>
      <c r="C170" s="175">
        <v>1800.9955282280605</v>
      </c>
      <c r="D170" s="175">
        <v>1966.1618222470654</v>
      </c>
      <c r="E170" s="175">
        <v>2042.7956812097318</v>
      </c>
      <c r="F170" s="175">
        <v>2037.8940749021799</v>
      </c>
      <c r="G170" s="175">
        <v>2033.8156154080002</v>
      </c>
      <c r="H170" s="175">
        <v>2284.428098614339</v>
      </c>
      <c r="I170" s="175">
        <v>2052.2820599570477</v>
      </c>
      <c r="J170" s="175">
        <v>1623.0373996057781</v>
      </c>
      <c r="K170" s="175">
        <v>1651.6409748168635</v>
      </c>
      <c r="L170" s="175">
        <v>1836.9654908652292</v>
      </c>
      <c r="M170" s="175">
        <v>2018.6883513282928</v>
      </c>
      <c r="N170" s="316">
        <v>1940.7913724711443</v>
      </c>
    </row>
    <row r="171" spans="2:14" s="142" customFormat="1" x14ac:dyDescent="0.35">
      <c r="B171" s="177" t="s">
        <v>2277</v>
      </c>
      <c r="C171" s="175" t="s">
        <v>2283</v>
      </c>
      <c r="D171" s="175" t="s">
        <v>2283</v>
      </c>
      <c r="E171" s="175" t="s">
        <v>2283</v>
      </c>
      <c r="F171" s="175" t="s">
        <v>2283</v>
      </c>
      <c r="G171" s="175" t="s">
        <v>2283</v>
      </c>
      <c r="H171" s="175" t="s">
        <v>2283</v>
      </c>
      <c r="I171" s="175" t="s">
        <v>2283</v>
      </c>
      <c r="J171" s="175" t="s">
        <v>2283</v>
      </c>
      <c r="K171" s="175" t="s">
        <v>2283</v>
      </c>
      <c r="L171" s="175" t="s">
        <v>2283</v>
      </c>
      <c r="M171" s="175" t="s">
        <v>2283</v>
      </c>
      <c r="N171" s="316" t="s">
        <v>2283</v>
      </c>
    </row>
    <row r="172" spans="2:14" s="142" customFormat="1" x14ac:dyDescent="0.35">
      <c r="B172" s="177" t="s">
        <v>1757</v>
      </c>
      <c r="C172" s="175" t="s">
        <v>2283</v>
      </c>
      <c r="D172" s="175" t="s">
        <v>2283</v>
      </c>
      <c r="E172" s="175" t="s">
        <v>2283</v>
      </c>
      <c r="F172" s="175" t="s">
        <v>2283</v>
      </c>
      <c r="G172" s="175" t="s">
        <v>2283</v>
      </c>
      <c r="H172" s="175" t="s">
        <v>2283</v>
      </c>
      <c r="I172" s="175" t="s">
        <v>2283</v>
      </c>
      <c r="J172" s="175" t="s">
        <v>2283</v>
      </c>
      <c r="K172" s="175" t="s">
        <v>2283</v>
      </c>
      <c r="L172" s="175" t="s">
        <v>2283</v>
      </c>
      <c r="M172" s="175" t="s">
        <v>2283</v>
      </c>
      <c r="N172" s="316" t="s">
        <v>2283</v>
      </c>
    </row>
    <row r="173" spans="2:14" s="142" customFormat="1" x14ac:dyDescent="0.35">
      <c r="B173" s="177" t="s">
        <v>2278</v>
      </c>
      <c r="C173" s="175" t="s">
        <v>2283</v>
      </c>
      <c r="D173" s="175" t="s">
        <v>2283</v>
      </c>
      <c r="E173" s="175" t="s">
        <v>2283</v>
      </c>
      <c r="F173" s="175" t="s">
        <v>2283</v>
      </c>
      <c r="G173" s="175" t="s">
        <v>2283</v>
      </c>
      <c r="H173" s="175" t="s">
        <v>2283</v>
      </c>
      <c r="I173" s="175" t="s">
        <v>2283</v>
      </c>
      <c r="J173" s="175" t="s">
        <v>2283</v>
      </c>
      <c r="K173" s="175" t="s">
        <v>2283</v>
      </c>
      <c r="L173" s="175" t="s">
        <v>2283</v>
      </c>
      <c r="M173" s="175" t="s">
        <v>2283</v>
      </c>
      <c r="N173" s="316" t="s">
        <v>2283</v>
      </c>
    </row>
    <row r="174" spans="2:14" s="142" customFormat="1" x14ac:dyDescent="0.35">
      <c r="B174" s="177" t="s">
        <v>2279</v>
      </c>
      <c r="C174" s="175" t="s">
        <v>2283</v>
      </c>
      <c r="D174" s="175" t="s">
        <v>2283</v>
      </c>
      <c r="E174" s="175" t="s">
        <v>2283</v>
      </c>
      <c r="F174" s="175" t="s">
        <v>2283</v>
      </c>
      <c r="G174" s="175" t="s">
        <v>2283</v>
      </c>
      <c r="H174" s="175" t="s">
        <v>2283</v>
      </c>
      <c r="I174" s="175" t="s">
        <v>2283</v>
      </c>
      <c r="J174" s="175" t="s">
        <v>2283</v>
      </c>
      <c r="K174" s="175" t="s">
        <v>2283</v>
      </c>
      <c r="L174" s="175" t="s">
        <v>2283</v>
      </c>
      <c r="M174" s="175" t="s">
        <v>2283</v>
      </c>
      <c r="N174" s="316" t="s">
        <v>2283</v>
      </c>
    </row>
    <row r="175" spans="2:14" x14ac:dyDescent="0.35">
      <c r="H175" s="123"/>
      <c r="I175" s="123"/>
      <c r="J175" s="123"/>
      <c r="K175" s="123"/>
      <c r="L175" s="123"/>
      <c r="M175" s="123"/>
      <c r="N175" s="123"/>
    </row>
    <row r="176" spans="2:14" s="142" customFormat="1" ht="17.5" thickBot="1" x14ac:dyDescent="0.45">
      <c r="B176" s="176" t="s">
        <v>2286</v>
      </c>
      <c r="C176" s="176"/>
      <c r="D176" s="176"/>
      <c r="E176" s="176"/>
    </row>
    <row r="177" spans="2:14" s="142" customFormat="1" ht="17.5" thickTop="1" x14ac:dyDescent="0.4">
      <c r="B177" s="435" t="s">
        <v>2266</v>
      </c>
      <c r="C177" s="2045"/>
      <c r="D177" s="2045"/>
      <c r="E177" s="2045"/>
      <c r="F177" s="2045"/>
      <c r="G177" s="2045"/>
      <c r="H177" s="2045"/>
      <c r="I177" s="2045"/>
      <c r="J177" s="2045"/>
      <c r="K177" s="2045"/>
      <c r="L177" s="2045"/>
      <c r="M177" s="2045"/>
      <c r="N177" s="2045"/>
    </row>
    <row r="178" spans="2:14" s="142" customFormat="1" x14ac:dyDescent="0.35">
      <c r="B178" s="153" t="s">
        <v>2287</v>
      </c>
      <c r="C178" s="212" t="s">
        <v>1361</v>
      </c>
      <c r="D178" s="212" t="s">
        <v>1811</v>
      </c>
      <c r="E178" s="212" t="s">
        <v>1812</v>
      </c>
      <c r="F178" s="227" t="s">
        <v>1362</v>
      </c>
      <c r="G178" s="227" t="s">
        <v>1813</v>
      </c>
      <c r="H178" s="227" t="s">
        <v>1814</v>
      </c>
      <c r="I178" s="227" t="s">
        <v>1815</v>
      </c>
      <c r="J178" s="227" t="s">
        <v>1816</v>
      </c>
      <c r="K178" s="227" t="s">
        <v>1817</v>
      </c>
      <c r="L178" s="227" t="s">
        <v>1818</v>
      </c>
      <c r="M178" s="227" t="s">
        <v>1819</v>
      </c>
      <c r="N178" s="194" t="s">
        <v>10</v>
      </c>
    </row>
    <row r="179" spans="2:14" s="142" customFormat="1" x14ac:dyDescent="0.35">
      <c r="B179" s="177" t="s">
        <v>1366</v>
      </c>
      <c r="C179" s="175" t="s">
        <v>2283</v>
      </c>
      <c r="D179" s="175" t="s">
        <v>2283</v>
      </c>
      <c r="E179" s="175" t="s">
        <v>2283</v>
      </c>
      <c r="F179" s="175" t="s">
        <v>2283</v>
      </c>
      <c r="G179" s="175" t="s">
        <v>2283</v>
      </c>
      <c r="H179" s="175" t="s">
        <v>2283</v>
      </c>
      <c r="I179" s="175" t="s">
        <v>2283</v>
      </c>
      <c r="J179" s="175" t="s">
        <v>2283</v>
      </c>
      <c r="K179" s="175" t="s">
        <v>2283</v>
      </c>
      <c r="L179" s="175" t="s">
        <v>2283</v>
      </c>
      <c r="M179" s="175" t="s">
        <v>2283</v>
      </c>
      <c r="N179" s="316" t="s">
        <v>2283</v>
      </c>
    </row>
    <row r="180" spans="2:14" s="142" customFormat="1" x14ac:dyDescent="0.35">
      <c r="B180" s="177" t="s">
        <v>2267</v>
      </c>
      <c r="C180" s="175" t="s">
        <v>2283</v>
      </c>
      <c r="D180" s="175" t="s">
        <v>2283</v>
      </c>
      <c r="E180" s="175" t="s">
        <v>2283</v>
      </c>
      <c r="F180" s="175" t="s">
        <v>2283</v>
      </c>
      <c r="G180" s="175" t="s">
        <v>2283</v>
      </c>
      <c r="H180" s="175" t="s">
        <v>2283</v>
      </c>
      <c r="I180" s="175" t="s">
        <v>2283</v>
      </c>
      <c r="J180" s="175" t="s">
        <v>2283</v>
      </c>
      <c r="K180" s="175" t="s">
        <v>2283</v>
      </c>
      <c r="L180" s="175" t="s">
        <v>2283</v>
      </c>
      <c r="M180" s="175" t="s">
        <v>2283</v>
      </c>
      <c r="N180" s="316" t="s">
        <v>2283</v>
      </c>
    </row>
    <row r="181" spans="2:14" s="142" customFormat="1" x14ac:dyDescent="0.35">
      <c r="B181" s="177" t="s">
        <v>2268</v>
      </c>
      <c r="C181" s="175" t="s">
        <v>2283</v>
      </c>
      <c r="D181" s="175" t="s">
        <v>2283</v>
      </c>
      <c r="E181" s="175" t="s">
        <v>2283</v>
      </c>
      <c r="F181" s="175" t="s">
        <v>2283</v>
      </c>
      <c r="G181" s="175" t="s">
        <v>2283</v>
      </c>
      <c r="H181" s="175" t="s">
        <v>2283</v>
      </c>
      <c r="I181" s="175" t="s">
        <v>2283</v>
      </c>
      <c r="J181" s="175" t="s">
        <v>2283</v>
      </c>
      <c r="K181" s="175" t="s">
        <v>2283</v>
      </c>
      <c r="L181" s="175" t="s">
        <v>2283</v>
      </c>
      <c r="M181" s="175" t="s">
        <v>2283</v>
      </c>
      <c r="N181" s="316" t="s">
        <v>2283</v>
      </c>
    </row>
    <row r="182" spans="2:14" s="142" customFormat="1" x14ac:dyDescent="0.35">
      <c r="B182" s="177" t="s">
        <v>811</v>
      </c>
      <c r="C182" s="175" t="s">
        <v>2283</v>
      </c>
      <c r="D182" s="175" t="s">
        <v>2283</v>
      </c>
      <c r="E182" s="175" t="s">
        <v>2283</v>
      </c>
      <c r="F182" s="175" t="s">
        <v>2283</v>
      </c>
      <c r="G182" s="175" t="s">
        <v>2283</v>
      </c>
      <c r="H182" s="175" t="s">
        <v>2283</v>
      </c>
      <c r="I182" s="175" t="s">
        <v>2283</v>
      </c>
      <c r="J182" s="175" t="s">
        <v>2283</v>
      </c>
      <c r="K182" s="175" t="s">
        <v>2283</v>
      </c>
      <c r="L182" s="175" t="s">
        <v>2283</v>
      </c>
      <c r="M182" s="175" t="s">
        <v>2283</v>
      </c>
      <c r="N182" s="316" t="s">
        <v>2283</v>
      </c>
    </row>
    <row r="183" spans="2:14" s="142" customFormat="1" x14ac:dyDescent="0.35">
      <c r="B183" s="177" t="s">
        <v>812</v>
      </c>
      <c r="C183" s="175" t="s">
        <v>2283</v>
      </c>
      <c r="D183" s="175" t="s">
        <v>2283</v>
      </c>
      <c r="E183" s="175" t="s">
        <v>2283</v>
      </c>
      <c r="F183" s="175" t="s">
        <v>2283</v>
      </c>
      <c r="G183" s="175" t="s">
        <v>2283</v>
      </c>
      <c r="H183" s="175" t="s">
        <v>2283</v>
      </c>
      <c r="I183" s="175" t="s">
        <v>2283</v>
      </c>
      <c r="J183" s="175" t="s">
        <v>2283</v>
      </c>
      <c r="K183" s="175" t="s">
        <v>2283</v>
      </c>
      <c r="L183" s="175" t="s">
        <v>2283</v>
      </c>
      <c r="M183" s="175" t="s">
        <v>2283</v>
      </c>
      <c r="N183" s="316" t="s">
        <v>2283</v>
      </c>
    </row>
    <row r="184" spans="2:14" s="142" customFormat="1" x14ac:dyDescent="0.35">
      <c r="B184" s="177" t="s">
        <v>1367</v>
      </c>
      <c r="C184" s="175" t="s">
        <v>2283</v>
      </c>
      <c r="D184" s="175" t="s">
        <v>2283</v>
      </c>
      <c r="E184" s="175" t="s">
        <v>2283</v>
      </c>
      <c r="F184" s="175" t="s">
        <v>2283</v>
      </c>
      <c r="G184" s="175" t="s">
        <v>2283</v>
      </c>
      <c r="H184" s="175" t="s">
        <v>2283</v>
      </c>
      <c r="I184" s="175" t="s">
        <v>2283</v>
      </c>
      <c r="J184" s="175" t="s">
        <v>2283</v>
      </c>
      <c r="K184" s="175" t="s">
        <v>2283</v>
      </c>
      <c r="L184" s="175" t="s">
        <v>2283</v>
      </c>
      <c r="M184" s="175" t="s">
        <v>2283</v>
      </c>
      <c r="N184" s="316" t="s">
        <v>2283</v>
      </c>
    </row>
    <row r="185" spans="2:14" s="142" customFormat="1" x14ac:dyDescent="0.35">
      <c r="B185" s="177" t="s">
        <v>2269</v>
      </c>
      <c r="C185" s="175" t="s">
        <v>2283</v>
      </c>
      <c r="D185" s="175" t="s">
        <v>2283</v>
      </c>
      <c r="E185" s="175" t="s">
        <v>2283</v>
      </c>
      <c r="F185" s="175" t="s">
        <v>2283</v>
      </c>
      <c r="G185" s="175" t="s">
        <v>2283</v>
      </c>
      <c r="H185" s="175" t="s">
        <v>2283</v>
      </c>
      <c r="I185" s="175" t="s">
        <v>2283</v>
      </c>
      <c r="J185" s="175" t="s">
        <v>2283</v>
      </c>
      <c r="K185" s="175" t="s">
        <v>2283</v>
      </c>
      <c r="L185" s="175" t="s">
        <v>2283</v>
      </c>
      <c r="M185" s="175" t="s">
        <v>2283</v>
      </c>
      <c r="N185" s="316" t="s">
        <v>2283</v>
      </c>
    </row>
    <row r="186" spans="2:14" s="142" customFormat="1" x14ac:dyDescent="0.35">
      <c r="B186" s="177" t="s">
        <v>2270</v>
      </c>
      <c r="C186" s="175" t="s">
        <v>2283</v>
      </c>
      <c r="D186" s="175" t="s">
        <v>2283</v>
      </c>
      <c r="E186" s="175" t="s">
        <v>2283</v>
      </c>
      <c r="F186" s="175" t="s">
        <v>2283</v>
      </c>
      <c r="G186" s="175" t="s">
        <v>2283</v>
      </c>
      <c r="H186" s="175" t="s">
        <v>2283</v>
      </c>
      <c r="I186" s="175" t="s">
        <v>2283</v>
      </c>
      <c r="J186" s="175" t="s">
        <v>2283</v>
      </c>
      <c r="K186" s="175" t="s">
        <v>2283</v>
      </c>
      <c r="L186" s="175" t="s">
        <v>2283</v>
      </c>
      <c r="M186" s="175" t="s">
        <v>2283</v>
      </c>
      <c r="N186" s="316" t="s">
        <v>2283</v>
      </c>
    </row>
    <row r="187" spans="2:14" s="142" customFormat="1" x14ac:dyDescent="0.35">
      <c r="B187" s="177" t="s">
        <v>1665</v>
      </c>
      <c r="C187" s="175">
        <v>769.01229737283404</v>
      </c>
      <c r="D187" s="175">
        <v>839.53713167771298</v>
      </c>
      <c r="E187" s="175">
        <v>872.25924509428955</v>
      </c>
      <c r="F187" s="175">
        <v>870.16629401900502</v>
      </c>
      <c r="G187" s="175">
        <v>868.42482078589433</v>
      </c>
      <c r="H187" s="175">
        <v>975.43457091583059</v>
      </c>
      <c r="I187" s="175">
        <v>876.30986143390896</v>
      </c>
      <c r="J187" s="175">
        <v>693.02544055779481</v>
      </c>
      <c r="K187" s="175">
        <v>705.23896399046816</v>
      </c>
      <c r="L187" s="175">
        <v>784.37121591009384</v>
      </c>
      <c r="M187" s="175">
        <v>861.96558647877384</v>
      </c>
      <c r="N187" s="316">
        <v>828.70412983969152</v>
      </c>
    </row>
    <row r="188" spans="2:14" s="142" customFormat="1" x14ac:dyDescent="0.35">
      <c r="B188" s="177" t="s">
        <v>2271</v>
      </c>
      <c r="C188" s="175" t="s">
        <v>2283</v>
      </c>
      <c r="D188" s="175" t="s">
        <v>2283</v>
      </c>
      <c r="E188" s="175" t="s">
        <v>2283</v>
      </c>
      <c r="F188" s="175" t="s">
        <v>2283</v>
      </c>
      <c r="G188" s="175" t="s">
        <v>2283</v>
      </c>
      <c r="H188" s="175" t="s">
        <v>2283</v>
      </c>
      <c r="I188" s="175" t="s">
        <v>2283</v>
      </c>
      <c r="J188" s="175" t="s">
        <v>2283</v>
      </c>
      <c r="K188" s="175" t="s">
        <v>2283</v>
      </c>
      <c r="L188" s="175" t="s">
        <v>2283</v>
      </c>
      <c r="M188" s="175" t="s">
        <v>2283</v>
      </c>
      <c r="N188" s="316" t="s">
        <v>2283</v>
      </c>
    </row>
    <row r="189" spans="2:14" s="142" customFormat="1" x14ac:dyDescent="0.35">
      <c r="B189" s="177" t="s">
        <v>1365</v>
      </c>
      <c r="C189" s="175" t="s">
        <v>2283</v>
      </c>
      <c r="D189" s="175" t="s">
        <v>2283</v>
      </c>
      <c r="E189" s="175" t="s">
        <v>2283</v>
      </c>
      <c r="F189" s="175" t="s">
        <v>2283</v>
      </c>
      <c r="G189" s="175" t="s">
        <v>2283</v>
      </c>
      <c r="H189" s="175" t="s">
        <v>2283</v>
      </c>
      <c r="I189" s="175" t="s">
        <v>2283</v>
      </c>
      <c r="J189" s="175" t="s">
        <v>2283</v>
      </c>
      <c r="K189" s="175" t="s">
        <v>2283</v>
      </c>
      <c r="L189" s="175" t="s">
        <v>2283</v>
      </c>
      <c r="M189" s="175" t="s">
        <v>2283</v>
      </c>
      <c r="N189" s="316" t="s">
        <v>2283</v>
      </c>
    </row>
    <row r="190" spans="2:14" s="142" customFormat="1" x14ac:dyDescent="0.35">
      <c r="B190" s="177" t="s">
        <v>569</v>
      </c>
      <c r="C190" s="175" t="s">
        <v>2283</v>
      </c>
      <c r="D190" s="175" t="s">
        <v>2283</v>
      </c>
      <c r="E190" s="175" t="s">
        <v>2283</v>
      </c>
      <c r="F190" s="175" t="s">
        <v>2283</v>
      </c>
      <c r="G190" s="175" t="s">
        <v>2283</v>
      </c>
      <c r="H190" s="175" t="s">
        <v>2283</v>
      </c>
      <c r="I190" s="175" t="s">
        <v>2283</v>
      </c>
      <c r="J190" s="175" t="s">
        <v>2283</v>
      </c>
      <c r="K190" s="175" t="s">
        <v>2283</v>
      </c>
      <c r="L190" s="175" t="s">
        <v>2283</v>
      </c>
      <c r="M190" s="175" t="s">
        <v>2283</v>
      </c>
      <c r="N190" s="316" t="s">
        <v>2283</v>
      </c>
    </row>
    <row r="191" spans="2:14" s="142" customFormat="1" x14ac:dyDescent="0.35">
      <c r="B191" s="177" t="s">
        <v>30</v>
      </c>
      <c r="C191" s="175" t="s">
        <v>2283</v>
      </c>
      <c r="D191" s="175" t="s">
        <v>2283</v>
      </c>
      <c r="E191" s="175" t="s">
        <v>2283</v>
      </c>
      <c r="F191" s="175" t="s">
        <v>2283</v>
      </c>
      <c r="G191" s="175" t="s">
        <v>2283</v>
      </c>
      <c r="H191" s="175" t="s">
        <v>2283</v>
      </c>
      <c r="I191" s="175" t="s">
        <v>2283</v>
      </c>
      <c r="J191" s="175" t="s">
        <v>2283</v>
      </c>
      <c r="K191" s="175" t="s">
        <v>2283</v>
      </c>
      <c r="L191" s="175" t="s">
        <v>2283</v>
      </c>
      <c r="M191" s="175" t="s">
        <v>2283</v>
      </c>
      <c r="N191" s="316" t="s">
        <v>2283</v>
      </c>
    </row>
    <row r="192" spans="2:14" s="142" customFormat="1" x14ac:dyDescent="0.35">
      <c r="B192" s="177" t="s">
        <v>814</v>
      </c>
      <c r="C192" s="175" t="s">
        <v>2283</v>
      </c>
      <c r="D192" s="175" t="s">
        <v>2283</v>
      </c>
      <c r="E192" s="175" t="s">
        <v>2283</v>
      </c>
      <c r="F192" s="175" t="s">
        <v>2283</v>
      </c>
      <c r="G192" s="175" t="s">
        <v>2283</v>
      </c>
      <c r="H192" s="175" t="s">
        <v>2283</v>
      </c>
      <c r="I192" s="175" t="s">
        <v>2283</v>
      </c>
      <c r="J192" s="175" t="s">
        <v>2283</v>
      </c>
      <c r="K192" s="175" t="s">
        <v>2283</v>
      </c>
      <c r="L192" s="175" t="s">
        <v>2283</v>
      </c>
      <c r="M192" s="175" t="s">
        <v>2283</v>
      </c>
      <c r="N192" s="316" t="s">
        <v>2283</v>
      </c>
    </row>
    <row r="193" spans="2:14" s="142" customFormat="1" x14ac:dyDescent="0.35">
      <c r="B193" s="177" t="s">
        <v>1368</v>
      </c>
      <c r="C193" s="175" t="s">
        <v>2283</v>
      </c>
      <c r="D193" s="175" t="s">
        <v>2283</v>
      </c>
      <c r="E193" s="175" t="s">
        <v>2283</v>
      </c>
      <c r="F193" s="175" t="s">
        <v>2283</v>
      </c>
      <c r="G193" s="175" t="s">
        <v>2283</v>
      </c>
      <c r="H193" s="175" t="s">
        <v>2283</v>
      </c>
      <c r="I193" s="175" t="s">
        <v>2283</v>
      </c>
      <c r="J193" s="175" t="s">
        <v>2283</v>
      </c>
      <c r="K193" s="175" t="s">
        <v>2283</v>
      </c>
      <c r="L193" s="175" t="s">
        <v>2283</v>
      </c>
      <c r="M193" s="175" t="s">
        <v>2283</v>
      </c>
      <c r="N193" s="316" t="s">
        <v>2283</v>
      </c>
    </row>
    <row r="194" spans="2:14" s="142" customFormat="1" x14ac:dyDescent="0.35">
      <c r="B194" s="177" t="s">
        <v>2272</v>
      </c>
      <c r="C194" s="175" t="s">
        <v>2283</v>
      </c>
      <c r="D194" s="175" t="s">
        <v>2283</v>
      </c>
      <c r="E194" s="175" t="s">
        <v>2283</v>
      </c>
      <c r="F194" s="175" t="s">
        <v>2283</v>
      </c>
      <c r="G194" s="175" t="s">
        <v>2283</v>
      </c>
      <c r="H194" s="175" t="s">
        <v>2283</v>
      </c>
      <c r="I194" s="175" t="s">
        <v>2283</v>
      </c>
      <c r="J194" s="175" t="s">
        <v>2283</v>
      </c>
      <c r="K194" s="175" t="s">
        <v>2283</v>
      </c>
      <c r="L194" s="175" t="s">
        <v>2283</v>
      </c>
      <c r="M194" s="175" t="s">
        <v>2283</v>
      </c>
      <c r="N194" s="316" t="s">
        <v>2283</v>
      </c>
    </row>
    <row r="195" spans="2:14" s="142" customFormat="1" x14ac:dyDescent="0.35">
      <c r="B195" s="177" t="s">
        <v>2273</v>
      </c>
      <c r="C195" s="175" t="s">
        <v>2283</v>
      </c>
      <c r="D195" s="175" t="s">
        <v>2283</v>
      </c>
      <c r="E195" s="175" t="s">
        <v>2283</v>
      </c>
      <c r="F195" s="175" t="s">
        <v>2283</v>
      </c>
      <c r="G195" s="175" t="s">
        <v>2283</v>
      </c>
      <c r="H195" s="175" t="s">
        <v>2283</v>
      </c>
      <c r="I195" s="175" t="s">
        <v>2283</v>
      </c>
      <c r="J195" s="175" t="s">
        <v>2283</v>
      </c>
      <c r="K195" s="175" t="s">
        <v>2283</v>
      </c>
      <c r="L195" s="175" t="s">
        <v>2283</v>
      </c>
      <c r="M195" s="175" t="s">
        <v>2283</v>
      </c>
      <c r="N195" s="316" t="s">
        <v>2283</v>
      </c>
    </row>
    <row r="196" spans="2:14" s="142" customFormat="1" x14ac:dyDescent="0.35">
      <c r="B196" s="177" t="s">
        <v>1371</v>
      </c>
      <c r="C196" s="175">
        <v>899.78703186137511</v>
      </c>
      <c r="D196" s="175">
        <v>982.30499880220395</v>
      </c>
      <c r="E196" s="175">
        <v>1020.5916860345385</v>
      </c>
      <c r="F196" s="175">
        <v>1018.142817216322</v>
      </c>
      <c r="G196" s="175">
        <v>1016.1051969639022</v>
      </c>
      <c r="H196" s="175">
        <v>1141.3125386131621</v>
      </c>
      <c r="I196" s="175">
        <v>1025.3311317701746</v>
      </c>
      <c r="J196" s="175">
        <v>810.87819569886153</v>
      </c>
      <c r="K196" s="175">
        <v>825.16869538995627</v>
      </c>
      <c r="L196" s="175">
        <v>917.75781824600631</v>
      </c>
      <c r="M196" s="175">
        <v>1008.5475346415228</v>
      </c>
      <c r="N196" s="316">
        <v>969.62978593072955</v>
      </c>
    </row>
    <row r="197" spans="2:14" s="142" customFormat="1" x14ac:dyDescent="0.35">
      <c r="B197" s="177" t="s">
        <v>1369</v>
      </c>
      <c r="C197" s="175">
        <v>999.28954723309118</v>
      </c>
      <c r="D197" s="175">
        <v>1090.9327237882296</v>
      </c>
      <c r="E197" s="175">
        <v>1133.4533258803799</v>
      </c>
      <c r="F197" s="175">
        <v>1130.7336500838458</v>
      </c>
      <c r="G197" s="175">
        <v>1128.4707005776038</v>
      </c>
      <c r="H197" s="175">
        <v>1267.5240357741754</v>
      </c>
      <c r="I197" s="175">
        <v>1138.7168809390721</v>
      </c>
      <c r="J197" s="175">
        <v>900.54877026271674</v>
      </c>
      <c r="K197" s="175">
        <v>916.41957797652321</v>
      </c>
      <c r="L197" s="175">
        <v>1019.2476243711571</v>
      </c>
      <c r="M197" s="175">
        <v>1120.0772778088317</v>
      </c>
      <c r="N197" s="316">
        <v>1076.8558286086934</v>
      </c>
    </row>
    <row r="198" spans="2:14" s="142" customFormat="1" x14ac:dyDescent="0.35">
      <c r="B198" s="177" t="s">
        <v>1370</v>
      </c>
      <c r="C198" s="175">
        <v>669.50978200111797</v>
      </c>
      <c r="D198" s="175">
        <v>730.90940669168731</v>
      </c>
      <c r="E198" s="175">
        <v>759.39760524844803</v>
      </c>
      <c r="F198" s="175">
        <v>757.57546115148125</v>
      </c>
      <c r="G198" s="175">
        <v>756.05931717219266</v>
      </c>
      <c r="H198" s="175">
        <v>849.22307375481739</v>
      </c>
      <c r="I198" s="175">
        <v>762.92411226501133</v>
      </c>
      <c r="J198" s="175">
        <v>603.3548659939396</v>
      </c>
      <c r="K198" s="175">
        <v>613.98808140390111</v>
      </c>
      <c r="L198" s="175">
        <v>682.88140978494312</v>
      </c>
      <c r="M198" s="175">
        <v>750.43584331146485</v>
      </c>
      <c r="N198" s="316">
        <v>721.47808716172767</v>
      </c>
    </row>
    <row r="199" spans="2:14" s="142" customFormat="1" x14ac:dyDescent="0.35">
      <c r="B199" s="177" t="s">
        <v>32</v>
      </c>
      <c r="C199" s="175">
        <f>C160*2</f>
        <v>1722.814980435998</v>
      </c>
      <c r="D199" s="175">
        <f t="shared" ref="D199:N199" si="0">D160*2</f>
        <v>1880.8114669009024</v>
      </c>
      <c r="E199" s="175">
        <f t="shared" si="0"/>
        <v>1954.1186784737135</v>
      </c>
      <c r="F199" s="175">
        <f t="shared" si="0"/>
        <v>1949.4298490776971</v>
      </c>
      <c r="G199" s="175">
        <f t="shared" si="0"/>
        <v>1945.5284339972345</v>
      </c>
      <c r="H199" s="175">
        <f t="shared" si="0"/>
        <v>2185.261922273543</v>
      </c>
      <c r="I199" s="175">
        <f t="shared" si="0"/>
        <v>1963.193257038628</v>
      </c>
      <c r="J199" s="175">
        <f t="shared" si="0"/>
        <v>1552.5819481627491</v>
      </c>
      <c r="K199" s="175">
        <f t="shared" si="0"/>
        <v>1579.9438527845607</v>
      </c>
      <c r="L199" s="175">
        <f t="shared" si="0"/>
        <v>1757.223500338325</v>
      </c>
      <c r="M199" s="175">
        <f t="shared" si="0"/>
        <v>1931.057838839693</v>
      </c>
      <c r="N199" s="175">
        <f t="shared" si="0"/>
        <v>1856.5423389384587</v>
      </c>
    </row>
    <row r="200" spans="2:14" s="142" customFormat="1" x14ac:dyDescent="0.35">
      <c r="B200" s="177" t="s">
        <v>2274</v>
      </c>
      <c r="C200" s="175" t="s">
        <v>2283</v>
      </c>
      <c r="D200" s="175" t="s">
        <v>2283</v>
      </c>
      <c r="E200" s="175" t="s">
        <v>2283</v>
      </c>
      <c r="F200" s="175" t="s">
        <v>2283</v>
      </c>
      <c r="G200" s="175" t="s">
        <v>2283</v>
      </c>
      <c r="H200" s="175" t="s">
        <v>2283</v>
      </c>
      <c r="I200" s="175" t="s">
        <v>2283</v>
      </c>
      <c r="J200" s="175" t="s">
        <v>2283</v>
      </c>
      <c r="K200" s="175" t="s">
        <v>2283</v>
      </c>
      <c r="L200" s="175" t="s">
        <v>2283</v>
      </c>
      <c r="M200" s="175" t="s">
        <v>2283</v>
      </c>
      <c r="N200" s="316" t="s">
        <v>2283</v>
      </c>
    </row>
    <row r="201" spans="2:14" s="142" customFormat="1" x14ac:dyDescent="0.35">
      <c r="B201" s="177" t="s">
        <v>2275</v>
      </c>
      <c r="C201" s="175">
        <v>6429.283957518167</v>
      </c>
      <c r="D201" s="175">
        <v>7018.9028587399189</v>
      </c>
      <c r="E201" s="175">
        <v>7292.4742431820177</v>
      </c>
      <c r="F201" s="175">
        <v>7274.9762437115705</v>
      </c>
      <c r="G201" s="175">
        <v>7260.4167549253234</v>
      </c>
      <c r="H201" s="175">
        <v>8155.0657379894674</v>
      </c>
      <c r="I201" s="175">
        <v>7326.339192727487</v>
      </c>
      <c r="J201" s="175">
        <v>5794.0001250330979</v>
      </c>
      <c r="K201" s="175">
        <v>5896.1105991291815</v>
      </c>
      <c r="L201" s="175">
        <v>6557.6913300579572</v>
      </c>
      <c r="M201" s="175">
        <v>7206.4146906534079</v>
      </c>
      <c r="N201" s="316">
        <v>6928.3341576061448</v>
      </c>
    </row>
    <row r="202" spans="2:14" s="142" customFormat="1" x14ac:dyDescent="0.35">
      <c r="B202" s="177" t="s">
        <v>2276</v>
      </c>
      <c r="C202" s="175" t="s">
        <v>2283</v>
      </c>
      <c r="D202" s="175" t="s">
        <v>2283</v>
      </c>
      <c r="E202" s="175" t="s">
        <v>2283</v>
      </c>
      <c r="F202" s="175" t="s">
        <v>2283</v>
      </c>
      <c r="G202" s="175" t="s">
        <v>2283</v>
      </c>
      <c r="H202" s="175" t="s">
        <v>2283</v>
      </c>
      <c r="I202" s="175" t="s">
        <v>2283</v>
      </c>
      <c r="J202" s="175" t="s">
        <v>2283</v>
      </c>
      <c r="K202" s="175" t="s">
        <v>2283</v>
      </c>
      <c r="L202" s="175" t="s">
        <v>2283</v>
      </c>
      <c r="M202" s="175" t="s">
        <v>2283</v>
      </c>
      <c r="N202" s="316" t="s">
        <v>2283</v>
      </c>
    </row>
    <row r="203" spans="2:14" s="142" customFormat="1" x14ac:dyDescent="0.35">
      <c r="B203" s="177" t="s">
        <v>1666</v>
      </c>
      <c r="C203" s="175">
        <v>4550.1078814980438</v>
      </c>
      <c r="D203" s="175">
        <v>4967.3906811466904</v>
      </c>
      <c r="E203" s="175">
        <v>5161.0015592362679</v>
      </c>
      <c r="F203" s="175">
        <v>5148.617942984908</v>
      </c>
      <c r="G203" s="175">
        <v>5138.3139581065579</v>
      </c>
      <c r="H203" s="175">
        <v>5771.4714630343324</v>
      </c>
      <c r="I203" s="175">
        <v>5184.9683298520195</v>
      </c>
      <c r="J203" s="175">
        <v>4100.5072739842908</v>
      </c>
      <c r="K203" s="175">
        <v>4172.7725022800159</v>
      </c>
      <c r="L203" s="175">
        <v>4640.9838486658236</v>
      </c>
      <c r="M203" s="175">
        <v>5100.0958268365157</v>
      </c>
      <c r="N203" s="316">
        <v>4903.2937516023158</v>
      </c>
    </row>
    <row r="204" spans="2:14" s="142" customFormat="1" x14ac:dyDescent="0.35">
      <c r="B204" s="177" t="s">
        <v>1373</v>
      </c>
      <c r="C204" s="175">
        <v>1567.8753493571828</v>
      </c>
      <c r="D204" s="175">
        <v>1711.6625808512338</v>
      </c>
      <c r="E204" s="175">
        <v>1778.3769821423316</v>
      </c>
      <c r="F204" s="175">
        <v>1774.1098378982672</v>
      </c>
      <c r="G204" s="175">
        <v>1770.5592926558991</v>
      </c>
      <c r="H204" s="175">
        <v>1988.7325909799652</v>
      </c>
      <c r="I204" s="175">
        <v>1786.6354476184872</v>
      </c>
      <c r="J204" s="175">
        <v>1412.9520534847461</v>
      </c>
      <c r="K204" s="175">
        <v>1437.8531927569063</v>
      </c>
      <c r="L204" s="175">
        <v>1599.1893736577331</v>
      </c>
      <c r="M204" s="175">
        <v>1757.3900959077403</v>
      </c>
      <c r="N204" s="316">
        <v>1689.5760724827721</v>
      </c>
    </row>
    <row r="205" spans="2:14" s="142" customFormat="1" x14ac:dyDescent="0.35">
      <c r="B205" s="177" t="s">
        <v>1372</v>
      </c>
      <c r="C205" s="175" t="s">
        <v>2283</v>
      </c>
      <c r="D205" s="175" t="s">
        <v>2283</v>
      </c>
      <c r="E205" s="175" t="s">
        <v>2283</v>
      </c>
      <c r="F205" s="175" t="s">
        <v>2283</v>
      </c>
      <c r="G205" s="175" t="s">
        <v>2283</v>
      </c>
      <c r="H205" s="175" t="s">
        <v>2283</v>
      </c>
      <c r="I205" s="175" t="s">
        <v>2283</v>
      </c>
      <c r="J205" s="175" t="s">
        <v>2283</v>
      </c>
      <c r="K205" s="175" t="s">
        <v>2283</v>
      </c>
      <c r="L205" s="175" t="s">
        <v>2283</v>
      </c>
      <c r="M205" s="175" t="s">
        <v>2283</v>
      </c>
      <c r="N205" s="316" t="s">
        <v>2283</v>
      </c>
    </row>
    <row r="206" spans="2:14" s="142" customFormat="1" x14ac:dyDescent="0.35">
      <c r="B206" s="177" t="s">
        <v>1374</v>
      </c>
      <c r="C206" s="175">
        <v>1049.0408049189491</v>
      </c>
      <c r="D206" s="175">
        <v>1145.2465862812426</v>
      </c>
      <c r="E206" s="175">
        <v>1189.8841458033007</v>
      </c>
      <c r="F206" s="175">
        <v>1187.0290665176076</v>
      </c>
      <c r="G206" s="175">
        <v>1184.6534523844548</v>
      </c>
      <c r="H206" s="175">
        <v>1330.629784354682</v>
      </c>
      <c r="I206" s="175">
        <v>1195.409755523521</v>
      </c>
      <c r="J206" s="175">
        <v>945.38405754464429</v>
      </c>
      <c r="K206" s="175">
        <v>962.04501926980674</v>
      </c>
      <c r="L206" s="175">
        <v>1069.9925274337324</v>
      </c>
      <c r="M206" s="175">
        <v>1175.8421493924864</v>
      </c>
      <c r="N206" s="316">
        <v>1130.4688499476752</v>
      </c>
    </row>
    <row r="207" spans="2:14" s="142" customFormat="1" x14ac:dyDescent="0.35">
      <c r="B207" s="177" t="s">
        <v>1376</v>
      </c>
      <c r="C207" s="175">
        <v>2803.1280044717723</v>
      </c>
      <c r="D207" s="175">
        <v>3060.19819532061</v>
      </c>
      <c r="E207" s="175">
        <v>3179.4736253714213</v>
      </c>
      <c r="F207" s="175">
        <v>3171.8446059250978</v>
      </c>
      <c r="G207" s="175">
        <v>3165.4967589459957</v>
      </c>
      <c r="H207" s="175">
        <v>3555.5581771645434</v>
      </c>
      <c r="I207" s="175">
        <v>3194.2385337295168</v>
      </c>
      <c r="J207" s="175">
        <v>2526.1481862846049</v>
      </c>
      <c r="K207" s="175">
        <v>2570.6677208672886</v>
      </c>
      <c r="L207" s="175">
        <v>2859.112823982819</v>
      </c>
      <c r="M207" s="175">
        <v>3141.9521932276193</v>
      </c>
      <c r="N207" s="316">
        <v>3020.7108022992079</v>
      </c>
    </row>
    <row r="208" spans="2:14" s="142" customFormat="1" x14ac:dyDescent="0.35">
      <c r="B208" s="177" t="s">
        <v>1377</v>
      </c>
      <c r="C208" s="175">
        <v>2734.8977082168813</v>
      </c>
      <c r="D208" s="175">
        <v>2985.7106124730494</v>
      </c>
      <c r="E208" s="175">
        <v>3102.0827866199875</v>
      </c>
      <c r="F208" s="175">
        <v>3094.6394633873674</v>
      </c>
      <c r="G208" s="175">
        <v>3088.4461278966</v>
      </c>
      <c r="H208" s="175">
        <v>3469.0131505398485</v>
      </c>
      <c r="I208" s="175">
        <v>3116.4883057279872</v>
      </c>
      <c r="J208" s="175">
        <v>2464.6597922979613</v>
      </c>
      <c r="K208" s="175">
        <v>2508.0956870936425</v>
      </c>
      <c r="L208" s="175">
        <v>2789.5198140684302</v>
      </c>
      <c r="M208" s="175">
        <v>3065.4746550557502</v>
      </c>
      <c r="N208" s="316">
        <v>2947.1843730343189</v>
      </c>
    </row>
    <row r="209" spans="2:14" s="142" customFormat="1" x14ac:dyDescent="0.35">
      <c r="B209" s="177" t="s">
        <v>1375</v>
      </c>
      <c r="C209" s="175">
        <v>5402.9865846841813</v>
      </c>
      <c r="D209" s="175">
        <v>5898.4854667411964</v>
      </c>
      <c r="E209" s="175">
        <v>6128.3870436291954</v>
      </c>
      <c r="F209" s="175">
        <v>6113.6822247065402</v>
      </c>
      <c r="G209" s="175">
        <v>6101.4468462240002</v>
      </c>
      <c r="H209" s="175">
        <v>6853.2842958430165</v>
      </c>
      <c r="I209" s="175">
        <v>6156.8461798711423</v>
      </c>
      <c r="J209" s="175">
        <v>4869.1121988173345</v>
      </c>
      <c r="K209" s="175">
        <v>4954.9229244505905</v>
      </c>
      <c r="L209" s="175">
        <v>5510.8964725956876</v>
      </c>
      <c r="M209" s="175">
        <v>6056.0650539848784</v>
      </c>
      <c r="N209" s="316">
        <v>5822.3741174134329</v>
      </c>
    </row>
    <row r="210" spans="2:14" s="142" customFormat="1" x14ac:dyDescent="0.35">
      <c r="B210" s="177" t="s">
        <v>2277</v>
      </c>
      <c r="C210" s="175" t="s">
        <v>2283</v>
      </c>
      <c r="D210" s="175" t="s">
        <v>2283</v>
      </c>
      <c r="E210" s="175" t="s">
        <v>2283</v>
      </c>
      <c r="F210" s="175" t="s">
        <v>2283</v>
      </c>
      <c r="G210" s="175" t="s">
        <v>2283</v>
      </c>
      <c r="H210" s="175" t="s">
        <v>2283</v>
      </c>
      <c r="I210" s="175" t="s">
        <v>2283</v>
      </c>
      <c r="J210" s="175" t="s">
        <v>2283</v>
      </c>
      <c r="K210" s="175" t="s">
        <v>2283</v>
      </c>
      <c r="L210" s="175" t="s">
        <v>2283</v>
      </c>
      <c r="M210" s="175" t="s">
        <v>2283</v>
      </c>
      <c r="N210" s="316" t="s">
        <v>2283</v>
      </c>
    </row>
    <row r="211" spans="2:14" s="142" customFormat="1" x14ac:dyDescent="0.35">
      <c r="B211" s="177" t="s">
        <v>1757</v>
      </c>
      <c r="C211" s="175" t="s">
        <v>2283</v>
      </c>
      <c r="D211" s="175" t="s">
        <v>2283</v>
      </c>
      <c r="E211" s="175" t="s">
        <v>2283</v>
      </c>
      <c r="F211" s="175" t="s">
        <v>2283</v>
      </c>
      <c r="G211" s="175" t="s">
        <v>2283</v>
      </c>
      <c r="H211" s="175" t="s">
        <v>2283</v>
      </c>
      <c r="I211" s="175" t="s">
        <v>2283</v>
      </c>
      <c r="J211" s="175" t="s">
        <v>2283</v>
      </c>
      <c r="K211" s="175" t="s">
        <v>2283</v>
      </c>
      <c r="L211" s="175" t="s">
        <v>2283</v>
      </c>
      <c r="M211" s="175" t="s">
        <v>2283</v>
      </c>
      <c r="N211" s="316" t="s">
        <v>2283</v>
      </c>
    </row>
    <row r="212" spans="2:14" s="142" customFormat="1" x14ac:dyDescent="0.35">
      <c r="B212" s="177" t="s">
        <v>2278</v>
      </c>
      <c r="C212" s="175" t="s">
        <v>2283</v>
      </c>
      <c r="D212" s="175" t="s">
        <v>2283</v>
      </c>
      <c r="E212" s="175" t="s">
        <v>2283</v>
      </c>
      <c r="F212" s="175" t="s">
        <v>2283</v>
      </c>
      <c r="G212" s="175" t="s">
        <v>2283</v>
      </c>
      <c r="H212" s="175" t="s">
        <v>2283</v>
      </c>
      <c r="I212" s="175" t="s">
        <v>2283</v>
      </c>
      <c r="J212" s="175" t="s">
        <v>2283</v>
      </c>
      <c r="K212" s="175" t="s">
        <v>2283</v>
      </c>
      <c r="L212" s="175" t="s">
        <v>2283</v>
      </c>
      <c r="M212" s="175" t="s">
        <v>2283</v>
      </c>
      <c r="N212" s="316" t="s">
        <v>2283</v>
      </c>
    </row>
    <row r="213" spans="2:14" s="142" customFormat="1" x14ac:dyDescent="0.35">
      <c r="B213" s="177" t="s">
        <v>2279</v>
      </c>
      <c r="C213" s="175" t="s">
        <v>2283</v>
      </c>
      <c r="D213" s="175" t="s">
        <v>2283</v>
      </c>
      <c r="E213" s="175" t="s">
        <v>2283</v>
      </c>
      <c r="F213" s="175" t="s">
        <v>2283</v>
      </c>
      <c r="G213" s="175" t="s">
        <v>2283</v>
      </c>
      <c r="H213" s="175" t="s">
        <v>2283</v>
      </c>
      <c r="I213" s="175" t="s">
        <v>2283</v>
      </c>
      <c r="J213" s="175" t="s">
        <v>2283</v>
      </c>
      <c r="K213" s="175" t="s">
        <v>2283</v>
      </c>
      <c r="L213" s="175" t="s">
        <v>2283</v>
      </c>
      <c r="M213" s="175" t="s">
        <v>2283</v>
      </c>
      <c r="N213" s="316" t="s">
        <v>2283</v>
      </c>
    </row>
    <row r="214" spans="2:14" x14ac:dyDescent="0.35">
      <c r="H214" s="123"/>
      <c r="I214" s="123"/>
      <c r="J214" s="123"/>
      <c r="K214" s="123"/>
      <c r="L214" s="123"/>
      <c r="M214" s="123"/>
      <c r="N214" s="123"/>
    </row>
    <row r="215" spans="2:14" s="142" customFormat="1" ht="17.5" thickBot="1" x14ac:dyDescent="0.45">
      <c r="B215" s="176" t="s">
        <v>2288</v>
      </c>
      <c r="C215" s="176"/>
      <c r="D215" s="176"/>
      <c r="E215" s="176"/>
      <c r="F215" s="176"/>
      <c r="G215" s="176"/>
      <c r="H215" s="176"/>
      <c r="I215" s="176"/>
      <c r="J215" s="176"/>
      <c r="K215" s="176"/>
      <c r="L215" s="176"/>
      <c r="M215" s="176"/>
      <c r="N215" s="176"/>
    </row>
    <row r="216" spans="2:14" s="142" customFormat="1" ht="17.5" thickTop="1" x14ac:dyDescent="0.4">
      <c r="B216" s="435" t="s">
        <v>2266</v>
      </c>
      <c r="C216" s="2045"/>
      <c r="D216" s="2045"/>
      <c r="E216" s="2045"/>
      <c r="F216" s="2045"/>
      <c r="G216" s="2045"/>
      <c r="H216" s="2045"/>
      <c r="I216" s="2045"/>
      <c r="J216" s="2045"/>
      <c r="K216" s="2045"/>
      <c r="L216" s="2045"/>
      <c r="M216" s="2045"/>
      <c r="N216" s="2045"/>
    </row>
    <row r="217" spans="2:14" s="142" customFormat="1" x14ac:dyDescent="0.35">
      <c r="B217" s="153" t="s">
        <v>2289</v>
      </c>
      <c r="C217" s="212" t="s">
        <v>1361</v>
      </c>
      <c r="D217" s="212" t="s">
        <v>1811</v>
      </c>
      <c r="E217" s="212" t="s">
        <v>1812</v>
      </c>
      <c r="F217" s="227" t="s">
        <v>1362</v>
      </c>
      <c r="G217" s="227" t="s">
        <v>1813</v>
      </c>
      <c r="H217" s="227" t="s">
        <v>1814</v>
      </c>
      <c r="I217" s="227" t="s">
        <v>1815</v>
      </c>
      <c r="J217" s="227" t="s">
        <v>1816</v>
      </c>
      <c r="K217" s="227" t="s">
        <v>1817</v>
      </c>
      <c r="L217" s="227" t="s">
        <v>1818</v>
      </c>
      <c r="M217" s="227" t="s">
        <v>1819</v>
      </c>
      <c r="N217" s="194" t="s">
        <v>10</v>
      </c>
    </row>
    <row r="218" spans="2:14" s="142" customFormat="1" x14ac:dyDescent="0.35">
      <c r="B218" s="177" t="s">
        <v>1366</v>
      </c>
      <c r="C218" s="175" t="s">
        <v>2283</v>
      </c>
      <c r="D218" s="175" t="s">
        <v>2283</v>
      </c>
      <c r="E218" s="175" t="s">
        <v>2283</v>
      </c>
      <c r="F218" s="175" t="s">
        <v>2283</v>
      </c>
      <c r="G218" s="175" t="s">
        <v>2283</v>
      </c>
      <c r="H218" s="175" t="s">
        <v>2283</v>
      </c>
      <c r="I218" s="175" t="s">
        <v>2283</v>
      </c>
      <c r="J218" s="175" t="s">
        <v>2283</v>
      </c>
      <c r="K218" s="175" t="s">
        <v>2283</v>
      </c>
      <c r="L218" s="175" t="s">
        <v>2283</v>
      </c>
      <c r="M218" s="175" t="s">
        <v>2283</v>
      </c>
      <c r="N218" s="316" t="s">
        <v>2283</v>
      </c>
    </row>
    <row r="219" spans="2:14" s="142" customFormat="1" x14ac:dyDescent="0.35">
      <c r="B219" s="177" t="s">
        <v>2267</v>
      </c>
      <c r="C219" s="175" t="s">
        <v>2283</v>
      </c>
      <c r="D219" s="175" t="s">
        <v>2283</v>
      </c>
      <c r="E219" s="175" t="s">
        <v>2283</v>
      </c>
      <c r="F219" s="175" t="s">
        <v>2283</v>
      </c>
      <c r="G219" s="175" t="s">
        <v>2283</v>
      </c>
      <c r="H219" s="175" t="s">
        <v>2283</v>
      </c>
      <c r="I219" s="175" t="s">
        <v>2283</v>
      </c>
      <c r="J219" s="175" t="s">
        <v>2283</v>
      </c>
      <c r="K219" s="175" t="s">
        <v>2283</v>
      </c>
      <c r="L219" s="175" t="s">
        <v>2283</v>
      </c>
      <c r="M219" s="175" t="s">
        <v>2283</v>
      </c>
      <c r="N219" s="316" t="s">
        <v>2283</v>
      </c>
    </row>
    <row r="220" spans="2:14" s="142" customFormat="1" x14ac:dyDescent="0.35">
      <c r="B220" s="177" t="s">
        <v>2268</v>
      </c>
      <c r="C220" s="175" t="s">
        <v>2283</v>
      </c>
      <c r="D220" s="175" t="s">
        <v>2283</v>
      </c>
      <c r="E220" s="175" t="s">
        <v>2283</v>
      </c>
      <c r="F220" s="175" t="s">
        <v>2283</v>
      </c>
      <c r="G220" s="175" t="s">
        <v>2283</v>
      </c>
      <c r="H220" s="175" t="s">
        <v>2283</v>
      </c>
      <c r="I220" s="175" t="s">
        <v>2283</v>
      </c>
      <c r="J220" s="175" t="s">
        <v>2283</v>
      </c>
      <c r="K220" s="175" t="s">
        <v>2283</v>
      </c>
      <c r="L220" s="175" t="s">
        <v>2283</v>
      </c>
      <c r="M220" s="175" t="s">
        <v>2283</v>
      </c>
      <c r="N220" s="316" t="s">
        <v>2283</v>
      </c>
    </row>
    <row r="221" spans="2:14" s="142" customFormat="1" x14ac:dyDescent="0.35">
      <c r="B221" s="177" t="s">
        <v>811</v>
      </c>
      <c r="C221" s="175" t="s">
        <v>2283</v>
      </c>
      <c r="D221" s="175" t="s">
        <v>2283</v>
      </c>
      <c r="E221" s="175" t="s">
        <v>2283</v>
      </c>
      <c r="F221" s="175" t="s">
        <v>2283</v>
      </c>
      <c r="G221" s="175" t="s">
        <v>2283</v>
      </c>
      <c r="H221" s="175" t="s">
        <v>2283</v>
      </c>
      <c r="I221" s="175" t="s">
        <v>2283</v>
      </c>
      <c r="J221" s="175" t="s">
        <v>2283</v>
      </c>
      <c r="K221" s="175" t="s">
        <v>2283</v>
      </c>
      <c r="L221" s="175" t="s">
        <v>2283</v>
      </c>
      <c r="M221" s="175" t="s">
        <v>2283</v>
      </c>
      <c r="N221" s="316" t="s">
        <v>2283</v>
      </c>
    </row>
    <row r="222" spans="2:14" s="142" customFormat="1" x14ac:dyDescent="0.35">
      <c r="B222" s="177" t="s">
        <v>812</v>
      </c>
      <c r="C222" s="175" t="s">
        <v>2283</v>
      </c>
      <c r="D222" s="175" t="s">
        <v>2283</v>
      </c>
      <c r="E222" s="175" t="s">
        <v>2283</v>
      </c>
      <c r="F222" s="175" t="s">
        <v>2283</v>
      </c>
      <c r="G222" s="175" t="s">
        <v>2283</v>
      </c>
      <c r="H222" s="175" t="s">
        <v>2283</v>
      </c>
      <c r="I222" s="175" t="s">
        <v>2283</v>
      </c>
      <c r="J222" s="175" t="s">
        <v>2283</v>
      </c>
      <c r="K222" s="175" t="s">
        <v>2283</v>
      </c>
      <c r="L222" s="175" t="s">
        <v>2283</v>
      </c>
      <c r="M222" s="175" t="s">
        <v>2283</v>
      </c>
      <c r="N222" s="316" t="s">
        <v>2283</v>
      </c>
    </row>
    <row r="223" spans="2:14" s="142" customFormat="1" x14ac:dyDescent="0.35">
      <c r="B223" s="177" t="s">
        <v>1367</v>
      </c>
      <c r="C223" s="175" t="s">
        <v>2283</v>
      </c>
      <c r="D223" s="175" t="s">
        <v>2283</v>
      </c>
      <c r="E223" s="175" t="s">
        <v>2283</v>
      </c>
      <c r="F223" s="175" t="s">
        <v>2283</v>
      </c>
      <c r="G223" s="175" t="s">
        <v>2283</v>
      </c>
      <c r="H223" s="175" t="s">
        <v>2283</v>
      </c>
      <c r="I223" s="175" t="s">
        <v>2283</v>
      </c>
      <c r="J223" s="175" t="s">
        <v>2283</v>
      </c>
      <c r="K223" s="175" t="s">
        <v>2283</v>
      </c>
      <c r="L223" s="175" t="s">
        <v>2283</v>
      </c>
      <c r="M223" s="175" t="s">
        <v>2283</v>
      </c>
      <c r="N223" s="316" t="s">
        <v>2283</v>
      </c>
    </row>
    <row r="224" spans="2:14" s="142" customFormat="1" x14ac:dyDescent="0.35">
      <c r="B224" s="177" t="s">
        <v>2269</v>
      </c>
      <c r="C224" s="175">
        <v>34.041942705422024</v>
      </c>
      <c r="D224" s="175">
        <v>37.163872454683379</v>
      </c>
      <c r="E224" s="175">
        <v>38.612385454973371</v>
      </c>
      <c r="F224" s="175">
        <v>38.519736584684182</v>
      </c>
      <c r="G224" s="175">
        <v>38.442646618467634</v>
      </c>
      <c r="H224" s="175">
        <v>43.179657710864639</v>
      </c>
      <c r="I224" s="175">
        <v>38.791694485304937</v>
      </c>
      <c r="J224" s="175">
        <v>30.678225070606928</v>
      </c>
      <c r="K224" s="175">
        <v>31.218882308920008</v>
      </c>
      <c r="L224" s="175">
        <v>34.721837456973908</v>
      </c>
      <c r="M224" s="175">
        <v>38.156715060604277</v>
      </c>
      <c r="N224" s="316">
        <v>36.684326901045928</v>
      </c>
    </row>
    <row r="225" spans="2:14" s="142" customFormat="1" x14ac:dyDescent="0.35">
      <c r="B225" s="177" t="s">
        <v>2270</v>
      </c>
      <c r="C225" s="175" t="s">
        <v>2283</v>
      </c>
      <c r="D225" s="175" t="s">
        <v>2283</v>
      </c>
      <c r="E225" s="175" t="s">
        <v>2283</v>
      </c>
      <c r="F225" s="175" t="s">
        <v>2283</v>
      </c>
      <c r="G225" s="175" t="s">
        <v>2283</v>
      </c>
      <c r="H225" s="175" t="s">
        <v>2283</v>
      </c>
      <c r="I225" s="175" t="s">
        <v>2283</v>
      </c>
      <c r="J225" s="175" t="s">
        <v>2283</v>
      </c>
      <c r="K225" s="175" t="s">
        <v>2283</v>
      </c>
      <c r="L225" s="175" t="s">
        <v>2283</v>
      </c>
      <c r="M225" s="175" t="s">
        <v>2283</v>
      </c>
      <c r="N225" s="316" t="s">
        <v>2283</v>
      </c>
    </row>
    <row r="226" spans="2:14" s="142" customFormat="1" x14ac:dyDescent="0.35">
      <c r="B226" s="177" t="s">
        <v>1665</v>
      </c>
      <c r="C226" s="175">
        <v>3.449183622135271</v>
      </c>
      <c r="D226" s="175">
        <v>3.7655024954084482</v>
      </c>
      <c r="E226" s="175">
        <v>3.912268129799064</v>
      </c>
      <c r="F226" s="175">
        <v>3.902880799329234</v>
      </c>
      <c r="G226" s="175">
        <v>3.895069921694958</v>
      </c>
      <c r="H226" s="175">
        <v>4.3750313980171214</v>
      </c>
      <c r="I226" s="175">
        <v>3.9304360051190019</v>
      </c>
      <c r="J226" s="175">
        <v>3.108366416845636</v>
      </c>
      <c r="K226" s="175">
        <v>3.1631466656614986</v>
      </c>
      <c r="L226" s="175">
        <v>3.5180716366096907</v>
      </c>
      <c r="M226" s="175">
        <v>3.8660988827925036</v>
      </c>
      <c r="N226" s="316">
        <v>3.71691417940113</v>
      </c>
    </row>
    <row r="227" spans="2:14" s="142" customFormat="1" x14ac:dyDescent="0.35">
      <c r="B227" s="177" t="s">
        <v>2271</v>
      </c>
      <c r="C227" s="175" t="s">
        <v>2283</v>
      </c>
      <c r="D227" s="175" t="s">
        <v>2283</v>
      </c>
      <c r="E227" s="175" t="s">
        <v>2283</v>
      </c>
      <c r="F227" s="175" t="s">
        <v>2283</v>
      </c>
      <c r="G227" s="175" t="s">
        <v>2283</v>
      </c>
      <c r="H227" s="175" t="s">
        <v>2283</v>
      </c>
      <c r="I227" s="175" t="s">
        <v>2283</v>
      </c>
      <c r="J227" s="175" t="s">
        <v>2283</v>
      </c>
      <c r="K227" s="175" t="s">
        <v>2283</v>
      </c>
      <c r="L227" s="175" t="s">
        <v>2283</v>
      </c>
      <c r="M227" s="175" t="s">
        <v>2283</v>
      </c>
      <c r="N227" s="316" t="s">
        <v>2283</v>
      </c>
    </row>
    <row r="228" spans="2:14" s="142" customFormat="1" x14ac:dyDescent="0.35">
      <c r="B228" s="177" t="s">
        <v>1365</v>
      </c>
      <c r="C228" s="175">
        <v>8.5479768026830634</v>
      </c>
      <c r="D228" s="175">
        <v>9.3318974886209372</v>
      </c>
      <c r="E228" s="175">
        <v>9.695621017328115</v>
      </c>
      <c r="F228" s="175">
        <v>9.672356763555058</v>
      </c>
      <c r="G228" s="175">
        <v>9.6529993711570707</v>
      </c>
      <c r="H228" s="175">
        <v>10.84246911682504</v>
      </c>
      <c r="I228" s="175">
        <v>9.7406457518166576</v>
      </c>
      <c r="J228" s="175">
        <v>7.7033428591391839</v>
      </c>
      <c r="K228" s="175">
        <v>7.8391026062045839</v>
      </c>
      <c r="L228" s="175">
        <v>8.7186992733370605</v>
      </c>
      <c r="M228" s="175">
        <v>9.5812015790944649</v>
      </c>
      <c r="N228" s="316">
        <v>9.2114829663419311</v>
      </c>
    </row>
    <row r="229" spans="2:14" s="142" customFormat="1" x14ac:dyDescent="0.35">
      <c r="B229" s="177" t="s">
        <v>569</v>
      </c>
      <c r="C229" s="175" t="s">
        <v>2283</v>
      </c>
      <c r="D229" s="175" t="s">
        <v>2283</v>
      </c>
      <c r="E229" s="175" t="s">
        <v>2283</v>
      </c>
      <c r="F229" s="175" t="s">
        <v>2283</v>
      </c>
      <c r="G229" s="175" t="s">
        <v>2283</v>
      </c>
      <c r="H229" s="175" t="s">
        <v>2283</v>
      </c>
      <c r="I229" s="175" t="s">
        <v>2283</v>
      </c>
      <c r="J229" s="175" t="s">
        <v>2283</v>
      </c>
      <c r="K229" s="175" t="s">
        <v>2283</v>
      </c>
      <c r="L229" s="175" t="s">
        <v>2283</v>
      </c>
      <c r="M229" s="175" t="s">
        <v>2283</v>
      </c>
      <c r="N229" s="316" t="s">
        <v>2283</v>
      </c>
    </row>
    <row r="230" spans="2:14" s="142" customFormat="1" x14ac:dyDescent="0.35">
      <c r="B230" s="177" t="s">
        <v>30</v>
      </c>
      <c r="C230" s="175" t="s">
        <v>2283</v>
      </c>
      <c r="D230" s="175" t="s">
        <v>2283</v>
      </c>
      <c r="E230" s="175" t="s">
        <v>2283</v>
      </c>
      <c r="F230" s="175" t="s">
        <v>2283</v>
      </c>
      <c r="G230" s="175" t="s">
        <v>2283</v>
      </c>
      <c r="H230" s="175" t="s">
        <v>2283</v>
      </c>
      <c r="I230" s="175" t="s">
        <v>2283</v>
      </c>
      <c r="J230" s="175" t="s">
        <v>2283</v>
      </c>
      <c r="K230" s="175" t="s">
        <v>2283</v>
      </c>
      <c r="L230" s="175" t="s">
        <v>2283</v>
      </c>
      <c r="M230" s="175" t="s">
        <v>2283</v>
      </c>
      <c r="N230" s="316" t="s">
        <v>2283</v>
      </c>
    </row>
    <row r="231" spans="2:14" s="142" customFormat="1" x14ac:dyDescent="0.35">
      <c r="B231" s="177" t="s">
        <v>814</v>
      </c>
      <c r="C231" s="175" t="s">
        <v>2283</v>
      </c>
      <c r="D231" s="175" t="s">
        <v>2283</v>
      </c>
      <c r="E231" s="175" t="s">
        <v>2283</v>
      </c>
      <c r="F231" s="175" t="s">
        <v>2283</v>
      </c>
      <c r="G231" s="175" t="s">
        <v>2283</v>
      </c>
      <c r="H231" s="175" t="s">
        <v>2283</v>
      </c>
      <c r="I231" s="175" t="s">
        <v>2283</v>
      </c>
      <c r="J231" s="175" t="s">
        <v>2283</v>
      </c>
      <c r="K231" s="175" t="s">
        <v>2283</v>
      </c>
      <c r="L231" s="175" t="s">
        <v>2283</v>
      </c>
      <c r="M231" s="175" t="s">
        <v>2283</v>
      </c>
      <c r="N231" s="316" t="s">
        <v>2283</v>
      </c>
    </row>
    <row r="232" spans="2:14" s="142" customFormat="1" x14ac:dyDescent="0.35">
      <c r="B232" s="177" t="s">
        <v>1368</v>
      </c>
      <c r="C232" s="175" t="s">
        <v>2283</v>
      </c>
      <c r="D232" s="175" t="s">
        <v>2283</v>
      </c>
      <c r="E232" s="175" t="s">
        <v>2283</v>
      </c>
      <c r="F232" s="175" t="s">
        <v>2283</v>
      </c>
      <c r="G232" s="175" t="s">
        <v>2283</v>
      </c>
      <c r="H232" s="175" t="s">
        <v>2283</v>
      </c>
      <c r="I232" s="175" t="s">
        <v>2283</v>
      </c>
      <c r="J232" s="175" t="s">
        <v>2283</v>
      </c>
      <c r="K232" s="175" t="s">
        <v>2283</v>
      </c>
      <c r="L232" s="175" t="s">
        <v>2283</v>
      </c>
      <c r="M232" s="175" t="s">
        <v>2283</v>
      </c>
      <c r="N232" s="316" t="s">
        <v>2283</v>
      </c>
    </row>
    <row r="233" spans="2:14" s="142" customFormat="1" x14ac:dyDescent="0.35">
      <c r="B233" s="177" t="s">
        <v>2272</v>
      </c>
      <c r="C233" s="175" t="s">
        <v>2283</v>
      </c>
      <c r="D233" s="175" t="s">
        <v>2283</v>
      </c>
      <c r="E233" s="175" t="s">
        <v>2283</v>
      </c>
      <c r="F233" s="175" t="s">
        <v>2283</v>
      </c>
      <c r="G233" s="175" t="s">
        <v>2283</v>
      </c>
      <c r="H233" s="175" t="s">
        <v>2283</v>
      </c>
      <c r="I233" s="175" t="s">
        <v>2283</v>
      </c>
      <c r="J233" s="175" t="s">
        <v>2283</v>
      </c>
      <c r="K233" s="175" t="s">
        <v>2283</v>
      </c>
      <c r="L233" s="175" t="s">
        <v>2283</v>
      </c>
      <c r="M233" s="175" t="s">
        <v>2283</v>
      </c>
      <c r="N233" s="316" t="s">
        <v>2283</v>
      </c>
    </row>
    <row r="234" spans="2:14" s="142" customFormat="1" x14ac:dyDescent="0.35">
      <c r="B234" s="177" t="s">
        <v>2273</v>
      </c>
      <c r="C234" s="175" t="s">
        <v>2283</v>
      </c>
      <c r="D234" s="175" t="s">
        <v>2283</v>
      </c>
      <c r="E234" s="175" t="s">
        <v>2283</v>
      </c>
      <c r="F234" s="175" t="s">
        <v>2283</v>
      </c>
      <c r="G234" s="175" t="s">
        <v>2283</v>
      </c>
      <c r="H234" s="175" t="s">
        <v>2283</v>
      </c>
      <c r="I234" s="175" t="s">
        <v>2283</v>
      </c>
      <c r="J234" s="175" t="s">
        <v>2283</v>
      </c>
      <c r="K234" s="175" t="s">
        <v>2283</v>
      </c>
      <c r="L234" s="175" t="s">
        <v>2283</v>
      </c>
      <c r="M234" s="175" t="s">
        <v>2283</v>
      </c>
      <c r="N234" s="316" t="s">
        <v>2283</v>
      </c>
    </row>
    <row r="235" spans="2:14" s="142" customFormat="1" x14ac:dyDescent="0.35">
      <c r="B235" s="177" t="s">
        <v>1371</v>
      </c>
      <c r="C235" s="175">
        <v>4.0490416433761878</v>
      </c>
      <c r="D235" s="175">
        <v>4.4203724946099179</v>
      </c>
      <c r="E235" s="175">
        <v>4.5926625871554227</v>
      </c>
      <c r="F235" s="175">
        <v>4.5816426774734493</v>
      </c>
      <c r="G235" s="175">
        <v>4.5724733863375597</v>
      </c>
      <c r="H235" s="175">
        <v>5.1359064237592298</v>
      </c>
      <c r="I235" s="175">
        <v>4.6139900929657855</v>
      </c>
      <c r="J235" s="175">
        <v>3.6489518806448769</v>
      </c>
      <c r="K235" s="175">
        <v>3.7132591292548032</v>
      </c>
      <c r="L235" s="175">
        <v>4.1299101821070288</v>
      </c>
      <c r="M235" s="175">
        <v>4.5384639058868528</v>
      </c>
      <c r="N235" s="316">
        <v>4.3633340366882827</v>
      </c>
    </row>
    <row r="236" spans="2:14" s="142" customFormat="1" x14ac:dyDescent="0.35">
      <c r="B236" s="177" t="s">
        <v>1369</v>
      </c>
      <c r="C236" s="175">
        <v>4.4989351593068756</v>
      </c>
      <c r="D236" s="175">
        <v>4.9115249940110202</v>
      </c>
      <c r="E236" s="175">
        <v>5.1029584301726922</v>
      </c>
      <c r="F236" s="175">
        <v>5.0907140860816096</v>
      </c>
      <c r="G236" s="175">
        <v>5.080525984819511</v>
      </c>
      <c r="H236" s="175">
        <v>5.7065626930658109</v>
      </c>
      <c r="I236" s="175">
        <v>5.1266556588508729</v>
      </c>
      <c r="J236" s="175">
        <v>4.0543909784943075</v>
      </c>
      <c r="K236" s="175">
        <v>4.1258434769497816</v>
      </c>
      <c r="L236" s="175">
        <v>4.5887890912300318</v>
      </c>
      <c r="M236" s="175">
        <v>5.0427376732076139</v>
      </c>
      <c r="N236" s="316">
        <v>4.8481489296536475</v>
      </c>
    </row>
    <row r="237" spans="2:14" s="142" customFormat="1" x14ac:dyDescent="0.35">
      <c r="B237" s="177" t="s">
        <v>1370</v>
      </c>
      <c r="C237" s="175">
        <v>2.9992901062045836</v>
      </c>
      <c r="D237" s="175">
        <v>3.2743499960073463</v>
      </c>
      <c r="E237" s="175">
        <v>3.4019722867817945</v>
      </c>
      <c r="F237" s="175">
        <v>3.3938093907210729</v>
      </c>
      <c r="G237" s="175">
        <v>3.3870173232130072</v>
      </c>
      <c r="H237" s="175">
        <v>3.8043751287105407</v>
      </c>
      <c r="I237" s="175">
        <v>3.417770439233915</v>
      </c>
      <c r="J237" s="175">
        <v>2.7029273189962049</v>
      </c>
      <c r="K237" s="175">
        <v>2.7505623179665206</v>
      </c>
      <c r="L237" s="175">
        <v>3.0591927274866877</v>
      </c>
      <c r="M237" s="175">
        <v>3.3618251154717425</v>
      </c>
      <c r="N237" s="316">
        <v>3.2320992864357652</v>
      </c>
    </row>
    <row r="238" spans="2:14" s="142" customFormat="1" x14ac:dyDescent="0.35">
      <c r="B238" s="177" t="s">
        <v>32</v>
      </c>
      <c r="C238" s="175">
        <v>11.697231414197876</v>
      </c>
      <c r="D238" s="175">
        <v>12.76996498442865</v>
      </c>
      <c r="E238" s="175">
        <v>13.267691918448998</v>
      </c>
      <c r="F238" s="175">
        <v>13.235856623812184</v>
      </c>
      <c r="G238" s="175">
        <v>13.209367560530728</v>
      </c>
      <c r="H238" s="175">
        <v>14.837063001971108</v>
      </c>
      <c r="I238" s="175">
        <v>13.329304713012267</v>
      </c>
      <c r="J238" s="175">
        <v>10.5414165440852</v>
      </c>
      <c r="K238" s="175">
        <v>10.72719304006943</v>
      </c>
      <c r="L238" s="175">
        <v>11.930851637198082</v>
      </c>
      <c r="M238" s="175">
        <v>13.111117950339795</v>
      </c>
      <c r="N238" s="316">
        <v>12.605187217099484</v>
      </c>
    </row>
    <row r="239" spans="2:14" s="142" customFormat="1" x14ac:dyDescent="0.35">
      <c r="B239" s="177" t="s">
        <v>2274</v>
      </c>
      <c r="C239" s="175" t="s">
        <v>2283</v>
      </c>
      <c r="D239" s="175" t="s">
        <v>2283</v>
      </c>
      <c r="E239" s="175" t="s">
        <v>2283</v>
      </c>
      <c r="F239" s="175" t="s">
        <v>2283</v>
      </c>
      <c r="G239" s="175" t="s">
        <v>2283</v>
      </c>
      <c r="H239" s="175" t="s">
        <v>2283</v>
      </c>
      <c r="I239" s="175" t="s">
        <v>2283</v>
      </c>
      <c r="J239" s="175" t="s">
        <v>2283</v>
      </c>
      <c r="K239" s="175" t="s">
        <v>2283</v>
      </c>
      <c r="L239" s="175" t="s">
        <v>2283</v>
      </c>
      <c r="M239" s="175" t="s">
        <v>2283</v>
      </c>
      <c r="N239" s="316" t="s">
        <v>2283</v>
      </c>
    </row>
    <row r="240" spans="2:14" s="142" customFormat="1" x14ac:dyDescent="0.35">
      <c r="B240" s="177" t="s">
        <v>2275</v>
      </c>
      <c r="C240" s="175" t="s">
        <v>2283</v>
      </c>
      <c r="D240" s="175" t="s">
        <v>2283</v>
      </c>
      <c r="E240" s="175" t="s">
        <v>2283</v>
      </c>
      <c r="F240" s="175" t="s">
        <v>2283</v>
      </c>
      <c r="G240" s="175" t="s">
        <v>2283</v>
      </c>
      <c r="H240" s="175" t="s">
        <v>2283</v>
      </c>
      <c r="I240" s="175" t="s">
        <v>2283</v>
      </c>
      <c r="J240" s="175" t="s">
        <v>2283</v>
      </c>
      <c r="K240" s="175" t="s">
        <v>2283</v>
      </c>
      <c r="L240" s="175" t="s">
        <v>2283</v>
      </c>
      <c r="M240" s="175" t="s">
        <v>2283</v>
      </c>
      <c r="N240" s="316" t="s">
        <v>2283</v>
      </c>
    </row>
    <row r="241" spans="2:15" s="142" customFormat="1" x14ac:dyDescent="0.35">
      <c r="B241" s="177" t="s">
        <v>2276</v>
      </c>
      <c r="C241" s="175" t="s">
        <v>2283</v>
      </c>
      <c r="D241" s="175" t="s">
        <v>2283</v>
      </c>
      <c r="E241" s="175" t="s">
        <v>2283</v>
      </c>
      <c r="F241" s="175" t="s">
        <v>2283</v>
      </c>
      <c r="G241" s="175" t="s">
        <v>2283</v>
      </c>
      <c r="H241" s="175" t="s">
        <v>2283</v>
      </c>
      <c r="I241" s="175" t="s">
        <v>2283</v>
      </c>
      <c r="J241" s="175" t="s">
        <v>2283</v>
      </c>
      <c r="K241" s="175" t="s">
        <v>2283</v>
      </c>
      <c r="L241" s="175" t="s">
        <v>2283</v>
      </c>
      <c r="M241" s="175" t="s">
        <v>2283</v>
      </c>
      <c r="N241" s="316" t="s">
        <v>2283</v>
      </c>
    </row>
    <row r="242" spans="2:15" s="142" customFormat="1" x14ac:dyDescent="0.35">
      <c r="B242" s="177" t="s">
        <v>1666</v>
      </c>
      <c r="C242" s="175">
        <v>20.545137227501399</v>
      </c>
      <c r="D242" s="175">
        <v>22.429297472650322</v>
      </c>
      <c r="E242" s="175">
        <v>23.303510164455293</v>
      </c>
      <c r="F242" s="175">
        <v>23.247594326439351</v>
      </c>
      <c r="G242" s="175">
        <v>23.2010686640091</v>
      </c>
      <c r="H242" s="175">
        <v>26.059969631667204</v>
      </c>
      <c r="I242" s="175">
        <v>23.411727508752318</v>
      </c>
      <c r="J242" s="175">
        <v>18.515052135124005</v>
      </c>
      <c r="K242" s="175">
        <v>18.841351878070668</v>
      </c>
      <c r="L242" s="175">
        <v>20.955470183283811</v>
      </c>
      <c r="M242" s="175">
        <v>23.028502040981436</v>
      </c>
      <c r="N242" s="316">
        <v>22.139880112084992</v>
      </c>
    </row>
    <row r="243" spans="2:15" s="142" customFormat="1" x14ac:dyDescent="0.35">
      <c r="B243" s="177" t="s">
        <v>1373</v>
      </c>
      <c r="C243" s="175">
        <v>7.0483317495807718</v>
      </c>
      <c r="D243" s="175">
        <v>7.6947224906172638</v>
      </c>
      <c r="E243" s="175">
        <v>7.9946348739372173</v>
      </c>
      <c r="F243" s="175">
        <v>7.9754520681945218</v>
      </c>
      <c r="G243" s="175">
        <v>7.9594907095505674</v>
      </c>
      <c r="H243" s="175">
        <v>8.9402815524697701</v>
      </c>
      <c r="I243" s="175">
        <v>8.0317605321996997</v>
      </c>
      <c r="J243" s="175">
        <v>6.3518791996410817</v>
      </c>
      <c r="K243" s="175">
        <v>6.4638214472213233</v>
      </c>
      <c r="L243" s="175">
        <v>7.189102909593716</v>
      </c>
      <c r="M243" s="175">
        <v>7.9002890213585948</v>
      </c>
      <c r="N243" s="316">
        <v>7.5954333231240465</v>
      </c>
    </row>
    <row r="244" spans="2:15" s="142" customFormat="1" x14ac:dyDescent="0.35">
      <c r="B244" s="177" t="s">
        <v>1372</v>
      </c>
      <c r="C244" s="175" t="s">
        <v>2283</v>
      </c>
      <c r="D244" s="175" t="s">
        <v>2283</v>
      </c>
      <c r="E244" s="175" t="s">
        <v>2283</v>
      </c>
      <c r="F244" s="175" t="s">
        <v>2283</v>
      </c>
      <c r="G244" s="175" t="s">
        <v>2283</v>
      </c>
      <c r="H244" s="175" t="s">
        <v>2283</v>
      </c>
      <c r="I244" s="175" t="s">
        <v>2283</v>
      </c>
      <c r="J244" s="175" t="s">
        <v>2283</v>
      </c>
      <c r="K244" s="175" t="s">
        <v>2283</v>
      </c>
      <c r="L244" s="175" t="s">
        <v>2283</v>
      </c>
      <c r="M244" s="175" t="s">
        <v>2283</v>
      </c>
      <c r="N244" s="316" t="s">
        <v>2283</v>
      </c>
    </row>
    <row r="245" spans="2:15" s="142" customFormat="1" x14ac:dyDescent="0.35">
      <c r="B245" s="177" t="s">
        <v>1374</v>
      </c>
      <c r="C245" s="175">
        <v>4.6488996646171046</v>
      </c>
      <c r="D245" s="175">
        <v>5.0752424938113867</v>
      </c>
      <c r="E245" s="175">
        <v>5.2730570445117815</v>
      </c>
      <c r="F245" s="175">
        <v>5.2604045556176633</v>
      </c>
      <c r="G245" s="175">
        <v>5.2498768509801605</v>
      </c>
      <c r="H245" s="175">
        <v>5.8967814495013382</v>
      </c>
      <c r="I245" s="175">
        <v>5.2975441808125678</v>
      </c>
      <c r="J245" s="175">
        <v>4.1895373444441173</v>
      </c>
      <c r="K245" s="175">
        <v>4.2633715928481069</v>
      </c>
      <c r="L245" s="175">
        <v>4.7417487276043655</v>
      </c>
      <c r="M245" s="175">
        <v>5.2108289289812006</v>
      </c>
      <c r="N245" s="316">
        <v>5.0097538939754358</v>
      </c>
    </row>
    <row r="246" spans="2:15" s="142" customFormat="1" x14ac:dyDescent="0.35">
      <c r="B246" s="177" t="s">
        <v>1376</v>
      </c>
      <c r="C246" s="175">
        <v>12.597018446059252</v>
      </c>
      <c r="D246" s="175">
        <v>13.752269983230855</v>
      </c>
      <c r="E246" s="175">
        <v>14.288283604483539</v>
      </c>
      <c r="F246" s="175">
        <v>14.253999441028508</v>
      </c>
      <c r="G246" s="175">
        <v>14.22547275749463</v>
      </c>
      <c r="H246" s="175">
        <v>15.978375540584272</v>
      </c>
      <c r="I246" s="175">
        <v>14.354635844782443</v>
      </c>
      <c r="J246" s="175">
        <v>11.352294739784062</v>
      </c>
      <c r="K246" s="175">
        <v>11.552361735459387</v>
      </c>
      <c r="L246" s="175">
        <v>12.848609455444089</v>
      </c>
      <c r="M246" s="175">
        <v>14.119665484981319</v>
      </c>
      <c r="N246" s="316">
        <v>13.57481700303021</v>
      </c>
    </row>
    <row r="247" spans="2:15" s="142" customFormat="1" x14ac:dyDescent="0.35">
      <c r="B247" s="177" t="s">
        <v>1377</v>
      </c>
      <c r="C247" s="175">
        <v>12.297089435438794</v>
      </c>
      <c r="D247" s="175">
        <v>13.42483498363012</v>
      </c>
      <c r="E247" s="175">
        <v>13.948086375805358</v>
      </c>
      <c r="F247" s="175">
        <v>13.914618501956401</v>
      </c>
      <c r="G247" s="175">
        <v>13.88677102517333</v>
      </c>
      <c r="H247" s="175">
        <v>15.597938027713218</v>
      </c>
      <c r="I247" s="175">
        <v>14.012858800859052</v>
      </c>
      <c r="J247" s="175">
        <v>11.082002007884441</v>
      </c>
      <c r="K247" s="175">
        <v>11.277305503662735</v>
      </c>
      <c r="L247" s="175">
        <v>12.54269018269542</v>
      </c>
      <c r="M247" s="175">
        <v>13.783482973434143</v>
      </c>
      <c r="N247" s="316">
        <v>13.251607074386635</v>
      </c>
    </row>
    <row r="248" spans="2:15" s="142" customFormat="1" x14ac:dyDescent="0.35">
      <c r="B248" s="177" t="s">
        <v>1375</v>
      </c>
      <c r="C248" s="175">
        <v>24.294249860257128</v>
      </c>
      <c r="D248" s="175">
        <v>26.522234967659507</v>
      </c>
      <c r="E248" s="175">
        <v>27.555975522932538</v>
      </c>
      <c r="F248" s="175">
        <v>27.489856064840694</v>
      </c>
      <c r="G248" s="175">
        <v>27.434840318025362</v>
      </c>
      <c r="H248" s="175">
        <v>30.815438542555384</v>
      </c>
      <c r="I248" s="175">
        <v>27.683940557794713</v>
      </c>
      <c r="J248" s="175">
        <v>21.893711283869262</v>
      </c>
      <c r="K248" s="175">
        <v>22.279554775528819</v>
      </c>
      <c r="L248" s="175">
        <v>24.779461092642173</v>
      </c>
      <c r="M248" s="175">
        <v>27.230783435321115</v>
      </c>
      <c r="N248" s="316">
        <v>26.180004220129696</v>
      </c>
    </row>
    <row r="249" spans="2:15" s="142" customFormat="1" x14ac:dyDescent="0.35">
      <c r="B249" s="177" t="s">
        <v>2277</v>
      </c>
      <c r="C249" s="175" t="s">
        <v>2283</v>
      </c>
      <c r="D249" s="175" t="s">
        <v>2283</v>
      </c>
      <c r="E249" s="175" t="s">
        <v>2283</v>
      </c>
      <c r="F249" s="175" t="s">
        <v>2283</v>
      </c>
      <c r="G249" s="175" t="s">
        <v>2283</v>
      </c>
      <c r="H249" s="175" t="s">
        <v>2283</v>
      </c>
      <c r="I249" s="175" t="s">
        <v>2283</v>
      </c>
      <c r="J249" s="175" t="s">
        <v>2283</v>
      </c>
      <c r="K249" s="175" t="s">
        <v>2283</v>
      </c>
      <c r="L249" s="175" t="s">
        <v>2283</v>
      </c>
      <c r="M249" s="175" t="s">
        <v>2283</v>
      </c>
      <c r="N249" s="316" t="s">
        <v>2283</v>
      </c>
    </row>
    <row r="250" spans="2:15" s="142" customFormat="1" x14ac:dyDescent="0.35">
      <c r="B250" s="177" t="s">
        <v>1757</v>
      </c>
      <c r="C250" s="175" t="s">
        <v>2283</v>
      </c>
      <c r="D250" s="175" t="s">
        <v>2283</v>
      </c>
      <c r="E250" s="175" t="s">
        <v>2283</v>
      </c>
      <c r="F250" s="175" t="s">
        <v>2283</v>
      </c>
      <c r="G250" s="175" t="s">
        <v>2283</v>
      </c>
      <c r="H250" s="175" t="s">
        <v>2283</v>
      </c>
      <c r="I250" s="175" t="s">
        <v>2283</v>
      </c>
      <c r="J250" s="175" t="s">
        <v>2283</v>
      </c>
      <c r="K250" s="175" t="s">
        <v>2283</v>
      </c>
      <c r="L250" s="175" t="s">
        <v>2283</v>
      </c>
      <c r="M250" s="175" t="s">
        <v>2283</v>
      </c>
      <c r="N250" s="316" t="s">
        <v>2283</v>
      </c>
    </row>
    <row r="251" spans="2:15" s="142" customFormat="1" x14ac:dyDescent="0.35">
      <c r="B251" s="177" t="s">
        <v>2278</v>
      </c>
      <c r="C251" s="175" t="s">
        <v>2283</v>
      </c>
      <c r="D251" s="175" t="s">
        <v>2283</v>
      </c>
      <c r="E251" s="175" t="s">
        <v>2283</v>
      </c>
      <c r="F251" s="175" t="s">
        <v>2283</v>
      </c>
      <c r="G251" s="175" t="s">
        <v>2283</v>
      </c>
      <c r="H251" s="175" t="s">
        <v>2283</v>
      </c>
      <c r="I251" s="175" t="s">
        <v>2283</v>
      </c>
      <c r="J251" s="175" t="s">
        <v>2283</v>
      </c>
      <c r="K251" s="175" t="s">
        <v>2283</v>
      </c>
      <c r="L251" s="175" t="s">
        <v>2283</v>
      </c>
      <c r="M251" s="175" t="s">
        <v>2283</v>
      </c>
      <c r="N251" s="316" t="s">
        <v>2283</v>
      </c>
    </row>
    <row r="252" spans="2:15" s="142" customFormat="1" x14ac:dyDescent="0.35">
      <c r="B252" s="177" t="s">
        <v>2279</v>
      </c>
      <c r="C252" s="175" t="s">
        <v>2283</v>
      </c>
      <c r="D252" s="175" t="s">
        <v>2283</v>
      </c>
      <c r="E252" s="175" t="s">
        <v>2283</v>
      </c>
      <c r="F252" s="175" t="s">
        <v>2283</v>
      </c>
      <c r="G252" s="175" t="s">
        <v>2283</v>
      </c>
      <c r="H252" s="175" t="s">
        <v>2283</v>
      </c>
      <c r="I252" s="175" t="s">
        <v>2283</v>
      </c>
      <c r="J252" s="175" t="s">
        <v>2283</v>
      </c>
      <c r="K252" s="175" t="s">
        <v>2283</v>
      </c>
      <c r="L252" s="175" t="s">
        <v>2283</v>
      </c>
      <c r="M252" s="175" t="s">
        <v>2283</v>
      </c>
      <c r="N252" s="316" t="s">
        <v>2283</v>
      </c>
    </row>
    <row r="253" spans="2:15" x14ac:dyDescent="0.35">
      <c r="H253" s="123"/>
      <c r="I253" s="123"/>
      <c r="J253" s="123"/>
      <c r="K253" s="123"/>
      <c r="L253" s="123"/>
      <c r="M253" s="123"/>
      <c r="N253" s="123"/>
    </row>
    <row r="254" spans="2:15" s="142" customFormat="1" ht="17.5" thickBot="1" x14ac:dyDescent="0.45">
      <c r="B254" s="176" t="s">
        <v>2290</v>
      </c>
      <c r="C254" s="176"/>
      <c r="D254" s="176"/>
      <c r="E254" s="176"/>
      <c r="F254" s="176"/>
      <c r="G254" s="176"/>
      <c r="H254" s="176"/>
      <c r="I254" s="176"/>
      <c r="J254" s="176"/>
      <c r="K254" s="176"/>
      <c r="L254" s="176"/>
      <c r="M254" s="176"/>
      <c r="N254" s="176"/>
    </row>
    <row r="255" spans="2:15" s="142" customFormat="1" ht="18" customHeight="1" thickTop="1" x14ac:dyDescent="0.35">
      <c r="B255" s="2046" t="s">
        <v>2291</v>
      </c>
      <c r="C255" s="2047"/>
      <c r="D255" s="2047"/>
      <c r="E255" s="2047"/>
      <c r="F255" s="2047"/>
      <c r="G255" s="2047"/>
      <c r="H255" s="2047"/>
      <c r="I255" s="2047"/>
      <c r="J255" s="2047"/>
      <c r="K255" s="2047"/>
      <c r="L255" s="2047"/>
      <c r="M255" s="2047"/>
      <c r="N255" s="2047"/>
      <c r="O255" s="2047"/>
    </row>
    <row r="256" spans="2:15" s="142" customFormat="1" x14ac:dyDescent="0.35">
      <c r="B256" s="179" t="s">
        <v>2292</v>
      </c>
      <c r="C256" s="180">
        <f>_xlfn.XLOOKUP(C257,ClimateData[Region],ClimateData[HDD],0,0,1)</f>
        <v>5086</v>
      </c>
      <c r="D256" s="180">
        <f>_xlfn.XLOOKUP(D257,ClimateData[Region],ClimateData[HDD],0,0,1)</f>
        <v>5552.4285714285716</v>
      </c>
      <c r="E256" s="180">
        <f>_xlfn.XLOOKUP(E257,ClimateData[Region],ClimateData[HDD],0,0,1)</f>
        <v>5768.8421052631575</v>
      </c>
      <c r="F256" s="180">
        <f>_xlfn.XLOOKUP(F257,ClimateData[Region],ClimateData[HDD],0,0,1)</f>
        <v>5755</v>
      </c>
      <c r="G256" s="180">
        <f>_xlfn.XLOOKUP(G257,ClimateData[Region],ClimateData[HDD],0,0,1)</f>
        <v>5743.4824561403511</v>
      </c>
      <c r="H256" s="180">
        <f>_xlfn.XLOOKUP(H257,ClimateData[Region],ClimateData[HDD],0,0,1)</f>
        <v>6451.2105263157891</v>
      </c>
      <c r="I256" s="180">
        <f>_xlfn.XLOOKUP(I257,ClimateData[Region],ClimateData[HDD],0,0,1)</f>
        <v>5795.6315789473683</v>
      </c>
      <c r="J256" s="180">
        <f>_xlfn.XLOOKUP(J257,ClimateData[Region],ClimateData[HDD],0,0,1)</f>
        <v>4583.4473684210534</v>
      </c>
      <c r="K256" s="180">
        <f>_xlfn.XLOOKUP(K257,ClimateData[Region],ClimateData[HDD],0,0,1)</f>
        <v>4664.2236842105267</v>
      </c>
      <c r="L256" s="180">
        <f>_xlfn.XLOOKUP(L257,ClimateData[Region],ClimateData[HDD],0,0,1)</f>
        <v>5187.5789473684217</v>
      </c>
      <c r="M256" s="180">
        <f>_xlfn.XLOOKUP(M257,ClimateData[Region],ClimateData[HDD],0,0,1)</f>
        <v>5700.7631578947367</v>
      </c>
      <c r="O256" s="180">
        <f>HDD_CDD!$F$25</f>
        <v>3578</v>
      </c>
    </row>
    <row r="257" spans="1:15" s="142" customFormat="1" ht="31.5" customHeight="1" x14ac:dyDescent="0.35">
      <c r="B257" s="326" t="s">
        <v>2293</v>
      </c>
      <c r="C257" s="327" t="s">
        <v>1361</v>
      </c>
      <c r="D257" s="327" t="s">
        <v>1811</v>
      </c>
      <c r="E257" s="327" t="s">
        <v>1812</v>
      </c>
      <c r="F257" s="327" t="s">
        <v>1362</v>
      </c>
      <c r="G257" s="327" t="s">
        <v>1813</v>
      </c>
      <c r="H257" s="327" t="s">
        <v>1814</v>
      </c>
      <c r="I257" s="327" t="s">
        <v>1815</v>
      </c>
      <c r="J257" s="327" t="s">
        <v>1816</v>
      </c>
      <c r="K257" s="327" t="s">
        <v>1817</v>
      </c>
      <c r="L257" s="327" t="s">
        <v>1818</v>
      </c>
      <c r="M257" s="328" t="s">
        <v>1819</v>
      </c>
      <c r="N257" s="328" t="s">
        <v>10</v>
      </c>
      <c r="O257" s="327" t="s">
        <v>2294</v>
      </c>
    </row>
    <row r="258" spans="1:15" s="142" customFormat="1" x14ac:dyDescent="0.35">
      <c r="B258" s="329" t="s">
        <v>2295</v>
      </c>
      <c r="C258" s="180">
        <f t="shared" ref="C258:M261" si="1">C$256/$O$256*$O258</f>
        <v>307242.44550027949</v>
      </c>
      <c r="D258" s="180">
        <f t="shared" si="1"/>
        <v>335419.13738720753</v>
      </c>
      <c r="E258" s="180">
        <f t="shared" si="1"/>
        <v>348492.55920684885</v>
      </c>
      <c r="F258" s="180">
        <f t="shared" si="1"/>
        <v>347656.36528787034</v>
      </c>
      <c r="G258" s="180">
        <f t="shared" si="1"/>
        <v>346960.59683690779</v>
      </c>
      <c r="H258" s="180">
        <f t="shared" si="1"/>
        <v>389714.05791238853</v>
      </c>
      <c r="I258" s="180">
        <f t="shared" si="1"/>
        <v>350110.89648730546</v>
      </c>
      <c r="J258" s="180">
        <f t="shared" si="1"/>
        <v>276883.51913006388</v>
      </c>
      <c r="K258" s="180">
        <f t="shared" si="1"/>
        <v>281763.17166676477</v>
      </c>
      <c r="L258" s="180">
        <f t="shared" si="1"/>
        <v>313378.77349886735</v>
      </c>
      <c r="M258" s="180">
        <f t="shared" si="1"/>
        <v>344379.94766997144</v>
      </c>
      <c r="N258" s="180">
        <f>IFERROR(AVERAGE(HeatLoadCFM[[#This Row],[Calgary Area]:[West]]),"")</f>
        <v>331091.04278040683</v>
      </c>
      <c r="O258" s="180">
        <v>216145</v>
      </c>
    </row>
    <row r="259" spans="1:15" s="142" customFormat="1" x14ac:dyDescent="0.35">
      <c r="B259" s="329" t="s">
        <v>1409</v>
      </c>
      <c r="C259" s="180">
        <f t="shared" si="1"/>
        <v>382163.57518166577</v>
      </c>
      <c r="D259" s="180">
        <f t="shared" si="1"/>
        <v>417211.15882775694</v>
      </c>
      <c r="E259" s="180">
        <f t="shared" si="1"/>
        <v>433472.53708334552</v>
      </c>
      <c r="F259" s="180">
        <f t="shared" si="1"/>
        <v>432432.43711570709</v>
      </c>
      <c r="G259" s="180">
        <f t="shared" si="1"/>
        <v>431567.00539358455</v>
      </c>
      <c r="H259" s="180">
        <f t="shared" si="1"/>
        <v>484745.90621046745</v>
      </c>
      <c r="I259" s="180">
        <f t="shared" si="1"/>
        <v>435485.50622223533</v>
      </c>
      <c r="J259" s="180">
        <f t="shared" si="1"/>
        <v>344401.61875202262</v>
      </c>
      <c r="K259" s="180">
        <f t="shared" si="1"/>
        <v>350471.17550233885</v>
      </c>
      <c r="L259" s="180">
        <f t="shared" si="1"/>
        <v>389796.24794798624</v>
      </c>
      <c r="M259" s="180">
        <f t="shared" si="1"/>
        <v>428357.0644288194</v>
      </c>
      <c r="N259" s="180">
        <f>IFERROR(AVERAGE(HeatLoadCFM[[#This Row],[Calgary Area]:[West]]),"")</f>
        <v>411827.65751508455</v>
      </c>
      <c r="O259" s="180">
        <v>268852</v>
      </c>
    </row>
    <row r="260" spans="1:15" s="123" customFormat="1" x14ac:dyDescent="0.35">
      <c r="B260" s="329" t="s">
        <v>2296</v>
      </c>
      <c r="C260" s="180">
        <f t="shared" si="1"/>
        <v>457084.704863052</v>
      </c>
      <c r="D260" s="180">
        <f t="shared" si="1"/>
        <v>499003.18026830634</v>
      </c>
      <c r="E260" s="180">
        <f t="shared" si="1"/>
        <v>518452.51495984226</v>
      </c>
      <c r="F260" s="180">
        <f t="shared" si="1"/>
        <v>517208.50894354389</v>
      </c>
      <c r="G260" s="180">
        <f t="shared" si="1"/>
        <v>516173.41395026131</v>
      </c>
      <c r="H260" s="180">
        <f t="shared" si="1"/>
        <v>579777.75450854632</v>
      </c>
      <c r="I260" s="180">
        <f t="shared" si="1"/>
        <v>520860.11595716514</v>
      </c>
      <c r="J260" s="180">
        <f t="shared" si="1"/>
        <v>411919.71837398142</v>
      </c>
      <c r="K260" s="180">
        <f t="shared" si="1"/>
        <v>419179.179337913</v>
      </c>
      <c r="L260" s="180">
        <f t="shared" si="1"/>
        <v>466213.72239710513</v>
      </c>
      <c r="M260" s="180">
        <f t="shared" si="1"/>
        <v>512334.1811876673</v>
      </c>
      <c r="N260" s="180">
        <f>IFERROR(AVERAGE(HeatLoadCFM[[#This Row],[Calgary Area]:[West]]),"")</f>
        <v>492564.27224976214</v>
      </c>
      <c r="O260" s="180">
        <v>321559</v>
      </c>
    </row>
    <row r="261" spans="1:15" s="123" customFormat="1" x14ac:dyDescent="0.35">
      <c r="B261" s="329" t="s">
        <v>2297</v>
      </c>
      <c r="C261" s="180">
        <f t="shared" si="1"/>
        <v>532005.83454443829</v>
      </c>
      <c r="D261" s="180">
        <f t="shared" si="1"/>
        <v>580795.20170885569</v>
      </c>
      <c r="E261" s="180">
        <f t="shared" si="1"/>
        <v>603432.49283633893</v>
      </c>
      <c r="F261" s="180">
        <f t="shared" si="1"/>
        <v>601984.58077138069</v>
      </c>
      <c r="G261" s="180">
        <f t="shared" si="1"/>
        <v>600779.82250693813</v>
      </c>
      <c r="H261" s="180">
        <f t="shared" si="1"/>
        <v>674809.60280662519</v>
      </c>
      <c r="I261" s="180">
        <f t="shared" si="1"/>
        <v>606234.725692095</v>
      </c>
      <c r="J261" s="180">
        <f t="shared" si="1"/>
        <v>479437.81799594016</v>
      </c>
      <c r="K261" s="180">
        <f t="shared" si="1"/>
        <v>487887.18317348714</v>
      </c>
      <c r="L261" s="180">
        <f t="shared" si="1"/>
        <v>542631.19684622402</v>
      </c>
      <c r="M261" s="180">
        <f t="shared" si="1"/>
        <v>596311.29794651526</v>
      </c>
      <c r="N261" s="180">
        <f>IFERROR(AVERAGE(HeatLoadCFM[[#This Row],[Calgary Area]:[West]]),"")</f>
        <v>573300.88698443992</v>
      </c>
      <c r="O261" s="180">
        <v>374266</v>
      </c>
    </row>
    <row r="262" spans="1:15" x14ac:dyDescent="0.35">
      <c r="H262" s="123"/>
      <c r="I262" s="123"/>
      <c r="J262" s="123"/>
      <c r="K262" s="123"/>
      <c r="L262" s="123"/>
      <c r="M262" s="123"/>
      <c r="N262" s="123"/>
    </row>
    <row r="263" spans="1:15" ht="17.5" thickBot="1" x14ac:dyDescent="0.45">
      <c r="B263" s="176" t="s">
        <v>2298</v>
      </c>
      <c r="C263" s="176"/>
      <c r="D263" s="176"/>
      <c r="E263" s="176"/>
      <c r="F263" s="176"/>
      <c r="G263" s="176"/>
      <c r="H263" s="176"/>
      <c r="I263" s="176"/>
      <c r="J263" s="176"/>
      <c r="K263" s="176"/>
      <c r="L263" s="176"/>
      <c r="M263" s="176"/>
      <c r="N263" s="176"/>
    </row>
    <row r="264" spans="1:15" s="142" customFormat="1" ht="17.5" thickTop="1" x14ac:dyDescent="0.4">
      <c r="B264" s="435" t="s">
        <v>2266</v>
      </c>
      <c r="C264" s="2045"/>
      <c r="D264" s="2045"/>
      <c r="E264" s="2045"/>
      <c r="F264" s="2045"/>
      <c r="G264" s="2045"/>
      <c r="H264" s="2045"/>
      <c r="I264" s="2045"/>
      <c r="J264" s="2045"/>
      <c r="K264" s="2045"/>
      <c r="L264" s="2045"/>
      <c r="M264" s="2045"/>
      <c r="N264" s="2045"/>
    </row>
    <row r="265" spans="1:15" x14ac:dyDescent="0.35">
      <c r="B265" s="331" t="s">
        <v>2292</v>
      </c>
      <c r="C265" s="180">
        <f>_xlfn.XLOOKUP(C266,ClimateData[Region],ClimateData[HDD],0,0,1)</f>
        <v>5086</v>
      </c>
      <c r="D265" s="180">
        <f>_xlfn.XLOOKUP(D266,ClimateData[Region],ClimateData[HDD],0,0,1)</f>
        <v>5552.4285714285716</v>
      </c>
      <c r="E265" s="180">
        <f>_xlfn.XLOOKUP(E266,ClimateData[Region],ClimateData[HDD],0,0,1)</f>
        <v>5768.8421052631575</v>
      </c>
      <c r="F265" s="180">
        <f>_xlfn.XLOOKUP(F266,ClimateData[Region],ClimateData[HDD],0,0,1)</f>
        <v>5755</v>
      </c>
      <c r="G265" s="180">
        <f>_xlfn.XLOOKUP(G266,ClimateData[Region],ClimateData[HDD],0,0,1)</f>
        <v>5743.4824561403511</v>
      </c>
      <c r="H265" s="180">
        <f>_xlfn.XLOOKUP(H266,ClimateData[Region],ClimateData[HDD],0,0,1)</f>
        <v>6451.2105263157891</v>
      </c>
      <c r="I265" s="180">
        <f>_xlfn.XLOOKUP(I266,ClimateData[Region],ClimateData[HDD],0,0,1)</f>
        <v>5795.6315789473683</v>
      </c>
      <c r="J265" s="180">
        <f>_xlfn.XLOOKUP(J266,ClimateData[Region],ClimateData[HDD],0,0,1)</f>
        <v>4583.4473684210534</v>
      </c>
      <c r="K265" s="180">
        <f>_xlfn.XLOOKUP(K266,ClimateData[Region],ClimateData[HDD],0,0,1)</f>
        <v>4664.2236842105267</v>
      </c>
      <c r="L265" s="180">
        <f>_xlfn.XLOOKUP(L266,ClimateData[Region],ClimateData[HDD],0,0,1)</f>
        <v>5187.5789473684217</v>
      </c>
      <c r="M265" s="180">
        <f>_xlfn.XLOOKUP(M266,ClimateData[Region],ClimateData[HDD],0,0,1)</f>
        <v>5700.7631578947367</v>
      </c>
      <c r="N265" s="332"/>
      <c r="O265" s="332">
        <f>O256</f>
        <v>3578</v>
      </c>
    </row>
    <row r="266" spans="1:15" x14ac:dyDescent="0.35">
      <c r="B266" s="326" t="s">
        <v>2299</v>
      </c>
      <c r="C266" s="327" t="s">
        <v>1361</v>
      </c>
      <c r="D266" s="327" t="s">
        <v>1811</v>
      </c>
      <c r="E266" s="327" t="s">
        <v>1812</v>
      </c>
      <c r="F266" s="327" t="s">
        <v>1362</v>
      </c>
      <c r="G266" s="327" t="s">
        <v>1813</v>
      </c>
      <c r="H266" s="327" t="s">
        <v>1814</v>
      </c>
      <c r="I266" s="327" t="s">
        <v>1815</v>
      </c>
      <c r="J266" s="327" t="s">
        <v>1816</v>
      </c>
      <c r="K266" s="327" t="s">
        <v>1817</v>
      </c>
      <c r="L266" s="327" t="s">
        <v>1818</v>
      </c>
      <c r="M266" s="328" t="s">
        <v>1819</v>
      </c>
      <c r="N266" s="328" t="s">
        <v>10</v>
      </c>
      <c r="O266" s="327" t="s">
        <v>2294</v>
      </c>
    </row>
    <row r="267" spans="1:15" x14ac:dyDescent="0.35">
      <c r="B267" s="351" t="s">
        <v>614</v>
      </c>
      <c r="C267" s="352">
        <f t="shared" ref="C267:M268" si="2">C$265/$O$265*$O267</f>
        <v>298.50754611514816</v>
      </c>
      <c r="D267" s="352">
        <f t="shared" si="2"/>
        <v>325.88317495807712</v>
      </c>
      <c r="E267" s="352">
        <f t="shared" si="2"/>
        <v>338.58491953752463</v>
      </c>
      <c r="F267" s="352">
        <f t="shared" si="2"/>
        <v>337.77249860257126</v>
      </c>
      <c r="G267" s="352">
        <f t="shared" si="2"/>
        <v>337.09651084110499</v>
      </c>
      <c r="H267" s="352">
        <f t="shared" si="2"/>
        <v>378.6344914830396</v>
      </c>
      <c r="I267" s="352">
        <f t="shared" si="2"/>
        <v>340.15724750669295</v>
      </c>
      <c r="J267" s="352">
        <f t="shared" si="2"/>
        <v>269.01172369156546</v>
      </c>
      <c r="K267" s="352">
        <f t="shared" si="2"/>
        <v>273.75264775970112</v>
      </c>
      <c r="L267" s="352">
        <f t="shared" si="2"/>
        <v>304.46941837545234</v>
      </c>
      <c r="M267" s="352">
        <f t="shared" si="2"/>
        <v>334.58922950192698</v>
      </c>
      <c r="N267" s="352">
        <f>IFERROR(AVERAGE(kWhSavings_Ton[[#This Row],[Calgary Area]:[West]]),"")</f>
        <v>321.67812803389131</v>
      </c>
      <c r="O267" s="352">
        <v>210</v>
      </c>
    </row>
    <row r="268" spans="1:15" x14ac:dyDescent="0.35">
      <c r="A268" s="353"/>
      <c r="B268" s="351" t="s">
        <v>617</v>
      </c>
      <c r="C268" s="352">
        <f t="shared" si="2"/>
        <v>86.709334823923982</v>
      </c>
      <c r="D268" s="352">
        <f t="shared" si="2"/>
        <v>94.661303202108115</v>
      </c>
      <c r="E268" s="352">
        <f t="shared" si="2"/>
        <v>98.350857579947629</v>
      </c>
      <c r="F268" s="352">
        <f t="shared" si="2"/>
        <v>98.114868641699275</v>
      </c>
      <c r="G268" s="352">
        <f t="shared" si="2"/>
        <v>97.918510291940024</v>
      </c>
      <c r="H268" s="352">
        <f t="shared" si="2"/>
        <v>109.98430466888293</v>
      </c>
      <c r="I268" s="352">
        <f t="shared" si="2"/>
        <v>98.807581418610809</v>
      </c>
      <c r="J268" s="352">
        <f t="shared" si="2"/>
        <v>78.141500691359482</v>
      </c>
      <c r="K268" s="352">
        <f t="shared" si="2"/>
        <v>79.518626254008424</v>
      </c>
      <c r="L268" s="352">
        <f t="shared" si="2"/>
        <v>88.441116766202825</v>
      </c>
      <c r="M268" s="352">
        <f t="shared" si="2"/>
        <v>97.190204760083546</v>
      </c>
      <c r="N268" s="352">
        <f>IFERROR(AVERAGE(kWhSavings_Ton[[#This Row],[Calgary Area]:[West]]),"")</f>
        <v>93.439837190797007</v>
      </c>
      <c r="O268" s="352">
        <v>61</v>
      </c>
    </row>
    <row r="269" spans="1:15" x14ac:dyDescent="0.35">
      <c r="A269" s="353"/>
      <c r="B269" s="353"/>
      <c r="C269" s="353"/>
      <c r="D269" s="353"/>
      <c r="E269" s="353"/>
      <c r="F269" s="353"/>
      <c r="G269" s="353"/>
      <c r="H269" s="321"/>
      <c r="I269" s="321"/>
      <c r="J269" s="321"/>
      <c r="K269" s="321"/>
      <c r="L269" s="321"/>
      <c r="M269" s="321"/>
      <c r="N269" s="321"/>
      <c r="O269" s="321"/>
    </row>
    <row r="270" spans="1:15" ht="17.5" thickBot="1" x14ac:dyDescent="0.45">
      <c r="A270" s="353"/>
      <c r="B270" s="354" t="s">
        <v>2300</v>
      </c>
      <c r="C270" s="354"/>
      <c r="D270" s="354"/>
      <c r="E270" s="354"/>
      <c r="F270" s="354"/>
      <c r="G270" s="354"/>
      <c r="H270" s="354"/>
      <c r="I270" s="354"/>
      <c r="J270" s="354"/>
      <c r="K270" s="354"/>
      <c r="L270" s="354"/>
      <c r="M270" s="354"/>
      <c r="N270" s="354"/>
      <c r="O270" s="321"/>
    </row>
    <row r="271" spans="1:15" s="142" customFormat="1" ht="17.5" thickTop="1" x14ac:dyDescent="0.4">
      <c r="B271" s="435" t="s">
        <v>2266</v>
      </c>
      <c r="C271" s="2045"/>
      <c r="D271" s="2045"/>
      <c r="E271" s="2045"/>
      <c r="F271" s="2045"/>
      <c r="G271" s="2045"/>
      <c r="H271" s="2045"/>
      <c r="I271" s="2045"/>
      <c r="J271" s="2045"/>
      <c r="K271" s="2045"/>
      <c r="L271" s="2045"/>
      <c r="M271" s="2045"/>
      <c r="N271" s="2045"/>
    </row>
    <row r="272" spans="1:15" x14ac:dyDescent="0.35">
      <c r="A272" s="353"/>
      <c r="B272" s="179" t="s">
        <v>2292</v>
      </c>
      <c r="C272" s="180">
        <f>_xlfn.XLOOKUP(C273,ClimateData[Region],ClimateData[HDD],0,0,1)</f>
        <v>5086</v>
      </c>
      <c r="D272" s="180">
        <f>_xlfn.XLOOKUP(D273,ClimateData[Region],ClimateData[HDD],0,0,1)</f>
        <v>5552.4285714285716</v>
      </c>
      <c r="E272" s="180">
        <f>_xlfn.XLOOKUP(E273,ClimateData[Region],ClimateData[HDD],0,0,1)</f>
        <v>5768.8421052631575</v>
      </c>
      <c r="F272" s="180">
        <f>_xlfn.XLOOKUP(F273,ClimateData[Region],ClimateData[HDD],0,0,1)</f>
        <v>5755</v>
      </c>
      <c r="G272" s="180">
        <f>_xlfn.XLOOKUP(G273,ClimateData[Region],ClimateData[HDD],0,0,1)</f>
        <v>5743.4824561403511</v>
      </c>
      <c r="H272" s="180">
        <f>_xlfn.XLOOKUP(H273,ClimateData[Region],ClimateData[HDD],0,0,1)</f>
        <v>6451.2105263157891</v>
      </c>
      <c r="I272" s="180">
        <f>_xlfn.XLOOKUP(I273,ClimateData[Region],ClimateData[HDD],0,0,1)</f>
        <v>5795.6315789473683</v>
      </c>
      <c r="J272" s="180">
        <f>_xlfn.XLOOKUP(J273,ClimateData[Region],ClimateData[HDD],0,0,1)</f>
        <v>4583.4473684210534</v>
      </c>
      <c r="K272" s="180">
        <f>_xlfn.XLOOKUP(K273,ClimateData[Region],ClimateData[HDD],0,0,1)</f>
        <v>4664.2236842105267</v>
      </c>
      <c r="L272" s="180">
        <f>_xlfn.XLOOKUP(L273,ClimateData[Region],ClimateData[HDD],0,0,1)</f>
        <v>5187.5789473684217</v>
      </c>
      <c r="M272" s="180">
        <f>_xlfn.XLOOKUP(M273,ClimateData[Region],ClimateData[HDD],0,0,1)</f>
        <v>5700.7631578947367</v>
      </c>
      <c r="N272" s="180"/>
      <c r="O272" s="180">
        <f>HDD_CDD!$F$25</f>
        <v>3578</v>
      </c>
    </row>
    <row r="273" spans="1:15" x14ac:dyDescent="0.35">
      <c r="A273" s="353"/>
      <c r="B273" s="326" t="s">
        <v>2301</v>
      </c>
      <c r="C273" s="327" t="s">
        <v>1361</v>
      </c>
      <c r="D273" s="327" t="s">
        <v>1811</v>
      </c>
      <c r="E273" s="327" t="s">
        <v>1812</v>
      </c>
      <c r="F273" s="327" t="s">
        <v>1362</v>
      </c>
      <c r="G273" s="327" t="s">
        <v>1813</v>
      </c>
      <c r="H273" s="327" t="s">
        <v>1814</v>
      </c>
      <c r="I273" s="327" t="s">
        <v>1815</v>
      </c>
      <c r="J273" s="327" t="s">
        <v>1816</v>
      </c>
      <c r="K273" s="327" t="s">
        <v>1817</v>
      </c>
      <c r="L273" s="327" t="s">
        <v>1818</v>
      </c>
      <c r="M273" s="328" t="s">
        <v>1819</v>
      </c>
      <c r="N273" s="328" t="s">
        <v>10</v>
      </c>
      <c r="O273" s="327" t="s">
        <v>2294</v>
      </c>
    </row>
    <row r="274" spans="1:15" x14ac:dyDescent="0.35">
      <c r="A274" s="353"/>
      <c r="B274" s="351" t="s">
        <v>2301</v>
      </c>
      <c r="C274" s="352">
        <f>C$272/$O$272*$O274</f>
        <v>218905.53381777531</v>
      </c>
      <c r="D274" s="352">
        <f t="shared" ref="D274:M274" si="3">D$272/$O$272*$O274</f>
        <v>238980.99496925657</v>
      </c>
      <c r="E274" s="352">
        <f t="shared" si="3"/>
        <v>248295.60766085138</v>
      </c>
      <c r="F274" s="352">
        <f t="shared" si="3"/>
        <v>247699.83230855226</v>
      </c>
      <c r="G274" s="352">
        <f t="shared" si="3"/>
        <v>247204.10795014366</v>
      </c>
      <c r="H274" s="352">
        <f t="shared" si="3"/>
        <v>277665.29375422903</v>
      </c>
      <c r="I274" s="352">
        <f t="shared" si="3"/>
        <v>249448.64817157484</v>
      </c>
      <c r="J274" s="352">
        <f t="shared" si="3"/>
        <v>197275.26404048133</v>
      </c>
      <c r="K274" s="352">
        <f t="shared" si="3"/>
        <v>200751.94169044748</v>
      </c>
      <c r="L274" s="352">
        <f t="shared" si="3"/>
        <v>223277.57347533171</v>
      </c>
      <c r="M274" s="352">
        <f t="shared" si="3"/>
        <v>245365.43496807979</v>
      </c>
      <c r="N274" s="352">
        <f>IFERROR(AVERAGE(KitchenVentilationHeatLoad[[#This Row],[Calgary Area]:[West]]),"")</f>
        <v>235897.29389152027</v>
      </c>
      <c r="O274" s="352">
        <v>154000</v>
      </c>
    </row>
    <row r="275" spans="1:15" x14ac:dyDescent="0.35">
      <c r="A275" s="353"/>
      <c r="B275" s="353"/>
      <c r="C275" s="353"/>
      <c r="D275" s="353"/>
      <c r="E275" s="353"/>
      <c r="F275" s="353"/>
      <c r="G275" s="353"/>
      <c r="H275" s="321"/>
      <c r="I275" s="321"/>
      <c r="J275" s="321"/>
      <c r="K275" s="321"/>
      <c r="L275" s="321"/>
      <c r="M275" s="321"/>
      <c r="N275" s="321"/>
      <c r="O275" s="321"/>
    </row>
    <row r="276" spans="1:15" ht="17.5" thickBot="1" x14ac:dyDescent="0.45">
      <c r="A276" s="353"/>
      <c r="B276" s="354" t="s">
        <v>2302</v>
      </c>
      <c r="C276" s="354"/>
      <c r="D276" s="354"/>
      <c r="E276" s="354"/>
      <c r="F276" s="354"/>
      <c r="G276" s="354"/>
      <c r="H276" s="354"/>
      <c r="I276" s="354"/>
      <c r="J276" s="354"/>
      <c r="K276" s="354"/>
      <c r="L276" s="354"/>
      <c r="M276" s="354"/>
      <c r="N276" s="354"/>
      <c r="O276" s="321"/>
    </row>
    <row r="277" spans="1:15" s="142" customFormat="1" ht="17.5" thickTop="1" x14ac:dyDescent="0.4">
      <c r="B277" s="435" t="s">
        <v>2266</v>
      </c>
      <c r="C277" s="2045"/>
      <c r="D277" s="2045"/>
      <c r="E277" s="2045"/>
      <c r="F277" s="2045"/>
      <c r="G277" s="2045"/>
      <c r="H277" s="2045"/>
      <c r="I277" s="2045"/>
      <c r="J277" s="2045"/>
      <c r="K277" s="2045"/>
      <c r="L277" s="2045"/>
      <c r="M277" s="2045"/>
      <c r="N277" s="2045"/>
    </row>
    <row r="278" spans="1:15" x14ac:dyDescent="0.35">
      <c r="A278" s="353"/>
      <c r="B278" s="179" t="s">
        <v>2292</v>
      </c>
      <c r="C278" s="180">
        <f>_xlfn.XLOOKUP(C279,ClimateData[Region],ClimateData[HDD],0,0,1)</f>
        <v>5086</v>
      </c>
      <c r="D278" s="180">
        <f>_xlfn.XLOOKUP(D279,ClimateData[Region],ClimateData[HDD],0,0,1)</f>
        <v>5552.4285714285716</v>
      </c>
      <c r="E278" s="180">
        <f>_xlfn.XLOOKUP(E279,ClimateData[Region],ClimateData[HDD],0,0,1)</f>
        <v>5768.8421052631575</v>
      </c>
      <c r="F278" s="180">
        <f>_xlfn.XLOOKUP(F279,ClimateData[Region],ClimateData[HDD],0,0,1)</f>
        <v>5755</v>
      </c>
      <c r="G278" s="180">
        <f>_xlfn.XLOOKUP(G279,ClimateData[Region],ClimateData[HDD],0,0,1)</f>
        <v>5743.4824561403511</v>
      </c>
      <c r="H278" s="180">
        <f>_xlfn.XLOOKUP(H279,ClimateData[Region],ClimateData[HDD],0,0,1)</f>
        <v>6451.2105263157891</v>
      </c>
      <c r="I278" s="180">
        <f>_xlfn.XLOOKUP(I279,ClimateData[Region],ClimateData[HDD],0,0,1)</f>
        <v>5795.6315789473683</v>
      </c>
      <c r="J278" s="180">
        <f>_xlfn.XLOOKUP(J279,ClimateData[Region],ClimateData[HDD],0,0,1)</f>
        <v>4583.4473684210534</v>
      </c>
      <c r="K278" s="180">
        <f>_xlfn.XLOOKUP(K279,ClimateData[Region],ClimateData[HDD],0,0,1)</f>
        <v>4664.2236842105267</v>
      </c>
      <c r="L278" s="180">
        <f>_xlfn.XLOOKUP(L279,ClimateData[Region],ClimateData[HDD],0,0,1)</f>
        <v>5187.5789473684217</v>
      </c>
      <c r="M278" s="180">
        <f>_xlfn.XLOOKUP(M279,ClimateData[Region],ClimateData[HDD],0,0,1)</f>
        <v>5700.7631578947367</v>
      </c>
      <c r="N278" s="180"/>
      <c r="O278" s="180">
        <f>HDD_CDD!$F$25</f>
        <v>3578</v>
      </c>
    </row>
    <row r="279" spans="1:15" x14ac:dyDescent="0.35">
      <c r="A279" s="353"/>
      <c r="B279" s="326" t="s">
        <v>2303</v>
      </c>
      <c r="C279" s="327" t="s">
        <v>1361</v>
      </c>
      <c r="D279" s="327" t="s">
        <v>1811</v>
      </c>
      <c r="E279" s="327" t="s">
        <v>1812</v>
      </c>
      <c r="F279" s="327" t="s">
        <v>1362</v>
      </c>
      <c r="G279" s="327" t="s">
        <v>1813</v>
      </c>
      <c r="H279" s="327" t="s">
        <v>1814</v>
      </c>
      <c r="I279" s="327" t="s">
        <v>1815</v>
      </c>
      <c r="J279" s="327" t="s">
        <v>1816</v>
      </c>
      <c r="K279" s="327" t="s">
        <v>1817</v>
      </c>
      <c r="L279" s="327" t="s">
        <v>1818</v>
      </c>
      <c r="M279" s="328" t="s">
        <v>1819</v>
      </c>
      <c r="N279" s="328" t="s">
        <v>10</v>
      </c>
      <c r="O279" s="327" t="s">
        <v>2294</v>
      </c>
    </row>
    <row r="280" spans="1:15" x14ac:dyDescent="0.35">
      <c r="A280" s="353"/>
      <c r="B280" s="351" t="s">
        <v>2303</v>
      </c>
      <c r="C280" s="352">
        <f>C$272/$O$272*$O280</f>
        <v>3377.3996646171049</v>
      </c>
      <c r="D280" s="352">
        <f t="shared" ref="D280:M280" si="4">D$272/$O$272*$O280</f>
        <v>3687.1353509542441</v>
      </c>
      <c r="E280" s="352">
        <f t="shared" si="4"/>
        <v>3830.8465181959928</v>
      </c>
      <c r="F280" s="352">
        <f t="shared" si="4"/>
        <v>3821.6545556176634</v>
      </c>
      <c r="G280" s="352">
        <f t="shared" si="4"/>
        <v>3814.0062369450739</v>
      </c>
      <c r="H280" s="352">
        <f t="shared" si="4"/>
        <v>4283.9788179223906</v>
      </c>
      <c r="I280" s="352">
        <f t="shared" si="4"/>
        <v>3848.6362860757263</v>
      </c>
      <c r="J280" s="352">
        <f t="shared" si="4"/>
        <v>3043.6755023388546</v>
      </c>
      <c r="K280" s="352">
        <f t="shared" si="4"/>
        <v>3097.3156717954753</v>
      </c>
      <c r="L280" s="352">
        <f t="shared" si="4"/>
        <v>3444.8539907622608</v>
      </c>
      <c r="M280" s="352">
        <f t="shared" si="4"/>
        <v>3785.6381395075168</v>
      </c>
      <c r="N280" s="352">
        <f>IFERROR(AVERAGE(RefrigerationEconomizerHours[[#This Row],[Calgary Area]:[West]]),"")</f>
        <v>3639.5582486120275</v>
      </c>
      <c r="O280" s="352">
        <v>2376</v>
      </c>
    </row>
    <row r="281" spans="1:15" x14ac:dyDescent="0.35">
      <c r="A281" s="353"/>
      <c r="B281" s="353"/>
      <c r="C281" s="353"/>
      <c r="D281" s="353"/>
      <c r="E281" s="353"/>
      <c r="F281" s="353"/>
      <c r="G281" s="353"/>
      <c r="H281" s="321"/>
      <c r="I281" s="321"/>
      <c r="J281" s="321"/>
      <c r="K281" s="321"/>
      <c r="L281" s="321"/>
      <c r="M281" s="321"/>
      <c r="N281" s="321"/>
      <c r="O281" s="321"/>
    </row>
    <row r="282" spans="1:15" ht="17.5" thickBot="1" x14ac:dyDescent="0.45">
      <c r="A282" s="353"/>
      <c r="B282" s="354" t="s">
        <v>2304</v>
      </c>
      <c r="C282" s="354"/>
      <c r="D282" s="354"/>
      <c r="E282" s="354"/>
      <c r="F282" s="354"/>
      <c r="G282" s="354"/>
      <c r="H282" s="354"/>
      <c r="I282" s="354"/>
      <c r="J282" s="354"/>
      <c r="K282" s="354"/>
      <c r="L282" s="354"/>
      <c r="M282" s="354"/>
      <c r="N282" s="354"/>
      <c r="O282" s="321"/>
    </row>
    <row r="283" spans="1:15" s="142" customFormat="1" ht="17.5" thickTop="1" x14ac:dyDescent="0.4">
      <c r="B283" s="435" t="s">
        <v>2266</v>
      </c>
      <c r="C283" s="2045"/>
      <c r="D283" s="2045"/>
      <c r="E283" s="2045"/>
      <c r="F283" s="2045"/>
      <c r="G283" s="2045"/>
      <c r="H283" s="2045"/>
      <c r="I283" s="2045"/>
      <c r="J283" s="2045"/>
      <c r="K283" s="2045"/>
      <c r="L283" s="2045"/>
      <c r="M283" s="2045"/>
      <c r="N283" s="2045"/>
    </row>
    <row r="284" spans="1:15" x14ac:dyDescent="0.35">
      <c r="A284" s="353"/>
      <c r="B284" s="179" t="s">
        <v>2292</v>
      </c>
      <c r="C284" s="180">
        <f>_xlfn.XLOOKUP(C285,ClimateData[Region],ClimateData[HDD],0,0,1)</f>
        <v>5086</v>
      </c>
      <c r="D284" s="180">
        <f>_xlfn.XLOOKUP(D285,ClimateData[Region],ClimateData[HDD],0,0,1)</f>
        <v>5552.4285714285716</v>
      </c>
      <c r="E284" s="180">
        <f>_xlfn.XLOOKUP(E285,ClimateData[Region],ClimateData[HDD],0,0,1)</f>
        <v>5768.8421052631575</v>
      </c>
      <c r="F284" s="180">
        <f>_xlfn.XLOOKUP(F285,ClimateData[Region],ClimateData[HDD],0,0,1)</f>
        <v>5755</v>
      </c>
      <c r="G284" s="180">
        <f>_xlfn.XLOOKUP(G285,ClimateData[Region],ClimateData[HDD],0,0,1)</f>
        <v>5743.4824561403511</v>
      </c>
      <c r="H284" s="180">
        <f>_xlfn.XLOOKUP(H285,ClimateData[Region],ClimateData[HDD],0,0,1)</f>
        <v>6451.2105263157891</v>
      </c>
      <c r="I284" s="180">
        <f>_xlfn.XLOOKUP(I285,ClimateData[Region],ClimateData[HDD],0,0,1)</f>
        <v>5795.6315789473683</v>
      </c>
      <c r="J284" s="180">
        <f>_xlfn.XLOOKUP(J285,ClimateData[Region],ClimateData[HDD],0,0,1)</f>
        <v>4583.4473684210534</v>
      </c>
      <c r="K284" s="180">
        <f>_xlfn.XLOOKUP(K285,ClimateData[Region],ClimateData[HDD],0,0,1)</f>
        <v>4664.2236842105267</v>
      </c>
      <c r="L284" s="180">
        <f>_xlfn.XLOOKUP(L285,ClimateData[Region],ClimateData[HDD],0,0,1)</f>
        <v>5187.5789473684217</v>
      </c>
      <c r="M284" s="180">
        <f>_xlfn.XLOOKUP(M285,ClimateData[Region],ClimateData[HDD],0,0,1)</f>
        <v>5700.7631578947367</v>
      </c>
      <c r="N284" s="180"/>
      <c r="O284" s="180">
        <f>HDD_CDD!$F$25</f>
        <v>3578</v>
      </c>
    </row>
    <row r="285" spans="1:15" x14ac:dyDescent="0.35">
      <c r="A285" s="353"/>
      <c r="B285" s="326" t="s">
        <v>2305</v>
      </c>
      <c r="C285" s="327" t="s">
        <v>1361</v>
      </c>
      <c r="D285" s="327" t="s">
        <v>1811</v>
      </c>
      <c r="E285" s="327" t="s">
        <v>1812</v>
      </c>
      <c r="F285" s="327" t="s">
        <v>1362</v>
      </c>
      <c r="G285" s="327" t="s">
        <v>1813</v>
      </c>
      <c r="H285" s="327" t="s">
        <v>1814</v>
      </c>
      <c r="I285" s="327" t="s">
        <v>1815</v>
      </c>
      <c r="J285" s="327" t="s">
        <v>1816</v>
      </c>
      <c r="K285" s="327" t="s">
        <v>1817</v>
      </c>
      <c r="L285" s="327" t="s">
        <v>1818</v>
      </c>
      <c r="M285" s="328" t="s">
        <v>1819</v>
      </c>
      <c r="N285" s="328" t="s">
        <v>10</v>
      </c>
      <c r="O285" s="327" t="s">
        <v>2294</v>
      </c>
    </row>
    <row r="286" spans="1:15" x14ac:dyDescent="0.35">
      <c r="A286" s="353"/>
      <c r="B286" s="355" t="s">
        <v>2013</v>
      </c>
      <c r="C286" s="180">
        <f t="shared" ref="C286:C291" si="5">C$272/$O$272*$O286</f>
        <v>201.84795975405257</v>
      </c>
      <c r="D286" s="180">
        <f t="shared" ref="D286:M286" si="6">D$272/$O$272*$O286</f>
        <v>220.35909925736644</v>
      </c>
      <c r="E286" s="180">
        <f t="shared" si="6"/>
        <v>228.94789797299282</v>
      </c>
      <c r="F286" s="180">
        <f t="shared" si="6"/>
        <v>228.39854667411961</v>
      </c>
      <c r="G286" s="180">
        <f t="shared" si="6"/>
        <v>227.9414501877948</v>
      </c>
      <c r="H286" s="180">
        <f t="shared" si="6"/>
        <v>256.02903709805537</v>
      </c>
      <c r="I286" s="180">
        <f t="shared" si="6"/>
        <v>230.01109117119239</v>
      </c>
      <c r="J286" s="180">
        <f t="shared" si="6"/>
        <v>181.90316554382045</v>
      </c>
      <c r="K286" s="180">
        <f t="shared" si="6"/>
        <v>185.10893324703599</v>
      </c>
      <c r="L286" s="180">
        <f t="shared" si="6"/>
        <v>205.87932099673444</v>
      </c>
      <c r="M286" s="180">
        <f t="shared" si="6"/>
        <v>226.24605042511254</v>
      </c>
      <c r="N286" s="180">
        <f>IFERROR(AVERAGE(HeatingDays[[#This Row],[Calgary Area]:[West]]),"")</f>
        <v>217.51568657529796</v>
      </c>
      <c r="O286" s="180">
        <v>142</v>
      </c>
    </row>
    <row r="287" spans="1:15" x14ac:dyDescent="0.35">
      <c r="A287" s="353"/>
      <c r="B287" s="355" t="s">
        <v>1967</v>
      </c>
      <c r="C287" s="180">
        <f t="shared" si="5"/>
        <v>227.43432084963669</v>
      </c>
      <c r="D287" s="180">
        <f t="shared" ref="D287:M291" si="7">D$272/$O$272*$O287</f>
        <v>248.29194282520163</v>
      </c>
      <c r="E287" s="180">
        <f t="shared" si="7"/>
        <v>257.96946250478067</v>
      </c>
      <c r="F287" s="180">
        <f t="shared" si="7"/>
        <v>257.35047512576858</v>
      </c>
      <c r="G287" s="180">
        <f t="shared" si="7"/>
        <v>256.83543683131808</v>
      </c>
      <c r="H287" s="180">
        <f t="shared" si="7"/>
        <v>288.48342208231588</v>
      </c>
      <c r="I287" s="180">
        <f t="shared" si="7"/>
        <v>259.16742667176607</v>
      </c>
      <c r="J287" s="180">
        <f t="shared" si="7"/>
        <v>204.96131328881177</v>
      </c>
      <c r="K287" s="180">
        <f t="shared" si="7"/>
        <v>208.57344591215323</v>
      </c>
      <c r="L287" s="180">
        <f t="shared" si="7"/>
        <v>231.97669971463034</v>
      </c>
      <c r="M287" s="180">
        <f t="shared" si="7"/>
        <v>254.92512723956341</v>
      </c>
      <c r="N287" s="180">
        <f>IFERROR(AVERAGE(HeatingDays[[#This Row],[Calgary Area]:[West]]),"")</f>
        <v>245.08809754963147</v>
      </c>
      <c r="O287" s="180">
        <v>160</v>
      </c>
    </row>
    <row r="288" spans="1:15" x14ac:dyDescent="0.35">
      <c r="A288" s="353"/>
      <c r="B288" s="355" t="s">
        <v>2014</v>
      </c>
      <c r="C288" s="180">
        <f t="shared" si="5"/>
        <v>260.12800447177193</v>
      </c>
      <c r="D288" s="180">
        <f t="shared" si="7"/>
        <v>283.98390960632435</v>
      </c>
      <c r="E288" s="180">
        <f t="shared" si="7"/>
        <v>295.05257273984284</v>
      </c>
      <c r="F288" s="180">
        <f t="shared" si="7"/>
        <v>294.34460592509782</v>
      </c>
      <c r="G288" s="180">
        <f t="shared" si="7"/>
        <v>293.75553087582006</v>
      </c>
      <c r="H288" s="180">
        <f t="shared" si="7"/>
        <v>329.95291400664883</v>
      </c>
      <c r="I288" s="180">
        <f t="shared" si="7"/>
        <v>296.42274425583241</v>
      </c>
      <c r="J288" s="180">
        <f t="shared" si="7"/>
        <v>234.42450207407845</v>
      </c>
      <c r="K288" s="180">
        <f t="shared" si="7"/>
        <v>238.55587876202526</v>
      </c>
      <c r="L288" s="180">
        <f t="shared" si="7"/>
        <v>265.32335029860849</v>
      </c>
      <c r="M288" s="180">
        <f t="shared" si="7"/>
        <v>291.57061428025065</v>
      </c>
      <c r="N288" s="180">
        <f>IFERROR(AVERAGE(HeatingDays[[#This Row],[Calgary Area]:[West]]),"")</f>
        <v>280.31951157239104</v>
      </c>
      <c r="O288" s="180">
        <v>183</v>
      </c>
    </row>
    <row r="289" spans="1:15" x14ac:dyDescent="0.35">
      <c r="A289" s="353"/>
      <c r="B289" s="355" t="s">
        <v>2015</v>
      </c>
      <c r="C289" s="180">
        <f t="shared" si="5"/>
        <v>289.97875908328677</v>
      </c>
      <c r="D289" s="180">
        <f t="shared" si="7"/>
        <v>316.5722271021321</v>
      </c>
      <c r="E289" s="180">
        <f t="shared" si="7"/>
        <v>328.91106469359534</v>
      </c>
      <c r="F289" s="180">
        <f t="shared" si="7"/>
        <v>328.12185578535497</v>
      </c>
      <c r="G289" s="180">
        <f t="shared" si="7"/>
        <v>327.46518195993059</v>
      </c>
      <c r="H289" s="180">
        <f t="shared" si="7"/>
        <v>367.81636315495274</v>
      </c>
      <c r="I289" s="180">
        <f t="shared" si="7"/>
        <v>330.43846900650175</v>
      </c>
      <c r="J289" s="180">
        <f t="shared" si="7"/>
        <v>261.32567444323502</v>
      </c>
      <c r="K289" s="180">
        <f t="shared" si="7"/>
        <v>265.93114353799535</v>
      </c>
      <c r="L289" s="180">
        <f t="shared" si="7"/>
        <v>295.77029213615373</v>
      </c>
      <c r="M289" s="180">
        <f t="shared" si="7"/>
        <v>325.02953723044334</v>
      </c>
      <c r="N289" s="180">
        <f>IFERROR(AVERAGE(HeatingDays[[#This Row],[Calgary Area]:[West]]),"")</f>
        <v>312.48732437578019</v>
      </c>
      <c r="O289" s="180">
        <v>204</v>
      </c>
    </row>
    <row r="290" spans="1:15" x14ac:dyDescent="0.35">
      <c r="A290" s="353"/>
      <c r="B290" s="355" t="s">
        <v>2016</v>
      </c>
      <c r="C290" s="180">
        <f t="shared" si="5"/>
        <v>324.09390721073225</v>
      </c>
      <c r="D290" s="180">
        <f t="shared" si="7"/>
        <v>353.81601852591234</v>
      </c>
      <c r="E290" s="180">
        <f t="shared" si="7"/>
        <v>367.60648406931244</v>
      </c>
      <c r="F290" s="180">
        <f t="shared" si="7"/>
        <v>366.72442705422026</v>
      </c>
      <c r="G290" s="180">
        <f t="shared" si="7"/>
        <v>365.99049748462829</v>
      </c>
      <c r="H290" s="180">
        <f t="shared" si="7"/>
        <v>411.08887646730017</v>
      </c>
      <c r="I290" s="180">
        <f t="shared" si="7"/>
        <v>369.31358300726663</v>
      </c>
      <c r="J290" s="180">
        <f t="shared" si="7"/>
        <v>292.06987143655675</v>
      </c>
      <c r="K290" s="180">
        <f t="shared" si="7"/>
        <v>297.21716042481836</v>
      </c>
      <c r="L290" s="180">
        <f t="shared" si="7"/>
        <v>330.56679709334827</v>
      </c>
      <c r="M290" s="180">
        <f t="shared" si="7"/>
        <v>363.26830631637785</v>
      </c>
      <c r="N290" s="180">
        <f>IFERROR(AVERAGE(HeatingDays[[#This Row],[Calgary Area]:[West]]),"")</f>
        <v>349.25053900822485</v>
      </c>
      <c r="O290" s="180">
        <v>228</v>
      </c>
    </row>
    <row r="291" spans="1:15" x14ac:dyDescent="0.35">
      <c r="A291" s="353"/>
      <c r="B291" s="355" t="s">
        <v>10</v>
      </c>
      <c r="C291" s="180">
        <f t="shared" si="5"/>
        <v>260.69659027389605</v>
      </c>
      <c r="D291" s="180">
        <f t="shared" si="7"/>
        <v>284.6046394633874</v>
      </c>
      <c r="E291" s="180">
        <f t="shared" si="7"/>
        <v>295.69749639610484</v>
      </c>
      <c r="F291" s="180">
        <f t="shared" si="7"/>
        <v>294.98798211291228</v>
      </c>
      <c r="G291" s="180">
        <f t="shared" si="7"/>
        <v>294.39761946789838</v>
      </c>
      <c r="H291" s="180">
        <f t="shared" si="7"/>
        <v>330.67412256185457</v>
      </c>
      <c r="I291" s="180">
        <f t="shared" si="7"/>
        <v>297.07066282251185</v>
      </c>
      <c r="J291" s="180">
        <f t="shared" si="7"/>
        <v>234.9369053573005</v>
      </c>
      <c r="K291" s="180">
        <f t="shared" si="7"/>
        <v>239.07731237680565</v>
      </c>
      <c r="L291" s="180">
        <f t="shared" si="7"/>
        <v>265.90329204789504</v>
      </c>
      <c r="M291" s="180">
        <f t="shared" si="7"/>
        <v>292.20792709834956</v>
      </c>
      <c r="N291" s="180">
        <f>IFERROR(AVERAGE(HeatingDays[[#This Row],[Calgary Area]:[West]]),"")</f>
        <v>280.93223181626513</v>
      </c>
      <c r="O291" s="180">
        <f>AVERAGE(O286:O290)</f>
        <v>183.4</v>
      </c>
    </row>
    <row r="292" spans="1:15" x14ac:dyDescent="0.35">
      <c r="H292" s="123"/>
      <c r="I292" s="123"/>
      <c r="J292" s="123"/>
      <c r="K292" s="123"/>
      <c r="L292" s="123"/>
      <c r="M292" s="123"/>
      <c r="N292" s="123"/>
    </row>
    <row r="293" spans="1:15" ht="17.5" thickBot="1" x14ac:dyDescent="0.45">
      <c r="A293" s="353"/>
      <c r="B293" s="354" t="s">
        <v>2306</v>
      </c>
      <c r="C293" s="354"/>
      <c r="D293" s="354"/>
      <c r="E293" s="354"/>
      <c r="F293" s="354"/>
      <c r="G293" s="354"/>
      <c r="H293" s="354"/>
      <c r="I293" s="354"/>
      <c r="J293" s="354"/>
      <c r="K293" s="354"/>
      <c r="L293" s="354"/>
      <c r="M293" s="354"/>
      <c r="N293" s="354"/>
      <c r="O293" s="321"/>
    </row>
    <row r="294" spans="1:15" s="142" customFormat="1" ht="17.5" thickTop="1" x14ac:dyDescent="0.4">
      <c r="B294" s="435" t="s">
        <v>2266</v>
      </c>
      <c r="C294" s="2045"/>
      <c r="D294" s="2045"/>
      <c r="E294" s="2045"/>
      <c r="F294" s="2045"/>
      <c r="G294" s="2045"/>
      <c r="H294" s="2045"/>
      <c r="I294" s="2045"/>
      <c r="J294" s="2045"/>
      <c r="K294" s="2045"/>
      <c r="L294" s="2045"/>
      <c r="M294" s="2045"/>
      <c r="N294" s="2045"/>
    </row>
    <row r="295" spans="1:15" x14ac:dyDescent="0.35">
      <c r="A295" s="353"/>
      <c r="B295" s="179" t="s">
        <v>2292</v>
      </c>
      <c r="C295" s="180">
        <f>_xlfn.XLOOKUP(C296,ClimateData[Region],ClimateData[HDD],0,0,1)</f>
        <v>5086</v>
      </c>
      <c r="D295" s="180">
        <f>_xlfn.XLOOKUP(D296,ClimateData[Region],ClimateData[HDD],0,0,1)</f>
        <v>5552.4285714285716</v>
      </c>
      <c r="E295" s="180">
        <f>_xlfn.XLOOKUP(E296,ClimateData[Region],ClimateData[HDD],0,0,1)</f>
        <v>5768.8421052631575</v>
      </c>
      <c r="F295" s="180">
        <f>_xlfn.XLOOKUP(F296,ClimateData[Region],ClimateData[HDD],0,0,1)</f>
        <v>5755</v>
      </c>
      <c r="G295" s="180">
        <f>_xlfn.XLOOKUP(G296,ClimateData[Region],ClimateData[HDD],0,0,1)</f>
        <v>5743.4824561403511</v>
      </c>
      <c r="H295" s="180">
        <f>_xlfn.XLOOKUP(H296,ClimateData[Region],ClimateData[HDD],0,0,1)</f>
        <v>6451.2105263157891</v>
      </c>
      <c r="I295" s="180">
        <f>_xlfn.XLOOKUP(I296,ClimateData[Region],ClimateData[HDD],0,0,1)</f>
        <v>5795.6315789473683</v>
      </c>
      <c r="J295" s="180">
        <f>_xlfn.XLOOKUP(J296,ClimateData[Region],ClimateData[HDD],0,0,1)</f>
        <v>4583.4473684210534</v>
      </c>
      <c r="K295" s="180">
        <f>_xlfn.XLOOKUP(K296,ClimateData[Region],ClimateData[HDD],0,0,1)</f>
        <v>4664.2236842105267</v>
      </c>
      <c r="L295" s="180">
        <f>_xlfn.XLOOKUP(L296,ClimateData[Region],ClimateData[HDD],0,0,1)</f>
        <v>5187.5789473684217</v>
      </c>
      <c r="M295" s="180">
        <f>_xlfn.XLOOKUP(M296,ClimateData[Region],ClimateData[HDD],0,0,1)</f>
        <v>5700.7631578947367</v>
      </c>
      <c r="N295" s="180"/>
      <c r="O295" s="180">
        <f>HDD_CDD!$F$25</f>
        <v>3578</v>
      </c>
    </row>
    <row r="296" spans="1:15" x14ac:dyDescent="0.35">
      <c r="A296" s="353"/>
      <c r="B296" s="326" t="s">
        <v>2305</v>
      </c>
      <c r="C296" s="327" t="s">
        <v>1361</v>
      </c>
      <c r="D296" s="327" t="s">
        <v>1811</v>
      </c>
      <c r="E296" s="327" t="s">
        <v>1812</v>
      </c>
      <c r="F296" s="327" t="s">
        <v>1362</v>
      </c>
      <c r="G296" s="327" t="s">
        <v>1813</v>
      </c>
      <c r="H296" s="327" t="s">
        <v>1814</v>
      </c>
      <c r="I296" s="327" t="s">
        <v>1815</v>
      </c>
      <c r="J296" s="327" t="s">
        <v>1816</v>
      </c>
      <c r="K296" s="327" t="s">
        <v>1817</v>
      </c>
      <c r="L296" s="327" t="s">
        <v>1818</v>
      </c>
      <c r="M296" s="328" t="s">
        <v>1819</v>
      </c>
      <c r="N296" s="328" t="s">
        <v>10</v>
      </c>
      <c r="O296" s="327" t="s">
        <v>2294</v>
      </c>
    </row>
    <row r="297" spans="1:15" x14ac:dyDescent="0.35">
      <c r="A297" s="353"/>
      <c r="B297" s="355" t="s">
        <v>2013</v>
      </c>
      <c r="C297" s="356">
        <f>C$295/$O$295*($O297)*'Setpoint Temperature'!$H$12+$O297</f>
        <v>26.169134660145918</v>
      </c>
      <c r="D297" s="356">
        <f>D$295/$O$295*($O297)*'Setpoint Temperature'!$H$12+$O297</f>
        <v>26.157133218243114</v>
      </c>
      <c r="E297" s="356">
        <f>E$295/$O$295*($O297)*'Setpoint Temperature'!$H$12+$O297</f>
        <v>26.15156478909363</v>
      </c>
      <c r="F297" s="356">
        <f>F$295/$O$295*($O297)*'Setpoint Temperature'!$H$12+$O297</f>
        <v>26.151920953428974</v>
      </c>
      <c r="G297" s="356">
        <f>G$295/$O$295*($O297)*'Setpoint Temperature'!$H$12+$O297</f>
        <v>26.152217305629421</v>
      </c>
      <c r="H297" s="356">
        <f>H$295/$O$295*($O297)*'Setpoint Temperature'!$H$12+$O297</f>
        <v>26.13400710617449</v>
      </c>
      <c r="I297" s="356">
        <f>I$295/$O$295*($O297)*'Setpoint Temperature'!$H$12+$O297</f>
        <v>26.150875482452221</v>
      </c>
      <c r="J297" s="356">
        <f>J$295/$O$295*($O297)*'Setpoint Temperature'!$H$12+$O297</f>
        <v>26.182065592298127</v>
      </c>
      <c r="K297" s="356">
        <f>K$295/$O$295*($O297)*'Setpoint Temperature'!$H$12+$O297</f>
        <v>26.179987177037027</v>
      </c>
      <c r="L297" s="356">
        <f>L$295/$O$295*($O297)*'Setpoint Temperature'!$H$12+$O297</f>
        <v>26.166520982704039</v>
      </c>
      <c r="M297" s="356">
        <f>M$295/$O$295*($O297)*'Setpoint Temperature'!$H$12+$O297</f>
        <v>26.153316494674492</v>
      </c>
      <c r="N297" s="356">
        <f>IFERROR(AVERAGE(OutdoorTemperature[[#This Row],[Calgary Area]:[West]]),"")</f>
        <v>26.158976705625584</v>
      </c>
      <c r="O297" s="356">
        <v>26.3</v>
      </c>
    </row>
    <row r="298" spans="1:15" x14ac:dyDescent="0.35">
      <c r="A298" s="353"/>
      <c r="B298" s="355" t="s">
        <v>1967</v>
      </c>
      <c r="C298" s="356">
        <f>C$295/$O$295*($O298)*'Setpoint Temperature'!$H$12+$O298</f>
        <v>28.656694989057126</v>
      </c>
      <c r="D298" s="356">
        <f>D$295/$O$295*($O298)*'Setpoint Temperature'!$H$12+$O298</f>
        <v>28.643552725680674</v>
      </c>
      <c r="E298" s="356">
        <f>E$295/$O$295*($O298)*'Setpoint Temperature'!$H$12+$O298</f>
        <v>28.637454978170968</v>
      </c>
      <c r="F298" s="356">
        <f>F$295/$O$295*($O298)*'Setpoint Temperature'!$H$12+$O298</f>
        <v>28.637844998431728</v>
      </c>
      <c r="G298" s="356">
        <f>G$295/$O$295*($O298)*'Setpoint Temperature'!$H$12+$O298</f>
        <v>28.638169520993433</v>
      </c>
      <c r="H298" s="356">
        <f>H$295/$O$295*($O298)*'Setpoint Temperature'!$H$12+$O298</f>
        <v>28.618228313985753</v>
      </c>
      <c r="I298" s="356">
        <f>I$295/$O$295*($O298)*'Setpoint Temperature'!$H$12+$O298</f>
        <v>28.636700148084561</v>
      </c>
      <c r="J298" s="356">
        <f>J$295/$O$295*($O298)*'Setpoint Temperature'!$H$12+$O298</f>
        <v>28.670855097269431</v>
      </c>
      <c r="K298" s="356">
        <f>K$295/$O$295*($O298)*'Setpoint Temperature'!$H$12+$O298</f>
        <v>28.668579114017735</v>
      </c>
      <c r="L298" s="356">
        <f>L$295/$O$295*($O298)*'Setpoint Temperature'!$H$12+$O298</f>
        <v>28.653832863189216</v>
      </c>
      <c r="M298" s="356">
        <f>M$295/$O$295*($O298)*'Setpoint Temperature'!$H$12+$O298</f>
        <v>28.639373195689178</v>
      </c>
      <c r="N298" s="356">
        <f>IFERROR(AVERAGE(OutdoorTemperature[[#This Row],[Calgary Area]:[West]]),"")</f>
        <v>28.645571449506349</v>
      </c>
      <c r="O298" s="356">
        <v>28.8</v>
      </c>
    </row>
    <row r="299" spans="1:15" x14ac:dyDescent="0.35">
      <c r="A299" s="353"/>
      <c r="B299" s="355" t="s">
        <v>2014</v>
      </c>
      <c r="C299" s="356">
        <f>C$295/$O$295*($O299)*'Setpoint Temperature'!$H$12+$O299</f>
        <v>31.442762557437682</v>
      </c>
      <c r="D299" s="356">
        <f>D$295/$O$295*($O299)*'Setpoint Temperature'!$H$12+$O299</f>
        <v>31.428342574010738</v>
      </c>
      <c r="E299" s="356">
        <f>E$295/$O$295*($O299)*'Setpoint Temperature'!$H$12+$O299</f>
        <v>31.421651989937594</v>
      </c>
      <c r="F299" s="356">
        <f>F$295/$O$295*($O299)*'Setpoint Temperature'!$H$12+$O299</f>
        <v>31.422079928834812</v>
      </c>
      <c r="G299" s="356">
        <f>G$295/$O$295*($O299)*'Setpoint Temperature'!$H$12+$O299</f>
        <v>31.422436002201128</v>
      </c>
      <c r="H299" s="356">
        <f>H$295/$O$295*($O299)*'Setpoint Temperature'!$H$12+$O299</f>
        <v>31.400556066734367</v>
      </c>
      <c r="I299" s="356">
        <f>I$295/$O$295*($O299)*'Setpoint Temperature'!$H$12+$O299</f>
        <v>31.420823773592783</v>
      </c>
      <c r="J299" s="356">
        <f>J$295/$O$295*($O299)*'Setpoint Temperature'!$H$12+$O299</f>
        <v>31.458299342837297</v>
      </c>
      <c r="K299" s="356">
        <f>K$295/$O$295*($O299)*'Setpoint Temperature'!$H$12+$O299</f>
        <v>31.455802083436126</v>
      </c>
      <c r="L299" s="356">
        <f>L$295/$O$295*($O299)*'Setpoint Temperature'!$H$12+$O299</f>
        <v>31.439622169332612</v>
      </c>
      <c r="M299" s="356">
        <f>M$295/$O$295*($O299)*'Setpoint Temperature'!$H$12+$O299</f>
        <v>31.423756700825628</v>
      </c>
      <c r="N299" s="356">
        <f>IFERROR(AVERAGE(OutdoorTemperature[[#This Row],[Calgary Area]:[West]]),"")</f>
        <v>31.430557562652794</v>
      </c>
      <c r="O299" s="356">
        <v>31.6</v>
      </c>
    </row>
    <row r="300" spans="1:15" x14ac:dyDescent="0.35">
      <c r="A300" s="353"/>
      <c r="B300" s="355" t="s">
        <v>2015</v>
      </c>
      <c r="C300" s="356">
        <f>C$295/$O$295*($O300)*'Setpoint Temperature'!$H$12+$O300</f>
        <v>34.02982529950534</v>
      </c>
      <c r="D300" s="356">
        <f>D$295/$O$295*($O300)*'Setpoint Temperature'!$H$12+$O300</f>
        <v>34.014218861745803</v>
      </c>
      <c r="E300" s="356">
        <f>E$295/$O$295*($O300)*'Setpoint Temperature'!$H$12+$O300</f>
        <v>34.006977786578027</v>
      </c>
      <c r="F300" s="356">
        <f>F$295/$O$295*($O300)*'Setpoint Temperature'!$H$12+$O300</f>
        <v>34.007440935637675</v>
      </c>
      <c r="G300" s="356">
        <f>G$295/$O$295*($O300)*'Setpoint Temperature'!$H$12+$O300</f>
        <v>34.007826306179702</v>
      </c>
      <c r="H300" s="356">
        <f>H$295/$O$295*($O300)*'Setpoint Temperature'!$H$12+$O300</f>
        <v>33.984146122858078</v>
      </c>
      <c r="I300" s="356">
        <f>I$295/$O$295*($O300)*'Setpoint Temperature'!$H$12+$O300</f>
        <v>34.006081425850418</v>
      </c>
      <c r="J300" s="356">
        <f>J$295/$O$295*($O300)*'Setpoint Temperature'!$H$12+$O300</f>
        <v>34.04664042800745</v>
      </c>
      <c r="K300" s="356">
        <f>K$295/$O$295*($O300)*'Setpoint Temperature'!$H$12+$O300</f>
        <v>34.043937697896062</v>
      </c>
      <c r="L300" s="356">
        <f>L$295/$O$295*($O300)*'Setpoint Temperature'!$H$12+$O300</f>
        <v>34.026426525037195</v>
      </c>
      <c r="M300" s="356">
        <f>M$295/$O$295*($O300)*'Setpoint Temperature'!$H$12+$O300</f>
        <v>34.009255669880901</v>
      </c>
      <c r="N300" s="356">
        <f>IFERROR(AVERAGE(OutdoorTemperature[[#This Row],[Calgary Area]:[West]]),"")</f>
        <v>34.016616096288793</v>
      </c>
      <c r="O300" s="356">
        <v>34.200000000000003</v>
      </c>
    </row>
    <row r="301" spans="1:15" x14ac:dyDescent="0.35">
      <c r="A301" s="353"/>
      <c r="B301" s="355" t="s">
        <v>2016</v>
      </c>
      <c r="C301" s="356">
        <f>C$295/$O$295*($O301)*'Setpoint Temperature'!$H$12+$O301</f>
        <v>37.11440010735523</v>
      </c>
      <c r="D301" s="356">
        <f>D$295/$O$295*($O301)*'Setpoint Temperature'!$H$12+$O301</f>
        <v>37.097379050968371</v>
      </c>
      <c r="E301" s="356">
        <f>E$295/$O$295*($O301)*'Setpoint Temperature'!$H$12+$O301</f>
        <v>37.089481621033926</v>
      </c>
      <c r="F301" s="356">
        <f>F$295/$O$295*($O301)*'Setpoint Temperature'!$H$12+$O301</f>
        <v>37.089986751441089</v>
      </c>
      <c r="G301" s="356">
        <f>G$295/$O$295*($O301)*'Setpoint Temperature'!$H$12+$O301</f>
        <v>37.090407053231075</v>
      </c>
      <c r="H301" s="356">
        <f>H$295/$O$295*($O301)*'Setpoint Temperature'!$H$12+$O301</f>
        <v>37.06458042054404</v>
      </c>
      <c r="I301" s="356">
        <f>I$295/$O$295*($O301)*'Setpoint Temperature'!$H$12+$O301</f>
        <v>37.088504011234512</v>
      </c>
      <c r="J301" s="356">
        <f>J$295/$O$295*($O301)*'Setpoint Temperature'!$H$12+$O301</f>
        <v>37.132739414171866</v>
      </c>
      <c r="K301" s="356">
        <f>K$295/$O$295*($O301)*'Setpoint Temperature'!$H$12+$O301</f>
        <v>37.129791699752133</v>
      </c>
      <c r="L301" s="356">
        <f>L$295/$O$295*($O301)*'Setpoint Temperature'!$H$12+$O301</f>
        <v>37.110693256838807</v>
      </c>
      <c r="M301" s="356">
        <f>M$295/$O$295*($O301)*'Setpoint Temperature'!$H$12+$O301</f>
        <v>37.091965979139104</v>
      </c>
      <c r="N301" s="356">
        <f>IFERROR(AVERAGE(OutdoorTemperature[[#This Row],[Calgary Area]:[West]]),"")</f>
        <v>37.099993578700918</v>
      </c>
      <c r="O301" s="356">
        <v>37.299999999999997</v>
      </c>
    </row>
    <row r="302" spans="1:15" x14ac:dyDescent="0.35">
      <c r="A302" s="353"/>
      <c r="B302" s="355" t="s">
        <v>10</v>
      </c>
      <c r="C302" s="356">
        <f>C$295/$O$295*($O302)*'Setpoint Temperature'!$H$12+$O302</f>
        <v>31.482563522700257</v>
      </c>
      <c r="D302" s="356">
        <f>D$295/$O$295*($O302)*'Setpoint Temperature'!$H$12+$O302</f>
        <v>31.468125286129734</v>
      </c>
      <c r="E302" s="356">
        <f>E$295/$O$295*($O302)*'Setpoint Temperature'!$H$12+$O302</f>
        <v>31.461426232962825</v>
      </c>
      <c r="F302" s="356">
        <f>F$295/$O$295*($O302)*'Setpoint Temperature'!$H$12+$O302</f>
        <v>31.46185471355485</v>
      </c>
      <c r="G302" s="356">
        <f>G$295/$O$295*($O302)*'Setpoint Temperature'!$H$12+$O302</f>
        <v>31.462211237646947</v>
      </c>
      <c r="H302" s="356">
        <f>H$295/$O$295*($O302)*'Setpoint Temperature'!$H$12+$O302</f>
        <v>31.440303606059341</v>
      </c>
      <c r="I302" s="356">
        <f>I$295/$O$295*($O302)*'Setpoint Temperature'!$H$12+$O302</f>
        <v>31.460596968242896</v>
      </c>
      <c r="J302" s="356">
        <f>J$295/$O$295*($O302)*'Setpoint Temperature'!$H$12+$O302</f>
        <v>31.498119974916833</v>
      </c>
      <c r="K302" s="356">
        <f>K$295/$O$295*($O302)*'Setpoint Temperature'!$H$12+$O302</f>
        <v>31.495619554427812</v>
      </c>
      <c r="L302" s="356">
        <f>L$295/$O$295*($O302)*'Setpoint Temperature'!$H$12+$O302</f>
        <v>31.47941915942037</v>
      </c>
      <c r="M302" s="356">
        <f>M$295/$O$295*($O302)*'Setpoint Temperature'!$H$12+$O302</f>
        <v>31.463533608041857</v>
      </c>
      <c r="N302" s="356">
        <f>IFERROR(AVERAGE(OutdoorTemperature[[#This Row],[Calgary Area]:[West]]),"")</f>
        <v>31.47034307855489</v>
      </c>
      <c r="O302" s="180">
        <f>AVERAGE(O297:O301)</f>
        <v>31.639999999999997</v>
      </c>
    </row>
    <row r="303" spans="1:15" x14ac:dyDescent="0.35">
      <c r="H303" s="123"/>
      <c r="I303" s="123"/>
      <c r="J303" s="123"/>
      <c r="K303" s="123"/>
      <c r="L303" s="123"/>
      <c r="M303" s="123"/>
      <c r="N303" s="123"/>
    </row>
    <row r="304" spans="1:15" ht="17.5" thickBot="1" x14ac:dyDescent="0.45">
      <c r="A304" s="353"/>
      <c r="B304" s="354" t="s">
        <v>2307</v>
      </c>
      <c r="C304" s="354"/>
      <c r="D304" s="354"/>
      <c r="E304" s="354"/>
      <c r="F304" s="354"/>
      <c r="G304" s="354"/>
      <c r="H304" s="354"/>
      <c r="I304" s="354"/>
      <c r="J304" s="354"/>
      <c r="K304" s="354"/>
      <c r="L304" s="354"/>
      <c r="M304" s="354"/>
      <c r="N304" s="354"/>
      <c r="O304" s="321"/>
    </row>
    <row r="305" spans="1:15" s="142" customFormat="1" ht="17.5" thickTop="1" x14ac:dyDescent="0.4">
      <c r="B305" s="435" t="s">
        <v>2266</v>
      </c>
      <c r="C305" s="2045"/>
      <c r="D305" s="2045"/>
      <c r="E305" s="2045"/>
      <c r="F305" s="2045"/>
      <c r="G305" s="2045"/>
      <c r="H305" s="2045"/>
      <c r="I305" s="2045"/>
      <c r="J305" s="2045"/>
      <c r="K305" s="2045"/>
      <c r="L305" s="2045"/>
      <c r="M305" s="2045"/>
      <c r="N305" s="2045"/>
    </row>
    <row r="306" spans="1:15" x14ac:dyDescent="0.35">
      <c r="A306" s="353"/>
      <c r="B306" s="179" t="s">
        <v>2292</v>
      </c>
      <c r="C306" s="180">
        <f>_xlfn.XLOOKUP(C307,ClimateData[Region],ClimateData[HDD],0,0,1)</f>
        <v>5086</v>
      </c>
      <c r="D306" s="180">
        <f>_xlfn.XLOOKUP(D307,ClimateData[Region],ClimateData[HDD],0,0,1)</f>
        <v>5552.4285714285716</v>
      </c>
      <c r="E306" s="180">
        <f>_xlfn.XLOOKUP(E307,ClimateData[Region],ClimateData[HDD],0,0,1)</f>
        <v>5768.8421052631575</v>
      </c>
      <c r="F306" s="180">
        <f>_xlfn.XLOOKUP(F307,ClimateData[Region],ClimateData[HDD],0,0,1)</f>
        <v>5755</v>
      </c>
      <c r="G306" s="180">
        <f>_xlfn.XLOOKUP(G307,ClimateData[Region],ClimateData[HDD],0,0,1)</f>
        <v>5743.4824561403511</v>
      </c>
      <c r="H306" s="180">
        <f>_xlfn.XLOOKUP(H307,ClimateData[Region],ClimateData[HDD],0,0,1)</f>
        <v>6451.2105263157891</v>
      </c>
      <c r="I306" s="180">
        <f>_xlfn.XLOOKUP(I307,ClimateData[Region],ClimateData[HDD],0,0,1)</f>
        <v>5795.6315789473683</v>
      </c>
      <c r="J306" s="180">
        <f>_xlfn.XLOOKUP(J307,ClimateData[Region],ClimateData[HDD],0,0,1)</f>
        <v>4583.4473684210534</v>
      </c>
      <c r="K306" s="180">
        <f>_xlfn.XLOOKUP(K307,ClimateData[Region],ClimateData[HDD],0,0,1)</f>
        <v>4664.2236842105267</v>
      </c>
      <c r="L306" s="180">
        <f>_xlfn.XLOOKUP(L307,ClimateData[Region],ClimateData[HDD],0,0,1)</f>
        <v>5187.5789473684217</v>
      </c>
      <c r="M306" s="180">
        <f>_xlfn.XLOOKUP(M307,ClimateData[Region],ClimateData[HDD],0,0,1)</f>
        <v>5700.7631578947367</v>
      </c>
      <c r="N306" s="180"/>
      <c r="O306" s="180">
        <f>HDD_CDD!$F$25</f>
        <v>3578</v>
      </c>
    </row>
    <row r="307" spans="1:15" x14ac:dyDescent="0.35">
      <c r="A307" s="353"/>
      <c r="B307" s="326" t="s">
        <v>2308</v>
      </c>
      <c r="C307" s="327" t="s">
        <v>1361</v>
      </c>
      <c r="D307" s="327" t="s">
        <v>1811</v>
      </c>
      <c r="E307" s="327" t="s">
        <v>1812</v>
      </c>
      <c r="F307" s="327" t="s">
        <v>1362</v>
      </c>
      <c r="G307" s="327" t="s">
        <v>1813</v>
      </c>
      <c r="H307" s="327" t="s">
        <v>1814</v>
      </c>
      <c r="I307" s="327" t="s">
        <v>1815</v>
      </c>
      <c r="J307" s="327" t="s">
        <v>1816</v>
      </c>
      <c r="K307" s="327" t="s">
        <v>1817</v>
      </c>
      <c r="L307" s="327" t="s">
        <v>1818</v>
      </c>
      <c r="M307" s="328" t="s">
        <v>1819</v>
      </c>
      <c r="N307" s="328" t="s">
        <v>10</v>
      </c>
      <c r="O307" s="327" t="s">
        <v>2294</v>
      </c>
    </row>
    <row r="308" spans="1:15" x14ac:dyDescent="0.35">
      <c r="A308" s="353"/>
      <c r="B308" s="355" t="s">
        <v>2309</v>
      </c>
      <c r="C308" s="356">
        <f>C$272/$O$272*$O308</f>
        <v>7.1073225265511466</v>
      </c>
      <c r="D308" s="356">
        <f t="shared" ref="D308:M312" si="8">D$272/$O$272*$O308</f>
        <v>7.7591232132875509</v>
      </c>
      <c r="E308" s="356">
        <f t="shared" si="8"/>
        <v>8.0615457032743958</v>
      </c>
      <c r="F308" s="356">
        <f t="shared" si="8"/>
        <v>8.0422023476802682</v>
      </c>
      <c r="G308" s="356">
        <f t="shared" si="8"/>
        <v>8.0261074009786899</v>
      </c>
      <c r="H308" s="356">
        <f t="shared" si="8"/>
        <v>9.0151069400723713</v>
      </c>
      <c r="I308" s="356">
        <f t="shared" si="8"/>
        <v>8.0989820834926896</v>
      </c>
      <c r="J308" s="356">
        <f t="shared" si="8"/>
        <v>6.4050410402753677</v>
      </c>
      <c r="K308" s="356">
        <f t="shared" si="8"/>
        <v>6.5179201847547885</v>
      </c>
      <c r="L308" s="356">
        <f t="shared" si="8"/>
        <v>7.2492718660821982</v>
      </c>
      <c r="M308" s="356">
        <f t="shared" si="8"/>
        <v>7.9664102262363565</v>
      </c>
      <c r="N308" s="356">
        <f>IFERROR(AVERAGE(WindspeedMPH[[#This Row],[Calgary Area]:[West]]),"")</f>
        <v>7.6590030484259835</v>
      </c>
      <c r="O308" s="356">
        <v>5</v>
      </c>
    </row>
    <row r="309" spans="1:15" x14ac:dyDescent="0.35">
      <c r="A309" s="353"/>
      <c r="B309" s="355" t="s">
        <v>1812</v>
      </c>
      <c r="C309" s="356">
        <f>C$272/$O$272*$O309</f>
        <v>6.5387367244270544</v>
      </c>
      <c r="D309" s="356">
        <f t="shared" si="8"/>
        <v>7.1383933562245465</v>
      </c>
      <c r="E309" s="356">
        <f t="shared" si="8"/>
        <v>7.4166220470124431</v>
      </c>
      <c r="F309" s="356">
        <f t="shared" si="8"/>
        <v>7.3988261598658465</v>
      </c>
      <c r="G309" s="356">
        <f t="shared" si="8"/>
        <v>7.3840188089003949</v>
      </c>
      <c r="H309" s="356">
        <f t="shared" si="8"/>
        <v>8.2938983848665817</v>
      </c>
      <c r="I309" s="356">
        <f t="shared" si="8"/>
        <v>7.4510635168132735</v>
      </c>
      <c r="J309" s="356">
        <f t="shared" si="8"/>
        <v>5.8926377570533379</v>
      </c>
      <c r="K309" s="356">
        <f t="shared" si="8"/>
        <v>5.9964865699744045</v>
      </c>
      <c r="L309" s="356">
        <f t="shared" si="8"/>
        <v>6.6693301167956225</v>
      </c>
      <c r="M309" s="356">
        <f t="shared" si="8"/>
        <v>7.3290974081374474</v>
      </c>
      <c r="N309" s="356">
        <f>IFERROR(AVERAGE(WindspeedMPH[[#This Row],[Calgary Area]:[West]]),"")</f>
        <v>7.0462828045519039</v>
      </c>
      <c r="O309" s="356">
        <v>4.5999999999999996</v>
      </c>
    </row>
    <row r="310" spans="1:15" x14ac:dyDescent="0.35">
      <c r="A310" s="353"/>
      <c r="B310" s="355" t="s">
        <v>1816</v>
      </c>
      <c r="C310" s="356">
        <f>C$272/$O$272*$O310</f>
        <v>6.965176076020124</v>
      </c>
      <c r="D310" s="356">
        <f t="shared" si="8"/>
        <v>7.6039407490218007</v>
      </c>
      <c r="E310" s="356">
        <f t="shared" si="8"/>
        <v>7.9003147892089078</v>
      </c>
      <c r="F310" s="356">
        <f t="shared" si="8"/>
        <v>7.8813583007266637</v>
      </c>
      <c r="G310" s="356">
        <f t="shared" si="8"/>
        <v>7.865585252959117</v>
      </c>
      <c r="H310" s="356">
        <f t="shared" si="8"/>
        <v>8.8348048012709253</v>
      </c>
      <c r="I310" s="356">
        <f t="shared" si="8"/>
        <v>7.9370024418228367</v>
      </c>
      <c r="J310" s="356">
        <f t="shared" si="8"/>
        <v>6.2769402194698607</v>
      </c>
      <c r="K310" s="356">
        <f t="shared" si="8"/>
        <v>6.3875617810596932</v>
      </c>
      <c r="L310" s="356">
        <f t="shared" si="8"/>
        <v>7.1042864287605552</v>
      </c>
      <c r="M310" s="356">
        <f t="shared" si="8"/>
        <v>7.8070820217116301</v>
      </c>
      <c r="N310" s="356">
        <f>IFERROR(AVERAGE(WindspeedMPH[[#This Row],[Calgary Area]:[West]]),"")</f>
        <v>7.5058229874574645</v>
      </c>
      <c r="O310" s="356">
        <v>4.9000000000000004</v>
      </c>
    </row>
    <row r="311" spans="1:15" x14ac:dyDescent="0.35">
      <c r="A311" s="353"/>
      <c r="B311" s="355" t="s">
        <v>1819</v>
      </c>
      <c r="C311" s="356">
        <f>C$272/$O$272*$O311</f>
        <v>7.9602012297372831</v>
      </c>
      <c r="D311" s="356">
        <f t="shared" si="8"/>
        <v>8.6902179988820567</v>
      </c>
      <c r="E311" s="356">
        <f t="shared" si="8"/>
        <v>9.0289311876673217</v>
      </c>
      <c r="F311" s="356">
        <f t="shared" si="8"/>
        <v>9.0072666294019008</v>
      </c>
      <c r="G311" s="356">
        <f t="shared" si="8"/>
        <v>8.9892402890961325</v>
      </c>
      <c r="H311" s="356">
        <f t="shared" si="8"/>
        <v>10.096919772881055</v>
      </c>
      <c r="I311" s="356">
        <f t="shared" si="8"/>
        <v>9.0708599335118123</v>
      </c>
      <c r="J311" s="356">
        <f t="shared" si="8"/>
        <v>7.1736459651084115</v>
      </c>
      <c r="K311" s="356">
        <f t="shared" si="8"/>
        <v>7.3000706069253622</v>
      </c>
      <c r="L311" s="356">
        <f t="shared" si="8"/>
        <v>8.1191844900120618</v>
      </c>
      <c r="M311" s="356">
        <f t="shared" si="8"/>
        <v>8.9223794533847194</v>
      </c>
      <c r="N311" s="356">
        <f>IFERROR(AVERAGE(WindspeedMPH[[#This Row],[Calgary Area]:[West]]),"")</f>
        <v>8.578083414237101</v>
      </c>
      <c r="O311" s="356">
        <v>5.6</v>
      </c>
    </row>
    <row r="312" spans="1:15" x14ac:dyDescent="0.35">
      <c r="B312" s="355" t="s">
        <v>10</v>
      </c>
      <c r="C312" s="356">
        <f>C$272/$O$272*$O312</f>
        <v>7.1428591391839023</v>
      </c>
      <c r="D312" s="356">
        <f t="shared" si="8"/>
        <v>7.7979188293539892</v>
      </c>
      <c r="E312" s="356">
        <f t="shared" si="8"/>
        <v>8.1018534317907687</v>
      </c>
      <c r="F312" s="356">
        <f t="shared" si="8"/>
        <v>8.0824133594186698</v>
      </c>
      <c r="G312" s="356">
        <f t="shared" si="8"/>
        <v>8.0662379379835851</v>
      </c>
      <c r="H312" s="356">
        <f t="shared" si="8"/>
        <v>9.0601824747727342</v>
      </c>
      <c r="I312" s="356">
        <f t="shared" si="8"/>
        <v>8.1394769939101543</v>
      </c>
      <c r="J312" s="356">
        <f t="shared" si="8"/>
        <v>6.4370662454767453</v>
      </c>
      <c r="K312" s="356">
        <f t="shared" si="8"/>
        <v>6.550509785678563</v>
      </c>
      <c r="L312" s="356">
        <f t="shared" si="8"/>
        <v>7.2855182254126101</v>
      </c>
      <c r="M312" s="356">
        <f t="shared" si="8"/>
        <v>8.006242277367539</v>
      </c>
      <c r="N312" s="356">
        <f>IFERROR(AVERAGE(WindspeedMPH[[#This Row],[Calgary Area]:[West]]),"")</f>
        <v>7.6972980636681134</v>
      </c>
      <c r="O312" s="356">
        <f>AVERAGE(O308:O311)</f>
        <v>5.0250000000000004</v>
      </c>
    </row>
    <row r="313" spans="1:15" x14ac:dyDescent="0.35">
      <c r="H313" s="123"/>
      <c r="I313" s="123"/>
      <c r="J313" s="123"/>
      <c r="K313" s="123"/>
      <c r="L313" s="123"/>
      <c r="M313" s="123"/>
      <c r="N313" s="123"/>
    </row>
    <row r="314" spans="1:15" ht="17.5" thickBot="1" x14ac:dyDescent="0.45">
      <c r="A314" s="353"/>
      <c r="B314" s="354" t="s">
        <v>2310</v>
      </c>
      <c r="C314" s="354"/>
      <c r="D314" s="354"/>
      <c r="E314" s="354"/>
      <c r="F314" s="354"/>
      <c r="G314" s="354"/>
      <c r="H314" s="354"/>
      <c r="I314" s="354"/>
      <c r="J314" s="354"/>
      <c r="K314" s="354"/>
      <c r="L314" s="354"/>
      <c r="M314" s="354"/>
      <c r="N314" s="354"/>
      <c r="O314" s="321"/>
    </row>
    <row r="315" spans="1:15" s="142" customFormat="1" ht="17.5" thickTop="1" x14ac:dyDescent="0.4">
      <c r="B315" s="435" t="s">
        <v>2266</v>
      </c>
      <c r="C315" s="2045"/>
      <c r="D315" s="2045"/>
      <c r="E315" s="2045"/>
      <c r="F315" s="2045"/>
      <c r="G315" s="2045"/>
      <c r="H315" s="2045"/>
      <c r="I315" s="2045"/>
      <c r="J315" s="2045"/>
      <c r="K315" s="2045"/>
      <c r="L315" s="2045"/>
      <c r="M315" s="2045"/>
      <c r="N315" s="2045"/>
    </row>
    <row r="316" spans="1:15" x14ac:dyDescent="0.35">
      <c r="A316" s="353"/>
      <c r="B316" s="179" t="s">
        <v>2292</v>
      </c>
      <c r="C316" s="180">
        <f>_xlfn.XLOOKUP(C317,ClimateData[Region],ClimateData[HDD],0,0,1)</f>
        <v>5086</v>
      </c>
      <c r="D316" s="180">
        <f>_xlfn.XLOOKUP(D317,ClimateData[Region],ClimateData[HDD],0,0,1)</f>
        <v>5552.4285714285716</v>
      </c>
      <c r="E316" s="180">
        <f>_xlfn.XLOOKUP(E317,ClimateData[Region],ClimateData[HDD],0,0,1)</f>
        <v>5768.8421052631575</v>
      </c>
      <c r="F316" s="180">
        <f>_xlfn.XLOOKUP(F317,ClimateData[Region],ClimateData[HDD],0,0,1)</f>
        <v>5755</v>
      </c>
      <c r="G316" s="180">
        <f>_xlfn.XLOOKUP(G317,ClimateData[Region],ClimateData[HDD],0,0,1)</f>
        <v>5743.4824561403511</v>
      </c>
      <c r="H316" s="180">
        <f>_xlfn.XLOOKUP(H317,ClimateData[Region],ClimateData[HDD],0,0,1)</f>
        <v>6451.2105263157891</v>
      </c>
      <c r="I316" s="180">
        <f>_xlfn.XLOOKUP(I317,ClimateData[Region],ClimateData[HDD],0,0,1)</f>
        <v>5795.6315789473683</v>
      </c>
      <c r="J316" s="180">
        <f>_xlfn.XLOOKUP(J317,ClimateData[Region],ClimateData[HDD],0,0,1)</f>
        <v>4583.4473684210534</v>
      </c>
      <c r="K316" s="180">
        <f>_xlfn.XLOOKUP(K317,ClimateData[Region],ClimateData[HDD],0,0,1)</f>
        <v>4664.2236842105267</v>
      </c>
      <c r="L316" s="180">
        <f>_xlfn.XLOOKUP(L317,ClimateData[Region],ClimateData[HDD],0,0,1)</f>
        <v>5187.5789473684217</v>
      </c>
      <c r="M316" s="180">
        <f>_xlfn.XLOOKUP(M317,ClimateData[Region],ClimateData[HDD],0,0,1)</f>
        <v>5700.7631578947367</v>
      </c>
      <c r="N316" s="180"/>
      <c r="O316" s="180">
        <f>HDD_CDD!$F$25</f>
        <v>3578</v>
      </c>
    </row>
    <row r="317" spans="1:15" x14ac:dyDescent="0.35">
      <c r="A317" s="353"/>
      <c r="B317" s="326" t="s">
        <v>2308</v>
      </c>
      <c r="C317" s="327" t="s">
        <v>1361</v>
      </c>
      <c r="D317" s="327" t="s">
        <v>1811</v>
      </c>
      <c r="E317" s="327" t="s">
        <v>1812</v>
      </c>
      <c r="F317" s="327" t="s">
        <v>1362</v>
      </c>
      <c r="G317" s="327" t="s">
        <v>1813</v>
      </c>
      <c r="H317" s="327" t="s">
        <v>1814</v>
      </c>
      <c r="I317" s="327" t="s">
        <v>1815</v>
      </c>
      <c r="J317" s="327" t="s">
        <v>1816</v>
      </c>
      <c r="K317" s="327" t="s">
        <v>1817</v>
      </c>
      <c r="L317" s="327" t="s">
        <v>1818</v>
      </c>
      <c r="M317" s="328" t="s">
        <v>1819</v>
      </c>
      <c r="N317" s="328" t="s">
        <v>10</v>
      </c>
      <c r="O317" s="327" t="s">
        <v>2294</v>
      </c>
    </row>
    <row r="318" spans="1:15" x14ac:dyDescent="0.35">
      <c r="A318" s="353"/>
      <c r="B318" s="355" t="s">
        <v>2309</v>
      </c>
      <c r="C318" s="357">
        <f>C$272/$O$272*$O318</f>
        <v>0.25586361095584126</v>
      </c>
      <c r="D318" s="357">
        <f t="shared" ref="D318:M322" si="9">D$272/$O$272*$O318</f>
        <v>0.27932843567835181</v>
      </c>
      <c r="E318" s="357">
        <f t="shared" si="9"/>
        <v>0.29021564531787825</v>
      </c>
      <c r="F318" s="357">
        <f t="shared" si="9"/>
        <v>0.28951928451648967</v>
      </c>
      <c r="G318" s="357">
        <f t="shared" si="9"/>
        <v>0.28893986643523284</v>
      </c>
      <c r="H318" s="357">
        <f t="shared" si="9"/>
        <v>0.32454384984260537</v>
      </c>
      <c r="I318" s="357">
        <f t="shared" si="9"/>
        <v>0.29156335500573682</v>
      </c>
      <c r="J318" s="357">
        <f t="shared" si="9"/>
        <v>0.23058147744991322</v>
      </c>
      <c r="K318" s="357">
        <f t="shared" si="9"/>
        <v>0.23464512665117238</v>
      </c>
      <c r="L318" s="357">
        <f t="shared" si="9"/>
        <v>0.26097378717895914</v>
      </c>
      <c r="M318" s="357">
        <f t="shared" si="9"/>
        <v>0.28679076814450882</v>
      </c>
      <c r="N318" s="357">
        <f>IFERROR(AVERAGE(WindspeedCF[[#This Row],[Calgary Area]:[West]]),"")</f>
        <v>0.27572410974333539</v>
      </c>
      <c r="O318" s="357">
        <v>0.18</v>
      </c>
    </row>
    <row r="319" spans="1:15" x14ac:dyDescent="0.35">
      <c r="A319" s="353"/>
      <c r="B319" s="355" t="s">
        <v>1812</v>
      </c>
      <c r="C319" s="357">
        <f>C$272/$O$272*$O319</f>
        <v>0.18479038569032982</v>
      </c>
      <c r="D319" s="357">
        <f t="shared" si="9"/>
        <v>0.20173720354547633</v>
      </c>
      <c r="E319" s="357">
        <f t="shared" si="9"/>
        <v>0.2096001882851343</v>
      </c>
      <c r="F319" s="357">
        <f t="shared" si="9"/>
        <v>0.20909726103968698</v>
      </c>
      <c r="G319" s="357">
        <f t="shared" si="9"/>
        <v>0.20867879242544596</v>
      </c>
      <c r="H319" s="357">
        <f t="shared" si="9"/>
        <v>0.23439278044188167</v>
      </c>
      <c r="I319" s="357">
        <f t="shared" si="9"/>
        <v>0.21057353417080993</v>
      </c>
      <c r="J319" s="357">
        <f t="shared" si="9"/>
        <v>0.16653106704715956</v>
      </c>
      <c r="K319" s="357">
        <f t="shared" si="9"/>
        <v>0.16946592480362452</v>
      </c>
      <c r="L319" s="357">
        <f t="shared" si="9"/>
        <v>0.18848106851813717</v>
      </c>
      <c r="M319" s="357">
        <f t="shared" si="9"/>
        <v>0.20712666588214529</v>
      </c>
      <c r="N319" s="357">
        <f>IFERROR(AVERAGE(WindspeedCF[[#This Row],[Calgary Area]:[West]]),"")</f>
        <v>0.19913407925907559</v>
      </c>
      <c r="O319" s="357">
        <v>0.13</v>
      </c>
    </row>
    <row r="320" spans="1:15" x14ac:dyDescent="0.35">
      <c r="A320" s="353"/>
      <c r="B320" s="355" t="s">
        <v>1816</v>
      </c>
      <c r="C320" s="357">
        <f>C$272/$O$272*$O320</f>
        <v>0.42643935159306878</v>
      </c>
      <c r="D320" s="357">
        <f t="shared" si="9"/>
        <v>0.46554739279725305</v>
      </c>
      <c r="E320" s="357">
        <f t="shared" si="9"/>
        <v>0.48369274219646369</v>
      </c>
      <c r="F320" s="357">
        <f t="shared" si="9"/>
        <v>0.48253214086081608</v>
      </c>
      <c r="G320" s="357">
        <f t="shared" si="9"/>
        <v>0.4815664440587214</v>
      </c>
      <c r="H320" s="357">
        <f t="shared" si="9"/>
        <v>0.54090641640434223</v>
      </c>
      <c r="I320" s="357">
        <f t="shared" si="9"/>
        <v>0.48593892500956137</v>
      </c>
      <c r="J320" s="357">
        <f t="shared" si="9"/>
        <v>0.38430246241652205</v>
      </c>
      <c r="K320" s="357">
        <f t="shared" si="9"/>
        <v>0.39107521108528731</v>
      </c>
      <c r="L320" s="357">
        <f t="shared" si="9"/>
        <v>0.4349563119649319</v>
      </c>
      <c r="M320" s="357">
        <f t="shared" si="9"/>
        <v>0.47798461357418137</v>
      </c>
      <c r="N320" s="357">
        <f>IFERROR(AVERAGE(WindspeedCF[[#This Row],[Calgary Area]:[West]]),"")</f>
        <v>0.45954018290555898</v>
      </c>
      <c r="O320" s="357">
        <v>0.3</v>
      </c>
    </row>
    <row r="321" spans="1:15" x14ac:dyDescent="0.35">
      <c r="A321" s="353"/>
      <c r="B321" s="355" t="s">
        <v>1819</v>
      </c>
      <c r="C321" s="357">
        <f>C$272/$O$272*$O321</f>
        <v>0.44065399664617105</v>
      </c>
      <c r="D321" s="357">
        <f t="shared" si="9"/>
        <v>0.48106563922382817</v>
      </c>
      <c r="E321" s="357">
        <f t="shared" si="9"/>
        <v>0.49981583360301252</v>
      </c>
      <c r="F321" s="357">
        <f t="shared" si="9"/>
        <v>0.49861654555617663</v>
      </c>
      <c r="G321" s="357">
        <f t="shared" si="9"/>
        <v>0.4976186588606788</v>
      </c>
      <c r="H321" s="357">
        <f t="shared" si="9"/>
        <v>0.55893663028448703</v>
      </c>
      <c r="I321" s="357">
        <f t="shared" si="9"/>
        <v>0.50213688917654675</v>
      </c>
      <c r="J321" s="357">
        <f t="shared" si="9"/>
        <v>0.39711254449707278</v>
      </c>
      <c r="K321" s="357">
        <f t="shared" si="9"/>
        <v>0.40411105145479687</v>
      </c>
      <c r="L321" s="357">
        <f t="shared" si="9"/>
        <v>0.44945485569709631</v>
      </c>
      <c r="M321" s="357">
        <f t="shared" si="9"/>
        <v>0.49391743402665411</v>
      </c>
      <c r="N321" s="357">
        <f>IFERROR(AVERAGE(WindspeedCF[[#This Row],[Calgary Area]:[West]]),"")</f>
        <v>0.47485818900241106</v>
      </c>
      <c r="O321" s="357">
        <v>0.31</v>
      </c>
    </row>
    <row r="322" spans="1:15" x14ac:dyDescent="0.35">
      <c r="B322" s="355" t="s">
        <v>10</v>
      </c>
      <c r="C322" s="357">
        <f>C$272/$O$272*$O322</f>
        <v>0.32693683622135272</v>
      </c>
      <c r="D322" s="357">
        <f t="shared" si="9"/>
        <v>0.3569196678112273</v>
      </c>
      <c r="E322" s="357">
        <f t="shared" si="9"/>
        <v>0.37083110235062217</v>
      </c>
      <c r="F322" s="357">
        <f t="shared" si="9"/>
        <v>0.36994130799329233</v>
      </c>
      <c r="G322" s="357">
        <f t="shared" si="9"/>
        <v>0.36920094044501972</v>
      </c>
      <c r="H322" s="357">
        <f t="shared" si="9"/>
        <v>0.41469491924332907</v>
      </c>
      <c r="I322" s="357">
        <f t="shared" si="9"/>
        <v>0.37255317584066366</v>
      </c>
      <c r="J322" s="357">
        <f t="shared" si="9"/>
        <v>0.29463188785266692</v>
      </c>
      <c r="K322" s="357">
        <f t="shared" si="9"/>
        <v>0.29982432849872026</v>
      </c>
      <c r="L322" s="357">
        <f t="shared" si="9"/>
        <v>0.3334665058397811</v>
      </c>
      <c r="M322" s="357">
        <f t="shared" si="9"/>
        <v>0.36645487040687236</v>
      </c>
      <c r="N322" s="357">
        <f>IFERROR(AVERAGE(WindspeedCF[[#This Row],[Calgary Area]:[West]]),"")</f>
        <v>0.35231414022759522</v>
      </c>
      <c r="O322" s="357">
        <f>AVERAGE(O318:O321)</f>
        <v>0.22999999999999998</v>
      </c>
    </row>
    <row r="323" spans="1:15" x14ac:dyDescent="0.35">
      <c r="H323" s="123"/>
      <c r="I323" s="123"/>
      <c r="J323" s="123"/>
      <c r="K323" s="123"/>
      <c r="L323" s="123"/>
      <c r="M323" s="123"/>
      <c r="N323" s="123"/>
    </row>
    <row r="324" spans="1:15" x14ac:dyDescent="0.35">
      <c r="H324" s="123"/>
      <c r="I324" s="123"/>
      <c r="J324" s="123"/>
      <c r="K324" s="123"/>
      <c r="L324" s="123"/>
      <c r="M324" s="123"/>
      <c r="N324" s="123"/>
    </row>
    <row r="325" spans="1:15" x14ac:dyDescent="0.35">
      <c r="H325" s="123"/>
      <c r="I325" s="123"/>
      <c r="J325" s="123"/>
      <c r="K325" s="123"/>
      <c r="L325" s="123"/>
      <c r="M325" s="123"/>
      <c r="N325" s="123"/>
    </row>
    <row r="326" spans="1:15" x14ac:dyDescent="0.35">
      <c r="H326" s="123"/>
      <c r="I326" s="123"/>
      <c r="J326" s="123"/>
      <c r="K326" s="123"/>
      <c r="L326" s="123"/>
      <c r="M326" s="123"/>
      <c r="N326" s="123"/>
    </row>
    <row r="327" spans="1:15" x14ac:dyDescent="0.35">
      <c r="H327" s="123"/>
      <c r="I327" s="123"/>
      <c r="J327" s="123"/>
      <c r="K327" s="123"/>
      <c r="L327" s="123"/>
      <c r="M327" s="123"/>
      <c r="N327" s="123"/>
    </row>
    <row r="328" spans="1:15" x14ac:dyDescent="0.35">
      <c r="H328" s="123"/>
      <c r="I328" s="123"/>
      <c r="J328" s="123"/>
      <c r="K328" s="123"/>
      <c r="L328" s="123"/>
      <c r="M328" s="123"/>
      <c r="N328" s="123"/>
    </row>
    <row r="329" spans="1:15" x14ac:dyDescent="0.35">
      <c r="H329" s="123"/>
      <c r="I329" s="123"/>
      <c r="J329" s="123"/>
      <c r="K329" s="123"/>
      <c r="L329" s="123"/>
      <c r="M329" s="123"/>
      <c r="N329" s="123"/>
    </row>
    <row r="330" spans="1:15" x14ac:dyDescent="0.35">
      <c r="H330" s="123"/>
      <c r="I330" s="123"/>
      <c r="J330" s="123"/>
      <c r="K330" s="123"/>
      <c r="L330" s="123"/>
      <c r="M330" s="123"/>
      <c r="N330" s="123"/>
    </row>
    <row r="331" spans="1:15" x14ac:dyDescent="0.35">
      <c r="H331" s="123"/>
      <c r="I331" s="123"/>
      <c r="J331" s="123"/>
      <c r="K331" s="123"/>
      <c r="L331" s="123"/>
      <c r="M331" s="123"/>
      <c r="N331" s="123"/>
    </row>
    <row r="332" spans="1:15" x14ac:dyDescent="0.35">
      <c r="H332" s="123"/>
      <c r="I332" s="123"/>
      <c r="J332" s="123"/>
      <c r="K332" s="123"/>
      <c r="L332" s="123"/>
      <c r="M332" s="123"/>
      <c r="N332" s="123"/>
    </row>
    <row r="333" spans="1:15" x14ac:dyDescent="0.35">
      <c r="H333" s="123"/>
      <c r="I333" s="123"/>
      <c r="J333" s="123"/>
      <c r="K333" s="123"/>
      <c r="L333" s="123"/>
      <c r="M333" s="123"/>
      <c r="N333" s="123"/>
    </row>
    <row r="334" spans="1:15" x14ac:dyDescent="0.35">
      <c r="H334" s="123"/>
      <c r="I334" s="123"/>
      <c r="J334" s="123"/>
      <c r="K334" s="123"/>
      <c r="L334" s="123"/>
      <c r="M334" s="123"/>
      <c r="N334" s="123"/>
    </row>
    <row r="335" spans="1:15" x14ac:dyDescent="0.35">
      <c r="H335" s="123"/>
      <c r="I335" s="123"/>
      <c r="J335" s="123"/>
      <c r="K335" s="123"/>
      <c r="L335" s="123"/>
      <c r="M335" s="123"/>
      <c r="N335" s="123"/>
    </row>
    <row r="336" spans="1:15" x14ac:dyDescent="0.35">
      <c r="H336" s="123"/>
      <c r="I336" s="123"/>
      <c r="J336" s="123"/>
      <c r="K336" s="123"/>
      <c r="L336" s="123"/>
      <c r="M336" s="123"/>
      <c r="N336" s="123"/>
    </row>
    <row r="337" spans="8:14" x14ac:dyDescent="0.35">
      <c r="H337" s="123"/>
      <c r="I337" s="123"/>
      <c r="J337" s="123"/>
      <c r="K337" s="123"/>
      <c r="L337" s="123"/>
      <c r="M337" s="123"/>
      <c r="N337" s="123"/>
    </row>
    <row r="338" spans="8:14" x14ac:dyDescent="0.35">
      <c r="H338" s="123"/>
      <c r="I338" s="123"/>
      <c r="J338" s="123"/>
      <c r="K338" s="123"/>
      <c r="L338" s="123"/>
      <c r="M338" s="123"/>
      <c r="N338" s="123"/>
    </row>
    <row r="339" spans="8:14" x14ac:dyDescent="0.35">
      <c r="H339" s="123"/>
      <c r="I339" s="123"/>
      <c r="J339" s="123"/>
      <c r="K339" s="123"/>
      <c r="L339" s="123"/>
      <c r="M339" s="123"/>
      <c r="N339" s="123"/>
    </row>
    <row r="340" spans="8:14" x14ac:dyDescent="0.35">
      <c r="H340" s="123"/>
      <c r="I340" s="123"/>
      <c r="J340" s="123"/>
      <c r="K340" s="123"/>
      <c r="L340" s="123"/>
      <c r="M340" s="123"/>
      <c r="N340" s="123"/>
    </row>
    <row r="341" spans="8:14" x14ac:dyDescent="0.35">
      <c r="H341" s="123"/>
      <c r="I341" s="123"/>
      <c r="J341" s="123"/>
      <c r="K341" s="123"/>
      <c r="L341" s="123"/>
      <c r="M341" s="123"/>
      <c r="N341" s="123"/>
    </row>
    <row r="342" spans="8:14" x14ac:dyDescent="0.35">
      <c r="H342" s="123"/>
      <c r="I342" s="123"/>
      <c r="J342" s="123"/>
      <c r="K342" s="123"/>
      <c r="L342" s="123"/>
      <c r="M342" s="123"/>
      <c r="N342" s="123"/>
    </row>
    <row r="343" spans="8:14" x14ac:dyDescent="0.35">
      <c r="H343" s="123"/>
      <c r="I343" s="123"/>
      <c r="J343" s="123"/>
      <c r="K343" s="123"/>
      <c r="L343" s="123"/>
      <c r="M343" s="123"/>
      <c r="N343" s="123"/>
    </row>
    <row r="344" spans="8:14" x14ac:dyDescent="0.35">
      <c r="H344" s="123"/>
      <c r="I344" s="123"/>
      <c r="J344" s="123"/>
      <c r="K344" s="123"/>
      <c r="L344" s="123"/>
      <c r="M344" s="123"/>
      <c r="N344" s="123"/>
    </row>
    <row r="345" spans="8:14" x14ac:dyDescent="0.35">
      <c r="H345" s="123"/>
      <c r="I345" s="123"/>
      <c r="J345" s="123"/>
      <c r="K345" s="123"/>
      <c r="L345" s="123"/>
      <c r="M345" s="123"/>
      <c r="N345" s="123"/>
    </row>
    <row r="346" spans="8:14" x14ac:dyDescent="0.35">
      <c r="H346" s="123"/>
      <c r="I346" s="123"/>
      <c r="J346" s="123"/>
      <c r="K346" s="123"/>
      <c r="L346" s="123"/>
      <c r="M346" s="123"/>
      <c r="N346" s="123"/>
    </row>
    <row r="347" spans="8:14" x14ac:dyDescent="0.35">
      <c r="H347" s="123"/>
      <c r="I347" s="123"/>
      <c r="J347" s="123"/>
      <c r="K347" s="123"/>
      <c r="L347" s="123"/>
      <c r="M347" s="123"/>
      <c r="N347" s="123"/>
    </row>
    <row r="348" spans="8:14" x14ac:dyDescent="0.35">
      <c r="H348" s="123"/>
      <c r="I348" s="123"/>
      <c r="J348" s="123"/>
      <c r="K348" s="123"/>
      <c r="L348" s="123"/>
      <c r="M348" s="123"/>
      <c r="N348" s="123"/>
    </row>
    <row r="349" spans="8:14" x14ac:dyDescent="0.35">
      <c r="H349" s="123"/>
      <c r="I349" s="123"/>
      <c r="J349" s="123"/>
      <c r="K349" s="123"/>
      <c r="L349" s="123"/>
      <c r="M349" s="123"/>
      <c r="N349" s="123"/>
    </row>
    <row r="350" spans="8:14" x14ac:dyDescent="0.35">
      <c r="H350" s="123"/>
      <c r="I350" s="123"/>
      <c r="J350" s="123"/>
      <c r="K350" s="123"/>
      <c r="L350" s="123"/>
      <c r="M350" s="123"/>
      <c r="N350" s="123"/>
    </row>
    <row r="351" spans="8:14" x14ac:dyDescent="0.35">
      <c r="H351" s="123"/>
      <c r="I351" s="123"/>
      <c r="J351" s="123"/>
      <c r="K351" s="123"/>
      <c r="L351" s="123"/>
      <c r="M351" s="123"/>
      <c r="N351" s="123"/>
    </row>
    <row r="352" spans="8:14" x14ac:dyDescent="0.35">
      <c r="H352" s="123"/>
      <c r="I352" s="123"/>
      <c r="J352" s="123"/>
      <c r="K352" s="123"/>
      <c r="L352" s="123"/>
      <c r="M352" s="123"/>
      <c r="N352" s="123"/>
    </row>
    <row r="353" spans="8:14" x14ac:dyDescent="0.35">
      <c r="H353" s="123"/>
      <c r="I353" s="123"/>
      <c r="J353" s="123"/>
      <c r="K353" s="123"/>
      <c r="L353" s="123"/>
      <c r="M353" s="123"/>
      <c r="N353" s="123"/>
    </row>
    <row r="354" spans="8:14" x14ac:dyDescent="0.35">
      <c r="H354" s="123"/>
      <c r="I354" s="123"/>
      <c r="J354" s="123"/>
      <c r="K354" s="123"/>
      <c r="L354" s="123"/>
      <c r="M354" s="123"/>
      <c r="N354" s="123"/>
    </row>
    <row r="355" spans="8:14" x14ac:dyDescent="0.35">
      <c r="H355" s="123"/>
      <c r="I355" s="123"/>
      <c r="J355" s="123"/>
      <c r="K355" s="123"/>
      <c r="L355" s="123"/>
      <c r="M355" s="123"/>
      <c r="N355" s="123"/>
    </row>
    <row r="356" spans="8:14" x14ac:dyDescent="0.35">
      <c r="H356" s="123"/>
      <c r="I356" s="123"/>
      <c r="J356" s="123"/>
      <c r="K356" s="123"/>
      <c r="L356" s="123"/>
      <c r="M356" s="123"/>
      <c r="N356" s="123"/>
    </row>
    <row r="357" spans="8:14" x14ac:dyDescent="0.35">
      <c r="H357" s="123"/>
      <c r="I357" s="123"/>
      <c r="J357" s="123"/>
      <c r="K357" s="123"/>
      <c r="L357" s="123"/>
      <c r="M357" s="123"/>
      <c r="N357" s="123"/>
    </row>
    <row r="358" spans="8:14" x14ac:dyDescent="0.35">
      <c r="H358" s="123"/>
      <c r="I358" s="123"/>
      <c r="J358" s="123"/>
      <c r="K358" s="123"/>
      <c r="L358" s="123"/>
      <c r="M358" s="123"/>
      <c r="N358" s="123"/>
    </row>
    <row r="359" spans="8:14" x14ac:dyDescent="0.35">
      <c r="H359" s="123"/>
      <c r="I359" s="123"/>
      <c r="J359" s="123"/>
      <c r="K359" s="123"/>
      <c r="L359" s="123"/>
      <c r="M359" s="123"/>
      <c r="N359" s="123"/>
    </row>
    <row r="360" spans="8:14" x14ac:dyDescent="0.35">
      <c r="H360" s="123"/>
      <c r="I360" s="123"/>
      <c r="J360" s="123"/>
      <c r="K360" s="123"/>
      <c r="L360" s="123"/>
      <c r="M360" s="123"/>
      <c r="N360" s="123"/>
    </row>
    <row r="361" spans="8:14" x14ac:dyDescent="0.35">
      <c r="H361" s="123"/>
      <c r="I361" s="123"/>
      <c r="J361" s="123"/>
      <c r="K361" s="123"/>
      <c r="L361" s="123"/>
      <c r="M361" s="123"/>
      <c r="N361" s="123"/>
    </row>
    <row r="362" spans="8:14" x14ac:dyDescent="0.35">
      <c r="H362" s="123"/>
      <c r="I362" s="123"/>
      <c r="J362" s="123"/>
      <c r="K362" s="123"/>
      <c r="L362" s="123"/>
      <c r="M362" s="123"/>
      <c r="N362" s="123"/>
    </row>
    <row r="363" spans="8:14" x14ac:dyDescent="0.35">
      <c r="H363" s="123"/>
      <c r="I363" s="123"/>
      <c r="J363" s="123"/>
      <c r="K363" s="123"/>
      <c r="L363" s="123"/>
      <c r="M363" s="123"/>
      <c r="N363" s="123"/>
    </row>
    <row r="364" spans="8:14" x14ac:dyDescent="0.35">
      <c r="H364" s="123"/>
      <c r="I364" s="123"/>
      <c r="J364" s="123"/>
      <c r="K364" s="123"/>
      <c r="L364" s="123"/>
      <c r="M364" s="123"/>
      <c r="N364" s="123"/>
    </row>
    <row r="365" spans="8:14" x14ac:dyDescent="0.35">
      <c r="H365" s="123"/>
      <c r="I365" s="123"/>
      <c r="J365" s="123"/>
      <c r="K365" s="123"/>
      <c r="L365" s="123"/>
      <c r="M365" s="123"/>
      <c r="N365" s="123"/>
    </row>
    <row r="366" spans="8:14" x14ac:dyDescent="0.35">
      <c r="H366" s="123"/>
      <c r="I366" s="123"/>
      <c r="J366" s="123"/>
      <c r="K366" s="123"/>
      <c r="L366" s="123"/>
      <c r="M366" s="123"/>
      <c r="N366" s="123"/>
    </row>
    <row r="367" spans="8:14" x14ac:dyDescent="0.35">
      <c r="H367" s="123"/>
      <c r="I367" s="123"/>
      <c r="J367" s="123"/>
      <c r="K367" s="123"/>
      <c r="L367" s="123"/>
      <c r="M367" s="123"/>
      <c r="N367" s="123"/>
    </row>
    <row r="368" spans="8:14" x14ac:dyDescent="0.35">
      <c r="H368" s="123"/>
      <c r="I368" s="123"/>
      <c r="J368" s="123"/>
      <c r="K368" s="123"/>
      <c r="L368" s="123"/>
      <c r="M368" s="123"/>
      <c r="N368" s="123"/>
    </row>
    <row r="369" spans="8:14" x14ac:dyDescent="0.35">
      <c r="H369" s="123"/>
      <c r="I369" s="123"/>
      <c r="J369" s="123"/>
      <c r="K369" s="123"/>
      <c r="L369" s="123"/>
      <c r="M369" s="123"/>
      <c r="N369" s="123"/>
    </row>
    <row r="370" spans="8:14" x14ac:dyDescent="0.35">
      <c r="H370" s="123"/>
      <c r="I370" s="123"/>
      <c r="J370" s="123"/>
      <c r="K370" s="123"/>
      <c r="L370" s="123"/>
      <c r="M370" s="123"/>
      <c r="N370" s="123"/>
    </row>
    <row r="371" spans="8:14" x14ac:dyDescent="0.35">
      <c r="H371" s="123"/>
      <c r="I371" s="123"/>
      <c r="J371" s="123"/>
      <c r="K371" s="123"/>
      <c r="L371" s="123"/>
      <c r="M371" s="123"/>
      <c r="N371" s="123"/>
    </row>
    <row r="372" spans="8:14" x14ac:dyDescent="0.35">
      <c r="H372" s="123"/>
      <c r="I372" s="123"/>
      <c r="J372" s="123"/>
      <c r="K372" s="123"/>
      <c r="L372" s="123"/>
      <c r="M372" s="123"/>
      <c r="N372" s="123"/>
    </row>
    <row r="373" spans="8:14" x14ac:dyDescent="0.35">
      <c r="H373" s="123"/>
      <c r="I373" s="123"/>
      <c r="J373" s="123"/>
      <c r="K373" s="123"/>
      <c r="L373" s="123"/>
      <c r="M373" s="123"/>
      <c r="N373" s="123"/>
    </row>
    <row r="374" spans="8:14" x14ac:dyDescent="0.35">
      <c r="H374" s="123"/>
      <c r="I374" s="123"/>
      <c r="J374" s="123"/>
      <c r="K374" s="123"/>
      <c r="L374" s="123"/>
      <c r="M374" s="123"/>
      <c r="N374" s="123"/>
    </row>
    <row r="375" spans="8:14" x14ac:dyDescent="0.35">
      <c r="H375" s="123"/>
      <c r="I375" s="123"/>
      <c r="J375" s="123"/>
      <c r="K375" s="123"/>
      <c r="L375" s="123"/>
      <c r="M375" s="123"/>
      <c r="N375" s="123"/>
    </row>
    <row r="376" spans="8:14" x14ac:dyDescent="0.35">
      <c r="H376" s="123"/>
      <c r="I376" s="123"/>
      <c r="J376" s="123"/>
      <c r="K376" s="123"/>
      <c r="L376" s="123"/>
      <c r="M376" s="123"/>
      <c r="N376" s="123"/>
    </row>
    <row r="377" spans="8:14" x14ac:dyDescent="0.35">
      <c r="H377" s="123"/>
      <c r="I377" s="123"/>
      <c r="J377" s="123"/>
      <c r="K377" s="123"/>
      <c r="L377" s="123"/>
      <c r="M377" s="123"/>
      <c r="N377" s="123"/>
    </row>
    <row r="378" spans="8:14" x14ac:dyDescent="0.35">
      <c r="H378" s="123"/>
      <c r="I378" s="123"/>
      <c r="J378" s="123"/>
      <c r="K378" s="123"/>
      <c r="L378" s="123"/>
      <c r="M378" s="123"/>
      <c r="N378" s="123"/>
    </row>
    <row r="379" spans="8:14" x14ac:dyDescent="0.35">
      <c r="H379" s="123"/>
      <c r="I379" s="123"/>
      <c r="J379" s="123"/>
      <c r="K379" s="123"/>
      <c r="L379" s="123"/>
      <c r="M379" s="123"/>
      <c r="N379" s="123"/>
    </row>
    <row r="380" spans="8:14" x14ac:dyDescent="0.35">
      <c r="H380" s="123"/>
      <c r="I380" s="123"/>
      <c r="J380" s="123"/>
      <c r="K380" s="123"/>
      <c r="L380" s="123"/>
      <c r="M380" s="123"/>
      <c r="N380" s="123"/>
    </row>
    <row r="381" spans="8:14" x14ac:dyDescent="0.35">
      <c r="H381" s="123"/>
      <c r="I381" s="123"/>
      <c r="J381" s="123"/>
      <c r="K381" s="123"/>
      <c r="L381" s="123"/>
      <c r="M381" s="123"/>
      <c r="N381" s="123"/>
    </row>
    <row r="382" spans="8:14" x14ac:dyDescent="0.35">
      <c r="H382" s="123"/>
      <c r="I382" s="123"/>
      <c r="J382" s="123"/>
      <c r="K382" s="123"/>
      <c r="L382" s="123"/>
      <c r="M382" s="123"/>
      <c r="N382" s="123"/>
    </row>
    <row r="383" spans="8:14" x14ac:dyDescent="0.35">
      <c r="H383" s="123"/>
      <c r="I383" s="123"/>
      <c r="J383" s="123"/>
      <c r="K383" s="123"/>
      <c r="L383" s="123"/>
      <c r="M383" s="123"/>
      <c r="N383" s="123"/>
    </row>
    <row r="384" spans="8:14" x14ac:dyDescent="0.35">
      <c r="H384" s="123"/>
      <c r="I384" s="123"/>
      <c r="J384" s="123"/>
      <c r="K384" s="123"/>
      <c r="L384" s="123"/>
      <c r="M384" s="123"/>
      <c r="N384" s="123"/>
    </row>
    <row r="385" spans="8:14" x14ac:dyDescent="0.35">
      <c r="H385" s="123"/>
      <c r="I385" s="123"/>
      <c r="J385" s="123"/>
      <c r="K385" s="123"/>
      <c r="L385" s="123"/>
      <c r="M385" s="123"/>
      <c r="N385" s="123"/>
    </row>
    <row r="386" spans="8:14" x14ac:dyDescent="0.35">
      <c r="H386" s="123"/>
      <c r="I386" s="123"/>
      <c r="J386" s="123"/>
      <c r="K386" s="123"/>
      <c r="L386" s="123"/>
      <c r="M386" s="123"/>
      <c r="N386" s="123"/>
    </row>
    <row r="387" spans="8:14" x14ac:dyDescent="0.35">
      <c r="H387" s="123"/>
      <c r="I387" s="123"/>
      <c r="J387" s="123"/>
      <c r="K387" s="123"/>
      <c r="L387" s="123"/>
      <c r="M387" s="123"/>
      <c r="N387" s="123"/>
    </row>
    <row r="388" spans="8:14" x14ac:dyDescent="0.35">
      <c r="H388" s="123"/>
      <c r="I388" s="123"/>
      <c r="J388" s="123"/>
      <c r="K388" s="123"/>
      <c r="L388" s="123"/>
      <c r="M388" s="123"/>
      <c r="N388" s="123"/>
    </row>
    <row r="389" spans="8:14" x14ac:dyDescent="0.35">
      <c r="H389" s="123"/>
      <c r="I389" s="123"/>
      <c r="J389" s="123"/>
      <c r="K389" s="123"/>
      <c r="L389" s="123"/>
      <c r="M389" s="123"/>
      <c r="N389" s="123"/>
    </row>
    <row r="390" spans="8:14" x14ac:dyDescent="0.35">
      <c r="H390" s="123"/>
      <c r="I390" s="123"/>
      <c r="J390" s="123"/>
      <c r="K390" s="123"/>
      <c r="L390" s="123"/>
      <c r="M390" s="123"/>
      <c r="N390" s="123"/>
    </row>
    <row r="391" spans="8:14" x14ac:dyDescent="0.35">
      <c r="H391" s="123"/>
      <c r="I391" s="123"/>
      <c r="J391" s="123"/>
      <c r="K391" s="123"/>
      <c r="L391" s="123"/>
      <c r="M391" s="123"/>
      <c r="N391" s="123"/>
    </row>
    <row r="392" spans="8:14" x14ac:dyDescent="0.35">
      <c r="H392" s="123"/>
      <c r="I392" s="123"/>
      <c r="J392" s="123"/>
      <c r="K392" s="123"/>
      <c r="L392" s="123"/>
      <c r="M392" s="123"/>
      <c r="N392" s="123"/>
    </row>
    <row r="393" spans="8:14" x14ac:dyDescent="0.35">
      <c r="H393" s="123"/>
      <c r="I393" s="123"/>
      <c r="J393" s="123"/>
      <c r="K393" s="123"/>
      <c r="L393" s="123"/>
      <c r="M393" s="123"/>
      <c r="N393" s="123"/>
    </row>
    <row r="394" spans="8:14" x14ac:dyDescent="0.35">
      <c r="H394" s="123"/>
      <c r="I394" s="123"/>
      <c r="J394" s="123"/>
      <c r="K394" s="123"/>
      <c r="L394" s="123"/>
      <c r="M394" s="123"/>
      <c r="N394" s="123"/>
    </row>
    <row r="395" spans="8:14" x14ac:dyDescent="0.35">
      <c r="H395" s="123"/>
      <c r="I395" s="123"/>
      <c r="J395" s="123"/>
      <c r="K395" s="123"/>
      <c r="L395" s="123"/>
      <c r="M395" s="123"/>
      <c r="N395" s="123"/>
    </row>
    <row r="396" spans="8:14" x14ac:dyDescent="0.35">
      <c r="H396" s="123"/>
      <c r="I396" s="123"/>
      <c r="J396" s="123"/>
      <c r="K396" s="123"/>
      <c r="L396" s="123"/>
      <c r="M396" s="123"/>
      <c r="N396" s="123"/>
    </row>
    <row r="397" spans="8:14" x14ac:dyDescent="0.35">
      <c r="H397" s="123"/>
      <c r="I397" s="123"/>
      <c r="J397" s="123"/>
      <c r="K397" s="123"/>
      <c r="L397" s="123"/>
      <c r="M397" s="123"/>
      <c r="N397" s="123"/>
    </row>
    <row r="398" spans="8:14" x14ac:dyDescent="0.35">
      <c r="H398" s="123"/>
      <c r="I398" s="123"/>
      <c r="J398" s="123"/>
      <c r="K398" s="123"/>
      <c r="L398" s="123"/>
      <c r="M398" s="123"/>
      <c r="N398" s="123"/>
    </row>
    <row r="399" spans="8:14" x14ac:dyDescent="0.35">
      <c r="H399" s="123"/>
      <c r="I399" s="123"/>
      <c r="J399" s="123"/>
      <c r="K399" s="123"/>
      <c r="L399" s="123"/>
      <c r="M399" s="123"/>
      <c r="N399" s="123"/>
    </row>
    <row r="400" spans="8:14" x14ac:dyDescent="0.35">
      <c r="H400" s="123"/>
      <c r="I400" s="123"/>
      <c r="J400" s="123"/>
      <c r="K400" s="123"/>
      <c r="L400" s="123"/>
      <c r="M400" s="123"/>
      <c r="N400" s="123"/>
    </row>
    <row r="401" spans="8:14" x14ac:dyDescent="0.35">
      <c r="H401" s="123"/>
      <c r="I401" s="123"/>
      <c r="J401" s="123"/>
      <c r="K401" s="123"/>
      <c r="L401" s="123"/>
      <c r="M401" s="123"/>
      <c r="N401" s="123"/>
    </row>
    <row r="402" spans="8:14" x14ac:dyDescent="0.35">
      <c r="H402" s="123"/>
      <c r="I402" s="123"/>
      <c r="J402" s="123"/>
      <c r="K402" s="123"/>
      <c r="L402" s="123"/>
      <c r="M402" s="123"/>
      <c r="N402" s="123"/>
    </row>
    <row r="403" spans="8:14" x14ac:dyDescent="0.35">
      <c r="H403" s="123"/>
      <c r="I403" s="123"/>
      <c r="J403" s="123"/>
      <c r="K403" s="123"/>
      <c r="L403" s="123"/>
      <c r="M403" s="123"/>
      <c r="N403" s="123"/>
    </row>
    <row r="404" spans="8:14" x14ac:dyDescent="0.35">
      <c r="H404" s="123"/>
      <c r="I404" s="123"/>
      <c r="J404" s="123"/>
      <c r="K404" s="123"/>
      <c r="L404" s="123"/>
      <c r="M404" s="123"/>
      <c r="N404" s="123"/>
    </row>
    <row r="405" spans="8:14" x14ac:dyDescent="0.35">
      <c r="H405" s="123"/>
      <c r="I405" s="123"/>
      <c r="J405" s="123"/>
      <c r="K405" s="123"/>
      <c r="L405" s="123"/>
      <c r="M405" s="123"/>
      <c r="N405" s="123"/>
    </row>
    <row r="406" spans="8:14" x14ac:dyDescent="0.35">
      <c r="H406" s="123"/>
      <c r="I406" s="123"/>
      <c r="J406" s="123"/>
      <c r="K406" s="123"/>
      <c r="L406" s="123"/>
      <c r="M406" s="123"/>
      <c r="N406" s="123"/>
    </row>
    <row r="407" spans="8:14" x14ac:dyDescent="0.35">
      <c r="H407" s="123"/>
      <c r="I407" s="123"/>
      <c r="J407" s="123"/>
      <c r="K407" s="123"/>
      <c r="L407" s="123"/>
      <c r="M407" s="123"/>
      <c r="N407" s="123"/>
    </row>
    <row r="408" spans="8:14" x14ac:dyDescent="0.35">
      <c r="H408" s="123"/>
      <c r="I408" s="123"/>
      <c r="J408" s="123"/>
      <c r="K408" s="123"/>
      <c r="L408" s="123"/>
      <c r="M408" s="123"/>
      <c r="N408" s="123"/>
    </row>
    <row r="409" spans="8:14" x14ac:dyDescent="0.35">
      <c r="H409" s="123"/>
      <c r="I409" s="123"/>
      <c r="J409" s="123"/>
      <c r="K409" s="123"/>
      <c r="L409" s="123"/>
      <c r="M409" s="123"/>
      <c r="N409" s="123"/>
    </row>
    <row r="410" spans="8:14" x14ac:dyDescent="0.35">
      <c r="H410" s="123"/>
      <c r="I410" s="123"/>
      <c r="J410" s="123"/>
      <c r="K410" s="123"/>
      <c r="L410" s="123"/>
      <c r="M410" s="123"/>
      <c r="N410" s="123"/>
    </row>
    <row r="411" spans="8:14" x14ac:dyDescent="0.35">
      <c r="H411" s="123"/>
      <c r="I411" s="123"/>
      <c r="J411" s="123"/>
      <c r="K411" s="123"/>
      <c r="L411" s="123"/>
      <c r="M411" s="123"/>
      <c r="N411" s="123"/>
    </row>
    <row r="412" spans="8:14" x14ac:dyDescent="0.35">
      <c r="H412" s="123"/>
      <c r="I412" s="123"/>
      <c r="J412" s="123"/>
      <c r="K412" s="123"/>
      <c r="L412" s="123"/>
      <c r="M412" s="123"/>
      <c r="N412" s="123"/>
    </row>
    <row r="413" spans="8:14" x14ac:dyDescent="0.35">
      <c r="H413" s="123"/>
      <c r="I413" s="123"/>
      <c r="J413" s="123"/>
      <c r="K413" s="123"/>
      <c r="L413" s="123"/>
      <c r="M413" s="123"/>
      <c r="N413" s="123"/>
    </row>
    <row r="414" spans="8:14" x14ac:dyDescent="0.35">
      <c r="H414" s="123"/>
      <c r="I414" s="123"/>
      <c r="J414" s="123"/>
      <c r="K414" s="123"/>
      <c r="L414" s="123"/>
      <c r="M414" s="123"/>
      <c r="N414" s="123"/>
    </row>
    <row r="415" spans="8:14" x14ac:dyDescent="0.35">
      <c r="H415" s="123"/>
      <c r="I415" s="123"/>
      <c r="J415" s="123"/>
      <c r="K415" s="123"/>
      <c r="L415" s="123"/>
      <c r="M415" s="123"/>
      <c r="N415" s="123"/>
    </row>
    <row r="416" spans="8:14" x14ac:dyDescent="0.35">
      <c r="H416" s="123"/>
      <c r="I416" s="123"/>
      <c r="J416" s="123"/>
      <c r="K416" s="123"/>
      <c r="L416" s="123"/>
      <c r="M416" s="123"/>
      <c r="N416" s="123"/>
    </row>
    <row r="417" spans="8:14" x14ac:dyDescent="0.35">
      <c r="H417" s="123"/>
      <c r="I417" s="123"/>
      <c r="J417" s="123"/>
      <c r="K417" s="123"/>
      <c r="L417" s="123"/>
      <c r="M417" s="123"/>
      <c r="N417" s="123"/>
    </row>
    <row r="418" spans="8:14" x14ac:dyDescent="0.35">
      <c r="H418" s="123"/>
      <c r="I418" s="123"/>
      <c r="J418" s="123"/>
      <c r="K418" s="123"/>
      <c r="L418" s="123"/>
      <c r="M418" s="123"/>
      <c r="N418" s="123"/>
    </row>
    <row r="419" spans="8:14" x14ac:dyDescent="0.35">
      <c r="H419" s="123"/>
      <c r="I419" s="123"/>
      <c r="J419" s="123"/>
      <c r="K419" s="123"/>
      <c r="L419" s="123"/>
      <c r="M419" s="123"/>
      <c r="N419" s="123"/>
    </row>
    <row r="420" spans="8:14" x14ac:dyDescent="0.35">
      <c r="H420" s="123"/>
      <c r="I420" s="123"/>
      <c r="J420" s="123"/>
      <c r="K420" s="123"/>
      <c r="L420" s="123"/>
      <c r="M420" s="123"/>
      <c r="N420" s="123"/>
    </row>
    <row r="421" spans="8:14" x14ac:dyDescent="0.35">
      <c r="H421" s="123"/>
      <c r="I421" s="123"/>
      <c r="J421" s="123"/>
      <c r="K421" s="123"/>
      <c r="L421" s="123"/>
      <c r="M421" s="123"/>
      <c r="N421" s="123"/>
    </row>
    <row r="422" spans="8:14" x14ac:dyDescent="0.35">
      <c r="H422" s="123"/>
      <c r="I422" s="123"/>
      <c r="J422" s="123"/>
      <c r="K422" s="123"/>
      <c r="L422" s="123"/>
      <c r="M422" s="123"/>
      <c r="N422" s="123"/>
    </row>
    <row r="423" spans="8:14" x14ac:dyDescent="0.35">
      <c r="H423" s="123"/>
      <c r="I423" s="123"/>
      <c r="J423" s="123"/>
      <c r="K423" s="123"/>
      <c r="L423" s="123"/>
      <c r="M423" s="123"/>
      <c r="N423" s="123"/>
    </row>
    <row r="424" spans="8:14" x14ac:dyDescent="0.35">
      <c r="H424" s="123"/>
      <c r="I424" s="123"/>
      <c r="J424" s="123"/>
      <c r="K424" s="123"/>
      <c r="L424" s="123"/>
      <c r="M424" s="123"/>
      <c r="N424" s="123"/>
    </row>
    <row r="425" spans="8:14" x14ac:dyDescent="0.35">
      <c r="H425" s="123"/>
      <c r="I425" s="123"/>
      <c r="J425" s="123"/>
      <c r="K425" s="123"/>
      <c r="L425" s="123"/>
      <c r="M425" s="123"/>
      <c r="N425" s="123"/>
    </row>
    <row r="426" spans="8:14" x14ac:dyDescent="0.35">
      <c r="H426" s="123"/>
      <c r="I426" s="123"/>
      <c r="J426" s="123"/>
      <c r="K426" s="123"/>
      <c r="L426" s="123"/>
      <c r="M426" s="123"/>
      <c r="N426" s="123"/>
    </row>
    <row r="427" spans="8:14" x14ac:dyDescent="0.35">
      <c r="H427" s="123"/>
      <c r="I427" s="123"/>
      <c r="J427" s="123"/>
      <c r="K427" s="123"/>
      <c r="L427" s="123"/>
      <c r="M427" s="123"/>
      <c r="N427" s="123"/>
    </row>
    <row r="428" spans="8:14" x14ac:dyDescent="0.35">
      <c r="H428" s="123"/>
      <c r="I428" s="123"/>
      <c r="J428" s="123"/>
      <c r="K428" s="123"/>
      <c r="L428" s="123"/>
      <c r="M428" s="123"/>
      <c r="N428" s="123"/>
    </row>
    <row r="429" spans="8:14" x14ac:dyDescent="0.35">
      <c r="H429" s="123"/>
      <c r="I429" s="123"/>
      <c r="J429" s="123"/>
      <c r="K429" s="123"/>
      <c r="L429" s="123"/>
      <c r="M429" s="123"/>
      <c r="N429" s="123"/>
    </row>
    <row r="430" spans="8:14" x14ac:dyDescent="0.35">
      <c r="H430" s="123"/>
      <c r="I430" s="123"/>
      <c r="J430" s="123"/>
      <c r="K430" s="123"/>
      <c r="L430" s="123"/>
      <c r="M430" s="123"/>
      <c r="N430" s="123"/>
    </row>
    <row r="431" spans="8:14" x14ac:dyDescent="0.35">
      <c r="H431" s="123"/>
      <c r="I431" s="123"/>
      <c r="J431" s="123"/>
      <c r="K431" s="123"/>
      <c r="L431" s="123"/>
      <c r="M431" s="123"/>
      <c r="N431" s="123"/>
    </row>
    <row r="432" spans="8:14" x14ac:dyDescent="0.35">
      <c r="H432" s="123"/>
      <c r="I432" s="123"/>
      <c r="J432" s="123"/>
      <c r="K432" s="123"/>
      <c r="L432" s="123"/>
      <c r="M432" s="123"/>
      <c r="N432" s="123"/>
    </row>
    <row r="433" spans="8:14" x14ac:dyDescent="0.35">
      <c r="H433" s="123"/>
      <c r="I433" s="123"/>
      <c r="J433" s="123"/>
      <c r="K433" s="123"/>
      <c r="L433" s="123"/>
      <c r="M433" s="123"/>
      <c r="N433" s="123"/>
    </row>
    <row r="434" spans="8:14" x14ac:dyDescent="0.35">
      <c r="H434" s="123"/>
      <c r="I434" s="123"/>
      <c r="J434" s="123"/>
      <c r="K434" s="123"/>
      <c r="L434" s="123"/>
      <c r="M434" s="123"/>
      <c r="N434" s="123"/>
    </row>
    <row r="435" spans="8:14" x14ac:dyDescent="0.35">
      <c r="H435" s="123"/>
      <c r="I435" s="123"/>
      <c r="J435" s="123"/>
      <c r="K435" s="123"/>
      <c r="L435" s="123"/>
      <c r="M435" s="123"/>
      <c r="N435" s="123"/>
    </row>
    <row r="436" spans="8:14" x14ac:dyDescent="0.35">
      <c r="H436" s="123"/>
      <c r="I436" s="123"/>
      <c r="J436" s="123"/>
      <c r="K436" s="123"/>
      <c r="L436" s="123"/>
      <c r="M436" s="123"/>
      <c r="N436" s="123"/>
    </row>
    <row r="437" spans="8:14" x14ac:dyDescent="0.35">
      <c r="H437" s="123"/>
      <c r="I437" s="123"/>
      <c r="J437" s="123"/>
      <c r="K437" s="123"/>
      <c r="L437" s="123"/>
      <c r="M437" s="123"/>
      <c r="N437" s="123"/>
    </row>
    <row r="438" spans="8:14" x14ac:dyDescent="0.35">
      <c r="H438" s="123"/>
      <c r="I438" s="123"/>
      <c r="J438" s="123"/>
      <c r="K438" s="123"/>
      <c r="L438" s="123"/>
      <c r="M438" s="123"/>
      <c r="N438" s="123"/>
    </row>
    <row r="439" spans="8:14" x14ac:dyDescent="0.35">
      <c r="H439" s="123"/>
      <c r="I439" s="123"/>
      <c r="J439" s="123"/>
      <c r="K439" s="123"/>
      <c r="L439" s="123"/>
      <c r="M439" s="123"/>
      <c r="N439" s="123"/>
    </row>
    <row r="440" spans="8:14" x14ac:dyDescent="0.35">
      <c r="H440" s="123"/>
      <c r="I440" s="123"/>
      <c r="J440" s="123"/>
      <c r="K440" s="123"/>
      <c r="L440" s="123"/>
      <c r="M440" s="123"/>
      <c r="N440" s="123"/>
    </row>
    <row r="441" spans="8:14" x14ac:dyDescent="0.35">
      <c r="H441" s="123"/>
      <c r="I441" s="123"/>
      <c r="J441" s="123"/>
      <c r="K441" s="123"/>
      <c r="L441" s="123"/>
      <c r="M441" s="123"/>
      <c r="N441" s="123"/>
    </row>
    <row r="442" spans="8:14" x14ac:dyDescent="0.35">
      <c r="H442" s="123"/>
      <c r="I442" s="123"/>
      <c r="J442" s="123"/>
      <c r="K442" s="123"/>
      <c r="L442" s="123"/>
      <c r="M442" s="123"/>
      <c r="N442" s="123"/>
    </row>
    <row r="443" spans="8:14" x14ac:dyDescent="0.35">
      <c r="H443" s="123"/>
      <c r="I443" s="123"/>
      <c r="J443" s="123"/>
      <c r="K443" s="123"/>
      <c r="L443" s="123"/>
      <c r="M443" s="123"/>
      <c r="N443" s="123"/>
    </row>
    <row r="444" spans="8:14" x14ac:dyDescent="0.35">
      <c r="H444" s="123"/>
      <c r="I444" s="123"/>
      <c r="J444" s="123"/>
      <c r="K444" s="123"/>
      <c r="L444" s="123"/>
      <c r="M444" s="123"/>
      <c r="N444" s="123"/>
    </row>
    <row r="445" spans="8:14" x14ac:dyDescent="0.35">
      <c r="H445" s="123"/>
      <c r="I445" s="123"/>
      <c r="J445" s="123"/>
      <c r="K445" s="123"/>
      <c r="L445" s="123"/>
      <c r="M445" s="123"/>
      <c r="N445" s="123"/>
    </row>
    <row r="446" spans="8:14" x14ac:dyDescent="0.35">
      <c r="H446" s="123"/>
      <c r="I446" s="123"/>
      <c r="J446" s="123"/>
      <c r="K446" s="123"/>
      <c r="L446" s="123"/>
      <c r="M446" s="123"/>
      <c r="N446" s="123"/>
    </row>
    <row r="447" spans="8:14" x14ac:dyDescent="0.35">
      <c r="H447" s="123"/>
      <c r="I447" s="123"/>
      <c r="J447" s="123"/>
      <c r="K447" s="123"/>
      <c r="L447" s="123"/>
      <c r="M447" s="123"/>
      <c r="N447" s="123"/>
    </row>
    <row r="448" spans="8:14" x14ac:dyDescent="0.35">
      <c r="H448" s="123"/>
      <c r="I448" s="123"/>
      <c r="J448" s="123"/>
      <c r="K448" s="123"/>
      <c r="L448" s="123"/>
      <c r="M448" s="123"/>
      <c r="N448" s="123"/>
    </row>
    <row r="449" spans="8:14" x14ac:dyDescent="0.35">
      <c r="H449" s="123"/>
      <c r="I449" s="123"/>
      <c r="J449" s="123"/>
      <c r="K449" s="123"/>
      <c r="L449" s="123"/>
      <c r="M449" s="123"/>
      <c r="N449" s="123"/>
    </row>
    <row r="450" spans="8:14" x14ac:dyDescent="0.35">
      <c r="H450" s="123"/>
      <c r="I450" s="123"/>
      <c r="J450" s="123"/>
      <c r="K450" s="123"/>
      <c r="L450" s="123"/>
      <c r="M450" s="123"/>
      <c r="N450" s="123"/>
    </row>
    <row r="451" spans="8:14" x14ac:dyDescent="0.35">
      <c r="H451" s="123"/>
      <c r="I451" s="123"/>
      <c r="J451" s="123"/>
      <c r="K451" s="123"/>
      <c r="L451" s="123"/>
      <c r="M451" s="123"/>
      <c r="N451" s="123"/>
    </row>
    <row r="452" spans="8:14" x14ac:dyDescent="0.35">
      <c r="H452" s="123"/>
      <c r="I452" s="123"/>
      <c r="J452" s="123"/>
      <c r="K452" s="123"/>
      <c r="L452" s="123"/>
      <c r="M452" s="123"/>
      <c r="N452" s="123"/>
    </row>
    <row r="453" spans="8:14" x14ac:dyDescent="0.35">
      <c r="H453" s="123"/>
      <c r="I453" s="123"/>
      <c r="J453" s="123"/>
      <c r="K453" s="123"/>
      <c r="L453" s="123"/>
      <c r="M453" s="123"/>
      <c r="N453" s="123"/>
    </row>
    <row r="454" spans="8:14" x14ac:dyDescent="0.35">
      <c r="H454" s="123"/>
      <c r="I454" s="123"/>
      <c r="J454" s="123"/>
      <c r="K454" s="123"/>
      <c r="L454" s="123"/>
      <c r="M454" s="123"/>
      <c r="N454" s="123"/>
    </row>
    <row r="455" spans="8:14" x14ac:dyDescent="0.35">
      <c r="H455" s="123"/>
      <c r="I455" s="123"/>
      <c r="J455" s="123"/>
      <c r="K455" s="123"/>
      <c r="L455" s="123"/>
      <c r="M455" s="123"/>
      <c r="N455" s="123"/>
    </row>
    <row r="456" spans="8:14" x14ac:dyDescent="0.35">
      <c r="H456" s="123"/>
      <c r="I456" s="123"/>
      <c r="J456" s="123"/>
      <c r="K456" s="123"/>
      <c r="L456" s="123"/>
      <c r="M456" s="123"/>
      <c r="N456" s="123"/>
    </row>
    <row r="457" spans="8:14" x14ac:dyDescent="0.35">
      <c r="H457" s="123"/>
      <c r="I457" s="123"/>
      <c r="J457" s="123"/>
      <c r="K457" s="123"/>
      <c r="L457" s="123"/>
      <c r="M457" s="123"/>
      <c r="N457" s="123"/>
    </row>
    <row r="458" spans="8:14" x14ac:dyDescent="0.35">
      <c r="H458" s="123"/>
      <c r="I458" s="123"/>
      <c r="J458" s="123"/>
      <c r="K458" s="123"/>
      <c r="L458" s="123"/>
      <c r="M458" s="123"/>
      <c r="N458" s="123"/>
    </row>
    <row r="459" spans="8:14" x14ac:dyDescent="0.35">
      <c r="H459" s="123"/>
      <c r="I459" s="123"/>
      <c r="J459" s="123"/>
      <c r="K459" s="123"/>
      <c r="L459" s="123"/>
      <c r="M459" s="123"/>
      <c r="N459" s="123"/>
    </row>
    <row r="460" spans="8:14" x14ac:dyDescent="0.35">
      <c r="H460" s="123"/>
      <c r="I460" s="123"/>
      <c r="J460" s="123"/>
      <c r="K460" s="123"/>
      <c r="L460" s="123"/>
      <c r="M460" s="123"/>
      <c r="N460" s="123"/>
    </row>
    <row r="461" spans="8:14" x14ac:dyDescent="0.35">
      <c r="H461" s="123"/>
      <c r="I461" s="123"/>
      <c r="J461" s="123"/>
      <c r="K461" s="123"/>
      <c r="L461" s="123"/>
      <c r="M461" s="123"/>
      <c r="N461" s="123"/>
    </row>
    <row r="462" spans="8:14" x14ac:dyDescent="0.35">
      <c r="H462" s="123"/>
      <c r="I462" s="123"/>
      <c r="J462" s="123"/>
      <c r="K462" s="123"/>
      <c r="L462" s="123"/>
      <c r="M462" s="123"/>
      <c r="N462" s="123"/>
    </row>
    <row r="463" spans="8:14" x14ac:dyDescent="0.35">
      <c r="H463" s="123"/>
      <c r="I463" s="123"/>
      <c r="J463" s="123"/>
      <c r="K463" s="123"/>
      <c r="L463" s="123"/>
      <c r="M463" s="123"/>
      <c r="N463" s="123"/>
    </row>
    <row r="464" spans="8:14" x14ac:dyDescent="0.35">
      <c r="H464" s="123"/>
      <c r="I464" s="123"/>
      <c r="J464" s="123"/>
      <c r="K464" s="123"/>
      <c r="L464" s="123"/>
      <c r="M464" s="123"/>
      <c r="N464" s="123"/>
    </row>
    <row r="465" spans="8:14" x14ac:dyDescent="0.35">
      <c r="H465" s="123"/>
      <c r="I465" s="123"/>
      <c r="J465" s="123"/>
      <c r="K465" s="123"/>
      <c r="L465" s="123"/>
      <c r="M465" s="123"/>
      <c r="N465" s="123"/>
    </row>
    <row r="466" spans="8:14" x14ac:dyDescent="0.35">
      <c r="H466" s="123"/>
      <c r="I466" s="123"/>
      <c r="J466" s="123"/>
      <c r="K466" s="123"/>
      <c r="L466" s="123"/>
      <c r="M466" s="123"/>
      <c r="N466" s="123"/>
    </row>
    <row r="467" spans="8:14" x14ac:dyDescent="0.35">
      <c r="H467" s="123"/>
      <c r="I467" s="123"/>
      <c r="J467" s="123"/>
      <c r="K467" s="123"/>
      <c r="L467" s="123"/>
      <c r="M467" s="123"/>
      <c r="N467" s="123"/>
    </row>
    <row r="468" spans="8:14" x14ac:dyDescent="0.35">
      <c r="H468" s="123"/>
      <c r="I468" s="123"/>
      <c r="J468" s="123"/>
      <c r="K468" s="123"/>
      <c r="L468" s="123"/>
      <c r="M468" s="123"/>
      <c r="N468" s="123"/>
    </row>
    <row r="469" spans="8:14" x14ac:dyDescent="0.35">
      <c r="H469" s="123"/>
      <c r="I469" s="123"/>
      <c r="J469" s="123"/>
      <c r="K469" s="123"/>
      <c r="L469" s="123"/>
      <c r="M469" s="123"/>
      <c r="N469" s="123"/>
    </row>
    <row r="470" spans="8:14" x14ac:dyDescent="0.35">
      <c r="H470" s="123"/>
      <c r="I470" s="123"/>
      <c r="J470" s="123"/>
      <c r="K470" s="123"/>
      <c r="L470" s="123"/>
      <c r="M470" s="123"/>
      <c r="N470" s="123"/>
    </row>
    <row r="471" spans="8:14" x14ac:dyDescent="0.35">
      <c r="H471" s="123"/>
      <c r="I471" s="123"/>
      <c r="J471" s="123"/>
      <c r="K471" s="123"/>
      <c r="L471" s="123"/>
      <c r="M471" s="123"/>
      <c r="N471" s="123"/>
    </row>
    <row r="472" spans="8:14" x14ac:dyDescent="0.35">
      <c r="H472" s="123"/>
      <c r="I472" s="123"/>
      <c r="J472" s="123"/>
      <c r="K472" s="123"/>
      <c r="L472" s="123"/>
      <c r="M472" s="123"/>
      <c r="N472" s="123"/>
    </row>
    <row r="473" spans="8:14" x14ac:dyDescent="0.35">
      <c r="H473" s="123"/>
      <c r="I473" s="123"/>
      <c r="J473" s="123"/>
      <c r="K473" s="123"/>
      <c r="L473" s="123"/>
      <c r="M473" s="123"/>
      <c r="N473" s="123"/>
    </row>
    <row r="474" spans="8:14" x14ac:dyDescent="0.35">
      <c r="H474" s="123"/>
      <c r="I474" s="123"/>
      <c r="J474" s="123"/>
      <c r="K474" s="123"/>
      <c r="L474" s="123"/>
      <c r="M474" s="123"/>
      <c r="N474" s="123"/>
    </row>
    <row r="475" spans="8:14" x14ac:dyDescent="0.35">
      <c r="H475" s="123"/>
      <c r="I475" s="123"/>
      <c r="J475" s="123"/>
      <c r="K475" s="123"/>
      <c r="L475" s="123"/>
      <c r="M475" s="123"/>
      <c r="N475" s="123"/>
    </row>
    <row r="476" spans="8:14" x14ac:dyDescent="0.35">
      <c r="H476" s="123"/>
      <c r="I476" s="123"/>
      <c r="J476" s="123"/>
      <c r="K476" s="123"/>
      <c r="L476" s="123"/>
      <c r="M476" s="123"/>
      <c r="N476" s="123"/>
    </row>
    <row r="477" spans="8:14" x14ac:dyDescent="0.35">
      <c r="H477" s="123"/>
      <c r="I477" s="123"/>
      <c r="J477" s="123"/>
      <c r="K477" s="123"/>
      <c r="L477" s="123"/>
      <c r="M477" s="123"/>
      <c r="N477" s="123"/>
    </row>
    <row r="478" spans="8:14" x14ac:dyDescent="0.35">
      <c r="H478" s="123"/>
      <c r="I478" s="123"/>
      <c r="J478" s="123"/>
      <c r="K478" s="123"/>
      <c r="L478" s="123"/>
      <c r="M478" s="123"/>
      <c r="N478" s="123"/>
    </row>
    <row r="479" spans="8:14" x14ac:dyDescent="0.35">
      <c r="H479" s="123"/>
      <c r="I479" s="123"/>
      <c r="J479" s="123"/>
      <c r="K479" s="123"/>
      <c r="L479" s="123"/>
      <c r="M479" s="123"/>
      <c r="N479" s="123"/>
    </row>
    <row r="480" spans="8:14" x14ac:dyDescent="0.35">
      <c r="H480" s="123"/>
      <c r="I480" s="123"/>
      <c r="J480" s="123"/>
      <c r="K480" s="123"/>
      <c r="L480" s="123"/>
      <c r="M480" s="123"/>
      <c r="N480" s="123"/>
    </row>
    <row r="481" spans="8:14" x14ac:dyDescent="0.35">
      <c r="H481" s="123"/>
      <c r="I481" s="123"/>
      <c r="J481" s="123"/>
      <c r="K481" s="123"/>
      <c r="L481" s="123"/>
      <c r="M481" s="123"/>
      <c r="N481" s="123"/>
    </row>
    <row r="482" spans="8:14" x14ac:dyDescent="0.35">
      <c r="H482" s="123"/>
      <c r="I482" s="123"/>
      <c r="J482" s="123"/>
      <c r="K482" s="123"/>
      <c r="L482" s="123"/>
      <c r="M482" s="123"/>
      <c r="N482" s="123"/>
    </row>
    <row r="483" spans="8:14" x14ac:dyDescent="0.35">
      <c r="H483" s="123"/>
      <c r="I483" s="123"/>
      <c r="J483" s="123"/>
      <c r="K483" s="123"/>
      <c r="L483" s="123"/>
      <c r="M483" s="123"/>
      <c r="N483" s="123"/>
    </row>
    <row r="484" spans="8:14" x14ac:dyDescent="0.35">
      <c r="H484" s="123"/>
      <c r="I484" s="123"/>
      <c r="J484" s="123"/>
      <c r="K484" s="123"/>
      <c r="L484" s="123"/>
      <c r="M484" s="123"/>
      <c r="N484" s="123"/>
    </row>
    <row r="485" spans="8:14" x14ac:dyDescent="0.35">
      <c r="H485" s="123"/>
      <c r="I485" s="123"/>
      <c r="J485" s="123"/>
      <c r="K485" s="123"/>
      <c r="L485" s="123"/>
      <c r="M485" s="123"/>
      <c r="N485" s="123"/>
    </row>
    <row r="486" spans="8:14" x14ac:dyDescent="0.35">
      <c r="H486" s="123"/>
      <c r="I486" s="123"/>
      <c r="J486" s="123"/>
      <c r="K486" s="123"/>
      <c r="L486" s="123"/>
      <c r="M486" s="123"/>
      <c r="N486" s="123"/>
    </row>
    <row r="487" spans="8:14" x14ac:dyDescent="0.35">
      <c r="H487" s="123"/>
      <c r="I487" s="123"/>
      <c r="J487" s="123"/>
      <c r="K487" s="123"/>
      <c r="L487" s="123"/>
      <c r="M487" s="123"/>
      <c r="N487" s="123"/>
    </row>
    <row r="488" spans="8:14" x14ac:dyDescent="0.35">
      <c r="H488" s="123"/>
      <c r="I488" s="123"/>
      <c r="J488" s="123"/>
      <c r="K488" s="123"/>
      <c r="L488" s="123"/>
      <c r="M488" s="123"/>
      <c r="N488" s="123"/>
    </row>
    <row r="489" spans="8:14" x14ac:dyDescent="0.35">
      <c r="H489" s="123"/>
      <c r="I489" s="123"/>
      <c r="J489" s="123"/>
      <c r="K489" s="123"/>
      <c r="L489" s="123"/>
      <c r="M489" s="123"/>
      <c r="N489" s="123"/>
    </row>
    <row r="490" spans="8:14" x14ac:dyDescent="0.35">
      <c r="H490" s="123"/>
      <c r="I490" s="123"/>
      <c r="J490" s="123"/>
      <c r="K490" s="123"/>
      <c r="L490" s="123"/>
      <c r="M490" s="123"/>
      <c r="N490" s="123"/>
    </row>
    <row r="491" spans="8:14" x14ac:dyDescent="0.35">
      <c r="H491" s="123"/>
      <c r="I491" s="123"/>
      <c r="J491" s="123"/>
      <c r="K491" s="123"/>
      <c r="L491" s="123"/>
      <c r="M491" s="123"/>
      <c r="N491" s="123"/>
    </row>
    <row r="492" spans="8:14" x14ac:dyDescent="0.35">
      <c r="H492" s="123"/>
      <c r="I492" s="123"/>
      <c r="J492" s="123"/>
      <c r="K492" s="123"/>
      <c r="L492" s="123"/>
      <c r="M492" s="123"/>
      <c r="N492" s="123"/>
    </row>
    <row r="493" spans="8:14" x14ac:dyDescent="0.35">
      <c r="H493" s="123"/>
      <c r="I493" s="123"/>
      <c r="J493" s="123"/>
      <c r="K493" s="123"/>
      <c r="L493" s="123"/>
      <c r="M493" s="123"/>
      <c r="N493" s="123"/>
    </row>
    <row r="494" spans="8:14" x14ac:dyDescent="0.35">
      <c r="H494" s="123"/>
      <c r="I494" s="123"/>
      <c r="J494" s="123"/>
      <c r="K494" s="123"/>
      <c r="L494" s="123"/>
      <c r="M494" s="123"/>
      <c r="N494" s="123"/>
    </row>
    <row r="495" spans="8:14" x14ac:dyDescent="0.35">
      <c r="H495" s="123"/>
      <c r="I495" s="123"/>
      <c r="J495" s="123"/>
      <c r="K495" s="123"/>
      <c r="L495" s="123"/>
      <c r="M495" s="123"/>
      <c r="N495" s="123"/>
    </row>
    <row r="496" spans="8:14" x14ac:dyDescent="0.35">
      <c r="H496" s="123"/>
      <c r="I496" s="123"/>
      <c r="J496" s="123"/>
      <c r="K496" s="123"/>
      <c r="L496" s="123"/>
      <c r="M496" s="123"/>
      <c r="N496" s="123"/>
    </row>
  </sheetData>
  <sheetProtection algorithmName="SHA-512" hashValue="nILJeKrJBw2JLl3eYF16qTmBD276k6wsGrisG1h/CLyptRO2TPOWfwJwQdGOF1QVJNd/+/KIIQpO6vCTfKE4PA==" saltValue="kLF2L9MwCrW7xOVaQL6ACg==" spinCount="100000" sheet="1" objects="1" scenarios="1" selectLockedCells="1" selectUnlockedCells="1"/>
  <mergeCells count="15">
    <mergeCell ref="C277:N277"/>
    <mergeCell ref="C283:N283"/>
    <mergeCell ref="C294:N294"/>
    <mergeCell ref="C305:N305"/>
    <mergeCell ref="C315:N315"/>
    <mergeCell ref="C177:N177"/>
    <mergeCell ref="C216:N216"/>
    <mergeCell ref="C264:N264"/>
    <mergeCell ref="C271:N271"/>
    <mergeCell ref="B255:O255"/>
    <mergeCell ref="D4:E4"/>
    <mergeCell ref="C21:N21"/>
    <mergeCell ref="C60:N60"/>
    <mergeCell ref="C99:N99"/>
    <mergeCell ref="C138:N138"/>
  </mergeCells>
  <phoneticPr fontId="22" type="noConversion"/>
  <hyperlinks>
    <hyperlink ref="G4" r:id="rId1" xr:uid="{6850DC41-A1FF-458B-823C-FF3EACB07699}"/>
  </hyperlinks>
  <pageMargins left="0.7" right="0.7" top="0.75" bottom="0.75" header="0.3" footer="0.3"/>
  <pageSetup orientation="portrait" horizontalDpi="1200" verticalDpi="1200" r:id="rId2"/>
  <tableParts count="15">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s>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4A85E-2C94-4B7F-828D-89B7D588ED4A}">
  <sheetPr codeName="Sheet10">
    <tabColor rgb="FFFFC000"/>
  </sheetPr>
  <dimension ref="B1:AN40"/>
  <sheetViews>
    <sheetView workbookViewId="0">
      <selection activeCell="G9" sqref="G9"/>
    </sheetView>
  </sheetViews>
  <sheetFormatPr defaultColWidth="8.81640625" defaultRowHeight="14.5" x14ac:dyDescent="0.35"/>
  <cols>
    <col min="1" max="1" width="5.7265625" style="455" customWidth="1"/>
    <col min="2" max="2" width="40.6328125" style="455" customWidth="1"/>
    <col min="3" max="3" width="34" style="455" hidden="1" customWidth="1"/>
    <col min="4" max="4" width="32.26953125" style="455" hidden="1" customWidth="1"/>
    <col min="5" max="5" width="20" style="144" customWidth="1"/>
    <col min="6" max="6" width="24.08984375" style="144" customWidth="1"/>
    <col min="7" max="7" width="18.26953125" style="144" customWidth="1"/>
    <col min="8" max="8" width="17.7265625" style="144" customWidth="1"/>
    <col min="9" max="9" width="23.08984375" style="346" customWidth="1"/>
    <col min="10" max="10" width="26" style="346" customWidth="1"/>
    <col min="11" max="11" width="23.08984375" style="144" customWidth="1"/>
    <col min="12" max="12" width="23.08984375" style="144" hidden="1" customWidth="1"/>
    <col min="13" max="13" width="19.81640625" style="144" hidden="1" customWidth="1"/>
    <col min="14" max="14" width="21.26953125" style="144" customWidth="1"/>
    <col min="15" max="15" width="22.81640625" style="144" customWidth="1"/>
    <col min="16" max="17" width="22.7265625" style="144" customWidth="1"/>
    <col min="18" max="18" width="23.6328125" style="144" customWidth="1"/>
    <col min="19" max="19" width="16.36328125" style="144" customWidth="1"/>
    <col min="20" max="20" width="14.7265625" style="144" customWidth="1"/>
    <col min="21" max="22" width="33" style="455" customWidth="1"/>
    <col min="23" max="25" width="25.7265625" style="455" customWidth="1"/>
    <col min="26" max="26" width="24.81640625" style="455" customWidth="1"/>
    <col min="27" max="28" width="29" style="455" customWidth="1"/>
    <col min="29" max="29" width="38.36328125" style="455" customWidth="1"/>
    <col min="30" max="31" width="30" style="455" customWidth="1"/>
    <col min="32" max="32" width="43.36328125" style="236" customWidth="1"/>
    <col min="33" max="33" width="27.7265625" style="236" customWidth="1"/>
    <col min="34" max="34" width="25.26953125" style="236" customWidth="1"/>
    <col min="35" max="35" width="34" style="236" customWidth="1"/>
    <col min="36" max="36" width="29.36328125" style="455" customWidth="1"/>
    <col min="37" max="16384" width="8.81640625" style="455"/>
  </cols>
  <sheetData>
    <row r="1" spans="2:40" ht="21" customHeight="1" x14ac:dyDescent="0.5">
      <c r="B1" s="454" t="s">
        <v>2311</v>
      </c>
      <c r="C1" s="454"/>
      <c r="D1" s="454"/>
    </row>
    <row r="3" spans="2:40" ht="28.9" customHeight="1" x14ac:dyDescent="0.35">
      <c r="E3" s="2048" t="s">
        <v>2312</v>
      </c>
      <c r="F3" s="2049"/>
      <c r="G3" s="2049"/>
      <c r="H3" s="2049"/>
      <c r="I3" s="2049"/>
      <c r="J3" s="2049"/>
      <c r="K3" s="2049"/>
      <c r="L3" s="2049"/>
      <c r="M3" s="2049"/>
      <c r="N3" s="2049"/>
      <c r="O3" s="2049"/>
      <c r="P3" s="2049"/>
      <c r="Q3" s="2049"/>
      <c r="R3" s="2049"/>
      <c r="S3" s="2049"/>
      <c r="T3" s="2049"/>
      <c r="U3" s="2050"/>
      <c r="V3" s="2048" t="s">
        <v>2313</v>
      </c>
      <c r="W3" s="2049"/>
      <c r="X3" s="2049"/>
      <c r="Y3" s="2049"/>
      <c r="Z3" s="2049"/>
      <c r="AA3" s="2049"/>
      <c r="AB3" s="2049"/>
      <c r="AC3" s="2049"/>
      <c r="AD3" s="2049"/>
      <c r="AE3" s="2049"/>
      <c r="AF3" s="2049"/>
      <c r="AG3" s="2049"/>
      <c r="AH3" s="2049"/>
      <c r="AI3" s="2049"/>
    </row>
    <row r="4" spans="2:40" s="236" customFormat="1" ht="71.25" customHeight="1" x14ac:dyDescent="0.35">
      <c r="E4" s="460" t="s">
        <v>2314</v>
      </c>
      <c r="F4" s="453" t="s">
        <v>2315</v>
      </c>
      <c r="G4" s="453"/>
      <c r="H4" s="323" t="s">
        <v>2316</v>
      </c>
      <c r="I4" s="452" t="s">
        <v>2317</v>
      </c>
      <c r="J4" s="452" t="s">
        <v>2318</v>
      </c>
      <c r="K4" s="323" t="s">
        <v>2319</v>
      </c>
      <c r="L4" s="234" t="s">
        <v>2320</v>
      </c>
      <c r="M4" s="234" t="s">
        <v>2320</v>
      </c>
      <c r="N4" s="461" t="s">
        <v>2321</v>
      </c>
      <c r="O4" s="461" t="s">
        <v>2321</v>
      </c>
      <c r="P4" s="460" t="s">
        <v>2322</v>
      </c>
      <c r="Q4" s="460" t="s">
        <v>2323</v>
      </c>
      <c r="R4" s="460" t="s">
        <v>2324</v>
      </c>
      <c r="S4" s="418" t="s">
        <v>2325</v>
      </c>
      <c r="T4" s="460" t="s">
        <v>2326</v>
      </c>
      <c r="U4" s="418" t="s">
        <v>2327</v>
      </c>
      <c r="V4" s="198"/>
      <c r="Z4" s="460" t="str">
        <f>E4</f>
        <v>Total Lighting Runtime Hours per year (hours)</v>
      </c>
      <c r="AA4" s="196" t="str">
        <f>L4</f>
        <v>Equivalent Full Load Heating and Cooling Hours by Climate Zone (hours)</v>
      </c>
      <c r="AB4" s="196" t="str">
        <f>M4</f>
        <v>Equivalent Full Load Heating and Cooling Hours by Climate Zone (hours)</v>
      </c>
      <c r="AC4" s="451" t="str">
        <f>N4</f>
        <v>Lighting Interactive Effect for Heating and Cooling (%)</v>
      </c>
      <c r="AD4" s="451" t="str">
        <f>O4</f>
        <v>Lighting Interactive Effect for Heating and Cooling (%)</v>
      </c>
      <c r="AE4" s="323" t="s">
        <v>2328</v>
      </c>
      <c r="AF4" s="461" t="s">
        <v>2329</v>
      </c>
      <c r="AG4" s="461" t="s">
        <v>788</v>
      </c>
      <c r="AH4" s="460" t="s">
        <v>2324</v>
      </c>
      <c r="AI4" s="124" t="s">
        <v>2330</v>
      </c>
      <c r="AJ4" s="264"/>
    </row>
    <row r="5" spans="2:40" s="236" customFormat="1" ht="52.9" customHeight="1" x14ac:dyDescent="0.35">
      <c r="B5" s="262" t="s">
        <v>2331</v>
      </c>
      <c r="C5" s="262" t="s">
        <v>2332</v>
      </c>
      <c r="D5" s="262" t="s">
        <v>2333</v>
      </c>
      <c r="E5" s="247" t="s">
        <v>733</v>
      </c>
      <c r="F5" s="247" t="s">
        <v>1340</v>
      </c>
      <c r="G5" s="247" t="s">
        <v>1413</v>
      </c>
      <c r="H5" s="247" t="s">
        <v>1845</v>
      </c>
      <c r="I5" s="247" t="s">
        <v>1482</v>
      </c>
      <c r="J5" s="247" t="s">
        <v>1475</v>
      </c>
      <c r="K5" s="247" t="s">
        <v>1435</v>
      </c>
      <c r="L5" s="263" t="s">
        <v>530</v>
      </c>
      <c r="M5" s="263" t="s">
        <v>545</v>
      </c>
      <c r="N5" s="247" t="s">
        <v>737</v>
      </c>
      <c r="O5" s="247" t="s">
        <v>741</v>
      </c>
      <c r="P5" s="247" t="s">
        <v>1530</v>
      </c>
      <c r="Q5" s="247" t="s">
        <v>2334</v>
      </c>
      <c r="R5" s="247" t="s">
        <v>2335</v>
      </c>
      <c r="S5" s="247" t="s">
        <v>1871</v>
      </c>
      <c r="T5" s="247" t="s">
        <v>1854</v>
      </c>
      <c r="U5" s="247" t="s">
        <v>790</v>
      </c>
      <c r="V5" s="247" t="s">
        <v>2336</v>
      </c>
      <c r="W5" s="247" t="s">
        <v>2337</v>
      </c>
      <c r="X5" s="247" t="s">
        <v>2338</v>
      </c>
      <c r="Y5" s="247" t="s">
        <v>2339</v>
      </c>
      <c r="Z5" s="247" t="s">
        <v>2340</v>
      </c>
      <c r="AA5" s="247" t="s">
        <v>2341</v>
      </c>
      <c r="AB5" s="247" t="s">
        <v>2342</v>
      </c>
      <c r="AC5" s="247" t="s">
        <v>2343</v>
      </c>
      <c r="AD5" s="247" t="s">
        <v>2344</v>
      </c>
      <c r="AE5" s="247" t="s">
        <v>2345</v>
      </c>
      <c r="AF5" s="247" t="s">
        <v>2346</v>
      </c>
      <c r="AG5" s="247" t="s">
        <v>2347</v>
      </c>
      <c r="AH5" s="247" t="s">
        <v>2348</v>
      </c>
      <c r="AI5" s="247" t="s">
        <v>2349</v>
      </c>
      <c r="AJ5" s="264"/>
    </row>
    <row r="6" spans="2:40" s="1" customFormat="1" ht="116" x14ac:dyDescent="0.35">
      <c r="B6" s="246" t="s">
        <v>1366</v>
      </c>
      <c r="C6" s="246" t="s">
        <v>2350</v>
      </c>
      <c r="D6" s="246" t="s">
        <v>2351</v>
      </c>
      <c r="E6" s="122">
        <v>7884</v>
      </c>
      <c r="F6" s="202">
        <v>8760</v>
      </c>
      <c r="G6" s="359">
        <f>BuildingType[[#This Row],[OPERATING_HOURS]]/8760</f>
        <v>1</v>
      </c>
      <c r="H6" s="122">
        <v>876</v>
      </c>
      <c r="I6" s="122">
        <v>5632</v>
      </c>
      <c r="J6" s="122">
        <v>4155</v>
      </c>
      <c r="K6" s="122">
        <v>2409</v>
      </c>
      <c r="L6" s="233">
        <v>2536.63</v>
      </c>
      <c r="M6" s="233"/>
      <c r="N6" s="156">
        <v>-0.1</v>
      </c>
      <c r="O6" s="157"/>
      <c r="P6" s="265">
        <f>VLOOKUP(BuildingType[[#This Row],[EOrbit Building Type]],Commercial_Baseline!$H$5:$K$35,4,FALSE)*GJ_per_Therm</f>
        <v>-2.1099999999999999E-3</v>
      </c>
      <c r="Q6" s="158">
        <f>VLOOKUP(BuildingType[[#This Row],[EOrbit Building Type]],Commercial_Baseline!$H$5:$K$35,3,FALSE)</f>
        <v>2.8978840846366146E-2</v>
      </c>
      <c r="R6" s="158"/>
      <c r="S6" s="203">
        <f>AVERAGE(21.1,7.8)</f>
        <v>14.450000000000001</v>
      </c>
      <c r="T6" s="159">
        <v>42.6</v>
      </c>
      <c r="U6" s="160"/>
      <c r="V6" s="197" t="s">
        <v>2352</v>
      </c>
      <c r="W6" s="197" t="s">
        <v>2353</v>
      </c>
      <c r="X6" s="197" t="s">
        <v>1471</v>
      </c>
      <c r="Y6" s="197" t="s">
        <v>1425</v>
      </c>
      <c r="Z6" s="145" t="s">
        <v>2354</v>
      </c>
      <c r="AA6" s="145" t="s">
        <v>2354</v>
      </c>
      <c r="AB6" s="145" t="s">
        <v>2354</v>
      </c>
      <c r="AC6" s="157"/>
      <c r="AD6" s="161"/>
      <c r="AE6" s="161" t="s">
        <v>2355</v>
      </c>
      <c r="AF6" s="461" t="s">
        <v>2356</v>
      </c>
      <c r="AG6" s="461"/>
      <c r="AH6" s="478"/>
      <c r="AI6" s="479" t="s">
        <v>2357</v>
      </c>
      <c r="AJ6" s="456"/>
      <c r="AK6" s="455"/>
      <c r="AL6" s="455"/>
      <c r="AM6" s="455"/>
      <c r="AN6" s="455"/>
    </row>
    <row r="7" spans="2:40" s="1" customFormat="1" ht="116" x14ac:dyDescent="0.35">
      <c r="B7" s="246" t="s">
        <v>2267</v>
      </c>
      <c r="C7" s="246" t="s">
        <v>2350</v>
      </c>
      <c r="D7" s="246" t="s">
        <v>2351</v>
      </c>
      <c r="E7" s="122">
        <v>6138</v>
      </c>
      <c r="F7" s="202">
        <f>BuildingType[[#This Row],[HOU]]</f>
        <v>6138</v>
      </c>
      <c r="G7" s="359">
        <f>BuildingType[[#This Row],[OPERATING_HOURS]]/8760</f>
        <v>0.7006849315068493</v>
      </c>
      <c r="H7" s="162"/>
      <c r="I7" s="162">
        <v>6340</v>
      </c>
      <c r="J7" s="162">
        <v>6227</v>
      </c>
      <c r="K7" s="162">
        <v>8683</v>
      </c>
      <c r="L7" s="233">
        <v>2536.63</v>
      </c>
      <c r="M7" s="233"/>
      <c r="N7" s="199">
        <v>-0.1</v>
      </c>
      <c r="O7" s="200"/>
      <c r="P7" s="265">
        <f>VLOOKUP(BuildingType[[#This Row],[EOrbit Building Type]],Commercial_Baseline!$H$5:$K$35,4,FALSE)*GJ_per_Therm</f>
        <v>-2.1099999999999999E-3</v>
      </c>
      <c r="Q7" s="158">
        <f>VLOOKUP(BuildingType[[#This Row],[EOrbit Building Type]],Commercial_Baseline!$H$5:$K$35,3,FALSE)</f>
        <v>2.8978840846366146E-2</v>
      </c>
      <c r="R7" s="201"/>
      <c r="S7" s="203">
        <f>AVERAGE(21.1,7.8)</f>
        <v>14.450000000000001</v>
      </c>
      <c r="T7" s="203">
        <v>0.7</v>
      </c>
      <c r="U7" s="160"/>
      <c r="V7" s="197" t="s">
        <v>2354</v>
      </c>
      <c r="W7" s="197"/>
      <c r="X7" s="197" t="s">
        <v>1471</v>
      </c>
      <c r="Y7" s="197" t="s">
        <v>1425</v>
      </c>
      <c r="Z7" s="145" t="s">
        <v>2354</v>
      </c>
      <c r="AA7" s="145" t="s">
        <v>2354</v>
      </c>
      <c r="AB7" s="145" t="s">
        <v>2354</v>
      </c>
      <c r="AC7" s="157"/>
      <c r="AD7" s="161"/>
      <c r="AE7" s="161" t="s">
        <v>2355</v>
      </c>
      <c r="AF7" s="461" t="s">
        <v>2356</v>
      </c>
      <c r="AG7" s="461"/>
      <c r="AH7" s="478"/>
      <c r="AI7" s="479" t="s">
        <v>2357</v>
      </c>
      <c r="AJ7" s="456"/>
      <c r="AK7" s="455"/>
      <c r="AL7" s="455"/>
      <c r="AM7" s="455"/>
      <c r="AN7" s="455"/>
    </row>
    <row r="8" spans="2:40" s="1" customFormat="1" x14ac:dyDescent="0.35">
      <c r="B8" s="246" t="s">
        <v>2268</v>
      </c>
      <c r="C8" s="246" t="s">
        <v>2350</v>
      </c>
      <c r="D8" s="246" t="s">
        <v>2351</v>
      </c>
      <c r="E8" s="122">
        <v>6138</v>
      </c>
      <c r="F8" s="202">
        <f>BuildingType[[#This Row],[HOU]]</f>
        <v>6138</v>
      </c>
      <c r="G8" s="359">
        <f>BuildingType[[#This Row],[OPERATING_HOURS]]/8760</f>
        <v>0.7006849315068493</v>
      </c>
      <c r="H8" s="162"/>
      <c r="I8" s="162">
        <v>6340</v>
      </c>
      <c r="J8" s="162">
        <v>6227</v>
      </c>
      <c r="K8" s="162"/>
      <c r="L8" s="233">
        <v>2536.63</v>
      </c>
      <c r="M8" s="233"/>
      <c r="N8" s="199">
        <v>-0.1</v>
      </c>
      <c r="O8" s="200"/>
      <c r="P8" s="265">
        <f>VLOOKUP(BuildingType[[#This Row],[EOrbit Building Type]],Commercial_Baseline!$H$5:$K$35,4,FALSE)*GJ_per_Therm</f>
        <v>-2.1099999999999999E-3</v>
      </c>
      <c r="Q8" s="158">
        <f>VLOOKUP(BuildingType[[#This Row],[EOrbit Building Type]],Commercial_Baseline!$H$5:$K$35,3,FALSE)</f>
        <v>2.8978840846366146E-2</v>
      </c>
      <c r="R8" s="201"/>
      <c r="S8" s="203"/>
      <c r="T8" s="203">
        <v>0.7</v>
      </c>
      <c r="U8" s="160"/>
      <c r="V8" s="197" t="s">
        <v>2354</v>
      </c>
      <c r="W8" s="197"/>
      <c r="X8" s="197" t="s">
        <v>1471</v>
      </c>
      <c r="Y8" s="197" t="s">
        <v>1425</v>
      </c>
      <c r="Z8" s="145"/>
      <c r="AA8" s="145"/>
      <c r="AB8" s="145"/>
      <c r="AC8" s="157"/>
      <c r="AD8" s="161"/>
      <c r="AE8" s="161"/>
      <c r="AF8" s="461" t="s">
        <v>2356</v>
      </c>
      <c r="AG8" s="461"/>
      <c r="AH8" s="478"/>
      <c r="AI8" s="479"/>
      <c r="AJ8" s="456"/>
      <c r="AK8" s="455"/>
      <c r="AL8" s="455"/>
      <c r="AM8" s="455"/>
      <c r="AN8" s="455"/>
    </row>
    <row r="9" spans="2:40" s="1" customFormat="1" x14ac:dyDescent="0.35">
      <c r="B9" s="246" t="s">
        <v>811</v>
      </c>
      <c r="C9" s="246" t="s">
        <v>2358</v>
      </c>
      <c r="D9" s="246" t="s">
        <v>2359</v>
      </c>
      <c r="E9" s="122">
        <v>6074</v>
      </c>
      <c r="F9" s="202">
        <v>8760</v>
      </c>
      <c r="G9" s="359">
        <f>BuildingType[[#This Row],[OPERATING_HOURS]]/8760</f>
        <v>1</v>
      </c>
      <c r="H9" s="122">
        <v>876</v>
      </c>
      <c r="I9" s="122">
        <v>5168</v>
      </c>
      <c r="J9" s="122">
        <v>6823</v>
      </c>
      <c r="K9" s="122">
        <v>8760</v>
      </c>
      <c r="L9" s="233">
        <v>2614.4106699751837</v>
      </c>
      <c r="M9" s="233"/>
      <c r="N9" s="156">
        <v>-0.1</v>
      </c>
      <c r="O9" s="157"/>
      <c r="P9" s="265">
        <f>VLOOKUP(BuildingType[[#This Row],[EOrbit Building Type]],Commercial_Baseline!$H$5:$K$35,4,FALSE)*GJ_per_Therm</f>
        <v>-5.2749999999999997E-4</v>
      </c>
      <c r="Q9" s="158">
        <f>VLOOKUP(BuildingType[[#This Row],[EOrbit Building Type]],Commercial_Baseline!$H$5:$K$35,3,FALSE)</f>
        <v>1.218951241950322E-2</v>
      </c>
      <c r="R9" s="158"/>
      <c r="S9" s="203"/>
      <c r="T9" s="159"/>
      <c r="U9" s="160"/>
      <c r="V9" s="197" t="s">
        <v>2352</v>
      </c>
      <c r="W9" s="197" t="s">
        <v>2360</v>
      </c>
      <c r="X9" s="197" t="s">
        <v>1471</v>
      </c>
      <c r="Y9" s="197" t="s">
        <v>1425</v>
      </c>
      <c r="Z9" s="145"/>
      <c r="AA9" s="145"/>
      <c r="AB9" s="145"/>
      <c r="AC9" s="157"/>
      <c r="AD9" s="161"/>
      <c r="AE9" s="161" t="s">
        <v>2355</v>
      </c>
      <c r="AF9" s="461"/>
      <c r="AG9" s="461"/>
      <c r="AH9" s="478"/>
      <c r="AI9" s="479"/>
      <c r="AJ9" s="456"/>
      <c r="AK9" s="455"/>
      <c r="AL9" s="455"/>
      <c r="AM9" s="455"/>
      <c r="AN9" s="455"/>
    </row>
    <row r="10" spans="2:40" s="1" customFormat="1" x14ac:dyDescent="0.35">
      <c r="B10" s="246" t="s">
        <v>812</v>
      </c>
      <c r="C10" s="246" t="s">
        <v>2358</v>
      </c>
      <c r="D10" s="246" t="s">
        <v>2361</v>
      </c>
      <c r="E10" s="122">
        <f>E9</f>
        <v>6074</v>
      </c>
      <c r="F10" s="202">
        <v>8760</v>
      </c>
      <c r="G10" s="359">
        <f>BuildingType[[#This Row],[OPERATING_HOURS]]/8760</f>
        <v>1</v>
      </c>
      <c r="H10" s="122">
        <v>876</v>
      </c>
      <c r="I10" s="122">
        <v>6011</v>
      </c>
      <c r="J10" s="122">
        <v>4996</v>
      </c>
      <c r="K10" s="122">
        <v>8760</v>
      </c>
      <c r="L10" s="235">
        <v>2614.4106699751837</v>
      </c>
      <c r="M10" s="235"/>
      <c r="N10" s="156">
        <v>-0.1</v>
      </c>
      <c r="O10" s="157"/>
      <c r="P10" s="265">
        <f>VLOOKUP(BuildingType[[#This Row],[EOrbit Building Type]],Commercial_Baseline!$H$5:$K$35,4,FALSE)*GJ_per_Therm</f>
        <v>-2.2155E-3</v>
      </c>
      <c r="Q10" s="158">
        <f>VLOOKUP(BuildingType[[#This Row],[EOrbit Building Type]],Commercial_Baseline!$H$5:$K$35,3,FALSE)</f>
        <v>4.2778288868445265E-2</v>
      </c>
      <c r="R10" s="158"/>
      <c r="S10" s="203"/>
      <c r="T10" s="159"/>
      <c r="U10" s="160"/>
      <c r="V10" s="197" t="s">
        <v>2352</v>
      </c>
      <c r="W10" s="197" t="s">
        <v>2360</v>
      </c>
      <c r="X10" s="197" t="s">
        <v>1471</v>
      </c>
      <c r="Y10" s="197" t="s">
        <v>1425</v>
      </c>
      <c r="Z10" s="145"/>
      <c r="AA10" s="145"/>
      <c r="AB10" s="145"/>
      <c r="AC10" s="157"/>
      <c r="AD10" s="161"/>
      <c r="AE10" s="161" t="s">
        <v>2355</v>
      </c>
      <c r="AF10" s="461"/>
      <c r="AG10" s="461"/>
      <c r="AH10" s="478"/>
      <c r="AI10" s="479"/>
      <c r="AJ10" s="456"/>
      <c r="AK10" s="455"/>
      <c r="AL10" s="455"/>
      <c r="AM10" s="455"/>
      <c r="AN10" s="455"/>
    </row>
    <row r="11" spans="2:40" s="1" customFormat="1" ht="48" x14ac:dyDescent="0.35">
      <c r="B11" s="246" t="s">
        <v>1367</v>
      </c>
      <c r="C11" s="246" t="s">
        <v>2358</v>
      </c>
      <c r="D11" s="246" t="s">
        <v>2361</v>
      </c>
      <c r="E11" s="122">
        <v>6074</v>
      </c>
      <c r="F11" s="202">
        <v>8760</v>
      </c>
      <c r="G11" s="359">
        <f>BuildingType[[#This Row],[OPERATING_HOURS]]/8760</f>
        <v>1</v>
      </c>
      <c r="H11" s="122">
        <v>876</v>
      </c>
      <c r="I11" s="122">
        <v>6011</v>
      </c>
      <c r="J11" s="122">
        <v>4996</v>
      </c>
      <c r="K11" s="122">
        <v>8760</v>
      </c>
      <c r="L11" s="233">
        <v>2399.7841191067</v>
      </c>
      <c r="M11" s="233"/>
      <c r="N11" s="156">
        <v>-0.1</v>
      </c>
      <c r="O11" s="157"/>
      <c r="P11" s="265">
        <f>VLOOKUP(BuildingType[[#This Row],[EOrbit Building Type]],Commercial_Baseline!$H$5:$K$35,4,FALSE)*GJ_per_Therm</f>
        <v>-2.2155E-3</v>
      </c>
      <c r="Q11" s="158">
        <f>VLOOKUP(BuildingType[[#This Row],[EOrbit Building Type]],Commercial_Baseline!$H$5:$K$35,3,FALSE)</f>
        <v>4.2778288868445265E-2</v>
      </c>
      <c r="R11" s="158">
        <v>0.22</v>
      </c>
      <c r="S11" s="203"/>
      <c r="T11" s="159"/>
      <c r="U11" s="160"/>
      <c r="V11" s="197" t="s">
        <v>2352</v>
      </c>
      <c r="W11" s="197" t="s">
        <v>2362</v>
      </c>
      <c r="X11" s="197" t="s">
        <v>1471</v>
      </c>
      <c r="Y11" s="197" t="s">
        <v>1425</v>
      </c>
      <c r="Z11" s="145"/>
      <c r="AA11" s="145"/>
      <c r="AB11" s="145"/>
      <c r="AC11" s="157"/>
      <c r="AD11" s="161"/>
      <c r="AE11" s="161" t="s">
        <v>2355</v>
      </c>
      <c r="AF11" s="461"/>
      <c r="AG11" s="461"/>
      <c r="AH11" s="480" t="s">
        <v>2363</v>
      </c>
      <c r="AI11" s="479"/>
      <c r="AJ11" s="456"/>
      <c r="AK11" s="455"/>
      <c r="AL11" s="455"/>
      <c r="AM11" s="455"/>
      <c r="AN11" s="455"/>
    </row>
    <row r="12" spans="2:40" s="1" customFormat="1" x14ac:dyDescent="0.35">
      <c r="B12" s="246" t="s">
        <v>2269</v>
      </c>
      <c r="C12" s="246" t="s">
        <v>32</v>
      </c>
      <c r="D12" s="246" t="s">
        <v>2269</v>
      </c>
      <c r="E12" s="122">
        <v>2857</v>
      </c>
      <c r="F12" s="202">
        <v>3905</v>
      </c>
      <c r="G12" s="359">
        <f>BuildingType[[#This Row],[OPERATING_HOURS]]/8760</f>
        <v>0.44577625570776258</v>
      </c>
      <c r="H12" s="122">
        <v>15000</v>
      </c>
      <c r="I12" s="122">
        <v>4888</v>
      </c>
      <c r="J12" s="122">
        <v>2150</v>
      </c>
      <c r="K12" s="122">
        <v>7235</v>
      </c>
      <c r="L12" s="233">
        <v>2574.08</v>
      </c>
      <c r="M12" s="233"/>
      <c r="N12" s="156">
        <v>-0.1</v>
      </c>
      <c r="O12" s="157"/>
      <c r="P12" s="265">
        <f>VLOOKUP(BuildingType[[#This Row],[EOrbit Building Type]],Commercial_Baseline!$H$5:$K$35,4,FALSE)*GJ_per_Therm</f>
        <v>-1.5824999999999999E-3</v>
      </c>
      <c r="Q12" s="158">
        <f>VLOOKUP(BuildingType[[#This Row],[EOrbit Building Type]],Commercial_Baseline!$H$5:$K$35,3,FALSE)</f>
        <v>1.0349586016559338E-2</v>
      </c>
      <c r="R12" s="158"/>
      <c r="S12" s="203"/>
      <c r="T12" s="159">
        <v>0.66</v>
      </c>
      <c r="U12" s="160"/>
      <c r="V12" s="197" t="s">
        <v>2364</v>
      </c>
      <c r="W12" s="197" t="s">
        <v>2365</v>
      </c>
      <c r="X12" s="197" t="s">
        <v>1471</v>
      </c>
      <c r="Y12" s="197" t="s">
        <v>1425</v>
      </c>
      <c r="Z12" s="145" t="s">
        <v>2354</v>
      </c>
      <c r="AA12" s="145" t="s">
        <v>2354</v>
      </c>
      <c r="AB12" s="145" t="s">
        <v>2354</v>
      </c>
      <c r="AC12" s="157"/>
      <c r="AD12" s="161"/>
      <c r="AE12" s="161" t="s">
        <v>2355</v>
      </c>
      <c r="AF12" s="461" t="s">
        <v>2356</v>
      </c>
      <c r="AG12" s="461"/>
      <c r="AH12" s="478"/>
      <c r="AI12" s="479"/>
      <c r="AJ12" s="456"/>
      <c r="AK12" s="455"/>
      <c r="AL12" s="455"/>
      <c r="AM12" s="455"/>
      <c r="AN12" s="455"/>
    </row>
    <row r="13" spans="2:40" s="1" customFormat="1" x14ac:dyDescent="0.35">
      <c r="B13" s="246" t="s">
        <v>2270</v>
      </c>
      <c r="C13" s="246" t="s">
        <v>2366</v>
      </c>
      <c r="D13" s="246" t="s">
        <v>2367</v>
      </c>
      <c r="E13" s="122">
        <v>4308</v>
      </c>
      <c r="F13" s="202">
        <v>8760</v>
      </c>
      <c r="G13" s="359">
        <f>BuildingType[[#This Row],[OPERATING_HOURS]]/8760</f>
        <v>1</v>
      </c>
      <c r="H13" s="122">
        <v>876</v>
      </c>
      <c r="I13" s="122">
        <v>4711</v>
      </c>
      <c r="J13" s="122">
        <v>4373</v>
      </c>
      <c r="K13" s="122">
        <v>8760</v>
      </c>
      <c r="L13" s="233">
        <v>2424.2700000000004</v>
      </c>
      <c r="M13" s="233"/>
      <c r="N13" s="156">
        <v>-0.1</v>
      </c>
      <c r="O13" s="157"/>
      <c r="P13" s="265">
        <f>VLOOKUP(BuildingType[[#This Row],[EOrbit Building Type]],Commercial_Baseline!$H$5:$K$35,4,FALSE)*GJ_per_Therm</f>
        <v>-3.6925E-3</v>
      </c>
      <c r="Q13" s="158">
        <f>VLOOKUP(BuildingType[[#This Row],[EOrbit Building Type]],Commercial_Baseline!$H$5:$K$35,3,FALSE)</f>
        <v>8.7396504139834411E-3</v>
      </c>
      <c r="R13" s="158"/>
      <c r="S13" s="203"/>
      <c r="T13" s="159">
        <v>42.6</v>
      </c>
      <c r="U13" s="160"/>
      <c r="V13" s="197" t="s">
        <v>2364</v>
      </c>
      <c r="W13" s="197" t="s">
        <v>2353</v>
      </c>
      <c r="X13" s="197" t="s">
        <v>1471</v>
      </c>
      <c r="Y13" s="197" t="s">
        <v>1425</v>
      </c>
      <c r="Z13" s="145" t="s">
        <v>2354</v>
      </c>
      <c r="AA13" s="145" t="s">
        <v>2354</v>
      </c>
      <c r="AB13" s="145" t="s">
        <v>2354</v>
      </c>
      <c r="AC13" s="157"/>
      <c r="AD13" s="161"/>
      <c r="AE13" s="161" t="s">
        <v>2355</v>
      </c>
      <c r="AF13" s="461" t="s">
        <v>2356</v>
      </c>
      <c r="AG13" s="461"/>
      <c r="AH13" s="478"/>
      <c r="AI13" s="479"/>
      <c r="AJ13" s="456"/>
      <c r="AK13" s="455"/>
      <c r="AL13" s="455"/>
      <c r="AM13" s="455"/>
      <c r="AN13" s="455"/>
    </row>
    <row r="14" spans="2:40" s="1" customFormat="1" ht="116" x14ac:dyDescent="0.35">
      <c r="B14" s="246" t="s">
        <v>1665</v>
      </c>
      <c r="C14" s="246" t="s">
        <v>2368</v>
      </c>
      <c r="D14" s="246" t="s">
        <v>1756</v>
      </c>
      <c r="E14" s="122">
        <v>6074</v>
      </c>
      <c r="F14" s="202">
        <v>4823</v>
      </c>
      <c r="G14" s="359">
        <f>BuildingType[[#This Row],[OPERATING_HOURS]]/8760</f>
        <v>0.55057077625570772</v>
      </c>
      <c r="H14" s="122">
        <v>8000</v>
      </c>
      <c r="I14" s="122">
        <v>4136</v>
      </c>
      <c r="J14" s="122">
        <v>2084</v>
      </c>
      <c r="K14" s="122">
        <v>7004</v>
      </c>
      <c r="L14" s="233">
        <v>2133.3049999999998</v>
      </c>
      <c r="M14" s="233"/>
      <c r="N14" s="156">
        <v>-0.1</v>
      </c>
      <c r="O14" s="157"/>
      <c r="P14" s="265">
        <f>VLOOKUP(BuildingType[[#This Row],[EOrbit Building Type]],Commercial_Baseline!$H$5:$K$35,4,FALSE)*GJ_per_Therm</f>
        <v>-3.6925E-3</v>
      </c>
      <c r="Q14" s="158">
        <f>VLOOKUP(BuildingType[[#This Row],[EOrbit Building Type]],Commercial_Baseline!$H$5:$K$35,3,FALSE)</f>
        <v>2.7368905243790247E-2</v>
      </c>
      <c r="R14" s="158"/>
      <c r="S14" s="203">
        <v>0.6</v>
      </c>
      <c r="T14" s="159">
        <v>2.8</v>
      </c>
      <c r="U14" s="160"/>
      <c r="V14" s="197" t="s">
        <v>2364</v>
      </c>
      <c r="W14" s="197" t="s">
        <v>2365</v>
      </c>
      <c r="X14" s="197" t="s">
        <v>1471</v>
      </c>
      <c r="Y14" s="197" t="s">
        <v>1425</v>
      </c>
      <c r="Z14" s="145" t="s">
        <v>2354</v>
      </c>
      <c r="AA14" s="145" t="s">
        <v>2354</v>
      </c>
      <c r="AB14" s="145" t="s">
        <v>2354</v>
      </c>
      <c r="AC14" s="157"/>
      <c r="AD14" s="161"/>
      <c r="AE14" s="161" t="s">
        <v>2355</v>
      </c>
      <c r="AF14" s="461" t="s">
        <v>2356</v>
      </c>
      <c r="AG14" s="461"/>
      <c r="AH14" s="478"/>
      <c r="AI14" s="479" t="s">
        <v>2369</v>
      </c>
      <c r="AJ14" s="456"/>
      <c r="AK14" s="455"/>
      <c r="AL14" s="455"/>
      <c r="AM14" s="455"/>
      <c r="AN14" s="455"/>
    </row>
    <row r="15" spans="2:40" s="1" customFormat="1" ht="116" x14ac:dyDescent="0.35">
      <c r="B15" s="246" t="s">
        <v>2271</v>
      </c>
      <c r="C15" s="246" t="s">
        <v>1757</v>
      </c>
      <c r="D15" s="246" t="s">
        <v>2271</v>
      </c>
      <c r="E15" s="122">
        <v>4089</v>
      </c>
      <c r="F15" s="202">
        <v>3342</v>
      </c>
      <c r="G15" s="359">
        <f>BuildingType[[#This Row],[OPERATING_HOURS]]/8760</f>
        <v>0.38150684931506851</v>
      </c>
      <c r="H15" s="122">
        <v>16000</v>
      </c>
      <c r="I15" s="122">
        <v>4849</v>
      </c>
      <c r="J15" s="122">
        <v>2102</v>
      </c>
      <c r="K15" s="122">
        <v>7357</v>
      </c>
      <c r="L15" s="233">
        <v>1418.8400000000001</v>
      </c>
      <c r="M15" s="233"/>
      <c r="N15" s="156">
        <v>-0.1</v>
      </c>
      <c r="O15" s="157"/>
      <c r="P15" s="265">
        <f>VLOOKUP(BuildingType[[#This Row],[EOrbit Building Type]],Commercial_Baseline!$H$5:$K$35,4,FALSE)*GJ_per_Therm</f>
        <v>0</v>
      </c>
      <c r="Q15" s="158">
        <f>VLOOKUP(BuildingType[[#This Row],[EOrbit Building Type]],Commercial_Baseline!$H$5:$K$35,3,FALSE)</f>
        <v>9.3606255749770009E-2</v>
      </c>
      <c r="R15" s="158"/>
      <c r="S15" s="203">
        <v>0.2</v>
      </c>
      <c r="T15" s="159">
        <v>0.9</v>
      </c>
      <c r="U15" s="160"/>
      <c r="V15" s="197" t="s">
        <v>2364</v>
      </c>
      <c r="W15" s="197" t="s">
        <v>2365</v>
      </c>
      <c r="X15" s="197" t="s">
        <v>1471</v>
      </c>
      <c r="Y15" s="197" t="s">
        <v>1425</v>
      </c>
      <c r="Z15" s="145" t="s">
        <v>2354</v>
      </c>
      <c r="AA15" s="145" t="s">
        <v>2354</v>
      </c>
      <c r="AB15" s="145" t="s">
        <v>2354</v>
      </c>
      <c r="AC15" s="157"/>
      <c r="AD15" s="161"/>
      <c r="AE15" s="161" t="s">
        <v>2355</v>
      </c>
      <c r="AF15" s="461" t="s">
        <v>2356</v>
      </c>
      <c r="AG15" s="461"/>
      <c r="AH15" s="478"/>
      <c r="AI15" s="479" t="s">
        <v>2369</v>
      </c>
      <c r="AJ15" s="456"/>
      <c r="AK15" s="455"/>
      <c r="AL15" s="455"/>
      <c r="AM15" s="455"/>
      <c r="AN15" s="455"/>
    </row>
    <row r="16" spans="2:40" s="1" customFormat="1" ht="116" x14ac:dyDescent="0.35">
      <c r="B16" s="246" t="s">
        <v>1365</v>
      </c>
      <c r="C16" s="246" t="s">
        <v>2370</v>
      </c>
      <c r="D16" s="246" t="s">
        <v>2371</v>
      </c>
      <c r="E16" s="122">
        <v>4308</v>
      </c>
      <c r="F16" s="202">
        <v>3428</v>
      </c>
      <c r="G16" s="359">
        <f>BuildingType[[#This Row],[OPERATING_HOURS]]/8760</f>
        <v>0.39132420091324199</v>
      </c>
      <c r="H16" s="122">
        <v>27000</v>
      </c>
      <c r="I16" s="122">
        <v>8760</v>
      </c>
      <c r="J16" s="122">
        <v>6364</v>
      </c>
      <c r="K16" s="122">
        <v>4314</v>
      </c>
      <c r="L16" s="233">
        <v>2274.4650000000001</v>
      </c>
      <c r="M16" s="233"/>
      <c r="N16" s="156">
        <v>-0.1</v>
      </c>
      <c r="O16" s="157"/>
      <c r="P16" s="265">
        <f>VLOOKUP(BuildingType[[#This Row],[EOrbit Building Type]],Commercial_Baseline!$H$5:$K$35,4,FALSE)*GJ_per_Therm</f>
        <v>-2.1099999999999999E-3</v>
      </c>
      <c r="Q16" s="158">
        <f>VLOOKUP(BuildingType[[#This Row],[EOrbit Building Type]],Commercial_Baseline!$H$5:$K$35,3,FALSE)</f>
        <v>8.049678012879485E-3</v>
      </c>
      <c r="R16" s="158"/>
      <c r="S16" s="325">
        <v>27.8</v>
      </c>
      <c r="T16" s="163">
        <v>11.7</v>
      </c>
      <c r="U16" s="168"/>
      <c r="V16" s="197" t="s">
        <v>2364</v>
      </c>
      <c r="W16" s="197" t="s">
        <v>2365</v>
      </c>
      <c r="X16" s="197" t="s">
        <v>1471</v>
      </c>
      <c r="Y16" s="197" t="s">
        <v>1425</v>
      </c>
      <c r="Z16" s="145" t="s">
        <v>2354</v>
      </c>
      <c r="AA16" s="145" t="s">
        <v>2354</v>
      </c>
      <c r="AB16" s="145" t="s">
        <v>2354</v>
      </c>
      <c r="AC16" s="157"/>
      <c r="AD16" s="161"/>
      <c r="AE16" s="161" t="s">
        <v>2355</v>
      </c>
      <c r="AF16" s="461" t="s">
        <v>2372</v>
      </c>
      <c r="AG16" s="461"/>
      <c r="AH16" s="478"/>
      <c r="AI16" s="479" t="s">
        <v>2373</v>
      </c>
      <c r="AJ16" s="456"/>
      <c r="AK16" s="455"/>
      <c r="AL16" s="455"/>
      <c r="AM16" s="455"/>
      <c r="AN16" s="455"/>
    </row>
    <row r="17" spans="2:40" s="1" customFormat="1" ht="48" x14ac:dyDescent="0.35">
      <c r="B17" s="322" t="s">
        <v>569</v>
      </c>
      <c r="C17" s="322" t="s">
        <v>2374</v>
      </c>
      <c r="D17" s="322"/>
      <c r="E17" s="122">
        <f>2.8*365</f>
        <v>1021.9999999999999</v>
      </c>
      <c r="F17" s="202">
        <v>8760</v>
      </c>
      <c r="G17" s="359">
        <f>BuildingType[[#This Row],[OPERATING_HOURS]]/8760</f>
        <v>1</v>
      </c>
      <c r="H17" s="122">
        <v>1430</v>
      </c>
      <c r="I17" s="122"/>
      <c r="J17" s="122"/>
      <c r="K17" s="122"/>
      <c r="L17" s="233">
        <v>1095</v>
      </c>
      <c r="M17" s="233">
        <v>467</v>
      </c>
      <c r="N17" s="164">
        <v>-0.57999999999999996</v>
      </c>
      <c r="O17" s="165">
        <v>0.04</v>
      </c>
      <c r="P17" s="318"/>
      <c r="Q17" s="158"/>
      <c r="R17" s="158">
        <v>0.13</v>
      </c>
      <c r="S17" s="203"/>
      <c r="T17" s="159"/>
      <c r="U17" s="197">
        <v>2.1</v>
      </c>
      <c r="V17" s="197" t="s">
        <v>2352</v>
      </c>
      <c r="W17" s="197" t="s">
        <v>2360</v>
      </c>
      <c r="X17" s="197" t="s">
        <v>1471</v>
      </c>
      <c r="Y17" s="197" t="s">
        <v>1425</v>
      </c>
      <c r="Z17" s="145" t="s">
        <v>2375</v>
      </c>
      <c r="AA17" s="157"/>
      <c r="AB17" s="157"/>
      <c r="AC17" s="145" t="s">
        <v>2376</v>
      </c>
      <c r="AD17" s="145" t="s">
        <v>2376</v>
      </c>
      <c r="AE17" s="324"/>
      <c r="AF17" s="461"/>
      <c r="AG17" s="461" t="s">
        <v>2377</v>
      </c>
      <c r="AH17" s="480" t="s">
        <v>2363</v>
      </c>
      <c r="AI17" s="479"/>
      <c r="AJ17" s="456"/>
      <c r="AK17" s="455"/>
      <c r="AL17" s="455"/>
      <c r="AM17" s="455"/>
      <c r="AN17" s="455"/>
    </row>
    <row r="18" spans="2:40" s="1" customFormat="1" ht="48" x14ac:dyDescent="0.35">
      <c r="B18" s="322" t="s">
        <v>30</v>
      </c>
      <c r="C18" s="322" t="s">
        <v>2374</v>
      </c>
      <c r="D18" s="322"/>
      <c r="E18" s="122">
        <f>2.8*365</f>
        <v>1021.9999999999999</v>
      </c>
      <c r="F18" s="202">
        <v>8760</v>
      </c>
      <c r="G18" s="359">
        <f>BuildingType[[#This Row],[OPERATING_HOURS]]/8760</f>
        <v>1</v>
      </c>
      <c r="H18" s="122">
        <v>2120</v>
      </c>
      <c r="I18" s="122"/>
      <c r="J18" s="122"/>
      <c r="K18" s="122"/>
      <c r="L18" s="233">
        <v>1200</v>
      </c>
      <c r="M18" s="233">
        <v>512</v>
      </c>
      <c r="N18" s="164">
        <v>-0.57999999999999996</v>
      </c>
      <c r="O18" s="165">
        <v>0.04</v>
      </c>
      <c r="P18" s="318"/>
      <c r="Q18" s="158"/>
      <c r="R18" s="158">
        <v>0.61</v>
      </c>
      <c r="S18" s="203"/>
      <c r="T18" s="159"/>
      <c r="U18" s="197">
        <v>2.56</v>
      </c>
      <c r="V18" s="197" t="s">
        <v>2352</v>
      </c>
      <c r="W18" s="197" t="s">
        <v>2360</v>
      </c>
      <c r="X18" s="197" t="s">
        <v>1471</v>
      </c>
      <c r="Y18" s="197" t="s">
        <v>1425</v>
      </c>
      <c r="Z18" s="145" t="s">
        <v>2375</v>
      </c>
      <c r="AA18" s="157"/>
      <c r="AB18" s="157"/>
      <c r="AC18" s="145" t="s">
        <v>2376</v>
      </c>
      <c r="AD18" s="145" t="s">
        <v>2376</v>
      </c>
      <c r="AE18" s="324"/>
      <c r="AF18" s="461"/>
      <c r="AG18" s="461" t="s">
        <v>2377</v>
      </c>
      <c r="AH18" s="480" t="s">
        <v>2363</v>
      </c>
      <c r="AI18" s="479"/>
      <c r="AJ18" s="456"/>
      <c r="AK18" s="455"/>
      <c r="AL18" s="455"/>
      <c r="AM18" s="455"/>
      <c r="AN18" s="455"/>
    </row>
    <row r="19" spans="2:40" s="1" customFormat="1" x14ac:dyDescent="0.35">
      <c r="B19" s="166" t="s">
        <v>814</v>
      </c>
      <c r="C19" s="166"/>
      <c r="D19" s="166"/>
      <c r="E19" s="122">
        <f>2.8*365</f>
        <v>1021.9999999999999</v>
      </c>
      <c r="F19" s="202">
        <v>8760</v>
      </c>
      <c r="G19" s="359">
        <f>BuildingType[[#This Row],[OPERATING_HOURS]]/8760</f>
        <v>1</v>
      </c>
      <c r="H19" s="122">
        <f>AVERAGE(H17:H18)</f>
        <v>1775</v>
      </c>
      <c r="I19" s="122"/>
      <c r="J19" s="122"/>
      <c r="K19" s="122"/>
      <c r="L19" s="233">
        <v>1200</v>
      </c>
      <c r="M19" s="233"/>
      <c r="N19" s="164">
        <v>-0.57999999999999996</v>
      </c>
      <c r="O19" s="165">
        <v>0.04</v>
      </c>
      <c r="P19" s="318"/>
      <c r="Q19" s="158"/>
      <c r="R19" s="158"/>
      <c r="S19" s="203"/>
      <c r="T19" s="159"/>
      <c r="U19" s="197">
        <v>2.42</v>
      </c>
      <c r="V19" s="197" t="s">
        <v>2352</v>
      </c>
      <c r="W19" s="197" t="s">
        <v>2360</v>
      </c>
      <c r="X19" s="197" t="s">
        <v>1471</v>
      </c>
      <c r="Y19" s="197" t="s">
        <v>1425</v>
      </c>
      <c r="Z19" s="145" t="s">
        <v>2375</v>
      </c>
      <c r="AA19" s="157"/>
      <c r="AB19" s="157"/>
      <c r="AC19" s="145" t="s">
        <v>2376</v>
      </c>
      <c r="AD19" s="145" t="s">
        <v>2376</v>
      </c>
      <c r="AE19" s="324"/>
      <c r="AF19" s="461"/>
      <c r="AG19" s="461" t="s">
        <v>2378</v>
      </c>
      <c r="AH19" s="478"/>
      <c r="AI19" s="479"/>
      <c r="AJ19" s="456"/>
      <c r="AK19" s="455"/>
      <c r="AL19" s="455"/>
      <c r="AM19" s="455"/>
      <c r="AN19" s="455"/>
    </row>
    <row r="20" spans="2:40" s="345" customFormat="1" ht="116" x14ac:dyDescent="0.35">
      <c r="B20" s="333" t="s">
        <v>1368</v>
      </c>
      <c r="C20" s="333" t="s">
        <v>1368</v>
      </c>
      <c r="D20" s="333" t="s">
        <v>1368</v>
      </c>
      <c r="E20" s="334">
        <v>5182</v>
      </c>
      <c r="F20" s="335">
        <v>8760</v>
      </c>
      <c r="G20" s="359">
        <f>BuildingType[[#This Row],[OPERATING_HOURS]]/8760</f>
        <v>1</v>
      </c>
      <c r="H20" s="334">
        <v>207621.15557276524</v>
      </c>
      <c r="I20" s="334">
        <v>8107</v>
      </c>
      <c r="J20" s="334">
        <v>8707</v>
      </c>
      <c r="K20" s="334">
        <v>4666</v>
      </c>
      <c r="L20" s="336">
        <v>2341.6849999999999</v>
      </c>
      <c r="M20" s="336"/>
      <c r="N20" s="337">
        <v>-0.1</v>
      </c>
      <c r="O20" s="338"/>
      <c r="P20" s="318">
        <f>VLOOKUP(BuildingType[[#This Row],[EOrbit Building Type]],Commercial_Baseline!$H$5:$K$35,4,FALSE)*GJ_per_Therm</f>
        <v>-9.4949999999999993E-4</v>
      </c>
      <c r="Q20" s="339">
        <f>VLOOKUP(BuildingType[[#This Row],[EOrbit Building Type]],Commercial_Baseline!$H$5:$K$35,3,FALSE)</f>
        <v>2.5298988040478379E-3</v>
      </c>
      <c r="R20" s="339"/>
      <c r="S20" s="340">
        <v>27.8</v>
      </c>
      <c r="T20" s="341">
        <v>18.8</v>
      </c>
      <c r="U20" s="342"/>
      <c r="V20" s="343" t="s">
        <v>2364</v>
      </c>
      <c r="W20" s="343" t="s">
        <v>2362</v>
      </c>
      <c r="X20" s="197" t="s">
        <v>1471</v>
      </c>
      <c r="Y20" s="197" t="s">
        <v>1425</v>
      </c>
      <c r="Z20" s="344" t="s">
        <v>2354</v>
      </c>
      <c r="AA20" s="344" t="s">
        <v>2354</v>
      </c>
      <c r="AB20" s="344" t="s">
        <v>2354</v>
      </c>
      <c r="AC20" s="338"/>
      <c r="AD20" s="338"/>
      <c r="AE20" s="338" t="s">
        <v>2355</v>
      </c>
      <c r="AF20" s="481" t="s">
        <v>2372</v>
      </c>
      <c r="AG20" s="481"/>
      <c r="AH20" s="482"/>
      <c r="AI20" s="483" t="s">
        <v>2373</v>
      </c>
      <c r="AJ20" s="457"/>
      <c r="AK20" s="458"/>
      <c r="AL20" s="458"/>
      <c r="AM20" s="458"/>
      <c r="AN20" s="458"/>
    </row>
    <row r="21" spans="2:40" s="1" customFormat="1" x14ac:dyDescent="0.35">
      <c r="B21" s="246" t="s">
        <v>2272</v>
      </c>
      <c r="C21" s="246" t="s">
        <v>2379</v>
      </c>
      <c r="D21" s="246" t="s">
        <v>2380</v>
      </c>
      <c r="E21" s="122">
        <v>4200</v>
      </c>
      <c r="F21" s="202">
        <v>4848</v>
      </c>
      <c r="G21" s="359">
        <f>BuildingType[[#This Row],[OPERATING_HOURS]]/8760</f>
        <v>0.55342465753424652</v>
      </c>
      <c r="H21" s="122">
        <v>16000</v>
      </c>
      <c r="I21" s="122">
        <v>3821</v>
      </c>
      <c r="J21" s="122">
        <v>2805</v>
      </c>
      <c r="K21" s="122">
        <v>8706</v>
      </c>
      <c r="L21" s="233">
        <v>1509.585</v>
      </c>
      <c r="M21" s="233"/>
      <c r="N21" s="156">
        <v>-0.1</v>
      </c>
      <c r="O21" s="157"/>
      <c r="P21" s="265">
        <f>VLOOKUP(BuildingType[[#This Row],[EOrbit Building Type]],Commercial_Baseline!$H$5:$K$35,4,FALSE)*GJ_per_Therm</f>
        <v>-1.266E-3</v>
      </c>
      <c r="Q21" s="158">
        <f>VLOOKUP(BuildingType[[#This Row],[EOrbit Building Type]],Commercial_Baseline!$H$5:$K$35,3,FALSE)</f>
        <v>8.946642134314628E-2</v>
      </c>
      <c r="R21" s="158"/>
      <c r="S21" s="203"/>
      <c r="T21" s="159">
        <v>0.9</v>
      </c>
      <c r="U21" s="160"/>
      <c r="V21" s="197" t="s">
        <v>2364</v>
      </c>
      <c r="W21" s="197" t="s">
        <v>2365</v>
      </c>
      <c r="X21" s="197" t="s">
        <v>1471</v>
      </c>
      <c r="Y21" s="197" t="s">
        <v>1425</v>
      </c>
      <c r="Z21" s="145" t="s">
        <v>2354</v>
      </c>
      <c r="AA21" s="145" t="s">
        <v>2354</v>
      </c>
      <c r="AB21" s="145" t="s">
        <v>2354</v>
      </c>
      <c r="AC21" s="157"/>
      <c r="AD21" s="161"/>
      <c r="AE21" s="161" t="s">
        <v>2355</v>
      </c>
      <c r="AF21" s="461" t="s">
        <v>2356</v>
      </c>
      <c r="AG21" s="461"/>
      <c r="AH21" s="478"/>
      <c r="AI21" s="479"/>
      <c r="AJ21" s="456"/>
      <c r="AK21" s="455"/>
      <c r="AL21" s="455"/>
      <c r="AM21" s="455"/>
      <c r="AN21" s="455"/>
    </row>
    <row r="22" spans="2:40" s="1" customFormat="1" ht="116" x14ac:dyDescent="0.35">
      <c r="B22" s="246" t="s">
        <v>2381</v>
      </c>
      <c r="C22" s="246" t="s">
        <v>32</v>
      </c>
      <c r="D22" s="246" t="s">
        <v>2382</v>
      </c>
      <c r="E22" s="122">
        <v>2857</v>
      </c>
      <c r="F22" s="202">
        <v>5110</v>
      </c>
      <c r="G22" s="359">
        <f>BuildingType[[#This Row],[OPERATING_HOURS]]/8760</f>
        <v>0.58333333333333337</v>
      </c>
      <c r="H22" s="122">
        <v>10566.031269229292</v>
      </c>
      <c r="I22" s="122">
        <v>5063</v>
      </c>
      <c r="J22" s="122">
        <v>2120</v>
      </c>
      <c r="K22" s="122">
        <v>7505</v>
      </c>
      <c r="L22" s="233">
        <v>2759.895</v>
      </c>
      <c r="M22" s="233"/>
      <c r="N22" s="156">
        <v>-0.1</v>
      </c>
      <c r="O22" s="157"/>
      <c r="P22" s="265">
        <f>VLOOKUP(BuildingType[[#This Row],[EOrbit Building Type]],Commercial_Baseline!$H$5:$K$35,4,FALSE)*GJ_per_Therm</f>
        <v>-3.0595000000000002E-3</v>
      </c>
      <c r="Q22" s="158">
        <f>VLOOKUP(BuildingType[[#This Row],[EOrbit Building Type]],Commercial_Baseline!$H$5:$K$35,3,FALSE)</f>
        <v>4.5998160073597056E-4</v>
      </c>
      <c r="R22" s="158"/>
      <c r="S22" s="203">
        <v>0.2</v>
      </c>
      <c r="T22" s="159">
        <v>7.7</v>
      </c>
      <c r="U22" s="160"/>
      <c r="V22" s="197" t="s">
        <v>2364</v>
      </c>
      <c r="W22" s="197" t="s">
        <v>2362</v>
      </c>
      <c r="X22" s="197" t="s">
        <v>1471</v>
      </c>
      <c r="Y22" s="197" t="s">
        <v>1425</v>
      </c>
      <c r="Z22" s="145" t="s">
        <v>2354</v>
      </c>
      <c r="AA22" s="145" t="s">
        <v>2354</v>
      </c>
      <c r="AB22" s="145" t="s">
        <v>2354</v>
      </c>
      <c r="AC22" s="157"/>
      <c r="AD22" s="161"/>
      <c r="AE22" s="161" t="s">
        <v>2355</v>
      </c>
      <c r="AF22" s="461" t="s">
        <v>2372</v>
      </c>
      <c r="AG22" s="461"/>
      <c r="AH22" s="478"/>
      <c r="AI22" s="479" t="s">
        <v>2383</v>
      </c>
      <c r="AJ22" s="456"/>
      <c r="AK22" s="455"/>
      <c r="AL22" s="455"/>
      <c r="AM22" s="455"/>
      <c r="AN22" s="455"/>
    </row>
    <row r="23" spans="2:40" s="345" customFormat="1" ht="116" x14ac:dyDescent="0.35">
      <c r="B23" s="333" t="s">
        <v>1371</v>
      </c>
      <c r="C23" s="333" t="s">
        <v>2384</v>
      </c>
      <c r="D23" s="333" t="s">
        <v>2385</v>
      </c>
      <c r="E23" s="334">
        <v>3610</v>
      </c>
      <c r="F23" s="335">
        <v>2301</v>
      </c>
      <c r="G23" s="359">
        <f>BuildingType[[#This Row],[OPERATING_HOURS]]/8760</f>
        <v>0.26267123287671235</v>
      </c>
      <c r="H23" s="334">
        <v>31194.95419341767</v>
      </c>
      <c r="I23" s="334">
        <v>5646</v>
      </c>
      <c r="J23" s="334">
        <v>3414</v>
      </c>
      <c r="K23" s="334">
        <v>2369</v>
      </c>
      <c r="L23" s="336">
        <v>2509.7399999999998</v>
      </c>
      <c r="M23" s="336"/>
      <c r="N23" s="337">
        <v>-0.1</v>
      </c>
      <c r="O23" s="338"/>
      <c r="P23" s="318">
        <f>VLOOKUP(BuildingType[[#This Row],[EOrbit Building Type]],Commercial_Baseline!$H$5:$K$35,4,FALSE)*GJ_per_Therm</f>
        <v>-6.3299999999999999E-4</v>
      </c>
      <c r="Q23" s="339">
        <f>VLOOKUP(BuildingType[[#This Row],[EOrbit Building Type]],Commercial_Baseline!$H$5:$K$35,3,FALSE)</f>
        <v>1.3109475620975161E-2</v>
      </c>
      <c r="R23" s="339"/>
      <c r="S23" s="340">
        <v>2.2999999999999998</v>
      </c>
      <c r="T23" s="341">
        <v>2.2000000000000002</v>
      </c>
      <c r="U23" s="342"/>
      <c r="V23" s="343" t="s">
        <v>2364</v>
      </c>
      <c r="W23" s="343" t="s">
        <v>2362</v>
      </c>
      <c r="X23" s="197" t="s">
        <v>1471</v>
      </c>
      <c r="Y23" s="197" t="s">
        <v>1425</v>
      </c>
      <c r="Z23" s="344" t="s">
        <v>2354</v>
      </c>
      <c r="AA23" s="344" t="s">
        <v>2354</v>
      </c>
      <c r="AB23" s="344" t="s">
        <v>2354</v>
      </c>
      <c r="AC23" s="338"/>
      <c r="AD23" s="338"/>
      <c r="AE23" s="338" t="s">
        <v>2355</v>
      </c>
      <c r="AF23" s="481" t="s">
        <v>2356</v>
      </c>
      <c r="AG23" s="481"/>
      <c r="AH23" s="482"/>
      <c r="AI23" s="483" t="s">
        <v>2386</v>
      </c>
      <c r="AJ23" s="457"/>
      <c r="AK23" s="458"/>
      <c r="AL23" s="458"/>
      <c r="AM23" s="458"/>
      <c r="AN23" s="458"/>
    </row>
    <row r="24" spans="2:40" s="1" customFormat="1" ht="116" x14ac:dyDescent="0.35">
      <c r="B24" s="246" t="s">
        <v>1369</v>
      </c>
      <c r="C24" s="246" t="s">
        <v>2384</v>
      </c>
      <c r="D24" s="246" t="s">
        <v>2387</v>
      </c>
      <c r="E24" s="122">
        <v>3610</v>
      </c>
      <c r="F24" s="202">
        <v>2259</v>
      </c>
      <c r="G24" s="359">
        <f>BuildingType[[#This Row],[OPERATING_HOURS]]/8760</f>
        <v>0.25787671232876713</v>
      </c>
      <c r="H24" s="122">
        <v>12000</v>
      </c>
      <c r="I24" s="122">
        <v>3834</v>
      </c>
      <c r="J24" s="122">
        <v>3835</v>
      </c>
      <c r="K24" s="122">
        <v>6345</v>
      </c>
      <c r="L24" s="233">
        <v>2056.96</v>
      </c>
      <c r="M24" s="233"/>
      <c r="N24" s="156">
        <v>-0.1</v>
      </c>
      <c r="O24" s="157"/>
      <c r="P24" s="265">
        <f>VLOOKUP(BuildingType[[#This Row],[EOrbit Building Type]],Commercial_Baseline!$H$5:$K$35,4,FALSE)*GJ_per_Therm</f>
        <v>-1.0549999999999999E-3</v>
      </c>
      <c r="Q24" s="158">
        <f>VLOOKUP(BuildingType[[#This Row],[EOrbit Building Type]],Commercial_Baseline!$H$5:$K$35,3,FALSE)</f>
        <v>7.8886844526218955E-2</v>
      </c>
      <c r="R24" s="158"/>
      <c r="S24" s="325">
        <v>2.2999999999999998</v>
      </c>
      <c r="T24" s="163">
        <v>2.2000000000000002</v>
      </c>
      <c r="U24" s="160"/>
      <c r="V24" s="197" t="s">
        <v>2364</v>
      </c>
      <c r="W24" s="197" t="s">
        <v>2353</v>
      </c>
      <c r="X24" s="197" t="s">
        <v>1471</v>
      </c>
      <c r="Y24" s="197" t="s">
        <v>1425</v>
      </c>
      <c r="Z24" s="145" t="s">
        <v>2354</v>
      </c>
      <c r="AA24" s="145" t="s">
        <v>2354</v>
      </c>
      <c r="AB24" s="145" t="s">
        <v>2354</v>
      </c>
      <c r="AC24" s="157"/>
      <c r="AD24" s="161"/>
      <c r="AE24" s="161" t="s">
        <v>2355</v>
      </c>
      <c r="AF24" s="461" t="s">
        <v>2356</v>
      </c>
      <c r="AG24" s="461"/>
      <c r="AH24" s="478"/>
      <c r="AI24" s="479" t="s">
        <v>2388</v>
      </c>
      <c r="AJ24" s="456"/>
      <c r="AK24" s="455"/>
      <c r="AL24" s="455"/>
      <c r="AM24" s="455"/>
      <c r="AN24" s="455"/>
    </row>
    <row r="25" spans="2:40" s="1" customFormat="1" ht="116" x14ac:dyDescent="0.35">
      <c r="B25" s="246" t="s">
        <v>1370</v>
      </c>
      <c r="C25" s="246" t="s">
        <v>2384</v>
      </c>
      <c r="D25" s="246" t="s">
        <v>2389</v>
      </c>
      <c r="E25" s="122">
        <v>3610</v>
      </c>
      <c r="F25" s="202">
        <v>2301</v>
      </c>
      <c r="G25" s="359">
        <f>BuildingType[[#This Row],[OPERATING_HOURS]]/8760</f>
        <v>0.26267123287671235</v>
      </c>
      <c r="H25" s="122">
        <v>16000</v>
      </c>
      <c r="I25" s="122">
        <v>6119</v>
      </c>
      <c r="J25" s="122">
        <v>3040</v>
      </c>
      <c r="K25" s="122">
        <v>3440</v>
      </c>
      <c r="L25" s="233">
        <v>2283.1099999999997</v>
      </c>
      <c r="M25" s="233"/>
      <c r="N25" s="156">
        <v>-0.1</v>
      </c>
      <c r="O25" s="157"/>
      <c r="P25" s="265">
        <f>VLOOKUP(BuildingType[[#This Row],[EOrbit Building Type]],Commercial_Baseline!$H$5:$K$35,4,FALSE)*GJ_per_Therm</f>
        <v>-1.688E-3</v>
      </c>
      <c r="Q25" s="158">
        <f>VLOOKUP(BuildingType[[#This Row],[EOrbit Building Type]],Commercial_Baseline!$H$5:$K$35,3,FALSE)</f>
        <v>2.046918123275069E-2</v>
      </c>
      <c r="R25" s="158"/>
      <c r="S25" s="325">
        <v>2.2999999999999998</v>
      </c>
      <c r="T25" s="163">
        <v>2.2000000000000002</v>
      </c>
      <c r="U25" s="160"/>
      <c r="V25" s="197" t="s">
        <v>2364</v>
      </c>
      <c r="W25" s="197" t="s">
        <v>2353</v>
      </c>
      <c r="X25" s="197" t="s">
        <v>1471</v>
      </c>
      <c r="Y25" s="197" t="s">
        <v>1425</v>
      </c>
      <c r="Z25" s="145" t="s">
        <v>2354</v>
      </c>
      <c r="AA25" s="145" t="s">
        <v>2354</v>
      </c>
      <c r="AB25" s="145" t="s">
        <v>2354</v>
      </c>
      <c r="AC25" s="157"/>
      <c r="AD25" s="161"/>
      <c r="AE25" s="161" t="s">
        <v>2355</v>
      </c>
      <c r="AF25" s="461" t="s">
        <v>2356</v>
      </c>
      <c r="AG25" s="461"/>
      <c r="AH25" s="478"/>
      <c r="AI25" s="479" t="s">
        <v>2386</v>
      </c>
      <c r="AJ25" s="456"/>
      <c r="AK25" s="455"/>
      <c r="AL25" s="455"/>
      <c r="AM25" s="455"/>
      <c r="AN25" s="455"/>
    </row>
    <row r="26" spans="2:40" s="1" customFormat="1" ht="116" x14ac:dyDescent="0.35">
      <c r="B26" s="246" t="s">
        <v>32</v>
      </c>
      <c r="C26" s="246" t="s">
        <v>32</v>
      </c>
      <c r="D26" s="246" t="s">
        <v>887</v>
      </c>
      <c r="E26" s="122">
        <v>2857</v>
      </c>
      <c r="F26" s="202">
        <f>BuildingType[[#This Row],[HOU]]</f>
        <v>2857</v>
      </c>
      <c r="G26" s="359">
        <f>BuildingType[[#This Row],[OPERATING_HOURS]]/8760</f>
        <v>0.32614155251141552</v>
      </c>
      <c r="H26" s="202">
        <v>16000</v>
      </c>
      <c r="I26" s="122">
        <v>5038</v>
      </c>
      <c r="J26" s="122">
        <v>2987</v>
      </c>
      <c r="K26" s="202">
        <v>6241</v>
      </c>
      <c r="L26" s="233">
        <v>2536.63</v>
      </c>
      <c r="M26" s="233"/>
      <c r="N26" s="199">
        <v>-0.1</v>
      </c>
      <c r="O26" s="200"/>
      <c r="P26" s="265">
        <f>VLOOKUP(BuildingType[[#This Row],[EOrbit Building Type]],Commercial_Baseline!$H$5:$K$35,4,FALSE)*GJ_per_Therm</f>
        <v>-1.5824999999999999E-3</v>
      </c>
      <c r="Q26" s="158">
        <f>VLOOKUP(BuildingType[[#This Row],[EOrbit Building Type]],Commercial_Baseline!$H$5:$K$35,3,FALSE)</f>
        <v>8.5786568537258509E-2</v>
      </c>
      <c r="R26" s="201"/>
      <c r="S26" s="203">
        <v>0.2</v>
      </c>
      <c r="T26" s="159">
        <v>7.7</v>
      </c>
      <c r="U26" s="160"/>
      <c r="V26" s="197" t="s">
        <v>2364</v>
      </c>
      <c r="W26" s="197" t="s">
        <v>2362</v>
      </c>
      <c r="X26" s="197" t="s">
        <v>1471</v>
      </c>
      <c r="Y26" s="197" t="s">
        <v>1425</v>
      </c>
      <c r="Z26" s="145" t="s">
        <v>2354</v>
      </c>
      <c r="AA26" s="145" t="s">
        <v>2354</v>
      </c>
      <c r="AB26" s="145" t="s">
        <v>2354</v>
      </c>
      <c r="AC26" s="157"/>
      <c r="AD26" s="161"/>
      <c r="AE26" s="161" t="s">
        <v>2355</v>
      </c>
      <c r="AF26" s="461" t="s">
        <v>2372</v>
      </c>
      <c r="AG26" s="461"/>
      <c r="AH26" s="478"/>
      <c r="AI26" s="479" t="s">
        <v>2383</v>
      </c>
      <c r="AJ26" s="456"/>
      <c r="AK26" s="455"/>
      <c r="AL26" s="455"/>
      <c r="AM26" s="455"/>
      <c r="AN26" s="455"/>
    </row>
    <row r="27" spans="2:40" s="1" customFormat="1" x14ac:dyDescent="0.35">
      <c r="B27" s="246" t="s">
        <v>2274</v>
      </c>
      <c r="C27" s="246" t="s">
        <v>32</v>
      </c>
      <c r="D27" s="246" t="s">
        <v>887</v>
      </c>
      <c r="E27" s="122">
        <v>6088</v>
      </c>
      <c r="F27" s="202">
        <f>BuildingType[[#This Row],[HOU]]</f>
        <v>6088</v>
      </c>
      <c r="G27" s="359">
        <f>BuildingType[[#This Row],[OPERATING_HOURS]]/8760</f>
        <v>0.69497716894977168</v>
      </c>
      <c r="H27" s="202">
        <v>16000</v>
      </c>
      <c r="I27" s="122">
        <v>5038</v>
      </c>
      <c r="J27" s="122">
        <v>2987</v>
      </c>
      <c r="K27" s="202">
        <v>8706</v>
      </c>
      <c r="L27" s="233">
        <v>2536.63</v>
      </c>
      <c r="M27" s="233"/>
      <c r="N27" s="199">
        <v>-0.1</v>
      </c>
      <c r="O27" s="200"/>
      <c r="P27" s="265">
        <f>VLOOKUP(BuildingType[[#This Row],[EOrbit Building Type]],Commercial_Baseline!$H$5:$K$35,4,FALSE)*GJ_per_Therm</f>
        <v>-1.5824999999999999E-3</v>
      </c>
      <c r="Q27" s="158"/>
      <c r="R27" s="201"/>
      <c r="S27" s="203"/>
      <c r="T27" s="203">
        <v>0.7</v>
      </c>
      <c r="U27" s="160"/>
      <c r="V27" s="160" t="s">
        <v>2354</v>
      </c>
      <c r="W27" s="197" t="s">
        <v>2362</v>
      </c>
      <c r="X27" s="197" t="s">
        <v>1471</v>
      </c>
      <c r="Y27" s="197" t="s">
        <v>1425</v>
      </c>
      <c r="Z27" s="145" t="s">
        <v>2354</v>
      </c>
      <c r="AA27" s="145" t="s">
        <v>2354</v>
      </c>
      <c r="AB27" s="145" t="s">
        <v>2354</v>
      </c>
      <c r="AC27" s="157"/>
      <c r="AD27" s="161"/>
      <c r="AE27" s="161" t="s">
        <v>2355</v>
      </c>
      <c r="AF27" s="461" t="s">
        <v>2356</v>
      </c>
      <c r="AG27" s="461"/>
      <c r="AH27" s="478"/>
      <c r="AI27" s="479"/>
      <c r="AJ27" s="456"/>
      <c r="AK27" s="455"/>
      <c r="AL27" s="455"/>
      <c r="AM27" s="455"/>
      <c r="AN27" s="455"/>
    </row>
    <row r="28" spans="2:40" s="1" customFormat="1" x14ac:dyDescent="0.35">
      <c r="B28" s="246" t="s">
        <v>2275</v>
      </c>
      <c r="C28" s="246" t="s">
        <v>2390</v>
      </c>
      <c r="D28" s="246" t="s">
        <v>2391</v>
      </c>
      <c r="E28" s="122">
        <v>2857</v>
      </c>
      <c r="F28" s="202">
        <v>260</v>
      </c>
      <c r="G28" s="359">
        <f>BuildingType[[#This Row],[OPERATING_HOURS]]/8760</f>
        <v>2.9680365296803651E-2</v>
      </c>
      <c r="H28" s="202">
        <v>12000</v>
      </c>
      <c r="I28" s="202">
        <v>5199</v>
      </c>
      <c r="J28" s="202">
        <v>2830</v>
      </c>
      <c r="K28" s="202">
        <v>7380</v>
      </c>
      <c r="L28" s="233">
        <v>2309.0349999999999</v>
      </c>
      <c r="M28" s="233"/>
      <c r="N28" s="156">
        <v>-0.1</v>
      </c>
      <c r="O28" s="157"/>
      <c r="P28" s="265">
        <f>VLOOKUP(BuildingType[[#This Row],[EOrbit Building Type]],Commercial_Baseline!$H$5:$K$35,4,FALSE)*GJ_per_Therm</f>
        <v>-1.5824999999999999E-3</v>
      </c>
      <c r="Q28" s="158">
        <f>VLOOKUP(BuildingType[[#This Row],[EOrbit Building Type]],Commercial_Baseline!$H$5:$K$35,3,FALSE)</f>
        <v>2.6448942042318308E-2</v>
      </c>
      <c r="R28" s="158"/>
      <c r="S28" s="203"/>
      <c r="T28" s="203">
        <v>0.7</v>
      </c>
      <c r="U28" s="160"/>
      <c r="V28" s="160" t="s">
        <v>2354</v>
      </c>
      <c r="W28" s="197" t="s">
        <v>2362</v>
      </c>
      <c r="X28" s="197" t="s">
        <v>1471</v>
      </c>
      <c r="Y28" s="197" t="s">
        <v>1425</v>
      </c>
      <c r="Z28" s="145" t="s">
        <v>2354</v>
      </c>
      <c r="AA28" s="145" t="s">
        <v>2354</v>
      </c>
      <c r="AB28" s="145" t="s">
        <v>2354</v>
      </c>
      <c r="AC28" s="157"/>
      <c r="AD28" s="161"/>
      <c r="AE28" s="161" t="s">
        <v>2355</v>
      </c>
      <c r="AF28" s="461" t="s">
        <v>2356</v>
      </c>
      <c r="AG28" s="461"/>
      <c r="AH28" s="478"/>
      <c r="AI28" s="479"/>
      <c r="AJ28" s="456"/>
      <c r="AK28" s="455"/>
      <c r="AL28" s="455"/>
      <c r="AM28" s="455"/>
      <c r="AN28" s="455"/>
    </row>
    <row r="29" spans="2:40" s="1" customFormat="1" x14ac:dyDescent="0.35">
      <c r="B29" s="246" t="s">
        <v>2276</v>
      </c>
      <c r="C29" s="246" t="s">
        <v>32</v>
      </c>
      <c r="D29" s="246" t="s">
        <v>2392</v>
      </c>
      <c r="E29" s="122">
        <v>4732</v>
      </c>
      <c r="F29" s="202">
        <f>BuildingType[[#This Row],[HOU]]</f>
        <v>4732</v>
      </c>
      <c r="G29" s="359">
        <f>BuildingType[[#This Row],[OPERATING_HOURS]]/8760</f>
        <v>0.5401826484018265</v>
      </c>
      <c r="H29" s="202">
        <v>16000</v>
      </c>
      <c r="I29" s="122">
        <v>5038</v>
      </c>
      <c r="J29" s="122">
        <v>2987</v>
      </c>
      <c r="K29" s="202">
        <v>8706</v>
      </c>
      <c r="L29" s="233">
        <v>2536.63</v>
      </c>
      <c r="M29" s="233"/>
      <c r="N29" s="199">
        <v>-0.1</v>
      </c>
      <c r="O29" s="200"/>
      <c r="P29" s="265">
        <f>VLOOKUP(BuildingType[[#This Row],[EOrbit Building Type]],Commercial_Baseline!$H$5:$K$35,4,FALSE)*GJ_per_Therm</f>
        <v>-1.5824999999999999E-3</v>
      </c>
      <c r="Q29" s="158">
        <f>VLOOKUP(BuildingType[[#This Row],[EOrbit Building Type]],Commercial_Baseline!$H$5:$K$35,3,FALSE)</f>
        <v>1.8399264029438822E-3</v>
      </c>
      <c r="R29" s="201"/>
      <c r="S29" s="203"/>
      <c r="T29" s="203">
        <v>0.7</v>
      </c>
      <c r="U29" s="160"/>
      <c r="V29" s="160" t="s">
        <v>2354</v>
      </c>
      <c r="W29" s="197" t="s">
        <v>2362</v>
      </c>
      <c r="X29" s="197" t="s">
        <v>1471</v>
      </c>
      <c r="Y29" s="197" t="s">
        <v>1425</v>
      </c>
      <c r="Z29" s="145" t="s">
        <v>2354</v>
      </c>
      <c r="AA29" s="145" t="s">
        <v>2354</v>
      </c>
      <c r="AB29" s="145" t="s">
        <v>2354</v>
      </c>
      <c r="AC29" s="157"/>
      <c r="AD29" s="161"/>
      <c r="AE29" s="161" t="s">
        <v>2355</v>
      </c>
      <c r="AF29" s="461" t="s">
        <v>2356</v>
      </c>
      <c r="AG29" s="461"/>
      <c r="AH29" s="478"/>
      <c r="AI29" s="479"/>
      <c r="AJ29" s="456"/>
      <c r="AK29" s="455"/>
      <c r="AL29" s="455"/>
      <c r="AM29" s="455"/>
      <c r="AN29" s="455"/>
    </row>
    <row r="30" spans="2:40" s="1" customFormat="1" ht="130.5" x14ac:dyDescent="0.35">
      <c r="B30" s="246" t="s">
        <v>1666</v>
      </c>
      <c r="C30" s="246" t="s">
        <v>2368</v>
      </c>
      <c r="D30" s="246" t="s">
        <v>1666</v>
      </c>
      <c r="E30" s="122">
        <v>5110</v>
      </c>
      <c r="F30" s="202">
        <v>4615</v>
      </c>
      <c r="G30" s="359">
        <f>BuildingType[[#This Row],[OPERATING_HOURS]]/8760</f>
        <v>0.52682648401826482</v>
      </c>
      <c r="H30" s="122">
        <v>4000</v>
      </c>
      <c r="I30" s="122">
        <v>3476</v>
      </c>
      <c r="J30" s="122">
        <v>2305</v>
      </c>
      <c r="K30" s="122">
        <v>7302</v>
      </c>
      <c r="L30" s="233">
        <v>1944.6</v>
      </c>
      <c r="M30" s="233"/>
      <c r="N30" s="156">
        <v>-0.1</v>
      </c>
      <c r="O30" s="157"/>
      <c r="P30" s="265">
        <f>VLOOKUP(BuildingType[[#This Row],[EOrbit Building Type]],Commercial_Baseline!$H$5:$K$35,4,FALSE)*GJ_per_Therm</f>
        <v>-9.4949999999999993E-4</v>
      </c>
      <c r="Q30" s="158">
        <f>VLOOKUP(BuildingType[[#This Row],[EOrbit Building Type]],Commercial_Baseline!$H$5:$K$35,3,FALSE)</f>
        <v>9.659613615455382E-3</v>
      </c>
      <c r="R30" s="158"/>
      <c r="S30" s="203">
        <f>AVERAGE(34.4,31.9)</f>
        <v>33.15</v>
      </c>
      <c r="T30" s="159">
        <v>356.4</v>
      </c>
      <c r="U30" s="160"/>
      <c r="V30" s="197" t="s">
        <v>2364</v>
      </c>
      <c r="W30" s="197" t="s">
        <v>2362</v>
      </c>
      <c r="X30" s="197" t="s">
        <v>1471</v>
      </c>
      <c r="Y30" s="197" t="s">
        <v>1425</v>
      </c>
      <c r="Z30" s="145" t="s">
        <v>2354</v>
      </c>
      <c r="AA30" s="145" t="s">
        <v>2354</v>
      </c>
      <c r="AB30" s="145" t="s">
        <v>2354</v>
      </c>
      <c r="AC30" s="157"/>
      <c r="AD30" s="161"/>
      <c r="AE30" s="161" t="s">
        <v>2355</v>
      </c>
      <c r="AF30" s="461" t="s">
        <v>2372</v>
      </c>
      <c r="AG30" s="461"/>
      <c r="AH30" s="478"/>
      <c r="AI30" s="479" t="s">
        <v>2393</v>
      </c>
      <c r="AJ30" s="456"/>
      <c r="AK30" s="455"/>
      <c r="AL30" s="455"/>
      <c r="AM30" s="455"/>
      <c r="AN30" s="455"/>
    </row>
    <row r="31" spans="2:40" s="1" customFormat="1" ht="116" x14ac:dyDescent="0.35">
      <c r="B31" s="246" t="s">
        <v>1373</v>
      </c>
      <c r="C31" s="246" t="s">
        <v>2394</v>
      </c>
      <c r="D31" s="246" t="s">
        <v>2395</v>
      </c>
      <c r="E31" s="122">
        <v>4089</v>
      </c>
      <c r="F31" s="202">
        <v>4070</v>
      </c>
      <c r="G31" s="359">
        <f>BuildingType[[#This Row],[OPERATING_HOURS]]/8760</f>
        <v>0.46461187214611871</v>
      </c>
      <c r="H31" s="122">
        <v>14992.62418568636</v>
      </c>
      <c r="I31" s="122">
        <v>4249</v>
      </c>
      <c r="J31" s="122">
        <v>2528</v>
      </c>
      <c r="K31" s="122">
        <v>7155</v>
      </c>
      <c r="L31" s="233">
        <v>2005.1</v>
      </c>
      <c r="M31" s="233"/>
      <c r="N31" s="156">
        <v>-0.1</v>
      </c>
      <c r="O31" s="157"/>
      <c r="P31" s="265">
        <f>VLOOKUP(BuildingType[[#This Row],[EOrbit Building Type]],Commercial_Baseline!$H$5:$K$35,4,FALSE)*GJ_per_Therm</f>
        <v>-1.5824999999999999E-3</v>
      </c>
      <c r="Q31" s="158">
        <f>VLOOKUP(BuildingType[[#This Row],[EOrbit Building Type]],Commercial_Baseline!$H$5:$K$35,3,FALSE)</f>
        <v>6.3707451701931928E-2</v>
      </c>
      <c r="R31" s="158"/>
      <c r="S31" s="203">
        <v>0.6</v>
      </c>
      <c r="T31" s="159">
        <v>2.8</v>
      </c>
      <c r="U31" s="160"/>
      <c r="V31" s="197" t="s">
        <v>2364</v>
      </c>
      <c r="W31" s="197" t="s">
        <v>2362</v>
      </c>
      <c r="X31" s="197" t="s">
        <v>1471</v>
      </c>
      <c r="Y31" s="197" t="s">
        <v>1425</v>
      </c>
      <c r="Z31" s="145" t="s">
        <v>2354</v>
      </c>
      <c r="AA31" s="145" t="s">
        <v>2354</v>
      </c>
      <c r="AB31" s="145" t="s">
        <v>2354</v>
      </c>
      <c r="AC31" s="157"/>
      <c r="AD31" s="161"/>
      <c r="AE31" s="161" t="s">
        <v>2355</v>
      </c>
      <c r="AF31" s="461" t="s">
        <v>2356</v>
      </c>
      <c r="AG31" s="461"/>
      <c r="AH31" s="478"/>
      <c r="AI31" s="479" t="s">
        <v>2369</v>
      </c>
      <c r="AJ31" s="456"/>
      <c r="AK31" s="455"/>
      <c r="AL31" s="455"/>
      <c r="AM31" s="455"/>
      <c r="AN31" s="455"/>
    </row>
    <row r="32" spans="2:40" s="1" customFormat="1" ht="116" x14ac:dyDescent="0.35">
      <c r="B32" s="246" t="s">
        <v>1372</v>
      </c>
      <c r="C32" s="246" t="s">
        <v>2368</v>
      </c>
      <c r="D32" s="246" t="s">
        <v>2396</v>
      </c>
      <c r="E32" s="122">
        <v>6074</v>
      </c>
      <c r="F32" s="202">
        <v>4814</v>
      </c>
      <c r="G32" s="359">
        <f>BuildingType[[#This Row],[OPERATING_HOURS]]/8760</f>
        <v>0.54954337899543382</v>
      </c>
      <c r="H32" s="122">
        <v>14992.62418568636</v>
      </c>
      <c r="I32" s="122">
        <v>7452</v>
      </c>
      <c r="J32" s="122">
        <v>5470</v>
      </c>
      <c r="K32" s="122">
        <v>8543</v>
      </c>
      <c r="L32" s="233">
        <v>2316.2399999999998</v>
      </c>
      <c r="M32" s="233"/>
      <c r="N32" s="156">
        <v>-0.1</v>
      </c>
      <c r="O32" s="157"/>
      <c r="P32" s="265">
        <f>VLOOKUP(BuildingType[[#This Row],[EOrbit Building Type]],Commercial_Baseline!$H$5:$K$35,4,FALSE)*GJ_per_Therm</f>
        <v>0</v>
      </c>
      <c r="Q32" s="158">
        <f>VLOOKUP(BuildingType[[#This Row],[EOrbit Building Type]],Commercial_Baseline!$H$5:$K$35,3,FALSE)</f>
        <v>1.8399264029438821E-2</v>
      </c>
      <c r="R32" s="158"/>
      <c r="S32" s="203">
        <v>0.6</v>
      </c>
      <c r="T32" s="159">
        <v>3</v>
      </c>
      <c r="U32" s="160"/>
      <c r="V32" s="197" t="s">
        <v>2364</v>
      </c>
      <c r="W32" s="197" t="s">
        <v>2353</v>
      </c>
      <c r="X32" s="197" t="s">
        <v>1471</v>
      </c>
      <c r="Y32" s="197" t="s">
        <v>1425</v>
      </c>
      <c r="Z32" s="145" t="s">
        <v>2354</v>
      </c>
      <c r="AA32" s="145" t="s">
        <v>2354</v>
      </c>
      <c r="AB32" s="145" t="s">
        <v>2354</v>
      </c>
      <c r="AC32" s="157"/>
      <c r="AD32" s="161"/>
      <c r="AE32" s="161" t="s">
        <v>2355</v>
      </c>
      <c r="AF32" s="461" t="s">
        <v>2356</v>
      </c>
      <c r="AG32" s="461"/>
      <c r="AH32" s="478"/>
      <c r="AI32" s="479" t="s">
        <v>2397</v>
      </c>
      <c r="AJ32" s="456"/>
      <c r="AK32" s="455"/>
      <c r="AL32" s="455"/>
      <c r="AM32" s="455"/>
      <c r="AN32" s="455"/>
    </row>
    <row r="33" spans="2:40" s="1" customFormat="1" ht="116" x14ac:dyDescent="0.35">
      <c r="B33" s="246" t="s">
        <v>1374</v>
      </c>
      <c r="C33" s="246" t="s">
        <v>2394</v>
      </c>
      <c r="D33" s="246" t="s">
        <v>2398</v>
      </c>
      <c r="E33" s="122">
        <v>4089</v>
      </c>
      <c r="F33" s="202">
        <v>4070</v>
      </c>
      <c r="G33" s="359">
        <f>BuildingType[[#This Row],[OPERATING_HOURS]]/8760</f>
        <v>0.46461187214611871</v>
      </c>
      <c r="H33" s="122">
        <v>8000</v>
      </c>
      <c r="I33" s="122">
        <v>4475</v>
      </c>
      <c r="J33" s="122">
        <v>2266</v>
      </c>
      <c r="K33" s="122">
        <v>6921</v>
      </c>
      <c r="L33" s="233">
        <v>1918.675</v>
      </c>
      <c r="M33" s="233"/>
      <c r="N33" s="156">
        <v>-0.1</v>
      </c>
      <c r="O33" s="157"/>
      <c r="P33" s="265">
        <f>VLOOKUP(BuildingType[[#This Row],[EOrbit Building Type]],Commercial_Baseline!$H$5:$K$35,4,FALSE)*GJ_per_Therm</f>
        <v>-2.0044999999999998E-3</v>
      </c>
      <c r="Q33" s="158">
        <f>VLOOKUP(BuildingType[[#This Row],[EOrbit Building Type]],Commercial_Baseline!$H$5:$K$35,3,FALSE)</f>
        <v>7.8886844526218955E-2</v>
      </c>
      <c r="R33" s="158"/>
      <c r="S33" s="203">
        <v>0.6</v>
      </c>
      <c r="T33" s="159">
        <v>2.8</v>
      </c>
      <c r="U33" s="160"/>
      <c r="V33" s="197" t="s">
        <v>2364</v>
      </c>
      <c r="W33" s="197" t="s">
        <v>2362</v>
      </c>
      <c r="X33" s="197" t="s">
        <v>1471</v>
      </c>
      <c r="Y33" s="197" t="s">
        <v>1425</v>
      </c>
      <c r="Z33" s="145" t="s">
        <v>2354</v>
      </c>
      <c r="AA33" s="145" t="s">
        <v>2354</v>
      </c>
      <c r="AB33" s="145" t="s">
        <v>2354</v>
      </c>
      <c r="AC33" s="157"/>
      <c r="AD33" s="161"/>
      <c r="AE33" s="161" t="s">
        <v>2355</v>
      </c>
      <c r="AF33" s="461" t="s">
        <v>2356</v>
      </c>
      <c r="AG33" s="461"/>
      <c r="AH33" s="478"/>
      <c r="AI33" s="479" t="s">
        <v>2369</v>
      </c>
    </row>
    <row r="34" spans="2:40" s="1" customFormat="1" ht="116" x14ac:dyDescent="0.35">
      <c r="B34" s="246" t="s">
        <v>1376</v>
      </c>
      <c r="C34" s="246" t="s">
        <v>2399</v>
      </c>
      <c r="D34" s="246" t="s">
        <v>2400</v>
      </c>
      <c r="E34" s="122">
        <v>2596</v>
      </c>
      <c r="F34" s="202">
        <v>1606</v>
      </c>
      <c r="G34" s="359">
        <f>BuildingType[[#This Row],[OPERATING_HOURS]]/8760</f>
        <v>0.18333333333333332</v>
      </c>
      <c r="H34" s="122">
        <v>43546.346954285415</v>
      </c>
      <c r="I34" s="122">
        <v>6028</v>
      </c>
      <c r="J34" s="122">
        <v>2649</v>
      </c>
      <c r="K34" s="122">
        <v>3765</v>
      </c>
      <c r="L34" s="233">
        <v>2565.4349999999999</v>
      </c>
      <c r="M34" s="233"/>
      <c r="N34" s="156">
        <v>-0.1</v>
      </c>
      <c r="O34" s="157"/>
      <c r="P34" s="265">
        <f>VLOOKUP(BuildingType[[#This Row],[EOrbit Building Type]],Commercial_Baseline!$H$5:$K$35,4,FALSE)*GJ_per_Therm</f>
        <v>-2.0044999999999998E-3</v>
      </c>
      <c r="Q34" s="158">
        <f>VLOOKUP(BuildingType[[#This Row],[EOrbit Building Type]],Commercial_Baseline!$H$5:$K$35,3,FALSE)</f>
        <v>3.0588776448942041E-2</v>
      </c>
      <c r="R34" s="158"/>
      <c r="S34" s="203">
        <v>4</v>
      </c>
      <c r="T34" s="159">
        <v>4.3</v>
      </c>
      <c r="U34" s="160"/>
      <c r="V34" s="197" t="s">
        <v>2364</v>
      </c>
      <c r="W34" s="197" t="s">
        <v>2362</v>
      </c>
      <c r="X34" s="197" t="s">
        <v>1471</v>
      </c>
      <c r="Y34" s="197" t="s">
        <v>1425</v>
      </c>
      <c r="Z34" s="145" t="s">
        <v>2354</v>
      </c>
      <c r="AA34" s="145" t="s">
        <v>2354</v>
      </c>
      <c r="AB34" s="145" t="s">
        <v>2354</v>
      </c>
      <c r="AC34" s="157"/>
      <c r="AD34" s="161"/>
      <c r="AE34" s="161" t="s">
        <v>2355</v>
      </c>
      <c r="AF34" s="461" t="s">
        <v>2356</v>
      </c>
      <c r="AG34" s="461"/>
      <c r="AH34" s="478"/>
      <c r="AI34" s="479" t="s">
        <v>2401</v>
      </c>
    </row>
    <row r="35" spans="2:40" s="1" customFormat="1" ht="116" x14ac:dyDescent="0.35">
      <c r="B35" s="246" t="s">
        <v>1377</v>
      </c>
      <c r="C35" s="246" t="s">
        <v>2399</v>
      </c>
      <c r="D35" s="246" t="s">
        <v>2402</v>
      </c>
      <c r="E35" s="122">
        <v>2596</v>
      </c>
      <c r="F35" s="202">
        <v>1606</v>
      </c>
      <c r="G35" s="359">
        <f>BuildingType[[#This Row],[OPERATING_HOURS]]/8760</f>
        <v>0.18333333333333332</v>
      </c>
      <c r="H35" s="122">
        <v>43546.346954285415</v>
      </c>
      <c r="I35" s="122">
        <v>5480</v>
      </c>
      <c r="J35" s="122">
        <v>3141</v>
      </c>
      <c r="K35" s="122">
        <v>3460</v>
      </c>
      <c r="L35" s="233">
        <v>2657.625</v>
      </c>
      <c r="M35" s="233"/>
      <c r="N35" s="156">
        <v>-0.1</v>
      </c>
      <c r="O35" s="157"/>
      <c r="P35" s="265">
        <f>VLOOKUP(BuildingType[[#This Row],[EOrbit Building Type]],Commercial_Baseline!$H$5:$K$35,4,FALSE)*GJ_per_Therm</f>
        <v>-1.1604999999999999E-3</v>
      </c>
      <c r="Q35" s="158">
        <f>VLOOKUP(BuildingType[[#This Row],[EOrbit Building Type]],Commercial_Baseline!$H$5:$K$35,3,FALSE)</f>
        <v>1.4719411223551058E-2</v>
      </c>
      <c r="R35" s="158"/>
      <c r="S35" s="203">
        <v>6.7</v>
      </c>
      <c r="T35" s="159">
        <v>13</v>
      </c>
      <c r="U35" s="160"/>
      <c r="V35" s="197" t="s">
        <v>2364</v>
      </c>
      <c r="W35" s="197" t="s">
        <v>2362</v>
      </c>
      <c r="X35" s="197" t="s">
        <v>1471</v>
      </c>
      <c r="Y35" s="197" t="s">
        <v>1425</v>
      </c>
      <c r="Z35" s="145" t="s">
        <v>2354</v>
      </c>
      <c r="AA35" s="145" t="s">
        <v>2354</v>
      </c>
      <c r="AB35" s="145" t="s">
        <v>2354</v>
      </c>
      <c r="AC35" s="157"/>
      <c r="AD35" s="161"/>
      <c r="AE35" s="161" t="s">
        <v>2355</v>
      </c>
      <c r="AF35" s="461" t="s">
        <v>2356</v>
      </c>
      <c r="AG35" s="461"/>
      <c r="AH35" s="478"/>
      <c r="AI35" s="479" t="s">
        <v>2403</v>
      </c>
    </row>
    <row r="36" spans="2:40" s="1" customFormat="1" ht="116" x14ac:dyDescent="0.35">
      <c r="B36" s="246" t="s">
        <v>1375</v>
      </c>
      <c r="C36" s="246" t="s">
        <v>2390</v>
      </c>
      <c r="D36" s="246" t="s">
        <v>2404</v>
      </c>
      <c r="E36" s="122">
        <v>3255</v>
      </c>
      <c r="F36" s="202">
        <v>3263</v>
      </c>
      <c r="G36" s="359">
        <f>BuildingType[[#This Row],[OPERATING_HOURS]]/8760</f>
        <v>0.37248858447488586</v>
      </c>
      <c r="H36" s="122">
        <v>32000</v>
      </c>
      <c r="I36" s="122">
        <v>7005</v>
      </c>
      <c r="J36" s="122">
        <v>4065</v>
      </c>
      <c r="K36" s="122">
        <v>4836</v>
      </c>
      <c r="L36" s="233">
        <v>2203.88</v>
      </c>
      <c r="M36" s="233"/>
      <c r="N36" s="156">
        <v>-0.1</v>
      </c>
      <c r="O36" s="157"/>
      <c r="P36" s="265">
        <f>VLOOKUP(BuildingType[[#This Row],[EOrbit Building Type]],Commercial_Baseline!$H$5:$K$35,4,FALSE)*GJ_per_Therm</f>
        <v>-2.4264999999999998E-3</v>
      </c>
      <c r="Q36" s="158">
        <f>VLOOKUP(BuildingType[[#This Row],[EOrbit Building Type]],Commercial_Baseline!$H$5:$K$35,3,FALSE)</f>
        <v>1.1499540018399263E-3</v>
      </c>
      <c r="R36" s="158"/>
      <c r="S36" s="203">
        <v>6.7</v>
      </c>
      <c r="T36" s="159">
        <v>22.4</v>
      </c>
      <c r="U36" s="160"/>
      <c r="V36" s="197" t="s">
        <v>2364</v>
      </c>
      <c r="W36" s="197" t="s">
        <v>2365</v>
      </c>
      <c r="X36" s="197" t="s">
        <v>1471</v>
      </c>
      <c r="Y36" s="197" t="s">
        <v>1425</v>
      </c>
      <c r="Z36" s="145" t="s">
        <v>2354</v>
      </c>
      <c r="AA36" s="145" t="s">
        <v>2354</v>
      </c>
      <c r="AB36" s="145" t="s">
        <v>2354</v>
      </c>
      <c r="AC36" s="157"/>
      <c r="AD36" s="161"/>
      <c r="AE36" s="161" t="s">
        <v>2355</v>
      </c>
      <c r="AF36" s="461" t="s">
        <v>2372</v>
      </c>
      <c r="AG36" s="461"/>
      <c r="AH36" s="478"/>
      <c r="AI36" s="479" t="s">
        <v>2403</v>
      </c>
    </row>
    <row r="37" spans="2:40" s="1" customFormat="1" x14ac:dyDescent="0.35">
      <c r="B37" s="246" t="s">
        <v>2277</v>
      </c>
      <c r="C37" s="246" t="s">
        <v>32</v>
      </c>
      <c r="D37" s="246" t="s">
        <v>2405</v>
      </c>
      <c r="E37" s="122">
        <v>6088</v>
      </c>
      <c r="F37" s="202">
        <f>BuildingType[[#This Row],[HOU]]</f>
        <v>6088</v>
      </c>
      <c r="G37" s="359">
        <f>BuildingType[[#This Row],[OPERATING_HOURS]]/8760</f>
        <v>0.69497716894977168</v>
      </c>
      <c r="H37" s="122">
        <v>16000</v>
      </c>
      <c r="I37" s="122">
        <v>5038</v>
      </c>
      <c r="J37" s="122">
        <v>2987</v>
      </c>
      <c r="K37" s="122">
        <v>6241</v>
      </c>
      <c r="L37" s="233">
        <v>2536.63</v>
      </c>
      <c r="M37" s="233"/>
      <c r="N37" s="199">
        <v>-0.1</v>
      </c>
      <c r="O37" s="200"/>
      <c r="P37" s="265">
        <f>VLOOKUP(BuildingType[[#This Row],[EOrbit Building Type]],Commercial_Baseline!$H$5:$K$35,4,FALSE)*GJ_per_Therm</f>
        <v>-1.5824999999999999E-3</v>
      </c>
      <c r="Q37" s="158">
        <f>VLOOKUP(BuildingType[[#This Row],[EOrbit Building Type]],Commercial_Baseline!$H$5:$K$35,3,FALSE)</f>
        <v>1.1499540018399263E-3</v>
      </c>
      <c r="R37" s="201"/>
      <c r="S37" s="203"/>
      <c r="T37" s="203">
        <v>0.7</v>
      </c>
      <c r="U37" s="160"/>
      <c r="V37" s="160" t="s">
        <v>2354</v>
      </c>
      <c r="W37" s="197" t="s">
        <v>2362</v>
      </c>
      <c r="X37" s="197" t="s">
        <v>1471</v>
      </c>
      <c r="Y37" s="197" t="s">
        <v>1425</v>
      </c>
      <c r="Z37" s="145" t="s">
        <v>2354</v>
      </c>
      <c r="AA37" s="145" t="s">
        <v>2354</v>
      </c>
      <c r="AB37" s="145" t="s">
        <v>2354</v>
      </c>
      <c r="AC37" s="157"/>
      <c r="AD37" s="161"/>
      <c r="AE37" s="161" t="s">
        <v>2355</v>
      </c>
      <c r="AF37" s="461" t="s">
        <v>2356</v>
      </c>
      <c r="AG37" s="461"/>
      <c r="AH37" s="478"/>
      <c r="AI37" s="479"/>
    </row>
    <row r="38" spans="2:40" s="1" customFormat="1" ht="116" x14ac:dyDescent="0.35">
      <c r="B38" s="246" t="s">
        <v>1757</v>
      </c>
      <c r="C38" s="246" t="s">
        <v>1757</v>
      </c>
      <c r="D38" s="246" t="s">
        <v>1757</v>
      </c>
      <c r="E38" s="122">
        <v>3759</v>
      </c>
      <c r="F38" s="202">
        <v>3324</v>
      </c>
      <c r="G38" s="359">
        <f>BuildingType[[#This Row],[OPERATING_HOURS]]/8760</f>
        <v>0.37945205479452054</v>
      </c>
      <c r="H38" s="122">
        <v>16000</v>
      </c>
      <c r="I38" s="122">
        <v>4606</v>
      </c>
      <c r="J38" s="122">
        <v>770</v>
      </c>
      <c r="K38" s="122">
        <v>6832</v>
      </c>
      <c r="L38" s="233">
        <v>2097.29</v>
      </c>
      <c r="M38" s="233"/>
      <c r="N38" s="156">
        <v>-0.1</v>
      </c>
      <c r="O38" s="157"/>
      <c r="P38" s="265">
        <f>VLOOKUP(BuildingType[[#This Row],[EOrbit Building Type]],Commercial_Baseline!$H$5:$K$35,4,FALSE)*GJ_per_Therm</f>
        <v>-1.688E-3</v>
      </c>
      <c r="Q38" s="158">
        <f>VLOOKUP(BuildingType[[#This Row],[EOrbit Building Type]],Commercial_Baseline!$H$5:$K$35,3,FALSE)</f>
        <v>0.13661453541858326</v>
      </c>
      <c r="R38" s="158"/>
      <c r="S38" s="203">
        <v>0.3</v>
      </c>
      <c r="T38" s="159">
        <v>0.9</v>
      </c>
      <c r="U38" s="160"/>
      <c r="V38" s="197" t="s">
        <v>2364</v>
      </c>
      <c r="W38" s="197" t="s">
        <v>2365</v>
      </c>
      <c r="X38" s="197" t="s">
        <v>1471</v>
      </c>
      <c r="Y38" s="197" t="s">
        <v>1425</v>
      </c>
      <c r="Z38" s="145" t="s">
        <v>2354</v>
      </c>
      <c r="AA38" s="145" t="s">
        <v>2354</v>
      </c>
      <c r="AB38" s="145" t="s">
        <v>2354</v>
      </c>
      <c r="AC38" s="157"/>
      <c r="AD38" s="161"/>
      <c r="AE38" s="161" t="s">
        <v>2355</v>
      </c>
      <c r="AF38" s="461" t="s">
        <v>2356</v>
      </c>
      <c r="AG38" s="461"/>
      <c r="AH38" s="478"/>
      <c r="AI38" s="479" t="s">
        <v>2406</v>
      </c>
    </row>
    <row r="39" spans="2:40" s="1" customFormat="1" x14ac:dyDescent="0.35">
      <c r="B39" s="246" t="s">
        <v>2278</v>
      </c>
      <c r="C39" s="246" t="s">
        <v>32</v>
      </c>
      <c r="D39" s="246" t="s">
        <v>2407</v>
      </c>
      <c r="E39" s="122">
        <v>6088</v>
      </c>
      <c r="F39" s="202">
        <f>BuildingType[[#This Row],[HOU]]</f>
        <v>6088</v>
      </c>
      <c r="G39" s="359">
        <f>BuildingType[[#This Row],[OPERATING_HOURS]]/8760</f>
        <v>0.69497716894977168</v>
      </c>
      <c r="H39" s="122">
        <v>16000</v>
      </c>
      <c r="I39" s="122">
        <v>5038</v>
      </c>
      <c r="J39" s="122">
        <v>2987</v>
      </c>
      <c r="K39" s="122">
        <v>6241</v>
      </c>
      <c r="L39" s="233">
        <v>2536.63</v>
      </c>
      <c r="M39" s="233"/>
      <c r="N39" s="199">
        <v>-0.1</v>
      </c>
      <c r="O39" s="200"/>
      <c r="P39" s="265">
        <f>VLOOKUP(BuildingType[[#This Row],[EOrbit Building Type]],Commercial_Baseline!$H$5:$K$35,4,FALSE)*GJ_per_Therm</f>
        <v>-1.5824999999999999E-3</v>
      </c>
      <c r="Q39" s="158">
        <f>VLOOKUP(BuildingType[[#This Row],[EOrbit Building Type]],Commercial_Baseline!$H$5:$K$35,3,FALSE)</f>
        <v>1.609935602575897E-3</v>
      </c>
      <c r="R39" s="201"/>
      <c r="S39" s="203"/>
      <c r="T39" s="159">
        <v>0.9</v>
      </c>
      <c r="U39" s="160"/>
      <c r="V39" s="197" t="s">
        <v>2364</v>
      </c>
      <c r="W39" s="197" t="s">
        <v>2365</v>
      </c>
      <c r="X39" s="197" t="s">
        <v>1471</v>
      </c>
      <c r="Y39" s="197" t="s">
        <v>1425</v>
      </c>
      <c r="Z39" s="145" t="s">
        <v>2354</v>
      </c>
      <c r="AA39" s="145" t="s">
        <v>2354</v>
      </c>
      <c r="AB39" s="145" t="s">
        <v>2354</v>
      </c>
      <c r="AC39" s="157"/>
      <c r="AD39" s="161"/>
      <c r="AE39" s="161" t="s">
        <v>2355</v>
      </c>
      <c r="AF39" s="461" t="s">
        <v>2356</v>
      </c>
      <c r="AG39" s="461"/>
      <c r="AH39" s="478"/>
      <c r="AI39" s="479"/>
      <c r="AJ39" s="455"/>
      <c r="AK39" s="455"/>
      <c r="AL39" s="455"/>
      <c r="AM39" s="455"/>
      <c r="AN39" s="455"/>
    </row>
    <row r="40" spans="2:40" s="1" customFormat="1" x14ac:dyDescent="0.35">
      <c r="B40" s="246" t="s">
        <v>2279</v>
      </c>
      <c r="C40" s="246" t="s">
        <v>1757</v>
      </c>
      <c r="D40" s="246" t="s">
        <v>2408</v>
      </c>
      <c r="E40" s="122">
        <v>3759</v>
      </c>
      <c r="F40" s="202">
        <f>BuildingType[[#This Row],[HOU]]</f>
        <v>3759</v>
      </c>
      <c r="G40" s="359">
        <f>BuildingType[[#This Row],[OPERATING_HOURS]]/8760</f>
        <v>0.42910958904109592</v>
      </c>
      <c r="H40" s="122">
        <v>16000</v>
      </c>
      <c r="I40" s="122">
        <v>4606</v>
      </c>
      <c r="J40" s="122">
        <v>770</v>
      </c>
      <c r="K40" s="122">
        <v>6832</v>
      </c>
      <c r="L40" s="233">
        <v>2536.63</v>
      </c>
      <c r="M40" s="233"/>
      <c r="N40" s="199">
        <v>-0.1</v>
      </c>
      <c r="O40" s="200"/>
      <c r="P40" s="265">
        <f>VLOOKUP(BuildingType[[#This Row],[EOrbit Building Type]],Commercial_Baseline!$H$5:$K$35,4,FALSE)*GJ_per_Therm</f>
        <v>-1.688E-3</v>
      </c>
      <c r="Q40" s="158">
        <f>VLOOKUP(BuildingType[[#This Row],[EOrbit Building Type]],Commercial_Baseline!$H$5:$K$35,3,FALSE)</f>
        <v>2.2999080036798527E-3</v>
      </c>
      <c r="R40" s="201"/>
      <c r="S40" s="203"/>
      <c r="T40" s="159">
        <v>0.9</v>
      </c>
      <c r="U40" s="160"/>
      <c r="V40" s="197" t="s">
        <v>2364</v>
      </c>
      <c r="W40" s="197" t="s">
        <v>2365</v>
      </c>
      <c r="X40" s="197" t="s">
        <v>1471</v>
      </c>
      <c r="Y40" s="197" t="s">
        <v>1425</v>
      </c>
      <c r="Z40" s="145" t="s">
        <v>2354</v>
      </c>
      <c r="AA40" s="145" t="s">
        <v>2354</v>
      </c>
      <c r="AB40" s="145" t="s">
        <v>2354</v>
      </c>
      <c r="AC40" s="157"/>
      <c r="AD40" s="161"/>
      <c r="AE40" s="161" t="s">
        <v>2355</v>
      </c>
      <c r="AF40" s="461" t="s">
        <v>2356</v>
      </c>
      <c r="AG40" s="461"/>
      <c r="AH40" s="478"/>
      <c r="AI40" s="479"/>
      <c r="AJ40" s="455"/>
      <c r="AK40" s="455"/>
      <c r="AL40" s="455"/>
      <c r="AM40" s="455"/>
      <c r="AN40" s="455"/>
    </row>
  </sheetData>
  <sheetProtection algorithmName="SHA-512" hashValue="zcA8jNkKjxzqlPBC86wfPLkPACAVxYTEv0IendR4EuuR0P6LSHzx6RPovADDhoN3Zh7LQQTQSnim4+ieudSRrQ==" saltValue="EP0wRiGFBBWnKlilellWgA==" spinCount="100000" sheet="1" objects="1" scenarios="1" selectLockedCells="1" selectUnlockedCells="1"/>
  <mergeCells count="2">
    <mergeCell ref="V3:AI3"/>
    <mergeCell ref="E3:U3"/>
  </mergeCells>
  <phoneticPr fontId="22" type="noConversion"/>
  <hyperlinks>
    <hyperlink ref="AH11" r:id="rId1" display="National Energy Use Database (Natural Resources Canada). Alberta, Residential Sector, Table 6 &amp; 15." xr:uid="{F847A31A-3433-498E-AC07-594ECA3D7581}"/>
    <hyperlink ref="AH17" r:id="rId2" display="National Energy Use Database (Natural Resources Canada). Alberta, Residential Sector, Table 6 &amp; 15." xr:uid="{BAEE40CE-E5FE-4152-93B8-DD93371E7ED2}"/>
    <hyperlink ref="AH18" r:id="rId3" display="National Energy Use Database (Natural Resources Canada). Alberta, Residential Sector, Table 6 &amp; 15." xr:uid="{C14B14B2-D706-4227-8A4F-43F7CB42EB9C}"/>
  </hyperlinks>
  <pageMargins left="0.7" right="0.7" top="0.75" bottom="0.75" header="0.3" footer="0.3"/>
  <pageSetup orientation="portrait" r:id="rId4"/>
  <legacyDrawing r:id="rId5"/>
  <tableParts count="1">
    <tablePart r:id="rId6"/>
  </tableParts>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B49B9-62F6-41BD-B89C-02A922A87B90}">
  <sheetPr codeName="Sheet2">
    <tabColor rgb="FFFFC000"/>
  </sheetPr>
  <dimension ref="A1:F115"/>
  <sheetViews>
    <sheetView topLeftCell="A16" workbookViewId="0">
      <selection activeCell="B20" sqref="B20"/>
    </sheetView>
  </sheetViews>
  <sheetFormatPr defaultRowHeight="14.5" x14ac:dyDescent="0.35"/>
  <cols>
    <col min="1" max="1" width="4.7265625" style="123" customWidth="1"/>
    <col min="2" max="2" width="33.6328125" customWidth="1"/>
    <col min="3" max="3" width="14.26953125" customWidth="1"/>
    <col min="4" max="4" width="39" customWidth="1"/>
    <col min="6" max="6" width="32.7265625" customWidth="1"/>
  </cols>
  <sheetData>
    <row r="1" spans="2:4" s="123" customFormat="1" ht="21" x14ac:dyDescent="0.5">
      <c r="B1" s="126" t="s">
        <v>2409</v>
      </c>
    </row>
    <row r="2" spans="2:4" s="123" customFormat="1" x14ac:dyDescent="0.35"/>
    <row r="3" spans="2:4" s="123" customFormat="1" ht="17.5" thickBot="1" x14ac:dyDescent="0.45">
      <c r="B3" s="155" t="s">
        <v>9</v>
      </c>
    </row>
    <row r="4" spans="2:4" ht="15" thickTop="1" x14ac:dyDescent="0.35">
      <c r="B4" s="154" t="s">
        <v>478</v>
      </c>
      <c r="C4" s="123"/>
      <c r="D4" s="123"/>
    </row>
    <row r="5" spans="2:4" s="123" customFormat="1" x14ac:dyDescent="0.35">
      <c r="B5" s="123" t="s">
        <v>10</v>
      </c>
    </row>
    <row r="6" spans="2:4" x14ac:dyDescent="0.35">
      <c r="B6" s="123" t="s">
        <v>1361</v>
      </c>
      <c r="C6" s="123"/>
      <c r="D6" s="123"/>
    </row>
    <row r="7" spans="2:4" x14ac:dyDescent="0.35">
      <c r="B7" s="123" t="s">
        <v>1811</v>
      </c>
      <c r="C7" s="123"/>
      <c r="D7" s="123"/>
    </row>
    <row r="8" spans="2:4" x14ac:dyDescent="0.35">
      <c r="B8" s="123" t="s">
        <v>1812</v>
      </c>
      <c r="C8" s="123"/>
      <c r="D8" s="123"/>
    </row>
    <row r="9" spans="2:4" x14ac:dyDescent="0.35">
      <c r="B9" s="123" t="s">
        <v>1362</v>
      </c>
      <c r="C9" s="123"/>
      <c r="D9" s="123"/>
    </row>
    <row r="10" spans="2:4" x14ac:dyDescent="0.35">
      <c r="B10" s="123" t="s">
        <v>1813</v>
      </c>
      <c r="C10" s="123"/>
      <c r="D10" s="123"/>
    </row>
    <row r="11" spans="2:4" x14ac:dyDescent="0.35">
      <c r="B11" s="123" t="s">
        <v>1814</v>
      </c>
      <c r="C11" s="123"/>
      <c r="D11" s="123"/>
    </row>
    <row r="12" spans="2:4" x14ac:dyDescent="0.35">
      <c r="B12" s="123" t="s">
        <v>1815</v>
      </c>
      <c r="C12" s="123"/>
      <c r="D12" s="123"/>
    </row>
    <row r="13" spans="2:4" x14ac:dyDescent="0.35">
      <c r="B13" s="123" t="s">
        <v>1816</v>
      </c>
      <c r="C13" s="123"/>
      <c r="D13" s="123"/>
    </row>
    <row r="14" spans="2:4" x14ac:dyDescent="0.35">
      <c r="B14" s="123" t="s">
        <v>1817</v>
      </c>
      <c r="C14" s="123"/>
      <c r="D14" s="123"/>
    </row>
    <row r="15" spans="2:4" x14ac:dyDescent="0.35">
      <c r="B15" s="123" t="s">
        <v>1818</v>
      </c>
      <c r="C15" s="123"/>
      <c r="D15" s="123"/>
    </row>
    <row r="16" spans="2:4" x14ac:dyDescent="0.35">
      <c r="B16" s="123" t="s">
        <v>1819</v>
      </c>
      <c r="C16" s="123"/>
      <c r="D16" s="123"/>
    </row>
    <row r="18" spans="2:3" ht="17.5" thickBot="1" x14ac:dyDescent="0.45">
      <c r="B18" s="155" t="s">
        <v>27</v>
      </c>
      <c r="C18" s="123"/>
    </row>
    <row r="19" spans="2:3" ht="15" thickTop="1" x14ac:dyDescent="0.35">
      <c r="B19" s="154" t="s">
        <v>478</v>
      </c>
      <c r="C19" s="123"/>
    </row>
    <row r="20" spans="2:3" x14ac:dyDescent="0.35">
      <c r="B20" s="123" t="s">
        <v>2410</v>
      </c>
      <c r="C20" s="123"/>
    </row>
    <row r="21" spans="2:3" x14ac:dyDescent="0.35">
      <c r="B21" s="123" t="s">
        <v>28</v>
      </c>
      <c r="C21" s="123"/>
    </row>
    <row r="23" spans="2:3" ht="17.5" thickBot="1" x14ac:dyDescent="0.45">
      <c r="B23" s="155" t="s">
        <v>49</v>
      </c>
      <c r="C23" s="123"/>
    </row>
    <row r="24" spans="2:3" ht="15" thickTop="1" x14ac:dyDescent="0.35">
      <c r="B24" s="154" t="s">
        <v>478</v>
      </c>
      <c r="C24" s="123"/>
    </row>
    <row r="25" spans="2:3" x14ac:dyDescent="0.35">
      <c r="B25" s="123" t="s">
        <v>508</v>
      </c>
      <c r="C25" s="123"/>
    </row>
    <row r="26" spans="2:3" x14ac:dyDescent="0.35">
      <c r="B26" s="123" t="s">
        <v>539</v>
      </c>
      <c r="C26" s="123"/>
    </row>
    <row r="27" spans="2:3" x14ac:dyDescent="0.35">
      <c r="B27" s="123" t="s">
        <v>579</v>
      </c>
      <c r="C27" s="123"/>
    </row>
    <row r="28" spans="2:3" x14ac:dyDescent="0.35">
      <c r="B28" s="123" t="s">
        <v>1423</v>
      </c>
      <c r="C28" s="123"/>
    </row>
    <row r="29" spans="2:3" x14ac:dyDescent="0.35">
      <c r="B29" s="123" t="s">
        <v>1006</v>
      </c>
      <c r="C29" s="123"/>
    </row>
    <row r="30" spans="2:3" x14ac:dyDescent="0.35">
      <c r="B30" s="123" t="s">
        <v>1037</v>
      </c>
      <c r="C30" s="123"/>
    </row>
    <row r="31" spans="2:3" x14ac:dyDescent="0.35">
      <c r="B31" s="123" t="s">
        <v>677</v>
      </c>
      <c r="C31" s="123"/>
    </row>
    <row r="32" spans="2:3" x14ac:dyDescent="0.35">
      <c r="B32" s="123" t="s">
        <v>716</v>
      </c>
      <c r="C32" s="123"/>
    </row>
    <row r="33" spans="2:6" x14ac:dyDescent="0.35">
      <c r="B33" s="123" t="s">
        <v>752</v>
      </c>
      <c r="C33" s="123"/>
      <c r="D33" s="123"/>
      <c r="E33" s="123"/>
      <c r="F33" s="123"/>
    </row>
    <row r="34" spans="2:6" x14ac:dyDescent="0.35">
      <c r="B34" s="123" t="s">
        <v>1624</v>
      </c>
      <c r="C34" s="123"/>
      <c r="D34" s="123"/>
      <c r="E34" s="123"/>
      <c r="F34" s="123"/>
    </row>
    <row r="35" spans="2:6" x14ac:dyDescent="0.35">
      <c r="B35" s="123" t="s">
        <v>1638</v>
      </c>
      <c r="C35" s="123"/>
      <c r="D35" s="123"/>
      <c r="E35" s="123"/>
      <c r="F35" s="123"/>
    </row>
    <row r="36" spans="2:6" x14ac:dyDescent="0.35">
      <c r="B36" s="123" t="s">
        <v>1640</v>
      </c>
      <c r="C36" s="123"/>
      <c r="D36" s="123"/>
      <c r="E36" s="123"/>
      <c r="F36" s="123"/>
    </row>
    <row r="37" spans="2:6" x14ac:dyDescent="0.35">
      <c r="B37" s="123" t="s">
        <v>1691</v>
      </c>
      <c r="C37" s="123"/>
      <c r="D37" s="123"/>
      <c r="E37" s="123"/>
      <c r="F37" s="123"/>
    </row>
    <row r="38" spans="2:6" s="123" customFormat="1" x14ac:dyDescent="0.35">
      <c r="B38" s="123" t="s">
        <v>1732</v>
      </c>
    </row>
    <row r="39" spans="2:6" s="123" customFormat="1" x14ac:dyDescent="0.35">
      <c r="B39" s="123" t="s">
        <v>1758</v>
      </c>
    </row>
    <row r="40" spans="2:6" s="123" customFormat="1" x14ac:dyDescent="0.35">
      <c r="B40" s="123" t="s">
        <v>760</v>
      </c>
    </row>
    <row r="41" spans="2:6" s="123" customFormat="1" x14ac:dyDescent="0.35">
      <c r="B41" s="123" t="s">
        <v>891</v>
      </c>
    </row>
    <row r="42" spans="2:6" s="123" customFormat="1" x14ac:dyDescent="0.35">
      <c r="B42" s="123" t="s">
        <v>2020</v>
      </c>
    </row>
    <row r="43" spans="2:6" s="123" customFormat="1" x14ac:dyDescent="0.35">
      <c r="B43" s="123" t="s">
        <v>2021</v>
      </c>
    </row>
    <row r="44" spans="2:6" s="123" customFormat="1" x14ac:dyDescent="0.35"/>
    <row r="46" spans="2:6" ht="17" x14ac:dyDescent="0.4">
      <c r="B46" s="190" t="s">
        <v>2411</v>
      </c>
      <c r="C46" s="123"/>
      <c r="D46" s="123"/>
      <c r="E46" s="123"/>
      <c r="F46" s="123"/>
    </row>
    <row r="47" spans="2:6" x14ac:dyDescent="0.35">
      <c r="B47" s="194" t="s">
        <v>478</v>
      </c>
      <c r="C47" s="123"/>
      <c r="D47" s="123"/>
      <c r="E47" s="123"/>
      <c r="F47" s="123"/>
    </row>
    <row r="48" spans="2:6" x14ac:dyDescent="0.35">
      <c r="B48" s="192" t="s">
        <v>34</v>
      </c>
      <c r="C48" s="123"/>
      <c r="D48" s="123"/>
      <c r="E48" s="123"/>
      <c r="F48" s="123"/>
    </row>
    <row r="49" spans="2:4" x14ac:dyDescent="0.35">
      <c r="B49" s="193" t="s">
        <v>807</v>
      </c>
      <c r="C49" s="123"/>
      <c r="D49" s="123"/>
    </row>
    <row r="52" spans="2:4" s="123" customFormat="1" ht="17" x14ac:dyDescent="0.4">
      <c r="B52" s="190" t="s">
        <v>31</v>
      </c>
      <c r="D52" s="190" t="s">
        <v>29</v>
      </c>
    </row>
    <row r="53" spans="2:4" s="123" customFormat="1" x14ac:dyDescent="0.35">
      <c r="B53" s="194" t="s">
        <v>2331</v>
      </c>
      <c r="D53" s="194" t="s">
        <v>2331</v>
      </c>
    </row>
    <row r="54" spans="2:4" s="123" customFormat="1" x14ac:dyDescent="0.35">
      <c r="B54" s="313" t="s">
        <v>1366</v>
      </c>
      <c r="D54" s="123" t="s">
        <v>811</v>
      </c>
    </row>
    <row r="55" spans="2:4" s="123" customFormat="1" x14ac:dyDescent="0.35">
      <c r="B55" s="313" t="s">
        <v>2267</v>
      </c>
      <c r="D55" s="123" t="s">
        <v>812</v>
      </c>
    </row>
    <row r="56" spans="2:4" s="123" customFormat="1" x14ac:dyDescent="0.35">
      <c r="B56" s="313" t="s">
        <v>2269</v>
      </c>
      <c r="D56" s="123" t="s">
        <v>1367</v>
      </c>
    </row>
    <row r="57" spans="2:4" s="123" customFormat="1" x14ac:dyDescent="0.35">
      <c r="B57" s="313" t="s">
        <v>2270</v>
      </c>
      <c r="D57" s="123" t="s">
        <v>569</v>
      </c>
    </row>
    <row r="58" spans="2:4" s="123" customFormat="1" x14ac:dyDescent="0.35">
      <c r="B58" s="313" t="s">
        <v>1665</v>
      </c>
      <c r="D58" s="123" t="s">
        <v>30</v>
      </c>
    </row>
    <row r="59" spans="2:4" s="123" customFormat="1" x14ac:dyDescent="0.35">
      <c r="B59" s="313" t="s">
        <v>2271</v>
      </c>
      <c r="D59" s="123" t="s">
        <v>814</v>
      </c>
    </row>
    <row r="60" spans="2:4" s="123" customFormat="1" x14ac:dyDescent="0.35">
      <c r="B60" s="313" t="s">
        <v>1365</v>
      </c>
    </row>
    <row r="61" spans="2:4" s="123" customFormat="1" x14ac:dyDescent="0.35">
      <c r="B61" s="313" t="s">
        <v>1368</v>
      </c>
    </row>
    <row r="62" spans="2:4" s="123" customFormat="1" x14ac:dyDescent="0.35">
      <c r="B62" s="313" t="s">
        <v>2272</v>
      </c>
    </row>
    <row r="63" spans="2:4" s="123" customFormat="1" x14ac:dyDescent="0.35">
      <c r="B63" s="313" t="s">
        <v>2381</v>
      </c>
    </row>
    <row r="64" spans="2:4" s="123" customFormat="1" x14ac:dyDescent="0.35">
      <c r="B64" s="313" t="s">
        <v>1371</v>
      </c>
    </row>
    <row r="65" spans="2:2" s="123" customFormat="1" x14ac:dyDescent="0.35">
      <c r="B65" s="313" t="s">
        <v>1369</v>
      </c>
    </row>
    <row r="66" spans="2:2" s="123" customFormat="1" x14ac:dyDescent="0.35">
      <c r="B66" s="313" t="s">
        <v>1370</v>
      </c>
    </row>
    <row r="67" spans="2:2" s="123" customFormat="1" x14ac:dyDescent="0.35">
      <c r="B67" s="313" t="s">
        <v>32</v>
      </c>
    </row>
    <row r="68" spans="2:2" s="123" customFormat="1" x14ac:dyDescent="0.35">
      <c r="B68" s="313" t="s">
        <v>2274</v>
      </c>
    </row>
    <row r="69" spans="2:2" s="123" customFormat="1" x14ac:dyDescent="0.35">
      <c r="B69" s="313" t="s">
        <v>2275</v>
      </c>
    </row>
    <row r="70" spans="2:2" s="123" customFormat="1" x14ac:dyDescent="0.35">
      <c r="B70" s="313" t="s">
        <v>2276</v>
      </c>
    </row>
    <row r="71" spans="2:2" s="123" customFormat="1" x14ac:dyDescent="0.35">
      <c r="B71" s="313" t="s">
        <v>1666</v>
      </c>
    </row>
    <row r="72" spans="2:2" s="123" customFormat="1" x14ac:dyDescent="0.35">
      <c r="B72" s="313" t="s">
        <v>1373</v>
      </c>
    </row>
    <row r="73" spans="2:2" s="123" customFormat="1" x14ac:dyDescent="0.35">
      <c r="B73" s="313" t="s">
        <v>1372</v>
      </c>
    </row>
    <row r="74" spans="2:2" s="123" customFormat="1" x14ac:dyDescent="0.35">
      <c r="B74" s="313" t="s">
        <v>1374</v>
      </c>
    </row>
    <row r="75" spans="2:2" s="123" customFormat="1" x14ac:dyDescent="0.35">
      <c r="B75" s="313" t="s">
        <v>1376</v>
      </c>
    </row>
    <row r="76" spans="2:2" s="123" customFormat="1" x14ac:dyDescent="0.35">
      <c r="B76" s="313" t="s">
        <v>1377</v>
      </c>
    </row>
    <row r="77" spans="2:2" s="123" customFormat="1" x14ac:dyDescent="0.35">
      <c r="B77" s="313" t="s">
        <v>1375</v>
      </c>
    </row>
    <row r="78" spans="2:2" s="123" customFormat="1" x14ac:dyDescent="0.35">
      <c r="B78" s="313" t="s">
        <v>2277</v>
      </c>
    </row>
    <row r="79" spans="2:2" s="123" customFormat="1" x14ac:dyDescent="0.35">
      <c r="B79" s="313" t="s">
        <v>1757</v>
      </c>
    </row>
    <row r="80" spans="2:2" s="123" customFormat="1" x14ac:dyDescent="0.35">
      <c r="B80" s="313" t="s">
        <v>2278</v>
      </c>
    </row>
    <row r="81" spans="2:2" s="123" customFormat="1" x14ac:dyDescent="0.35">
      <c r="B81" s="313" t="s">
        <v>2279</v>
      </c>
    </row>
    <row r="83" spans="2:2" ht="17" x14ac:dyDescent="0.4">
      <c r="B83" s="190" t="s">
        <v>2412</v>
      </c>
    </row>
    <row r="84" spans="2:2" x14ac:dyDescent="0.35">
      <c r="B84" s="194" t="s">
        <v>2412</v>
      </c>
    </row>
    <row r="85" spans="2:2" x14ac:dyDescent="0.35">
      <c r="B85" s="192" t="s">
        <v>2413</v>
      </c>
    </row>
    <row r="86" spans="2:2" x14ac:dyDescent="0.35">
      <c r="B86" s="195" t="s">
        <v>2414</v>
      </c>
    </row>
    <row r="88" spans="2:2" ht="17" x14ac:dyDescent="0.4">
      <c r="B88" s="190" t="s">
        <v>2415</v>
      </c>
    </row>
    <row r="89" spans="2:2" x14ac:dyDescent="0.35">
      <c r="B89" s="194" t="s">
        <v>2416</v>
      </c>
    </row>
    <row r="90" spans="2:2" x14ac:dyDescent="0.35">
      <c r="B90" s="192" t="s">
        <v>1714</v>
      </c>
    </row>
    <row r="91" spans="2:2" x14ac:dyDescent="0.35">
      <c r="B91" s="195" t="s">
        <v>1713</v>
      </c>
    </row>
    <row r="93" spans="2:2" ht="17" x14ac:dyDescent="0.4">
      <c r="B93" s="190" t="s">
        <v>2417</v>
      </c>
    </row>
    <row r="94" spans="2:2" x14ac:dyDescent="0.35">
      <c r="B94" s="194" t="s">
        <v>2418</v>
      </c>
    </row>
    <row r="95" spans="2:2" x14ac:dyDescent="0.35">
      <c r="B95" s="192" t="s">
        <v>2419</v>
      </c>
    </row>
    <row r="96" spans="2:2" x14ac:dyDescent="0.35">
      <c r="B96" s="193" t="s">
        <v>2420</v>
      </c>
    </row>
    <row r="97" spans="2:6" x14ac:dyDescent="0.35">
      <c r="B97" s="192" t="s">
        <v>2421</v>
      </c>
      <c r="C97" s="123"/>
      <c r="D97" s="123"/>
      <c r="E97" s="123"/>
      <c r="F97" s="123"/>
    </row>
    <row r="99" spans="2:6" ht="17" x14ac:dyDescent="0.4">
      <c r="B99" s="190" t="s">
        <v>2422</v>
      </c>
      <c r="C99" s="123"/>
      <c r="D99" s="123"/>
      <c r="E99" s="123"/>
      <c r="F99" s="123"/>
    </row>
    <row r="100" spans="2:6" x14ac:dyDescent="0.35">
      <c r="B100" s="191" t="s">
        <v>2411</v>
      </c>
      <c r="C100" s="123"/>
      <c r="D100" s="123"/>
      <c r="E100" s="123"/>
      <c r="F100" s="123"/>
    </row>
    <row r="101" spans="2:6" x14ac:dyDescent="0.35">
      <c r="B101" s="123" t="s">
        <v>34</v>
      </c>
      <c r="C101" s="123"/>
      <c r="D101" s="123"/>
      <c r="E101" s="123"/>
      <c r="F101" s="123"/>
    </row>
    <row r="102" spans="2:6" x14ac:dyDescent="0.35">
      <c r="B102" s="123" t="s">
        <v>2423</v>
      </c>
      <c r="C102" s="123"/>
      <c r="D102" s="123"/>
      <c r="E102" s="123"/>
      <c r="F102" s="123"/>
    </row>
    <row r="103" spans="2:6" x14ac:dyDescent="0.35">
      <c r="B103" s="123" t="s">
        <v>938</v>
      </c>
      <c r="C103" s="123"/>
      <c r="D103" s="123"/>
      <c r="E103" s="123"/>
      <c r="F103" s="123"/>
    </row>
    <row r="104" spans="2:6" s="123" customFormat="1" x14ac:dyDescent="0.35"/>
    <row r="105" spans="2:6" ht="17" x14ac:dyDescent="0.4">
      <c r="B105" s="190" t="s">
        <v>2424</v>
      </c>
      <c r="C105" s="123"/>
      <c r="D105" s="123"/>
      <c r="E105" s="123"/>
      <c r="F105" s="123"/>
    </row>
    <row r="106" spans="2:6" x14ac:dyDescent="0.35">
      <c r="B106" s="194" t="s">
        <v>2425</v>
      </c>
      <c r="C106" s="123"/>
      <c r="D106" s="123"/>
      <c r="E106" s="123"/>
      <c r="F106" s="123"/>
    </row>
    <row r="107" spans="2:6" x14ac:dyDescent="0.35">
      <c r="B107" s="330">
        <v>1</v>
      </c>
      <c r="C107" s="123"/>
      <c r="D107" s="123"/>
      <c r="E107" s="123"/>
      <c r="F107" s="123"/>
    </row>
    <row r="108" spans="2:6" x14ac:dyDescent="0.35">
      <c r="B108" s="330">
        <v>0.80275278169747155</v>
      </c>
      <c r="C108" s="123"/>
      <c r="D108" s="123"/>
      <c r="E108" s="123"/>
      <c r="F108" s="123"/>
    </row>
    <row r="109" spans="2:6" x14ac:dyDescent="0.35">
      <c r="B109" s="330">
        <v>0.54741030326863915</v>
      </c>
      <c r="C109" s="123"/>
      <c r="D109" s="123"/>
      <c r="E109" s="123"/>
      <c r="F109" s="123"/>
    </row>
    <row r="110" spans="2:6" x14ac:dyDescent="0.35">
      <c r="B110" s="330">
        <v>0.39636355224502068</v>
      </c>
      <c r="C110" s="123"/>
      <c r="D110" s="123"/>
      <c r="E110" s="123"/>
      <c r="F110" s="123"/>
    </row>
    <row r="112" spans="2:6" ht="17" x14ac:dyDescent="0.4">
      <c r="B112" s="190" t="s">
        <v>2426</v>
      </c>
      <c r="C112" s="123"/>
      <c r="D112" s="123"/>
      <c r="E112" s="123"/>
      <c r="F112" s="123"/>
    </row>
    <row r="113" spans="2:2" x14ac:dyDescent="0.35">
      <c r="B113" s="194" t="s">
        <v>2427</v>
      </c>
    </row>
    <row r="114" spans="2:2" x14ac:dyDescent="0.35">
      <c r="B114" s="330" t="s">
        <v>1653</v>
      </c>
    </row>
    <row r="115" spans="2:2" x14ac:dyDescent="0.35">
      <c r="B115" s="123" t="s">
        <v>1668</v>
      </c>
    </row>
  </sheetData>
  <sheetProtection algorithmName="SHA-512" hashValue="jskh0J9wc0cWcTmauXzEl/Tupwft9FfVYitEd2cMtlVWcT/3exSAyc0jmkDfd9MzoO19OY6LM7DOX1zyzN0pWA==" saltValue="OsI3Vy43zKBVkK+xHBySmQ==" spinCount="100000" sheet="1" objects="1" scenarios="1" selectLockedCells="1" selectUnlockedCells="1"/>
  <dataValidations count="1">
    <dataValidation type="list" allowBlank="1" showInputMessage="1" showErrorMessage="1" sqref="H75" xr:uid="{3A90A7A3-7F98-481D-8D04-C7E4F2BADEBD}">
      <formula1>$B$5:$B$16</formula1>
    </dataValidation>
  </dataValidations>
  <pageMargins left="0.7" right="0.7" top="0.75" bottom="0.75" header="0.3" footer="0.3"/>
  <legacyDrawing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FDB95-D8EF-48CA-A226-C2F25FB9CB82}">
  <sheetPr codeName="Sheet1">
    <tabColor rgb="FF7030A0"/>
  </sheetPr>
  <dimension ref="A1"/>
  <sheetViews>
    <sheetView workbookViewId="0"/>
  </sheetViews>
  <sheetFormatPr defaultRowHeight="14.5" x14ac:dyDescent="0.35"/>
  <sheetData/>
  <sheetProtection algorithmName="SHA-512" hashValue="JeyqzjzblvrWsM8l9PpEzC08CCN3Sy4THlA0pG1vcPXdAWeynbZ4jBt4L1CKhhUzz0w/bx6WMIgpYPF3Kd69UQ==" saltValue="B9hMwVzAFlkTDfKWYFRQHA==" spinCount="100000" sheet="1" objects="1" scenarios="1" selectLockedCells="1" selectUnlockedCells="1"/>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17B14-E570-4AB9-89F2-9FB59557F814}">
  <sheetPr codeName="Sheet58">
    <tabColor rgb="FF7030A0"/>
  </sheetPr>
  <dimension ref="A1:N361"/>
  <sheetViews>
    <sheetView workbookViewId="0"/>
  </sheetViews>
  <sheetFormatPr defaultColWidth="9.08984375" defaultRowHeight="14.5" x14ac:dyDescent="0.35"/>
  <cols>
    <col min="1" max="4" width="17" style="123" customWidth="1"/>
    <col min="5" max="5" width="26.81640625" style="123" customWidth="1"/>
    <col min="6" max="8" width="17" style="123" customWidth="1"/>
    <col min="9" max="13" width="9.08984375" style="123"/>
    <col min="14" max="14" width="11.26953125" style="123" bestFit="1" customWidth="1"/>
    <col min="15" max="16384" width="9.08984375" style="123"/>
  </cols>
  <sheetData>
    <row r="1" spans="1:8" s="471" customFormat="1" x14ac:dyDescent="0.35">
      <c r="A1" s="470" t="s">
        <v>2428</v>
      </c>
      <c r="B1" s="470" t="s">
        <v>5</v>
      </c>
      <c r="C1" s="470" t="s">
        <v>11</v>
      </c>
      <c r="D1" s="470" t="s">
        <v>2239</v>
      </c>
      <c r="E1" s="470" t="s">
        <v>478</v>
      </c>
      <c r="F1" s="470" t="s">
        <v>2245</v>
      </c>
      <c r="G1" s="470" t="s">
        <v>2246</v>
      </c>
      <c r="H1" s="470" t="s">
        <v>2429</v>
      </c>
    </row>
    <row r="2" spans="1:8" x14ac:dyDescent="0.35">
      <c r="A2" s="472" t="s">
        <v>2430</v>
      </c>
      <c r="B2" s="472" t="s">
        <v>2431</v>
      </c>
      <c r="C2" s="472" t="s">
        <v>12</v>
      </c>
      <c r="D2" s="472" t="s">
        <v>2432</v>
      </c>
      <c r="E2" s="472" t="str">
        <f>A2&amp;C2&amp;D2</f>
        <v>2017Commercial1</v>
      </c>
      <c r="F2" s="473">
        <v>6.2811271472348204E-2</v>
      </c>
      <c r="G2" s="474">
        <v>3.7351681210610286</v>
      </c>
      <c r="H2" s="474">
        <v>20</v>
      </c>
    </row>
    <row r="3" spans="1:8" x14ac:dyDescent="0.35">
      <c r="A3" s="472" t="s">
        <v>2430</v>
      </c>
      <c r="B3" s="472" t="s">
        <v>2431</v>
      </c>
      <c r="C3" s="472" t="s">
        <v>12</v>
      </c>
      <c r="D3" s="472" t="s">
        <v>2433</v>
      </c>
      <c r="E3" s="472" t="str">
        <f t="shared" ref="E3:E66" si="0">A3&amp;C3&amp;D3</f>
        <v>2017Commercial2</v>
      </c>
      <c r="F3" s="473">
        <v>0.12263153001744173</v>
      </c>
      <c r="G3" s="474">
        <v>7.2924710935001036</v>
      </c>
      <c r="H3" s="474">
        <v>46.258503401360542</v>
      </c>
    </row>
    <row r="4" spans="1:8" x14ac:dyDescent="0.35">
      <c r="A4" s="472" t="s">
        <v>2430</v>
      </c>
      <c r="B4" s="472" t="s">
        <v>2431</v>
      </c>
      <c r="C4" s="472" t="s">
        <v>12</v>
      </c>
      <c r="D4" s="472" t="s">
        <v>2434</v>
      </c>
      <c r="E4" s="472" t="str">
        <f t="shared" si="0"/>
        <v>2017Commercial3</v>
      </c>
      <c r="F4" s="473">
        <v>0.17653586017039083</v>
      </c>
      <c r="G4" s="474">
        <v>10.680378686299223</v>
      </c>
      <c r="H4" s="474">
        <v>72.173631357304814</v>
      </c>
    </row>
    <row r="5" spans="1:8" x14ac:dyDescent="0.35">
      <c r="A5" s="472" t="s">
        <v>2430</v>
      </c>
      <c r="B5" s="472" t="s">
        <v>2431</v>
      </c>
      <c r="C5" s="472" t="s">
        <v>12</v>
      </c>
      <c r="D5" s="472" t="s">
        <v>2435</v>
      </c>
      <c r="E5" s="472" t="str">
        <f t="shared" si="0"/>
        <v>2017Commercial4</v>
      </c>
      <c r="F5" s="473">
        <v>0.24142268279372675</v>
      </c>
      <c r="G5" s="474">
        <v>13.986380820810888</v>
      </c>
      <c r="H5" s="474">
        <v>96.854705601061283</v>
      </c>
    </row>
    <row r="6" spans="1:8" x14ac:dyDescent="0.35">
      <c r="A6" s="472" t="s">
        <v>2430</v>
      </c>
      <c r="B6" s="472" t="s">
        <v>2431</v>
      </c>
      <c r="C6" s="472" t="s">
        <v>12</v>
      </c>
      <c r="D6" s="472" t="s">
        <v>2436</v>
      </c>
      <c r="E6" s="472" t="str">
        <f t="shared" si="0"/>
        <v>2017Commercial5</v>
      </c>
      <c r="F6" s="473">
        <v>0.3110778275311406</v>
      </c>
      <c r="G6" s="474">
        <v>17.248416388969115</v>
      </c>
      <c r="H6" s="474">
        <v>128.19575225979963</v>
      </c>
    </row>
    <row r="7" spans="1:8" x14ac:dyDescent="0.35">
      <c r="A7" s="472" t="s">
        <v>2430</v>
      </c>
      <c r="B7" s="472" t="s">
        <v>2431</v>
      </c>
      <c r="C7" s="472" t="s">
        <v>12</v>
      </c>
      <c r="D7" s="472" t="s">
        <v>2437</v>
      </c>
      <c r="E7" s="472" t="str">
        <f t="shared" si="0"/>
        <v>2017Commercial6</v>
      </c>
      <c r="F7" s="473">
        <v>0.37918612839243265</v>
      </c>
      <c r="G7" s="474">
        <v>20.508200724851182</v>
      </c>
      <c r="H7" s="474">
        <v>165.50652209163101</v>
      </c>
    </row>
    <row r="8" spans="1:8" x14ac:dyDescent="0.35">
      <c r="A8" s="472" t="s">
        <v>2430</v>
      </c>
      <c r="B8" s="472" t="s">
        <v>2431</v>
      </c>
      <c r="C8" s="472" t="s">
        <v>12</v>
      </c>
      <c r="D8" s="472" t="s">
        <v>2438</v>
      </c>
      <c r="E8" s="472" t="str">
        <f t="shared" si="0"/>
        <v>2017Commercial7</v>
      </c>
      <c r="F8" s="473">
        <v>0.44502245907401122</v>
      </c>
      <c r="G8" s="474">
        <v>23.76712744843757</v>
      </c>
      <c r="H8" s="474">
        <v>201.04058859813708</v>
      </c>
    </row>
    <row r="9" spans="1:8" x14ac:dyDescent="0.35">
      <c r="A9" s="472" t="s">
        <v>2430</v>
      </c>
      <c r="B9" s="472" t="s">
        <v>2431</v>
      </c>
      <c r="C9" s="472" t="s">
        <v>12</v>
      </c>
      <c r="D9" s="472" t="s">
        <v>2439</v>
      </c>
      <c r="E9" s="472" t="str">
        <f t="shared" si="0"/>
        <v>2017Commercial8</v>
      </c>
      <c r="F9" s="473">
        <v>0.50338065232303464</v>
      </c>
      <c r="G9" s="474">
        <v>27.026054172023954</v>
      </c>
      <c r="H9" s="474">
        <v>234.88255669957144</v>
      </c>
    </row>
    <row r="10" spans="1:8" x14ac:dyDescent="0.35">
      <c r="A10" s="472" t="s">
        <v>2430</v>
      </c>
      <c r="B10" s="472" t="s">
        <v>2431</v>
      </c>
      <c r="C10" s="472" t="s">
        <v>12</v>
      </c>
      <c r="D10" s="472" t="s">
        <v>2440</v>
      </c>
      <c r="E10" s="472" t="str">
        <f t="shared" si="0"/>
        <v>2017Commercial9</v>
      </c>
      <c r="F10" s="473">
        <v>0.55937813719123142</v>
      </c>
      <c r="G10" s="474">
        <v>30.277591039094272</v>
      </c>
      <c r="H10" s="474">
        <v>267.11300251046129</v>
      </c>
    </row>
    <row r="11" spans="1:8" x14ac:dyDescent="0.35">
      <c r="A11" s="472" t="s">
        <v>2430</v>
      </c>
      <c r="B11" s="472" t="s">
        <v>2431</v>
      </c>
      <c r="C11" s="472" t="s">
        <v>12</v>
      </c>
      <c r="D11" s="472" t="s">
        <v>2441</v>
      </c>
      <c r="E11" s="472" t="str">
        <f t="shared" si="0"/>
        <v>2017Commercial10</v>
      </c>
      <c r="F11" s="473">
        <v>0.61904570963602346</v>
      </c>
      <c r="G11" s="474">
        <v>33.522460366450844</v>
      </c>
      <c r="H11" s="474">
        <v>297.80866518749929</v>
      </c>
    </row>
    <row r="12" spans="1:8" x14ac:dyDescent="0.35">
      <c r="A12" s="472" t="s">
        <v>2430</v>
      </c>
      <c r="B12" s="472" t="s">
        <v>2431</v>
      </c>
      <c r="C12" s="472" t="s">
        <v>12</v>
      </c>
      <c r="D12" s="472" t="s">
        <v>2442</v>
      </c>
      <c r="E12" s="472" t="str">
        <f t="shared" si="0"/>
        <v>2017Commercial11</v>
      </c>
      <c r="F12" s="473">
        <v>0.67708232972246363</v>
      </c>
      <c r="G12" s="474">
        <v>36.758177084123481</v>
      </c>
      <c r="H12" s="474">
        <v>327.04262964182112</v>
      </c>
    </row>
    <row r="13" spans="1:8" x14ac:dyDescent="0.35">
      <c r="A13" s="472" t="s">
        <v>2430</v>
      </c>
      <c r="B13" s="472" t="s">
        <v>2431</v>
      </c>
      <c r="C13" s="472" t="s">
        <v>12</v>
      </c>
      <c r="D13" s="472" t="s">
        <v>2443</v>
      </c>
      <c r="E13" s="472" t="str">
        <f t="shared" si="0"/>
        <v>2017Commercial12</v>
      </c>
      <c r="F13" s="473">
        <v>0.73362575531627627</v>
      </c>
      <c r="G13" s="474">
        <v>39.983382401318778</v>
      </c>
      <c r="H13" s="474">
        <v>354.88450055069904</v>
      </c>
    </row>
    <row r="14" spans="1:8" x14ac:dyDescent="0.35">
      <c r="A14" s="472" t="s">
        <v>2430</v>
      </c>
      <c r="B14" s="472" t="s">
        <v>2431</v>
      </c>
      <c r="C14" s="472" t="s">
        <v>12</v>
      </c>
      <c r="D14" s="472" t="s">
        <v>2444</v>
      </c>
      <c r="E14" s="472" t="str">
        <f t="shared" si="0"/>
        <v>2017Commercial13</v>
      </c>
      <c r="F14" s="473">
        <v>0.78802401131556776</v>
      </c>
      <c r="G14" s="474">
        <v>43.186856832509804</v>
      </c>
      <c r="H14" s="474">
        <v>381.40056808296379</v>
      </c>
    </row>
    <row r="15" spans="1:8" x14ac:dyDescent="0.35">
      <c r="A15" s="472" t="s">
        <v>2430</v>
      </c>
      <c r="B15" s="472" t="s">
        <v>2431</v>
      </c>
      <c r="C15" s="472" t="s">
        <v>12</v>
      </c>
      <c r="D15" s="472" t="s">
        <v>2445</v>
      </c>
      <c r="E15" s="472" t="str">
        <f t="shared" si="0"/>
        <v>2017Commercial14</v>
      </c>
      <c r="F15" s="473">
        <v>0.84057192836452566</v>
      </c>
      <c r="G15" s="474">
        <v>46.330800960682183</v>
      </c>
      <c r="H15" s="474">
        <v>406.65396573273972</v>
      </c>
    </row>
    <row r="16" spans="1:8" x14ac:dyDescent="0.35">
      <c r="A16" s="472" t="s">
        <v>2430</v>
      </c>
      <c r="B16" s="472" t="s">
        <v>2431</v>
      </c>
      <c r="C16" s="472" t="s">
        <v>12</v>
      </c>
      <c r="D16" s="472" t="s">
        <v>2446</v>
      </c>
      <c r="E16" s="472" t="str">
        <f t="shared" si="0"/>
        <v>2017Commercial15</v>
      </c>
      <c r="F16" s="473">
        <v>0.89193468705854728</v>
      </c>
      <c r="G16" s="474">
        <v>49.4534842663479</v>
      </c>
      <c r="H16" s="474">
        <v>430.70482063728826</v>
      </c>
    </row>
    <row r="17" spans="1:8" x14ac:dyDescent="0.35">
      <c r="A17" s="472" t="s">
        <v>2430</v>
      </c>
      <c r="B17" s="472" t="s">
        <v>2431</v>
      </c>
      <c r="C17" s="472" t="s">
        <v>12</v>
      </c>
      <c r="D17" s="472" t="s">
        <v>2447</v>
      </c>
      <c r="E17" s="472" t="str">
        <f t="shared" si="0"/>
        <v>2017Commercial16</v>
      </c>
      <c r="F17" s="473">
        <v>0.94129800818946807</v>
      </c>
      <c r="G17" s="474">
        <v>52.490744624442215</v>
      </c>
      <c r="H17" s="474">
        <v>453.61039673685826</v>
      </c>
    </row>
    <row r="18" spans="1:8" x14ac:dyDescent="0.35">
      <c r="A18" s="472" t="s">
        <v>2430</v>
      </c>
      <c r="B18" s="472" t="s">
        <v>2431</v>
      </c>
      <c r="C18" s="472" t="s">
        <v>12</v>
      </c>
      <c r="D18" s="472" t="s">
        <v>2448</v>
      </c>
      <c r="E18" s="472" t="str">
        <f t="shared" si="0"/>
        <v>2017Commercial17</v>
      </c>
      <c r="F18" s="473">
        <v>0.98915682310131792</v>
      </c>
      <c r="G18" s="474">
        <v>55.395426157381614</v>
      </c>
      <c r="H18" s="474">
        <v>475.4252311174011</v>
      </c>
    </row>
    <row r="19" spans="1:8" x14ac:dyDescent="0.35">
      <c r="A19" s="472" t="s">
        <v>2430</v>
      </c>
      <c r="B19" s="472" t="s">
        <v>2431</v>
      </c>
      <c r="C19" s="472" t="s">
        <v>12</v>
      </c>
      <c r="D19" s="472" t="s">
        <v>2449</v>
      </c>
      <c r="E19" s="472" t="str">
        <f t="shared" si="0"/>
        <v>2017Commercial18</v>
      </c>
      <c r="F19" s="473">
        <v>1.0355424831321245</v>
      </c>
      <c r="G19" s="474">
        <v>58.200051809287807</v>
      </c>
      <c r="H19" s="474">
        <v>496.20126386077527</v>
      </c>
    </row>
    <row r="20" spans="1:8" x14ac:dyDescent="0.35">
      <c r="A20" s="472" t="s">
        <v>2430</v>
      </c>
      <c r="B20" s="472" t="s">
        <v>2431</v>
      </c>
      <c r="C20" s="472" t="s">
        <v>12</v>
      </c>
      <c r="D20" s="472" t="s">
        <v>2450</v>
      </c>
      <c r="E20" s="472" t="str">
        <f t="shared" si="0"/>
        <v>2017Commercial19</v>
      </c>
      <c r="F20" s="473">
        <v>1.0804867653569261</v>
      </c>
      <c r="G20" s="474">
        <v>60.969512597241682</v>
      </c>
      <c r="H20" s="474">
        <v>515.9879617116078</v>
      </c>
    </row>
    <row r="21" spans="1:8" x14ac:dyDescent="0.35">
      <c r="A21" s="472" t="s">
        <v>2430</v>
      </c>
      <c r="B21" s="472" t="s">
        <v>2431</v>
      </c>
      <c r="C21" s="472" t="s">
        <v>12</v>
      </c>
      <c r="D21" s="472" t="s">
        <v>2451</v>
      </c>
      <c r="E21" s="472" t="str">
        <f t="shared" si="0"/>
        <v>2017Commercial20</v>
      </c>
      <c r="F21" s="473">
        <v>1.124021760949921</v>
      </c>
      <c r="G21" s="474">
        <v>63.645269824700875</v>
      </c>
      <c r="H21" s="474">
        <v>534.83243585525781</v>
      </c>
    </row>
    <row r="22" spans="1:8" x14ac:dyDescent="0.35">
      <c r="A22" s="472" t="s">
        <v>2430</v>
      </c>
      <c r="B22" s="472" t="s">
        <v>2431</v>
      </c>
      <c r="C22" s="472" t="s">
        <v>12</v>
      </c>
      <c r="D22" s="472" t="s">
        <v>2452</v>
      </c>
      <c r="E22" s="472" t="str">
        <f t="shared" si="0"/>
        <v>2017Commercial21</v>
      </c>
      <c r="F22" s="473">
        <v>1.166179773213402</v>
      </c>
      <c r="G22" s="474">
        <v>66.243188644765027</v>
      </c>
      <c r="H22" s="474">
        <v>552.77955408730543</v>
      </c>
    </row>
    <row r="23" spans="1:8" x14ac:dyDescent="0.35">
      <c r="A23" s="472" t="s">
        <v>2430</v>
      </c>
      <c r="B23" s="472" t="s">
        <v>2431</v>
      </c>
      <c r="C23" s="472" t="s">
        <v>12</v>
      </c>
      <c r="D23" s="472" t="s">
        <v>2453</v>
      </c>
      <c r="E23" s="472" t="str">
        <f t="shared" si="0"/>
        <v>2017Commercial22</v>
      </c>
      <c r="F23" s="473">
        <v>1.2071332708407838</v>
      </c>
      <c r="G23" s="474">
        <v>68.766881212827343</v>
      </c>
      <c r="H23" s="474">
        <v>569.87204764163653</v>
      </c>
    </row>
    <row r="24" spans="1:8" x14ac:dyDescent="0.35">
      <c r="A24" s="472" t="s">
        <v>2430</v>
      </c>
      <c r="B24" s="472" t="s">
        <v>2431</v>
      </c>
      <c r="C24" s="472" t="s">
        <v>12</v>
      </c>
      <c r="D24" s="472" t="s">
        <v>2454</v>
      </c>
      <c r="E24" s="472" t="str">
        <f t="shared" si="0"/>
        <v>2017Commercial23</v>
      </c>
      <c r="F24" s="473">
        <v>1.2469166685359545</v>
      </c>
      <c r="G24" s="474">
        <v>71.218468278945025</v>
      </c>
      <c r="H24" s="474">
        <v>586.15061293147562</v>
      </c>
    </row>
    <row r="25" spans="1:8" x14ac:dyDescent="0.35">
      <c r="A25" s="472" t="s">
        <v>2430</v>
      </c>
      <c r="B25" s="472" t="s">
        <v>2431</v>
      </c>
      <c r="C25" s="472" t="s">
        <v>12</v>
      </c>
      <c r="D25" s="472" t="s">
        <v>2455</v>
      </c>
      <c r="E25" s="472" t="str">
        <f t="shared" si="0"/>
        <v>2017Commercial24</v>
      </c>
      <c r="F25" s="473">
        <v>1.2855633977255487</v>
      </c>
      <c r="G25" s="474">
        <v>73.600010000316487</v>
      </c>
      <c r="H25" s="474">
        <v>601.65400844560804</v>
      </c>
    </row>
    <row r="26" spans="1:8" x14ac:dyDescent="0.35">
      <c r="A26" s="472" t="s">
        <v>2430</v>
      </c>
      <c r="B26" s="472" t="s">
        <v>2431</v>
      </c>
      <c r="C26" s="472" t="s">
        <v>12</v>
      </c>
      <c r="D26" s="472" t="s">
        <v>2456</v>
      </c>
      <c r="E26" s="472" t="str">
        <f t="shared" si="0"/>
        <v>2017Commercial25</v>
      </c>
      <c r="F26" s="473">
        <v>1.3231059346525831</v>
      </c>
      <c r="G26" s="474">
        <v>75.913507672505901</v>
      </c>
      <c r="H26" s="474">
        <v>616.41914703049622</v>
      </c>
    </row>
    <row r="27" spans="1:8" x14ac:dyDescent="0.35">
      <c r="A27" s="472" t="s">
        <v>2430</v>
      </c>
      <c r="B27" s="472" t="s">
        <v>2431</v>
      </c>
      <c r="C27" s="472" t="s">
        <v>12</v>
      </c>
      <c r="D27" s="472" t="s">
        <v>2457</v>
      </c>
      <c r="E27" s="472" t="str">
        <f t="shared" si="0"/>
        <v>2017Commercial26</v>
      </c>
      <c r="F27" s="473">
        <v>1.3595758276674166</v>
      </c>
      <c r="G27" s="474">
        <v>78.160905411204197</v>
      </c>
      <c r="H27" s="474">
        <v>630.4811837780087</v>
      </c>
    </row>
    <row r="28" spans="1:8" x14ac:dyDescent="0.35">
      <c r="A28" s="472" t="s">
        <v>2430</v>
      </c>
      <c r="B28" s="472" t="s">
        <v>2431</v>
      </c>
      <c r="C28" s="472" t="s">
        <v>12</v>
      </c>
      <c r="D28" s="472" t="s">
        <v>2458</v>
      </c>
      <c r="E28" s="472" t="str">
        <f t="shared" si="0"/>
        <v>2017Commercial27</v>
      </c>
      <c r="F28" s="473">
        <v>1.3950037237389692</v>
      </c>
      <c r="G28" s="474">
        <v>80.344091785939682</v>
      </c>
      <c r="H28" s="474">
        <v>643.87359972802051</v>
      </c>
    </row>
    <row r="29" spans="1:8" x14ac:dyDescent="0.35">
      <c r="A29" s="472" t="s">
        <v>2430</v>
      </c>
      <c r="B29" s="472" t="s">
        <v>2431</v>
      </c>
      <c r="C29" s="472" t="s">
        <v>12</v>
      </c>
      <c r="D29" s="472" t="s">
        <v>2459</v>
      </c>
      <c r="E29" s="472" t="str">
        <f t="shared" si="0"/>
        <v>2017Commercial28</v>
      </c>
      <c r="F29" s="473">
        <v>1.4294193942084774</v>
      </c>
      <c r="G29" s="474">
        <v>82.464901407111284</v>
      </c>
      <c r="H29" s="474">
        <v>656.6282815851747</v>
      </c>
    </row>
    <row r="30" spans="1:8" x14ac:dyDescent="0.35">
      <c r="A30" s="472" t="s">
        <v>2430</v>
      </c>
      <c r="B30" s="472" t="s">
        <v>2431</v>
      </c>
      <c r="C30" s="472" t="s">
        <v>12</v>
      </c>
      <c r="D30" s="472" t="s">
        <v>2460</v>
      </c>
      <c r="E30" s="472" t="str">
        <f t="shared" si="0"/>
        <v>2017Commercial29</v>
      </c>
      <c r="F30" s="473">
        <v>1.462851759807428</v>
      </c>
      <c r="G30" s="474">
        <v>84.525116467677989</v>
      </c>
      <c r="H30" s="474">
        <v>668.77559763960733</v>
      </c>
    </row>
    <row r="31" spans="1:8" x14ac:dyDescent="0.35">
      <c r="A31" s="472" t="s">
        <v>2430</v>
      </c>
      <c r="B31" s="472" t="s">
        <v>2431</v>
      </c>
      <c r="C31" s="472" t="s">
        <v>12</v>
      </c>
      <c r="D31" s="472" t="s">
        <v>2461</v>
      </c>
      <c r="E31" s="472" t="str">
        <f t="shared" si="0"/>
        <v>2017Commercial30</v>
      </c>
      <c r="F31" s="473">
        <v>1.4953289149606945</v>
      </c>
      <c r="G31" s="474">
        <v>86.526468240799943</v>
      </c>
      <c r="H31" s="474">
        <v>680.34447007240021</v>
      </c>
    </row>
    <row r="32" spans="1:8" x14ac:dyDescent="0.35">
      <c r="A32" s="472" t="s">
        <v>2462</v>
      </c>
      <c r="B32" s="472" t="s">
        <v>2463</v>
      </c>
      <c r="C32" s="472" t="s">
        <v>12</v>
      </c>
      <c r="D32" s="472" t="s">
        <v>2432</v>
      </c>
      <c r="E32" s="472" t="str">
        <f t="shared" si="0"/>
        <v>2018Commercial1</v>
      </c>
      <c r="F32" s="473">
        <v>6.2811271472348204E-2</v>
      </c>
      <c r="G32" s="474">
        <v>3.7351681210610286</v>
      </c>
      <c r="H32" s="474">
        <v>30</v>
      </c>
    </row>
    <row r="33" spans="1:8" x14ac:dyDescent="0.35">
      <c r="A33" s="472" t="s">
        <v>2462</v>
      </c>
      <c r="B33" s="472" t="s">
        <v>2463</v>
      </c>
      <c r="C33" s="472" t="s">
        <v>12</v>
      </c>
      <c r="D33" s="472" t="s">
        <v>2433</v>
      </c>
      <c r="E33" s="472" t="str">
        <f t="shared" si="0"/>
        <v>2018Commercial2</v>
      </c>
      <c r="F33" s="473">
        <v>0.11941081813294475</v>
      </c>
      <c r="G33" s="474">
        <v>7.2924710935001036</v>
      </c>
      <c r="H33" s="474">
        <v>55.782312925170061</v>
      </c>
    </row>
    <row r="34" spans="1:8" x14ac:dyDescent="0.35">
      <c r="A34" s="472" t="s">
        <v>2462</v>
      </c>
      <c r="B34" s="472" t="s">
        <v>2463</v>
      </c>
      <c r="C34" s="472" t="s">
        <v>12</v>
      </c>
      <c r="D34" s="472" t="s">
        <v>2434</v>
      </c>
      <c r="E34" s="472" t="str">
        <f t="shared" si="0"/>
        <v>2018Commercial3</v>
      </c>
      <c r="F34" s="473">
        <v>0.18754198188744745</v>
      </c>
      <c r="G34" s="474">
        <v>10.763773334737351</v>
      </c>
      <c r="H34" s="474">
        <v>81.697440881114346</v>
      </c>
    </row>
    <row r="35" spans="1:8" x14ac:dyDescent="0.35">
      <c r="A35" s="472" t="s">
        <v>2462</v>
      </c>
      <c r="B35" s="472" t="s">
        <v>2463</v>
      </c>
      <c r="C35" s="472" t="s">
        <v>12</v>
      </c>
      <c r="D35" s="472" t="s">
        <v>2435</v>
      </c>
      <c r="E35" s="472" t="str">
        <f t="shared" si="0"/>
        <v>2018Commercial4</v>
      </c>
      <c r="F35" s="473">
        <v>0.26067988386173196</v>
      </c>
      <c r="G35" s="474">
        <v>14.188910681303492</v>
      </c>
      <c r="H35" s="474">
        <v>114.60553987278961</v>
      </c>
    </row>
    <row r="36" spans="1:8" x14ac:dyDescent="0.35">
      <c r="A36" s="472" t="s">
        <v>2462</v>
      </c>
      <c r="B36" s="472" t="s">
        <v>2463</v>
      </c>
      <c r="C36" s="472" t="s">
        <v>12</v>
      </c>
      <c r="D36" s="472" t="s">
        <v>2436</v>
      </c>
      <c r="E36" s="472" t="str">
        <f t="shared" si="0"/>
        <v>2018Commercial5</v>
      </c>
      <c r="F36" s="473">
        <v>0.33219359976608859</v>
      </c>
      <c r="G36" s="474">
        <v>17.611684233979663</v>
      </c>
      <c r="H36" s="474">
        <v>153.78184819621256</v>
      </c>
    </row>
    <row r="37" spans="1:8" x14ac:dyDescent="0.35">
      <c r="A37" s="472" t="s">
        <v>2462</v>
      </c>
      <c r="B37" s="472" t="s">
        <v>2463</v>
      </c>
      <c r="C37" s="472" t="s">
        <v>12</v>
      </c>
      <c r="D37" s="472" t="s">
        <v>2437</v>
      </c>
      <c r="E37" s="472" t="str">
        <f t="shared" si="0"/>
        <v>2018Commercial6</v>
      </c>
      <c r="F37" s="473">
        <v>0.40132174698174611</v>
      </c>
      <c r="G37" s="474">
        <v>21.033557293745371</v>
      </c>
      <c r="H37" s="474">
        <v>191.09261802804394</v>
      </c>
    </row>
    <row r="38" spans="1:8" x14ac:dyDescent="0.35">
      <c r="A38" s="472" t="s">
        <v>2462</v>
      </c>
      <c r="B38" s="472" t="s">
        <v>2463</v>
      </c>
      <c r="C38" s="472" t="s">
        <v>12</v>
      </c>
      <c r="D38" s="472" t="s">
        <v>2438</v>
      </c>
      <c r="E38" s="472" t="str">
        <f t="shared" si="0"/>
        <v>2018Commercial7</v>
      </c>
      <c r="F38" s="473">
        <v>0.46259784989322078</v>
      </c>
      <c r="G38" s="474">
        <v>24.455430353511076</v>
      </c>
      <c r="H38" s="474">
        <v>226.62668453455001</v>
      </c>
    </row>
    <row r="39" spans="1:8" x14ac:dyDescent="0.35">
      <c r="A39" s="472" t="s">
        <v>2462</v>
      </c>
      <c r="B39" s="472" t="s">
        <v>2463</v>
      </c>
      <c r="C39" s="472" t="s">
        <v>12</v>
      </c>
      <c r="D39" s="472" t="s">
        <v>2439</v>
      </c>
      <c r="E39" s="472" t="str">
        <f t="shared" si="0"/>
        <v>2018Commercial8</v>
      </c>
      <c r="F39" s="473">
        <v>0.52139520900482739</v>
      </c>
      <c r="G39" s="474">
        <v>27.86954406393491</v>
      </c>
      <c r="H39" s="474">
        <v>260.46865263598437</v>
      </c>
    </row>
    <row r="40" spans="1:8" x14ac:dyDescent="0.35">
      <c r="A40" s="472" t="s">
        <v>2462</v>
      </c>
      <c r="B40" s="472" t="s">
        <v>2463</v>
      </c>
      <c r="C40" s="472" t="s">
        <v>12</v>
      </c>
      <c r="D40" s="472" t="s">
        <v>2440</v>
      </c>
      <c r="E40" s="472" t="str">
        <f t="shared" si="0"/>
        <v>2018Commercial9</v>
      </c>
      <c r="F40" s="473">
        <v>0.58404616007185894</v>
      </c>
      <c r="G40" s="474">
        <v>31.276656857659304</v>
      </c>
      <c r="H40" s="474">
        <v>292.69909844687419</v>
      </c>
    </row>
    <row r="41" spans="1:8" x14ac:dyDescent="0.35">
      <c r="A41" s="472" t="s">
        <v>2462</v>
      </c>
      <c r="B41" s="472" t="s">
        <v>2463</v>
      </c>
      <c r="C41" s="472" t="s">
        <v>12</v>
      </c>
      <c r="D41" s="472" t="s">
        <v>2441</v>
      </c>
      <c r="E41" s="472" t="str">
        <f t="shared" si="0"/>
        <v>2018Commercial10</v>
      </c>
      <c r="F41" s="473">
        <v>0.64498461116262129</v>
      </c>
      <c r="G41" s="474">
        <v>34.674159411215577</v>
      </c>
      <c r="H41" s="474">
        <v>323.39476112391219</v>
      </c>
    </row>
    <row r="42" spans="1:8" x14ac:dyDescent="0.35">
      <c r="A42" s="472" t="s">
        <v>2462</v>
      </c>
      <c r="B42" s="472" t="s">
        <v>2463</v>
      </c>
      <c r="C42" s="472" t="s">
        <v>12</v>
      </c>
      <c r="D42" s="472" t="s">
        <v>2442</v>
      </c>
      <c r="E42" s="472" t="str">
        <f t="shared" si="0"/>
        <v>2018Commercial11</v>
      </c>
      <c r="F42" s="473">
        <v>0.70435520803612461</v>
      </c>
      <c r="G42" s="474">
        <v>38.060624994270633</v>
      </c>
      <c r="H42" s="474">
        <v>352.62872557823403</v>
      </c>
    </row>
    <row r="43" spans="1:8" x14ac:dyDescent="0.35">
      <c r="A43" s="472" t="s">
        <v>2462</v>
      </c>
      <c r="B43" s="472" t="s">
        <v>2463</v>
      </c>
      <c r="C43" s="472" t="s">
        <v>12</v>
      </c>
      <c r="D43" s="472" t="s">
        <v>2443</v>
      </c>
      <c r="E43" s="472" t="str">
        <f t="shared" si="0"/>
        <v>2018Commercial12</v>
      </c>
      <c r="F43" s="473">
        <v>0.76147337683538074</v>
      </c>
      <c r="G43" s="474">
        <v>41.424273147021218</v>
      </c>
      <c r="H43" s="474">
        <v>380.47059648711206</v>
      </c>
    </row>
    <row r="44" spans="1:8" x14ac:dyDescent="0.35">
      <c r="A44" s="472" t="s">
        <v>2462</v>
      </c>
      <c r="B44" s="472" t="s">
        <v>2463</v>
      </c>
      <c r="C44" s="472" t="s">
        <v>12</v>
      </c>
      <c r="D44" s="472" t="s">
        <v>2444</v>
      </c>
      <c r="E44" s="472" t="str">
        <f t="shared" si="0"/>
        <v>2018Commercial13</v>
      </c>
      <c r="F44" s="473">
        <v>0.8166486897367865</v>
      </c>
      <c r="G44" s="474">
        <v>44.725414481602208</v>
      </c>
      <c r="H44" s="474">
        <v>406.9866640193768</v>
      </c>
    </row>
    <row r="45" spans="1:8" x14ac:dyDescent="0.35">
      <c r="A45" s="472" t="s">
        <v>2462</v>
      </c>
      <c r="B45" s="472" t="s">
        <v>2463</v>
      </c>
      <c r="C45" s="472" t="s">
        <v>12</v>
      </c>
      <c r="D45" s="472" t="s">
        <v>2445</v>
      </c>
      <c r="E45" s="472" t="str">
        <f t="shared" si="0"/>
        <v>2018Commercial14</v>
      </c>
      <c r="F45" s="473">
        <v>0.87057958636550936</v>
      </c>
      <c r="G45" s="474">
        <v>48.004231952551216</v>
      </c>
      <c r="H45" s="474">
        <v>432.24006166915274</v>
      </c>
    </row>
    <row r="46" spans="1:8" x14ac:dyDescent="0.35">
      <c r="A46" s="472" t="s">
        <v>2462</v>
      </c>
      <c r="B46" s="472" t="s">
        <v>2463</v>
      </c>
      <c r="C46" s="472" t="s">
        <v>12</v>
      </c>
      <c r="D46" s="472" t="s">
        <v>2446</v>
      </c>
      <c r="E46" s="472" t="str">
        <f t="shared" si="0"/>
        <v>2018Commercial15</v>
      </c>
      <c r="F46" s="473">
        <v>0.92241107355297614</v>
      </c>
      <c r="G46" s="474">
        <v>51.193355328550247</v>
      </c>
      <c r="H46" s="474">
        <v>456.29091657370122</v>
      </c>
    </row>
    <row r="47" spans="1:8" x14ac:dyDescent="0.35">
      <c r="A47" s="472" t="s">
        <v>2462</v>
      </c>
      <c r="B47" s="472" t="s">
        <v>2463</v>
      </c>
      <c r="C47" s="472" t="s">
        <v>12</v>
      </c>
      <c r="D47" s="472" t="s">
        <v>2447</v>
      </c>
      <c r="E47" s="472" t="str">
        <f t="shared" si="0"/>
        <v>2018Commercial16</v>
      </c>
      <c r="F47" s="473">
        <v>0.97266282921041847</v>
      </c>
      <c r="G47" s="474">
        <v>54.243270938136618</v>
      </c>
      <c r="H47" s="474">
        <v>479.19649267327122</v>
      </c>
    </row>
    <row r="48" spans="1:8" x14ac:dyDescent="0.35">
      <c r="A48" s="472" t="s">
        <v>2462</v>
      </c>
      <c r="B48" s="472" t="s">
        <v>2463</v>
      </c>
      <c r="C48" s="472" t="s">
        <v>12</v>
      </c>
      <c r="D48" s="472" t="s">
        <v>2448</v>
      </c>
      <c r="E48" s="472" t="str">
        <f t="shared" si="0"/>
        <v>2018Commercial17</v>
      </c>
      <c r="F48" s="473">
        <v>1.0213677722427654</v>
      </c>
      <c r="G48" s="474">
        <v>57.18812787263812</v>
      </c>
      <c r="H48" s="474">
        <v>501.01132705381411</v>
      </c>
    </row>
    <row r="49" spans="1:8" x14ac:dyDescent="0.35">
      <c r="A49" s="472" t="s">
        <v>2462</v>
      </c>
      <c r="B49" s="472" t="s">
        <v>2463</v>
      </c>
      <c r="C49" s="472" t="s">
        <v>12</v>
      </c>
      <c r="D49" s="472" t="s">
        <v>2449</v>
      </c>
      <c r="E49" s="472" t="str">
        <f t="shared" si="0"/>
        <v>2018Commercial18</v>
      </c>
      <c r="F49" s="473">
        <v>1.068559268578807</v>
      </c>
      <c r="G49" s="474">
        <v>60.09606169998969</v>
      </c>
      <c r="H49" s="474">
        <v>521.78735979718829</v>
      </c>
    </row>
    <row r="50" spans="1:8" x14ac:dyDescent="0.35">
      <c r="A50" s="472" t="s">
        <v>2462</v>
      </c>
      <c r="B50" s="472" t="s">
        <v>2463</v>
      </c>
      <c r="C50" s="472" t="s">
        <v>12</v>
      </c>
      <c r="D50" s="472" t="s">
        <v>2450</v>
      </c>
      <c r="E50" s="472" t="str">
        <f t="shared" si="0"/>
        <v>2018Commercial19</v>
      </c>
      <c r="F50" s="473">
        <v>1.1142710139514516</v>
      </c>
      <c r="G50" s="474">
        <v>62.905606788821849</v>
      </c>
      <c r="H50" s="474">
        <v>541.5740576480207</v>
      </c>
    </row>
    <row r="51" spans="1:8" x14ac:dyDescent="0.35">
      <c r="A51" s="472" t="s">
        <v>2462</v>
      </c>
      <c r="B51" s="472" t="s">
        <v>2463</v>
      </c>
      <c r="C51" s="472" t="s">
        <v>12</v>
      </c>
      <c r="D51" s="472" t="s">
        <v>2451</v>
      </c>
      <c r="E51" s="472" t="str">
        <f t="shared" si="0"/>
        <v>2018Commercial20</v>
      </c>
      <c r="F51" s="473">
        <v>1.1585369268281067</v>
      </c>
      <c r="G51" s="474">
        <v>65.633421549889206</v>
      </c>
      <c r="H51" s="474">
        <v>560.41853179167072</v>
      </c>
    </row>
    <row r="52" spans="1:8" x14ac:dyDescent="0.35">
      <c r="A52" s="472" t="s">
        <v>2462</v>
      </c>
      <c r="B52" s="472" t="s">
        <v>2463</v>
      </c>
      <c r="C52" s="472" t="s">
        <v>12</v>
      </c>
      <c r="D52" s="472" t="s">
        <v>2452</v>
      </c>
      <c r="E52" s="472" t="str">
        <f t="shared" si="0"/>
        <v>2018Commercial21</v>
      </c>
      <c r="F52" s="473">
        <v>1.2015380993368574</v>
      </c>
      <c r="G52" s="474">
        <v>68.283298746354646</v>
      </c>
      <c r="H52" s="474">
        <v>578.36565002371844</v>
      </c>
    </row>
    <row r="53" spans="1:8" x14ac:dyDescent="0.35">
      <c r="A53" s="472" t="s">
        <v>2462</v>
      </c>
      <c r="B53" s="472" t="s">
        <v>2463</v>
      </c>
      <c r="C53" s="472" t="s">
        <v>12</v>
      </c>
      <c r="D53" s="472" t="s">
        <v>2453</v>
      </c>
      <c r="E53" s="472" t="str">
        <f t="shared" si="0"/>
        <v>2018Commercial22</v>
      </c>
      <c r="F53" s="473">
        <v>1.2433106669167866</v>
      </c>
      <c r="G53" s="474">
        <v>70.857465165778208</v>
      </c>
      <c r="H53" s="474">
        <v>595.45814357804943</v>
      </c>
    </row>
    <row r="54" spans="1:8" x14ac:dyDescent="0.35">
      <c r="A54" s="472" t="s">
        <v>2462</v>
      </c>
      <c r="B54" s="472" t="s">
        <v>2463</v>
      </c>
      <c r="C54" s="472" t="s">
        <v>12</v>
      </c>
      <c r="D54" s="472" t="s">
        <v>2454</v>
      </c>
      <c r="E54" s="472" t="str">
        <f t="shared" si="0"/>
        <v>2018Commercial23</v>
      </c>
      <c r="F54" s="473">
        <v>1.2838897325658605</v>
      </c>
      <c r="G54" s="474">
        <v>73.358083973218228</v>
      </c>
      <c r="H54" s="474">
        <v>611.73670886788864</v>
      </c>
    </row>
    <row r="55" spans="1:8" x14ac:dyDescent="0.35">
      <c r="A55" s="472" t="s">
        <v>2462</v>
      </c>
      <c r="B55" s="472" t="s">
        <v>2463</v>
      </c>
      <c r="C55" s="472" t="s">
        <v>12</v>
      </c>
      <c r="D55" s="472" t="s">
        <v>2455</v>
      </c>
      <c r="E55" s="472" t="str">
        <f t="shared" si="0"/>
        <v>2018Commercial24</v>
      </c>
      <c r="F55" s="473">
        <v>1.3233093963392466</v>
      </c>
      <c r="G55" s="474">
        <v>75.787256529017128</v>
      </c>
      <c r="H55" s="474">
        <v>627.24010438202106</v>
      </c>
    </row>
    <row r="56" spans="1:8" x14ac:dyDescent="0.35">
      <c r="A56" s="472" t="s">
        <v>2462</v>
      </c>
      <c r="B56" s="472" t="s">
        <v>2463</v>
      </c>
      <c r="C56" s="472" t="s">
        <v>12</v>
      </c>
      <c r="D56" s="472" t="s">
        <v>2456</v>
      </c>
      <c r="E56" s="472" t="str">
        <f t="shared" si="0"/>
        <v>2018Commercial25</v>
      </c>
      <c r="F56" s="473">
        <v>1.3616027840048217</v>
      </c>
      <c r="G56" s="474">
        <v>78.147024154650325</v>
      </c>
      <c r="H56" s="474">
        <v>642.00524296690924</v>
      </c>
    </row>
    <row r="57" spans="1:8" x14ac:dyDescent="0.35">
      <c r="A57" s="472" t="s">
        <v>2462</v>
      </c>
      <c r="B57" s="472" t="s">
        <v>2463</v>
      </c>
      <c r="C57" s="472" t="s">
        <v>12</v>
      </c>
      <c r="D57" s="472" t="s">
        <v>2457</v>
      </c>
      <c r="E57" s="472" t="str">
        <f t="shared" si="0"/>
        <v>2018Commercial26</v>
      </c>
      <c r="F57" s="473">
        <v>1.3988020748799519</v>
      </c>
      <c r="G57" s="474">
        <v>80.439369848122581</v>
      </c>
      <c r="H57" s="474">
        <v>656.0672797144216</v>
      </c>
    </row>
    <row r="58" spans="1:8" x14ac:dyDescent="0.35">
      <c r="A58" s="472" t="s">
        <v>2462</v>
      </c>
      <c r="B58" s="472" t="s">
        <v>2463</v>
      </c>
      <c r="C58" s="472" t="s">
        <v>12</v>
      </c>
      <c r="D58" s="472" t="s">
        <v>2458</v>
      </c>
      <c r="E58" s="472" t="str">
        <f t="shared" si="0"/>
        <v>2018Commercial27</v>
      </c>
      <c r="F58" s="473">
        <v>1.4349385288729355</v>
      </c>
      <c r="G58" s="474">
        <v>82.666219950352769</v>
      </c>
      <c r="H58" s="474">
        <v>669.45969566443353</v>
      </c>
    </row>
    <row r="59" spans="1:8" x14ac:dyDescent="0.35">
      <c r="A59" s="472" t="s">
        <v>2462</v>
      </c>
      <c r="B59" s="472" t="s">
        <v>2463</v>
      </c>
      <c r="C59" s="472" t="s">
        <v>12</v>
      </c>
      <c r="D59" s="472" t="s">
        <v>2459</v>
      </c>
      <c r="E59" s="472" t="str">
        <f t="shared" si="0"/>
        <v>2018Commercial28</v>
      </c>
      <c r="F59" s="473">
        <v>1.4700425127518335</v>
      </c>
      <c r="G59" s="474">
        <v>84.829445763947803</v>
      </c>
      <c r="H59" s="474">
        <v>682.21437752158772</v>
      </c>
    </row>
    <row r="60" spans="1:8" x14ac:dyDescent="0.35">
      <c r="A60" s="472" t="s">
        <v>2462</v>
      </c>
      <c r="B60" s="472" t="s">
        <v>2463</v>
      </c>
      <c r="C60" s="472" t="s">
        <v>12</v>
      </c>
      <c r="D60" s="472" t="s">
        <v>2460</v>
      </c>
      <c r="E60" s="472" t="str">
        <f t="shared" si="0"/>
        <v>2018Commercial29</v>
      </c>
      <c r="F60" s="473">
        <v>1.5041435256627633</v>
      </c>
      <c r="G60" s="474">
        <v>86.930865125725845</v>
      </c>
      <c r="H60" s="474">
        <v>694.36169357602034</v>
      </c>
    </row>
    <row r="61" spans="1:8" x14ac:dyDescent="0.35">
      <c r="A61" s="472" t="s">
        <v>2462</v>
      </c>
      <c r="B61" s="472" t="s">
        <v>2463</v>
      </c>
      <c r="C61" s="472" t="s">
        <v>12</v>
      </c>
      <c r="D61" s="472" t="s">
        <v>2461</v>
      </c>
      <c r="E61" s="472" t="str">
        <f t="shared" si="0"/>
        <v>2018Commercial30</v>
      </c>
      <c r="F61" s="473">
        <v>1.5372702239190952</v>
      </c>
      <c r="G61" s="474">
        <v>88.972243934310228</v>
      </c>
      <c r="H61" s="474">
        <v>705.93056600881312</v>
      </c>
    </row>
    <row r="62" spans="1:8" x14ac:dyDescent="0.35">
      <c r="A62" s="472" t="s">
        <v>2464</v>
      </c>
      <c r="B62" s="472" t="s">
        <v>2465</v>
      </c>
      <c r="C62" s="472" t="s">
        <v>12</v>
      </c>
      <c r="D62" s="472" t="s">
        <v>2432</v>
      </c>
      <c r="E62" s="472" t="str">
        <f t="shared" si="0"/>
        <v>2019Commercial1</v>
      </c>
      <c r="F62" s="473">
        <v>5.9429523993626381E-2</v>
      </c>
      <c r="G62" s="474">
        <v>3.7351681210610286</v>
      </c>
      <c r="H62" s="474">
        <v>30</v>
      </c>
    </row>
    <row r="63" spans="1:8" x14ac:dyDescent="0.35">
      <c r="A63" s="472" t="s">
        <v>2464</v>
      </c>
      <c r="B63" s="472" t="s">
        <v>2465</v>
      </c>
      <c r="C63" s="472" t="s">
        <v>12</v>
      </c>
      <c r="D63" s="472" t="s">
        <v>2433</v>
      </c>
      <c r="E63" s="472" t="str">
        <f t="shared" si="0"/>
        <v>2019Commercial2</v>
      </c>
      <c r="F63" s="473">
        <v>0.13096724593585424</v>
      </c>
      <c r="G63" s="474">
        <v>7.38003547436014</v>
      </c>
      <c r="H63" s="474">
        <v>55.782312925170061</v>
      </c>
    </row>
    <row r="64" spans="1:8" x14ac:dyDescent="0.35">
      <c r="A64" s="472" t="s">
        <v>2464</v>
      </c>
      <c r="B64" s="472" t="s">
        <v>2465</v>
      </c>
      <c r="C64" s="472" t="s">
        <v>12</v>
      </c>
      <c r="D64" s="472" t="s">
        <v>2434</v>
      </c>
      <c r="E64" s="472" t="str">
        <f t="shared" si="0"/>
        <v>2019Commercial3</v>
      </c>
      <c r="F64" s="473">
        <v>0.20776204300885298</v>
      </c>
      <c r="G64" s="474">
        <v>10.976429688254585</v>
      </c>
      <c r="H64" s="474">
        <v>90.335816866429113</v>
      </c>
    </row>
    <row r="65" spans="1:8" x14ac:dyDescent="0.35">
      <c r="A65" s="472" t="s">
        <v>2464</v>
      </c>
      <c r="B65" s="472" t="s">
        <v>2465</v>
      </c>
      <c r="C65" s="472" t="s">
        <v>12</v>
      </c>
      <c r="D65" s="472" t="s">
        <v>2435</v>
      </c>
      <c r="E65" s="472" t="str">
        <f t="shared" si="0"/>
        <v>2019Commercial4</v>
      </c>
      <c r="F65" s="473">
        <v>0.28285144470842749</v>
      </c>
      <c r="G65" s="474">
        <v>14.570341918564566</v>
      </c>
      <c r="H65" s="474">
        <v>131.47094060602319</v>
      </c>
    </row>
    <row r="66" spans="1:8" x14ac:dyDescent="0.35">
      <c r="A66" s="472" t="s">
        <v>2464</v>
      </c>
      <c r="B66" s="472" t="s">
        <v>2465</v>
      </c>
      <c r="C66" s="472" t="s">
        <v>12</v>
      </c>
      <c r="D66" s="472" t="s">
        <v>2436</v>
      </c>
      <c r="E66" s="472" t="str">
        <f t="shared" si="0"/>
        <v>2019Commercial5</v>
      </c>
      <c r="F66" s="473">
        <v>0.35543599928486791</v>
      </c>
      <c r="G66" s="474">
        <v>18.163308631318561</v>
      </c>
      <c r="H66" s="474">
        <v>170.64724892944614</v>
      </c>
    </row>
    <row r="67" spans="1:8" x14ac:dyDescent="0.35">
      <c r="A67" s="472" t="s">
        <v>2464</v>
      </c>
      <c r="B67" s="472" t="s">
        <v>2465</v>
      </c>
      <c r="C67" s="472" t="s">
        <v>12</v>
      </c>
      <c r="D67" s="472" t="s">
        <v>2437</v>
      </c>
      <c r="E67" s="472" t="str">
        <f t="shared" ref="E67:E130" si="1">A67&amp;C67&amp;D67</f>
        <v>2019Commercial6</v>
      </c>
      <c r="F67" s="473">
        <v>0.41977590734191628</v>
      </c>
      <c r="G67" s="474">
        <v>21.756275344072552</v>
      </c>
      <c r="H67" s="474">
        <v>207.95801876127751</v>
      </c>
    </row>
    <row r="68" spans="1:8" x14ac:dyDescent="0.35">
      <c r="A68" s="472" t="s">
        <v>2464</v>
      </c>
      <c r="B68" s="472" t="s">
        <v>2465</v>
      </c>
      <c r="C68" s="472" t="s">
        <v>12</v>
      </c>
      <c r="D68" s="472" t="s">
        <v>2438</v>
      </c>
      <c r="E68" s="472" t="str">
        <f t="shared" si="1"/>
        <v>2019Commercial7</v>
      </c>
      <c r="F68" s="473">
        <v>0.48151313440910315</v>
      </c>
      <c r="G68" s="474">
        <v>25.341094740017578</v>
      </c>
      <c r="H68" s="474">
        <v>243.49208526778358</v>
      </c>
    </row>
    <row r="69" spans="1:8" x14ac:dyDescent="0.35">
      <c r="A69" s="472" t="s">
        <v>2464</v>
      </c>
      <c r="B69" s="472" t="s">
        <v>2465</v>
      </c>
      <c r="C69" s="472" t="s">
        <v>12</v>
      </c>
      <c r="D69" s="472" t="s">
        <v>2439</v>
      </c>
      <c r="E69" s="472" t="str">
        <f t="shared" si="1"/>
        <v>2019Commercial8</v>
      </c>
      <c r="F69" s="473">
        <v>0.54729663302948639</v>
      </c>
      <c r="G69" s="474">
        <v>28.918563173428197</v>
      </c>
      <c r="H69" s="474">
        <v>277.33405336921794</v>
      </c>
    </row>
    <row r="70" spans="1:8" x14ac:dyDescent="0.35">
      <c r="A70" s="472" t="s">
        <v>2464</v>
      </c>
      <c r="B70" s="472" t="s">
        <v>2465</v>
      </c>
      <c r="C70" s="472" t="s">
        <v>12</v>
      </c>
      <c r="D70" s="472" t="s">
        <v>2440</v>
      </c>
      <c r="E70" s="472" t="str">
        <f t="shared" si="1"/>
        <v>2019Commercial9</v>
      </c>
      <c r="F70" s="473">
        <v>0.61128200667478672</v>
      </c>
      <c r="G70" s="474">
        <v>32.485940854662282</v>
      </c>
      <c r="H70" s="474">
        <v>309.56449918010782</v>
      </c>
    </row>
    <row r="71" spans="1:8" x14ac:dyDescent="0.35">
      <c r="A71" s="472" t="s">
        <v>2464</v>
      </c>
      <c r="B71" s="472" t="s">
        <v>2465</v>
      </c>
      <c r="C71" s="472" t="s">
        <v>12</v>
      </c>
      <c r="D71" s="472" t="s">
        <v>2441</v>
      </c>
      <c r="E71" s="472" t="str">
        <f t="shared" si="1"/>
        <v>2019Commercial10</v>
      </c>
      <c r="F71" s="473">
        <v>0.67362113339196505</v>
      </c>
      <c r="G71" s="474">
        <v>36.041729716870101</v>
      </c>
      <c r="H71" s="474">
        <v>340.26016185714576</v>
      </c>
    </row>
    <row r="72" spans="1:8" x14ac:dyDescent="0.35">
      <c r="A72" s="472" t="s">
        <v>2464</v>
      </c>
      <c r="B72" s="472" t="s">
        <v>2465</v>
      </c>
      <c r="C72" s="472" t="s">
        <v>12</v>
      </c>
      <c r="D72" s="472" t="s">
        <v>2442</v>
      </c>
      <c r="E72" s="472" t="str">
        <f t="shared" si="1"/>
        <v>2019Commercial11</v>
      </c>
      <c r="F72" s="473">
        <v>0.73359521063118405</v>
      </c>
      <c r="G72" s="474">
        <v>39.57356027725821</v>
      </c>
      <c r="H72" s="474">
        <v>369.49412631146765</v>
      </c>
    </row>
    <row r="73" spans="1:8" x14ac:dyDescent="0.35">
      <c r="A73" s="472" t="s">
        <v>2464</v>
      </c>
      <c r="B73" s="472" t="s">
        <v>2465</v>
      </c>
      <c r="C73" s="472" t="s">
        <v>12</v>
      </c>
      <c r="D73" s="472" t="s">
        <v>2443</v>
      </c>
      <c r="E73" s="472" t="str">
        <f t="shared" si="1"/>
        <v>2019Commercial12</v>
      </c>
      <c r="F73" s="473">
        <v>0.79152928917766008</v>
      </c>
      <c r="G73" s="474">
        <v>43.039758678568255</v>
      </c>
      <c r="H73" s="474">
        <v>397.33599722034558</v>
      </c>
    </row>
    <row r="74" spans="1:8" x14ac:dyDescent="0.35">
      <c r="A74" s="472" t="s">
        <v>2464</v>
      </c>
      <c r="B74" s="472" t="s">
        <v>2465</v>
      </c>
      <c r="C74" s="472" t="s">
        <v>12</v>
      </c>
      <c r="D74" s="472" t="s">
        <v>2444</v>
      </c>
      <c r="E74" s="472" t="str">
        <f t="shared" si="1"/>
        <v>2019Commercial13</v>
      </c>
      <c r="F74" s="473">
        <v>0.84815673063781905</v>
      </c>
      <c r="G74" s="474">
        <v>46.482517023064709</v>
      </c>
      <c r="H74" s="474">
        <v>423.85206475261032</v>
      </c>
    </row>
    <row r="75" spans="1:8" x14ac:dyDescent="0.35">
      <c r="A75" s="472" t="s">
        <v>2464</v>
      </c>
      <c r="B75" s="472" t="s">
        <v>2465</v>
      </c>
      <c r="C75" s="472" t="s">
        <v>12</v>
      </c>
      <c r="D75" s="472" t="s">
        <v>2445</v>
      </c>
      <c r="E75" s="472" t="str">
        <f t="shared" si="1"/>
        <v>2019Commercial14</v>
      </c>
      <c r="F75" s="473">
        <v>0.90257979218465922</v>
      </c>
      <c r="G75" s="474">
        <v>49.831096567863703</v>
      </c>
      <c r="H75" s="474">
        <v>449.10546240238625</v>
      </c>
    </row>
    <row r="76" spans="1:8" x14ac:dyDescent="0.35">
      <c r="A76" s="472" t="s">
        <v>2464</v>
      </c>
      <c r="B76" s="472" t="s">
        <v>2465</v>
      </c>
      <c r="C76" s="472" t="s">
        <v>12</v>
      </c>
      <c r="D76" s="472" t="s">
        <v>2446</v>
      </c>
      <c r="E76" s="472" t="str">
        <f t="shared" si="1"/>
        <v>2019Commercial15</v>
      </c>
      <c r="F76" s="473">
        <v>0.95534413562497367</v>
      </c>
      <c r="G76" s="474">
        <v>53.033507957929395</v>
      </c>
      <c r="H76" s="474">
        <v>473.15631730693474</v>
      </c>
    </row>
    <row r="77" spans="1:8" x14ac:dyDescent="0.35">
      <c r="A77" s="472" t="s">
        <v>2464</v>
      </c>
      <c r="B77" s="472" t="s">
        <v>2465</v>
      </c>
      <c r="C77" s="472" t="s">
        <v>12</v>
      </c>
      <c r="D77" s="472" t="s">
        <v>2447</v>
      </c>
      <c r="E77" s="472" t="str">
        <f t="shared" si="1"/>
        <v>2019Commercial16</v>
      </c>
      <c r="F77" s="473">
        <v>1.006484325808938</v>
      </c>
      <c r="G77" s="474">
        <v>56.125607739155967</v>
      </c>
      <c r="H77" s="474">
        <v>496.06189340650479</v>
      </c>
    </row>
    <row r="78" spans="1:8" x14ac:dyDescent="0.35">
      <c r="A78" s="472" t="s">
        <v>2464</v>
      </c>
      <c r="B78" s="472" t="s">
        <v>2465</v>
      </c>
      <c r="C78" s="472" t="s">
        <v>12</v>
      </c>
      <c r="D78" s="472" t="s">
        <v>2448</v>
      </c>
      <c r="E78" s="472" t="str">
        <f t="shared" si="1"/>
        <v>2019Commercial17</v>
      </c>
      <c r="F78" s="473">
        <v>1.0560353969617815</v>
      </c>
      <c r="G78" s="474">
        <v>59.178938257875117</v>
      </c>
      <c r="H78" s="474">
        <v>517.87672778704768</v>
      </c>
    </row>
    <row r="79" spans="1:8" x14ac:dyDescent="0.35">
      <c r="A79" s="472" t="s">
        <v>2464</v>
      </c>
      <c r="B79" s="472" t="s">
        <v>2465</v>
      </c>
      <c r="C79" s="472" t="s">
        <v>12</v>
      </c>
      <c r="D79" s="472" t="s">
        <v>2449</v>
      </c>
      <c r="E79" s="472" t="str">
        <f t="shared" si="1"/>
        <v>2019Commercial18</v>
      </c>
      <c r="F79" s="473">
        <v>1.1040327296030585</v>
      </c>
      <c r="G79" s="474">
        <v>62.128960601148876</v>
      </c>
      <c r="H79" s="474">
        <v>538.6527605304218</v>
      </c>
    </row>
    <row r="80" spans="1:8" x14ac:dyDescent="0.35">
      <c r="A80" s="472" t="s">
        <v>2464</v>
      </c>
      <c r="B80" s="472" t="s">
        <v>2465</v>
      </c>
      <c r="C80" s="472" t="s">
        <v>12</v>
      </c>
      <c r="D80" s="472" t="s">
        <v>2450</v>
      </c>
      <c r="E80" s="472" t="str">
        <f t="shared" si="1"/>
        <v>2019Commercial19</v>
      </c>
      <c r="F80" s="473">
        <v>1.1505119381235462</v>
      </c>
      <c r="G80" s="474">
        <v>64.993166100269605</v>
      </c>
      <c r="H80" s="474">
        <v>558.43945838125433</v>
      </c>
    </row>
    <row r="81" spans="1:8" x14ac:dyDescent="0.35">
      <c r="A81" s="472" t="s">
        <v>2464</v>
      </c>
      <c r="B81" s="472" t="s">
        <v>2465</v>
      </c>
      <c r="C81" s="472" t="s">
        <v>12</v>
      </c>
      <c r="D81" s="472" t="s">
        <v>2451</v>
      </c>
      <c r="E81" s="472" t="str">
        <f t="shared" si="1"/>
        <v>2019Commercial20</v>
      </c>
      <c r="F81" s="473">
        <v>1.1956631692577346</v>
      </c>
      <c r="G81" s="474">
        <v>67.7755371565583</v>
      </c>
      <c r="H81" s="474">
        <v>577.28393252490434</v>
      </c>
    </row>
    <row r="82" spans="1:8" x14ac:dyDescent="0.35">
      <c r="A82" s="472" t="s">
        <v>2464</v>
      </c>
      <c r="B82" s="472" t="s">
        <v>2465</v>
      </c>
      <c r="C82" s="472" t="s">
        <v>12</v>
      </c>
      <c r="D82" s="472" t="s">
        <v>2452</v>
      </c>
      <c r="E82" s="472" t="str">
        <f t="shared" si="1"/>
        <v>2019Commercial21</v>
      </c>
      <c r="F82" s="473">
        <v>1.2395243652166605</v>
      </c>
      <c r="G82" s="474">
        <v>70.478411896953048</v>
      </c>
      <c r="H82" s="474">
        <v>595.23105075695196</v>
      </c>
    </row>
    <row r="83" spans="1:8" x14ac:dyDescent="0.35">
      <c r="A83" s="472" t="s">
        <v>2464</v>
      </c>
      <c r="B83" s="472" t="s">
        <v>2465</v>
      </c>
      <c r="C83" s="472" t="s">
        <v>12</v>
      </c>
      <c r="D83" s="472" t="s">
        <v>2453</v>
      </c>
      <c r="E83" s="472" t="str">
        <f t="shared" si="1"/>
        <v>2019Commercial22</v>
      </c>
      <c r="F83" s="473">
        <v>1.282132384148188</v>
      </c>
      <c r="G83" s="474">
        <v>73.104061644765068</v>
      </c>
      <c r="H83" s="474">
        <v>612.32354431128294</v>
      </c>
    </row>
    <row r="84" spans="1:8" x14ac:dyDescent="0.35">
      <c r="A84" s="472" t="s">
        <v>2464</v>
      </c>
      <c r="B84" s="472" t="s">
        <v>2465</v>
      </c>
      <c r="C84" s="472" t="s">
        <v>12</v>
      </c>
      <c r="D84" s="472" t="s">
        <v>2454</v>
      </c>
      <c r="E84" s="472" t="str">
        <f t="shared" si="1"/>
        <v>2019Commercial23</v>
      </c>
      <c r="F84" s="473">
        <v>1.3235230311102437</v>
      </c>
      <c r="G84" s="474">
        <v>75.654692828353902</v>
      </c>
      <c r="H84" s="474">
        <v>628.60210960112215</v>
      </c>
    </row>
    <row r="85" spans="1:8" x14ac:dyDescent="0.35">
      <c r="A85" s="472" t="s">
        <v>2464</v>
      </c>
      <c r="B85" s="472" t="s">
        <v>2465</v>
      </c>
      <c r="C85" s="472" t="s">
        <v>12</v>
      </c>
      <c r="D85" s="472" t="s">
        <v>2455</v>
      </c>
      <c r="E85" s="472" t="str">
        <f t="shared" si="1"/>
        <v>2019Commercial24</v>
      </c>
      <c r="F85" s="473">
        <v>1.3637310881590974</v>
      </c>
      <c r="G85" s="474">
        <v>78.132448835268761</v>
      </c>
      <c r="H85" s="474">
        <v>644.10550511525457</v>
      </c>
    </row>
    <row r="86" spans="1:8" x14ac:dyDescent="0.35">
      <c r="A86" s="472" t="s">
        <v>2464</v>
      </c>
      <c r="B86" s="472" t="s">
        <v>2465</v>
      </c>
      <c r="C86" s="472" t="s">
        <v>12</v>
      </c>
      <c r="D86" s="472" t="s">
        <v>2456</v>
      </c>
      <c r="E86" s="472" t="str">
        <f t="shared" si="1"/>
        <v>2019Commercial25</v>
      </c>
      <c r="F86" s="473">
        <v>1.402790343577984</v>
      </c>
      <c r="G86" s="474">
        <v>80.539411813414645</v>
      </c>
      <c r="H86" s="474">
        <v>658.87064370014275</v>
      </c>
    </row>
    <row r="87" spans="1:8" x14ac:dyDescent="0.35">
      <c r="A87" s="472" t="s">
        <v>2464</v>
      </c>
      <c r="B87" s="472" t="s">
        <v>2465</v>
      </c>
      <c r="C87" s="472" t="s">
        <v>12</v>
      </c>
      <c r="D87" s="472" t="s">
        <v>2457</v>
      </c>
      <c r="E87" s="472" t="str">
        <f t="shared" si="1"/>
        <v>2019Commercial26</v>
      </c>
      <c r="F87" s="473">
        <v>1.4407336202706167</v>
      </c>
      <c r="G87" s="474">
        <v>82.877604420756342</v>
      </c>
      <c r="H87" s="474">
        <v>672.93268044765512</v>
      </c>
    </row>
    <row r="88" spans="1:8" x14ac:dyDescent="0.35">
      <c r="A88" s="472" t="s">
        <v>2464</v>
      </c>
      <c r="B88" s="472" t="s">
        <v>2465</v>
      </c>
      <c r="C88" s="472" t="s">
        <v>12</v>
      </c>
      <c r="D88" s="472" t="s">
        <v>2458</v>
      </c>
      <c r="E88" s="472" t="str">
        <f t="shared" si="1"/>
        <v>2019Commercial27</v>
      </c>
      <c r="F88" s="473">
        <v>1.4775928033434598</v>
      </c>
      <c r="G88" s="474">
        <v>85.148991525031136</v>
      </c>
      <c r="H88" s="474">
        <v>686.32509639766704</v>
      </c>
    </row>
    <row r="89" spans="1:8" x14ac:dyDescent="0.35">
      <c r="A89" s="472" t="s">
        <v>2464</v>
      </c>
      <c r="B89" s="472" t="s">
        <v>2465</v>
      </c>
      <c r="C89" s="472" t="s">
        <v>12</v>
      </c>
      <c r="D89" s="472" t="s">
        <v>2459</v>
      </c>
      <c r="E89" s="472" t="str">
        <f t="shared" si="1"/>
        <v>2019Commercial28</v>
      </c>
      <c r="F89" s="473">
        <v>1.5133988668999361</v>
      </c>
      <c r="G89" s="474">
        <v>87.355481854898073</v>
      </c>
      <c r="H89" s="474">
        <v>699.07977825482124</v>
      </c>
    </row>
    <row r="90" spans="1:8" x14ac:dyDescent="0.35">
      <c r="A90" s="472" t="s">
        <v>2464</v>
      </c>
      <c r="B90" s="472" t="s">
        <v>2465</v>
      </c>
      <c r="C90" s="472" t="s">
        <v>12</v>
      </c>
      <c r="D90" s="472" t="s">
        <v>2460</v>
      </c>
      <c r="E90" s="472" t="str">
        <f t="shared" si="1"/>
        <v>2019Commercial29</v>
      </c>
      <c r="F90" s="473">
        <v>1.5481819000690844</v>
      </c>
      <c r="G90" s="474">
        <v>89.498929603911677</v>
      </c>
      <c r="H90" s="474">
        <v>711.22709430925386</v>
      </c>
    </row>
    <row r="91" spans="1:8" x14ac:dyDescent="0.35">
      <c r="A91" s="472" t="s">
        <v>2464</v>
      </c>
      <c r="B91" s="472" t="s">
        <v>2465</v>
      </c>
      <c r="C91" s="472" t="s">
        <v>12</v>
      </c>
      <c r="D91" s="472" t="s">
        <v>2461</v>
      </c>
      <c r="E91" s="472" t="str">
        <f t="shared" si="1"/>
        <v>2019Commercial30</v>
      </c>
      <c r="F91" s="473">
        <v>1.581971132290543</v>
      </c>
      <c r="G91" s="474">
        <v>91.581135988667754</v>
      </c>
      <c r="H91" s="474">
        <v>722.79596674204674</v>
      </c>
    </row>
    <row r="92" spans="1:8" x14ac:dyDescent="0.35">
      <c r="A92" s="472" t="s">
        <v>2466</v>
      </c>
      <c r="B92" s="472" t="s">
        <v>2467</v>
      </c>
      <c r="C92" s="472" t="s">
        <v>12</v>
      </c>
      <c r="D92" s="472" t="s">
        <v>2432</v>
      </c>
      <c r="E92" s="472" t="str">
        <f t="shared" si="1"/>
        <v>2020Commercial1</v>
      </c>
      <c r="F92" s="473">
        <v>7.511460803933924E-2</v>
      </c>
      <c r="G92" s="474">
        <v>3.8271107209640669</v>
      </c>
      <c r="H92" s="474">
        <v>30</v>
      </c>
    </row>
    <row r="93" spans="1:8" x14ac:dyDescent="0.35">
      <c r="A93" s="472" t="s">
        <v>2466</v>
      </c>
      <c r="B93" s="472" t="s">
        <v>2467</v>
      </c>
      <c r="C93" s="472" t="s">
        <v>12</v>
      </c>
      <c r="D93" s="472" t="s">
        <v>2433</v>
      </c>
      <c r="E93" s="472" t="str">
        <f t="shared" si="1"/>
        <v>2020Commercial2</v>
      </c>
      <c r="F93" s="473">
        <v>0.15574914496598793</v>
      </c>
      <c r="G93" s="474">
        <v>7.6033246455532355</v>
      </c>
      <c r="H93" s="474">
        <v>64.852607709750572</v>
      </c>
    </row>
    <row r="94" spans="1:8" x14ac:dyDescent="0.35">
      <c r="A94" s="472" t="s">
        <v>2466</v>
      </c>
      <c r="B94" s="472" t="s">
        <v>2467</v>
      </c>
      <c r="C94" s="472" t="s">
        <v>12</v>
      </c>
      <c r="D94" s="472" t="s">
        <v>2434</v>
      </c>
      <c r="E94" s="472" t="str">
        <f t="shared" si="1"/>
        <v>2020Commercial3</v>
      </c>
      <c r="F94" s="473">
        <v>0.23459301675054114</v>
      </c>
      <c r="G94" s="474">
        <v>11.376932487378715</v>
      </c>
      <c r="H94" s="474">
        <v>108.04448763632438</v>
      </c>
    </row>
    <row r="95" spans="1:8" x14ac:dyDescent="0.35">
      <c r="A95" s="472" t="s">
        <v>2466</v>
      </c>
      <c r="B95" s="472" t="s">
        <v>2467</v>
      </c>
      <c r="C95" s="472" t="s">
        <v>12</v>
      </c>
      <c r="D95" s="472" t="s">
        <v>2435</v>
      </c>
      <c r="E95" s="472" t="str">
        <f t="shared" si="1"/>
        <v>2020Commercial4</v>
      </c>
      <c r="F95" s="473">
        <v>0.31080679905580355</v>
      </c>
      <c r="G95" s="474">
        <v>15.149547535770409</v>
      </c>
      <c r="H95" s="474">
        <v>149.17961137591845</v>
      </c>
    </row>
    <row r="96" spans="1:8" x14ac:dyDescent="0.35">
      <c r="A96" s="472" t="s">
        <v>2466</v>
      </c>
      <c r="B96" s="472" t="s">
        <v>2467</v>
      </c>
      <c r="C96" s="472" t="s">
        <v>12</v>
      </c>
      <c r="D96" s="472" t="s">
        <v>2436</v>
      </c>
      <c r="E96" s="472" t="str">
        <f t="shared" si="1"/>
        <v>2020Commercial5</v>
      </c>
      <c r="F96" s="473">
        <v>0.37836370251570439</v>
      </c>
      <c r="G96" s="474">
        <v>18.922162584162098</v>
      </c>
      <c r="H96" s="474">
        <v>188.3559196993414</v>
      </c>
    </row>
    <row r="97" spans="1:8" x14ac:dyDescent="0.35">
      <c r="A97" s="472" t="s">
        <v>2466</v>
      </c>
      <c r="B97" s="472" t="s">
        <v>2467</v>
      </c>
      <c r="C97" s="472" t="s">
        <v>12</v>
      </c>
      <c r="D97" s="472" t="s">
        <v>2437</v>
      </c>
      <c r="E97" s="472" t="str">
        <f t="shared" si="1"/>
        <v>2020Commercial6</v>
      </c>
      <c r="F97" s="473">
        <v>0.44318779093625066</v>
      </c>
      <c r="G97" s="474">
        <v>22.686222949904376</v>
      </c>
      <c r="H97" s="474">
        <v>225.66668953117278</v>
      </c>
    </row>
    <row r="98" spans="1:8" x14ac:dyDescent="0.35">
      <c r="A98" s="472" t="s">
        <v>2466</v>
      </c>
      <c r="B98" s="472" t="s">
        <v>2467</v>
      </c>
      <c r="C98" s="472" t="s">
        <v>12</v>
      </c>
      <c r="D98" s="472" t="s">
        <v>2438</v>
      </c>
      <c r="E98" s="472" t="str">
        <f t="shared" si="1"/>
        <v>2020Commercial7</v>
      </c>
      <c r="F98" s="473">
        <v>0.51226046448765306</v>
      </c>
      <c r="G98" s="474">
        <v>26.442564804985523</v>
      </c>
      <c r="H98" s="474">
        <v>261.20075603767884</v>
      </c>
    </row>
    <row r="99" spans="1:8" x14ac:dyDescent="0.35">
      <c r="A99" s="472" t="s">
        <v>2466</v>
      </c>
      <c r="B99" s="472" t="s">
        <v>2467</v>
      </c>
      <c r="C99" s="472" t="s">
        <v>12</v>
      </c>
      <c r="D99" s="472" t="s">
        <v>2439</v>
      </c>
      <c r="E99" s="472" t="str">
        <f t="shared" si="1"/>
        <v>2020Commercial8</v>
      </c>
      <c r="F99" s="473">
        <v>0.57944510681521844</v>
      </c>
      <c r="G99" s="474">
        <v>30.188311370281312</v>
      </c>
      <c r="H99" s="474">
        <v>295.04272413911315</v>
      </c>
    </row>
    <row r="100" spans="1:8" x14ac:dyDescent="0.35">
      <c r="A100" s="472" t="s">
        <v>2466</v>
      </c>
      <c r="B100" s="472" t="s">
        <v>2467</v>
      </c>
      <c r="C100" s="472" t="s">
        <v>12</v>
      </c>
      <c r="D100" s="472" t="s">
        <v>2440</v>
      </c>
      <c r="E100" s="472" t="str">
        <f t="shared" si="1"/>
        <v>2020Commercial9</v>
      </c>
      <c r="F100" s="473">
        <v>0.64490118986825584</v>
      </c>
      <c r="G100" s="474">
        <v>33.921889675599516</v>
      </c>
      <c r="H100" s="474">
        <v>327.27316995000302</v>
      </c>
    </row>
    <row r="101" spans="1:8" x14ac:dyDescent="0.35">
      <c r="A101" s="472" t="s">
        <v>2466</v>
      </c>
      <c r="B101" s="472" t="s">
        <v>2467</v>
      </c>
      <c r="C101" s="472" t="s">
        <v>12</v>
      </c>
      <c r="D101" s="472" t="s">
        <v>2441</v>
      </c>
      <c r="E101" s="472" t="str">
        <f t="shared" si="1"/>
        <v>2020Commercial10</v>
      </c>
      <c r="F101" s="473">
        <v>0.70787397096943572</v>
      </c>
      <c r="G101" s="474">
        <v>37.630311764007033</v>
      </c>
      <c r="H101" s="474">
        <v>357.96883262704102</v>
      </c>
    </row>
    <row r="102" spans="1:8" x14ac:dyDescent="0.35">
      <c r="A102" s="472" t="s">
        <v>2466</v>
      </c>
      <c r="B102" s="472" t="s">
        <v>2467</v>
      </c>
      <c r="C102" s="472" t="s">
        <v>12</v>
      </c>
      <c r="D102" s="472" t="s">
        <v>2442</v>
      </c>
      <c r="E102" s="472" t="str">
        <f t="shared" si="1"/>
        <v>2020Commercial11</v>
      </c>
      <c r="F102" s="473">
        <v>0.76870475344323563</v>
      </c>
      <c r="G102" s="474">
        <v>41.269820085382577</v>
      </c>
      <c r="H102" s="474">
        <v>387.20279708136286</v>
      </c>
    </row>
    <row r="103" spans="1:8" x14ac:dyDescent="0.35">
      <c r="A103" s="472" t="s">
        <v>2466</v>
      </c>
      <c r="B103" s="472" t="s">
        <v>2467</v>
      </c>
      <c r="C103" s="472" t="s">
        <v>12</v>
      </c>
      <c r="D103" s="472" t="s">
        <v>2443</v>
      </c>
      <c r="E103" s="472" t="str">
        <f t="shared" si="1"/>
        <v>2020Commercial12</v>
      </c>
      <c r="F103" s="473">
        <v>0.82816356697640259</v>
      </c>
      <c r="G103" s="474">
        <v>44.884716347103847</v>
      </c>
      <c r="H103" s="474">
        <v>415.04466799024078</v>
      </c>
    </row>
    <row r="104" spans="1:8" x14ac:dyDescent="0.35">
      <c r="A104" s="472" t="s">
        <v>2466</v>
      </c>
      <c r="B104" s="472" t="s">
        <v>2467</v>
      </c>
      <c r="C104" s="472" t="s">
        <v>12</v>
      </c>
      <c r="D104" s="472" t="s">
        <v>2444</v>
      </c>
      <c r="E104" s="472" t="str">
        <f t="shared" si="1"/>
        <v>2020Commercial13</v>
      </c>
      <c r="F104" s="473">
        <v>0.88530778160058465</v>
      </c>
      <c r="G104" s="474">
        <v>48.400724869142785</v>
      </c>
      <c r="H104" s="474">
        <v>441.56073552250552</v>
      </c>
    </row>
    <row r="105" spans="1:8" x14ac:dyDescent="0.35">
      <c r="A105" s="472" t="s">
        <v>2466</v>
      </c>
      <c r="B105" s="472" t="s">
        <v>2467</v>
      </c>
      <c r="C105" s="472" t="s">
        <v>12</v>
      </c>
      <c r="D105" s="472" t="s">
        <v>2445</v>
      </c>
      <c r="E105" s="472" t="str">
        <f t="shared" si="1"/>
        <v>2020Commercial14</v>
      </c>
      <c r="F105" s="473">
        <v>0.94071034221291483</v>
      </c>
      <c r="G105" s="474">
        <v>51.763256828711761</v>
      </c>
      <c r="H105" s="474">
        <v>466.81413317228152</v>
      </c>
    </row>
    <row r="106" spans="1:8" x14ac:dyDescent="0.35">
      <c r="A106" s="472" t="s">
        <v>2466</v>
      </c>
      <c r="B106" s="472" t="s">
        <v>2467</v>
      </c>
      <c r="C106" s="472" t="s">
        <v>12</v>
      </c>
      <c r="D106" s="472" t="s">
        <v>2446</v>
      </c>
      <c r="E106" s="472" t="str">
        <f t="shared" si="1"/>
        <v>2020Commercial15</v>
      </c>
      <c r="F106" s="473">
        <v>0.99440754190607739</v>
      </c>
      <c r="G106" s="474">
        <v>55.009961598999666</v>
      </c>
      <c r="H106" s="474">
        <v>490.86498807682995</v>
      </c>
    </row>
    <row r="107" spans="1:8" x14ac:dyDescent="0.35">
      <c r="A107" s="472" t="s">
        <v>2466</v>
      </c>
      <c r="B107" s="472" t="s">
        <v>2467</v>
      </c>
      <c r="C107" s="472" t="s">
        <v>12</v>
      </c>
      <c r="D107" s="472" t="s">
        <v>2447</v>
      </c>
      <c r="E107" s="472" t="str">
        <f t="shared" si="1"/>
        <v>2020Commercial16</v>
      </c>
      <c r="F107" s="473">
        <v>1.0464361666165631</v>
      </c>
      <c r="G107" s="474">
        <v>58.21595864365478</v>
      </c>
      <c r="H107" s="474">
        <v>513.77056417639994</v>
      </c>
    </row>
    <row r="108" spans="1:8" x14ac:dyDescent="0.35">
      <c r="A108" s="472" t="s">
        <v>2466</v>
      </c>
      <c r="B108" s="472" t="s">
        <v>2467</v>
      </c>
      <c r="C108" s="472" t="s">
        <v>12</v>
      </c>
      <c r="D108" s="472" t="s">
        <v>2448</v>
      </c>
      <c r="E108" s="472" t="str">
        <f t="shared" si="1"/>
        <v>2020Commercial17</v>
      </c>
      <c r="F108" s="473">
        <v>1.0968333658899039</v>
      </c>
      <c r="G108" s="474">
        <v>61.313482104092223</v>
      </c>
      <c r="H108" s="474">
        <v>535.58539855694278</v>
      </c>
    </row>
    <row r="109" spans="1:8" x14ac:dyDescent="0.35">
      <c r="A109" s="472" t="s">
        <v>2466</v>
      </c>
      <c r="B109" s="472" t="s">
        <v>2467</v>
      </c>
      <c r="C109" s="472" t="s">
        <v>12</v>
      </c>
      <c r="D109" s="472" t="s">
        <v>2449</v>
      </c>
      <c r="E109" s="472" t="str">
        <f t="shared" si="1"/>
        <v>2020Commercial18</v>
      </c>
      <c r="F109" s="473">
        <v>1.1456365348364161</v>
      </c>
      <c r="G109" s="474">
        <v>64.320897878168992</v>
      </c>
      <c r="H109" s="474">
        <v>556.36143130031689</v>
      </c>
    </row>
    <row r="110" spans="1:8" x14ac:dyDescent="0.35">
      <c r="A110" s="472" t="s">
        <v>2466</v>
      </c>
      <c r="B110" s="472" t="s">
        <v>2467</v>
      </c>
      <c r="C110" s="472" t="s">
        <v>12</v>
      </c>
      <c r="D110" s="472" t="s">
        <v>2450</v>
      </c>
      <c r="E110" s="472" t="str">
        <f t="shared" si="1"/>
        <v>2020Commercial19</v>
      </c>
      <c r="F110" s="473">
        <v>1.1930453275273138</v>
      </c>
      <c r="G110" s="474">
        <v>67.242387487272126</v>
      </c>
      <c r="H110" s="474">
        <v>576.14812915114942</v>
      </c>
    </row>
    <row r="111" spans="1:8" x14ac:dyDescent="0.35">
      <c r="A111" s="472" t="s">
        <v>2466</v>
      </c>
      <c r="B111" s="472" t="s">
        <v>2467</v>
      </c>
      <c r="C111" s="472" t="s">
        <v>12</v>
      </c>
      <c r="D111" s="472" t="s">
        <v>2451</v>
      </c>
      <c r="E111" s="472" t="str">
        <f t="shared" si="1"/>
        <v>2020Commercial20</v>
      </c>
      <c r="F111" s="473">
        <v>1.2390995832841858</v>
      </c>
      <c r="G111" s="474">
        <v>70.080405964686605</v>
      </c>
      <c r="H111" s="474">
        <v>594.99260329479944</v>
      </c>
    </row>
    <row r="112" spans="1:8" x14ac:dyDescent="0.35">
      <c r="A112" s="472" t="s">
        <v>2466</v>
      </c>
      <c r="B112" s="472" t="s">
        <v>2467</v>
      </c>
      <c r="C112" s="472" t="s">
        <v>12</v>
      </c>
      <c r="D112" s="472" t="s">
        <v>2452</v>
      </c>
      <c r="E112" s="472" t="str">
        <f t="shared" si="1"/>
        <v>2020Commercial21</v>
      </c>
      <c r="F112" s="473">
        <v>1.2838380031622898</v>
      </c>
      <c r="G112" s="474">
        <v>72.837338199889246</v>
      </c>
      <c r="H112" s="474">
        <v>612.93972152684705</v>
      </c>
    </row>
    <row r="113" spans="1:8" x14ac:dyDescent="0.35">
      <c r="A113" s="472" t="s">
        <v>2466</v>
      </c>
      <c r="B113" s="472" t="s">
        <v>2467</v>
      </c>
      <c r="C113" s="472" t="s">
        <v>12</v>
      </c>
      <c r="D113" s="472" t="s">
        <v>2453</v>
      </c>
      <c r="E113" s="472" t="str">
        <f t="shared" si="1"/>
        <v>2020Commercial22</v>
      </c>
      <c r="F113" s="473">
        <v>1.3272981824724481</v>
      </c>
      <c r="G113" s="474">
        <v>75.515500942657511</v>
      </c>
      <c r="H113" s="474">
        <v>630.03221508117815</v>
      </c>
    </row>
    <row r="114" spans="1:8" x14ac:dyDescent="0.35">
      <c r="A114" s="472" t="s">
        <v>2466</v>
      </c>
      <c r="B114" s="472" t="s">
        <v>2467</v>
      </c>
      <c r="C114" s="472" t="s">
        <v>12</v>
      </c>
      <c r="D114" s="472" t="s">
        <v>2454</v>
      </c>
      <c r="E114" s="472" t="str">
        <f t="shared" si="1"/>
        <v>2020Commercial23</v>
      </c>
      <c r="F114" s="473">
        <v>1.3695166423737446</v>
      </c>
      <c r="G114" s="474">
        <v>78.117144749918126</v>
      </c>
      <c r="H114" s="474">
        <v>646.31078037101724</v>
      </c>
    </row>
    <row r="115" spans="1:8" x14ac:dyDescent="0.35">
      <c r="A115" s="472" t="s">
        <v>2466</v>
      </c>
      <c r="B115" s="472" t="s">
        <v>2467</v>
      </c>
      <c r="C115" s="472" t="s">
        <v>12</v>
      </c>
      <c r="D115" s="472" t="s">
        <v>2455</v>
      </c>
      <c r="E115" s="472" t="str">
        <f t="shared" si="1"/>
        <v>2020Commercial24</v>
      </c>
      <c r="F115" s="473">
        <v>1.4105288605635755</v>
      </c>
      <c r="G115" s="474">
        <v>80.644455876971293</v>
      </c>
      <c r="H115" s="474">
        <v>661.81417588514978</v>
      </c>
    </row>
    <row r="116" spans="1:8" x14ac:dyDescent="0.35">
      <c r="A116" s="472" t="s">
        <v>2466</v>
      </c>
      <c r="B116" s="472" t="s">
        <v>2467</v>
      </c>
      <c r="C116" s="472" t="s">
        <v>12</v>
      </c>
      <c r="D116" s="472" t="s">
        <v>2456</v>
      </c>
      <c r="E116" s="472" t="str">
        <f t="shared" si="1"/>
        <v>2020Commercial25</v>
      </c>
      <c r="F116" s="473">
        <v>1.4503693010908401</v>
      </c>
      <c r="G116" s="474">
        <v>83.099558114680079</v>
      </c>
      <c r="H116" s="474">
        <v>676.57931447003784</v>
      </c>
    </row>
    <row r="117" spans="1:8" x14ac:dyDescent="0.35">
      <c r="A117" s="472" t="s">
        <v>2466</v>
      </c>
      <c r="B117" s="472" t="s">
        <v>2467</v>
      </c>
      <c r="C117" s="472" t="s">
        <v>12</v>
      </c>
      <c r="D117" s="472" t="s">
        <v>2457</v>
      </c>
      <c r="E117" s="472" t="str">
        <f t="shared" si="1"/>
        <v>2020Commercial26</v>
      </c>
      <c r="F117" s="473">
        <v>1.4890714433173253</v>
      </c>
      <c r="G117" s="474">
        <v>85.484514574168614</v>
      </c>
      <c r="H117" s="474">
        <v>690.64135121755032</v>
      </c>
    </row>
    <row r="118" spans="1:8" x14ac:dyDescent="0.35">
      <c r="A118" s="472" t="s">
        <v>2466</v>
      </c>
      <c r="B118" s="472" t="s">
        <v>2467</v>
      </c>
      <c r="C118" s="472" t="s">
        <v>12</v>
      </c>
      <c r="D118" s="472" t="s">
        <v>2458</v>
      </c>
      <c r="E118" s="472" t="str">
        <f t="shared" si="1"/>
        <v>2020Commercial27</v>
      </c>
      <c r="F118" s="473">
        <v>1.5266678100516253</v>
      </c>
      <c r="G118" s="474">
        <v>87.801329420528901</v>
      </c>
      <c r="H118" s="474">
        <v>704.03376716756213</v>
      </c>
    </row>
    <row r="119" spans="1:8" x14ac:dyDescent="0.35">
      <c r="A119" s="472" t="s">
        <v>2466</v>
      </c>
      <c r="B119" s="472" t="s">
        <v>2467</v>
      </c>
      <c r="C119" s="472" t="s">
        <v>12</v>
      </c>
      <c r="D119" s="472" t="s">
        <v>2459</v>
      </c>
      <c r="E119" s="472" t="str">
        <f t="shared" si="1"/>
        <v>2020Commercial28</v>
      </c>
      <c r="F119" s="473">
        <v>1.5631899948792312</v>
      </c>
      <c r="G119" s="474">
        <v>90.051949556993179</v>
      </c>
      <c r="H119" s="474">
        <v>716.78844902471644</v>
      </c>
    </row>
    <row r="120" spans="1:8" x14ac:dyDescent="0.35">
      <c r="A120" s="472" t="s">
        <v>2466</v>
      </c>
      <c r="B120" s="472" t="s">
        <v>2467</v>
      </c>
      <c r="C120" s="472" t="s">
        <v>12</v>
      </c>
      <c r="D120" s="472" t="s">
        <v>2460</v>
      </c>
      <c r="E120" s="472" t="str">
        <f t="shared" si="1"/>
        <v>2020Commercial29</v>
      </c>
      <c r="F120" s="473">
        <v>1.5986686887117627</v>
      </c>
      <c r="G120" s="474">
        <v>92.238266260987047</v>
      </c>
      <c r="H120" s="474">
        <v>728.93576507914895</v>
      </c>
    </row>
    <row r="121" spans="1:8" x14ac:dyDescent="0.35">
      <c r="A121" s="472" t="s">
        <v>2466</v>
      </c>
      <c r="B121" s="472" t="s">
        <v>2467</v>
      </c>
      <c r="C121" s="472" t="s">
        <v>12</v>
      </c>
      <c r="D121" s="472" t="s">
        <v>2461</v>
      </c>
      <c r="E121" s="472" t="str">
        <f t="shared" si="1"/>
        <v>2020Commercial30</v>
      </c>
      <c r="F121" s="473">
        <v>1.6331337055776503</v>
      </c>
      <c r="G121" s="474">
        <v>94.362116773438245</v>
      </c>
      <c r="H121" s="474">
        <v>740.50463751194184</v>
      </c>
    </row>
    <row r="122" spans="1:8" x14ac:dyDescent="0.35">
      <c r="A122" s="472" t="s">
        <v>2430</v>
      </c>
      <c r="B122" s="472" t="s">
        <v>2431</v>
      </c>
      <c r="C122" s="472" t="s">
        <v>2254</v>
      </c>
      <c r="D122" s="472" t="s">
        <v>2432</v>
      </c>
      <c r="E122" s="472" t="str">
        <f t="shared" si="1"/>
        <v>2017Industrial1</v>
      </c>
      <c r="F122" s="473">
        <v>4.0552380952380951E-2</v>
      </c>
      <c r="G122" s="474">
        <v>3.0666666666666669</v>
      </c>
      <c r="H122" s="474">
        <v>20</v>
      </c>
    </row>
    <row r="123" spans="1:8" x14ac:dyDescent="0.35">
      <c r="A123" s="472" t="s">
        <v>2430</v>
      </c>
      <c r="B123" s="472" t="s">
        <v>2431</v>
      </c>
      <c r="C123" s="472" t="s">
        <v>2254</v>
      </c>
      <c r="D123" s="472" t="s">
        <v>2433</v>
      </c>
      <c r="E123" s="472" t="str">
        <f t="shared" si="1"/>
        <v>2017Industrial2</v>
      </c>
      <c r="F123" s="473">
        <v>7.917369614512472E-2</v>
      </c>
      <c r="G123" s="474">
        <v>5.9873015873015873</v>
      </c>
      <c r="H123" s="474">
        <v>46.258503401360542</v>
      </c>
    </row>
    <row r="124" spans="1:8" x14ac:dyDescent="0.35">
      <c r="A124" s="472" t="s">
        <v>2430</v>
      </c>
      <c r="B124" s="472" t="s">
        <v>2431</v>
      </c>
      <c r="C124" s="472" t="s">
        <v>2254</v>
      </c>
      <c r="D124" s="472" t="s">
        <v>2434</v>
      </c>
      <c r="E124" s="472" t="str">
        <f t="shared" si="1"/>
        <v>2017Industrial3</v>
      </c>
      <c r="F124" s="473">
        <v>0.12187037623776163</v>
      </c>
      <c r="G124" s="474">
        <v>8.7947737825288836</v>
      </c>
      <c r="H124" s="474">
        <v>72.173631357304814</v>
      </c>
    </row>
    <row r="125" spans="1:8" x14ac:dyDescent="0.35">
      <c r="A125" s="472" t="s">
        <v>2430</v>
      </c>
      <c r="B125" s="472" t="s">
        <v>2431</v>
      </c>
      <c r="C125" s="472" t="s">
        <v>2254</v>
      </c>
      <c r="D125" s="472" t="s">
        <v>2435</v>
      </c>
      <c r="E125" s="472" t="str">
        <f t="shared" si="1"/>
        <v>2017Industrial4</v>
      </c>
      <c r="F125" s="473">
        <v>0.1732660971365339</v>
      </c>
      <c r="G125" s="474">
        <v>11.53437302358585</v>
      </c>
      <c r="H125" s="474">
        <v>96.854705601061283</v>
      </c>
    </row>
    <row r="126" spans="1:8" x14ac:dyDescent="0.35">
      <c r="A126" s="472" t="s">
        <v>2430</v>
      </c>
      <c r="B126" s="472" t="s">
        <v>2431</v>
      </c>
      <c r="C126" s="472" t="s">
        <v>2254</v>
      </c>
      <c r="D126" s="472" t="s">
        <v>2436</v>
      </c>
      <c r="E126" s="472" t="str">
        <f t="shared" si="1"/>
        <v>2017Industrial5</v>
      </c>
      <c r="F126" s="473">
        <v>0.22843872284621392</v>
      </c>
      <c r="G126" s="474">
        <v>14.237538297902033</v>
      </c>
      <c r="H126" s="474">
        <v>128.19575225979963</v>
      </c>
    </row>
    <row r="127" spans="1:8" x14ac:dyDescent="0.35">
      <c r="A127" s="472" t="s">
        <v>2430</v>
      </c>
      <c r="B127" s="472" t="s">
        <v>2431</v>
      </c>
      <c r="C127" s="472" t="s">
        <v>2254</v>
      </c>
      <c r="D127" s="472" t="s">
        <v>2437</v>
      </c>
      <c r="E127" s="472" t="str">
        <f t="shared" si="1"/>
        <v>2017Industrial6</v>
      </c>
      <c r="F127" s="473">
        <v>0.2823861204908269</v>
      </c>
      <c r="G127" s="474">
        <v>16.938838033726622</v>
      </c>
      <c r="H127" s="474">
        <v>165.50652209163101</v>
      </c>
    </row>
    <row r="128" spans="1:8" x14ac:dyDescent="0.35">
      <c r="A128" s="472" t="s">
        <v>2430</v>
      </c>
      <c r="B128" s="472" t="s">
        <v>2431</v>
      </c>
      <c r="C128" s="472" t="s">
        <v>2254</v>
      </c>
      <c r="D128" s="472" t="s">
        <v>2438</v>
      </c>
      <c r="E128" s="472" t="str">
        <f t="shared" si="1"/>
        <v>2017Industrial7</v>
      </c>
      <c r="F128" s="473">
        <v>0.3345339301678687</v>
      </c>
      <c r="G128" s="474">
        <v>19.639427088221083</v>
      </c>
      <c r="H128" s="474">
        <v>201.04058859813708</v>
      </c>
    </row>
    <row r="129" spans="1:8" x14ac:dyDescent="0.35">
      <c r="A129" s="472" t="s">
        <v>2430</v>
      </c>
      <c r="B129" s="472" t="s">
        <v>2431</v>
      </c>
      <c r="C129" s="472" t="s">
        <v>2254</v>
      </c>
      <c r="D129" s="472" t="s">
        <v>2439</v>
      </c>
      <c r="E129" s="472" t="str">
        <f t="shared" si="1"/>
        <v>2017Industrial8</v>
      </c>
      <c r="F129" s="473">
        <v>0.38075843756584277</v>
      </c>
      <c r="G129" s="474">
        <v>22.340016142715545</v>
      </c>
      <c r="H129" s="474">
        <v>234.88255669957144</v>
      </c>
    </row>
    <row r="130" spans="1:8" x14ac:dyDescent="0.35">
      <c r="A130" s="472" t="s">
        <v>2430</v>
      </c>
      <c r="B130" s="472" t="s">
        <v>2431</v>
      </c>
      <c r="C130" s="472" t="s">
        <v>2254</v>
      </c>
      <c r="D130" s="472" t="s">
        <v>2440</v>
      </c>
      <c r="E130" s="472" t="str">
        <f t="shared" si="1"/>
        <v>2017Industrial9</v>
      </c>
      <c r="F130" s="473">
        <v>0.42511306901429363</v>
      </c>
      <c r="G130" s="474">
        <v>25.034481412505937</v>
      </c>
      <c r="H130" s="474">
        <v>267.11300251046129</v>
      </c>
    </row>
    <row r="131" spans="1:8" x14ac:dyDescent="0.35">
      <c r="A131" s="472" t="s">
        <v>2430</v>
      </c>
      <c r="B131" s="472" t="s">
        <v>2431</v>
      </c>
      <c r="C131" s="472" t="s">
        <v>2254</v>
      </c>
      <c r="D131" s="472" t="s">
        <v>2441</v>
      </c>
      <c r="E131" s="472" t="str">
        <f t="shared" ref="E131:E194" si="2">A131&amp;C131&amp;D131</f>
        <v>2017Industrial10</v>
      </c>
      <c r="F131" s="473">
        <v>0.47237471284422139</v>
      </c>
      <c r="G131" s="474">
        <v>27.723421463014461</v>
      </c>
      <c r="H131" s="474">
        <v>297.80866518749929</v>
      </c>
    </row>
    <row r="132" spans="1:8" x14ac:dyDescent="0.35">
      <c r="A132" s="472" t="s">
        <v>2430</v>
      </c>
      <c r="B132" s="472" t="s">
        <v>2431</v>
      </c>
      <c r="C132" s="472" t="s">
        <v>2254</v>
      </c>
      <c r="D132" s="472" t="s">
        <v>2442</v>
      </c>
      <c r="E132" s="472" t="str">
        <f t="shared" si="2"/>
        <v>2017Industrial11</v>
      </c>
      <c r="F132" s="473">
        <v>0.51834450774673857</v>
      </c>
      <c r="G132" s="474">
        <v>30.404776980445387</v>
      </c>
      <c r="H132" s="474">
        <v>327.04262964182112</v>
      </c>
    </row>
    <row r="133" spans="1:8" x14ac:dyDescent="0.35">
      <c r="A133" s="472" t="s">
        <v>2430</v>
      </c>
      <c r="B133" s="472" t="s">
        <v>2431</v>
      </c>
      <c r="C133" s="472" t="s">
        <v>2254</v>
      </c>
      <c r="D133" s="472" t="s">
        <v>2443</v>
      </c>
      <c r="E133" s="472" t="str">
        <f t="shared" si="2"/>
        <v>2017Industrial12</v>
      </c>
      <c r="F133" s="473">
        <v>0.56313156932547825</v>
      </c>
      <c r="G133" s="474">
        <v>33.077421969691969</v>
      </c>
      <c r="H133" s="474">
        <v>354.88450055069904</v>
      </c>
    </row>
    <row r="134" spans="1:8" x14ac:dyDescent="0.35">
      <c r="A134" s="472" t="s">
        <v>2430</v>
      </c>
      <c r="B134" s="472" t="s">
        <v>2431</v>
      </c>
      <c r="C134" s="472" t="s">
        <v>2254</v>
      </c>
      <c r="D134" s="472" t="s">
        <v>2444</v>
      </c>
      <c r="E134" s="472" t="str">
        <f t="shared" si="2"/>
        <v>2017Industrial13</v>
      </c>
      <c r="F134" s="473">
        <v>0.60621947946941057</v>
      </c>
      <c r="G134" s="474">
        <v>35.732059130636408</v>
      </c>
      <c r="H134" s="474">
        <v>381.40056808296379</v>
      </c>
    </row>
    <row r="135" spans="1:8" x14ac:dyDescent="0.35">
      <c r="A135" s="472" t="s">
        <v>2430</v>
      </c>
      <c r="B135" s="472" t="s">
        <v>2431</v>
      </c>
      <c r="C135" s="472" t="s">
        <v>2254</v>
      </c>
      <c r="D135" s="472" t="s">
        <v>2445</v>
      </c>
      <c r="E135" s="472" t="str">
        <f t="shared" si="2"/>
        <v>2017Industrial14</v>
      </c>
      <c r="F135" s="473">
        <v>0.6478417683914266</v>
      </c>
      <c r="G135" s="474">
        <v>38.337365055140538</v>
      </c>
      <c r="H135" s="474">
        <v>406.65396573273972</v>
      </c>
    </row>
    <row r="136" spans="1:8" x14ac:dyDescent="0.35">
      <c r="A136" s="472" t="s">
        <v>2430</v>
      </c>
      <c r="B136" s="472" t="s">
        <v>2431</v>
      </c>
      <c r="C136" s="472" t="s">
        <v>2254</v>
      </c>
      <c r="D136" s="472" t="s">
        <v>2446</v>
      </c>
      <c r="E136" s="472" t="str">
        <f t="shared" si="2"/>
        <v>2017Industrial15</v>
      </c>
      <c r="F136" s="473">
        <v>0.68852531404372286</v>
      </c>
      <c r="G136" s="474">
        <v>40.925052680915982</v>
      </c>
      <c r="H136" s="474">
        <v>430.70482063728826</v>
      </c>
    </row>
    <row r="137" spans="1:8" x14ac:dyDescent="0.35">
      <c r="A137" s="472" t="s">
        <v>2430</v>
      </c>
      <c r="B137" s="472" t="s">
        <v>2431</v>
      </c>
      <c r="C137" s="472" t="s">
        <v>2254</v>
      </c>
      <c r="D137" s="472" t="s">
        <v>2447</v>
      </c>
      <c r="E137" s="472" t="str">
        <f t="shared" si="2"/>
        <v>2017Industrial16</v>
      </c>
      <c r="F137" s="473">
        <v>0.72762514006246293</v>
      </c>
      <c r="G137" s="474">
        <v>43.441952499299397</v>
      </c>
      <c r="H137" s="474">
        <v>453.61039673685826</v>
      </c>
    </row>
    <row r="138" spans="1:8" x14ac:dyDescent="0.35">
      <c r="A138" s="472" t="s">
        <v>2430</v>
      </c>
      <c r="B138" s="472" t="s">
        <v>2431</v>
      </c>
      <c r="C138" s="472" t="s">
        <v>2254</v>
      </c>
      <c r="D138" s="472" t="s">
        <v>2448</v>
      </c>
      <c r="E138" s="472" t="str">
        <f t="shared" si="2"/>
        <v>2017Industrial17</v>
      </c>
      <c r="F138" s="473">
        <v>0.76553327293612938</v>
      </c>
      <c r="G138" s="474">
        <v>45.848987643070835</v>
      </c>
      <c r="H138" s="474">
        <v>475.4252311174011</v>
      </c>
    </row>
    <row r="139" spans="1:8" x14ac:dyDescent="0.35">
      <c r="A139" s="472" t="s">
        <v>2430</v>
      </c>
      <c r="B139" s="472" t="s">
        <v>2431</v>
      </c>
      <c r="C139" s="472" t="s">
        <v>2254</v>
      </c>
      <c r="D139" s="472" t="s">
        <v>2449</v>
      </c>
      <c r="E139" s="472" t="str">
        <f t="shared" si="2"/>
        <v>2017Industrial18</v>
      </c>
      <c r="F139" s="473">
        <v>0.80227454551296351</v>
      </c>
      <c r="G139" s="474">
        <v>48.173109042510291</v>
      </c>
      <c r="H139" s="474">
        <v>496.20126386077527</v>
      </c>
    </row>
    <row r="140" spans="1:8" x14ac:dyDescent="0.35">
      <c r="A140" s="472" t="s">
        <v>2430</v>
      </c>
      <c r="B140" s="472" t="s">
        <v>2431</v>
      </c>
      <c r="C140" s="472" t="s">
        <v>2254</v>
      </c>
      <c r="D140" s="472" t="s">
        <v>2450</v>
      </c>
      <c r="E140" s="472" t="str">
        <f t="shared" si="2"/>
        <v>2017Industrial19</v>
      </c>
      <c r="F140" s="473">
        <v>0.83787412786007032</v>
      </c>
      <c r="G140" s="474">
        <v>50.46809022041451</v>
      </c>
      <c r="H140" s="474">
        <v>515.9879617116078</v>
      </c>
    </row>
    <row r="141" spans="1:8" x14ac:dyDescent="0.35">
      <c r="A141" s="472" t="s">
        <v>2430</v>
      </c>
      <c r="B141" s="472" t="s">
        <v>2431</v>
      </c>
      <c r="C141" s="472" t="s">
        <v>2254</v>
      </c>
      <c r="D141" s="472" t="s">
        <v>2451</v>
      </c>
      <c r="E141" s="472" t="str">
        <f t="shared" si="2"/>
        <v>2017Industrial20</v>
      </c>
      <c r="F141" s="473">
        <v>0.87235743883702299</v>
      </c>
      <c r="G141" s="474">
        <v>52.685421659216715</v>
      </c>
      <c r="H141" s="474">
        <v>534.83243585525781</v>
      </c>
    </row>
    <row r="142" spans="1:8" x14ac:dyDescent="0.35">
      <c r="A142" s="472" t="s">
        <v>2430</v>
      </c>
      <c r="B142" s="472" t="s">
        <v>2431</v>
      </c>
      <c r="C142" s="472" t="s">
        <v>2254</v>
      </c>
      <c r="D142" s="472" t="s">
        <v>2452</v>
      </c>
      <c r="E142" s="472" t="str">
        <f t="shared" si="2"/>
        <v>2017Industrial21</v>
      </c>
      <c r="F142" s="473">
        <v>0.9057500653263596</v>
      </c>
      <c r="G142" s="474">
        <v>54.838250404690775</v>
      </c>
      <c r="H142" s="474">
        <v>552.77955408730543</v>
      </c>
    </row>
    <row r="143" spans="1:8" x14ac:dyDescent="0.35">
      <c r="A143" s="472" t="s">
        <v>2430</v>
      </c>
      <c r="B143" s="472" t="s">
        <v>2431</v>
      </c>
      <c r="C143" s="472" t="s">
        <v>2254</v>
      </c>
      <c r="D143" s="472" t="s">
        <v>2453</v>
      </c>
      <c r="E143" s="472" t="str">
        <f t="shared" si="2"/>
        <v>2017Industrial22</v>
      </c>
      <c r="F143" s="473">
        <v>0.93818861677314369</v>
      </c>
      <c r="G143" s="474">
        <v>56.929569757437008</v>
      </c>
      <c r="H143" s="474">
        <v>569.87204764163653</v>
      </c>
    </row>
    <row r="144" spans="1:8" x14ac:dyDescent="0.35">
      <c r="A144" s="472" t="s">
        <v>2430</v>
      </c>
      <c r="B144" s="472" t="s">
        <v>2431</v>
      </c>
      <c r="C144" s="472" t="s">
        <v>2254</v>
      </c>
      <c r="D144" s="472" t="s">
        <v>2454</v>
      </c>
      <c r="E144" s="472" t="str">
        <f t="shared" si="2"/>
        <v>2017Industrial23</v>
      </c>
      <c r="F144" s="473">
        <v>0.96970035246430542</v>
      </c>
      <c r="G144" s="474">
        <v>58.961137128676206</v>
      </c>
      <c r="H144" s="474">
        <v>586.15061293147562</v>
      </c>
    </row>
    <row r="145" spans="1:8" x14ac:dyDescent="0.35">
      <c r="A145" s="472" t="s">
        <v>2430</v>
      </c>
      <c r="B145" s="472" t="s">
        <v>2431</v>
      </c>
      <c r="C145" s="472" t="s">
        <v>2254</v>
      </c>
      <c r="D145" s="472" t="s">
        <v>2455</v>
      </c>
      <c r="E145" s="472" t="str">
        <f t="shared" si="2"/>
        <v>2017Industrial24</v>
      </c>
      <c r="F145" s="473">
        <v>1.0003117528500054</v>
      </c>
      <c r="G145" s="474">
        <v>60.934659717880002</v>
      </c>
      <c r="H145" s="474">
        <v>601.65400844560804</v>
      </c>
    </row>
    <row r="146" spans="1:8" x14ac:dyDescent="0.35">
      <c r="A146" s="472" t="s">
        <v>2430</v>
      </c>
      <c r="B146" s="472" t="s">
        <v>2431</v>
      </c>
      <c r="C146" s="472" t="s">
        <v>2254</v>
      </c>
      <c r="D146" s="472" t="s">
        <v>2456</v>
      </c>
      <c r="E146" s="472" t="str">
        <f t="shared" si="2"/>
        <v>2017Industrial25</v>
      </c>
      <c r="F146" s="473">
        <v>1.030048541796114</v>
      </c>
      <c r="G146" s="474">
        <v>62.851795947392255</v>
      </c>
      <c r="H146" s="474">
        <v>616.41914703049622</v>
      </c>
    </row>
    <row r="147" spans="1:8" x14ac:dyDescent="0.35">
      <c r="A147" s="472" t="s">
        <v>2430</v>
      </c>
      <c r="B147" s="472" t="s">
        <v>2431</v>
      </c>
      <c r="C147" s="472" t="s">
        <v>2254</v>
      </c>
      <c r="D147" s="472" t="s">
        <v>2457</v>
      </c>
      <c r="E147" s="472" t="str">
        <f t="shared" si="2"/>
        <v>2017Industrial26</v>
      </c>
      <c r="F147" s="473">
        <v>1.0589357082009048</v>
      </c>
      <c r="G147" s="474">
        <v>64.714156856061308</v>
      </c>
      <c r="H147" s="474">
        <v>630.4811837780087</v>
      </c>
    </row>
    <row r="148" spans="1:8" x14ac:dyDescent="0.35">
      <c r="A148" s="472" t="s">
        <v>2430</v>
      </c>
      <c r="B148" s="472" t="s">
        <v>2431</v>
      </c>
      <c r="C148" s="472" t="s">
        <v>2254</v>
      </c>
      <c r="D148" s="472" t="s">
        <v>2458</v>
      </c>
      <c r="E148" s="472" t="str">
        <f t="shared" si="2"/>
        <v>2017Industrial27</v>
      </c>
      <c r="F148" s="473">
        <v>1.0869975269941305</v>
      </c>
      <c r="G148" s="474">
        <v>66.523307453054102</v>
      </c>
      <c r="H148" s="474">
        <v>643.87359972802051</v>
      </c>
    </row>
    <row r="149" spans="1:8" x14ac:dyDescent="0.35">
      <c r="A149" s="472" t="s">
        <v>2430</v>
      </c>
      <c r="B149" s="472" t="s">
        <v>2431</v>
      </c>
      <c r="C149" s="472" t="s">
        <v>2254</v>
      </c>
      <c r="D149" s="472" t="s">
        <v>2459</v>
      </c>
      <c r="E149" s="472" t="str">
        <f t="shared" si="2"/>
        <v>2017Industrial28</v>
      </c>
      <c r="F149" s="473">
        <v>1.1142575795361211</v>
      </c>
      <c r="G149" s="474">
        <v>68.280768032989954</v>
      </c>
      <c r="H149" s="474">
        <v>656.6282815851747</v>
      </c>
    </row>
    <row r="150" spans="1:8" x14ac:dyDescent="0.35">
      <c r="A150" s="472" t="s">
        <v>2430</v>
      </c>
      <c r="B150" s="472" t="s">
        <v>2431</v>
      </c>
      <c r="C150" s="472" t="s">
        <v>2254</v>
      </c>
      <c r="D150" s="472" t="s">
        <v>2460</v>
      </c>
      <c r="E150" s="472" t="str">
        <f t="shared" si="2"/>
        <v>2017Industrial29</v>
      </c>
      <c r="F150" s="473">
        <v>1.1407387734340548</v>
      </c>
      <c r="G150" s="474">
        <v>69.988015453499074</v>
      </c>
      <c r="H150" s="474">
        <v>668.77559763960733</v>
      </c>
    </row>
    <row r="151" spans="1:8" x14ac:dyDescent="0.35">
      <c r="A151" s="472" t="s">
        <v>2430</v>
      </c>
      <c r="B151" s="472" t="s">
        <v>2431</v>
      </c>
      <c r="C151" s="472" t="s">
        <v>2254</v>
      </c>
      <c r="D151" s="472" t="s">
        <v>2461</v>
      </c>
      <c r="E151" s="472" t="str">
        <f t="shared" si="2"/>
        <v>2017Industrial30</v>
      </c>
      <c r="F151" s="473">
        <v>1.1664633617920477</v>
      </c>
      <c r="G151" s="474">
        <v>71.646484376279361</v>
      </c>
      <c r="H151" s="474">
        <v>680.34447007240021</v>
      </c>
    </row>
    <row r="152" spans="1:8" x14ac:dyDescent="0.35">
      <c r="A152" s="472" t="s">
        <v>2462</v>
      </c>
      <c r="B152" s="472" t="s">
        <v>2463</v>
      </c>
      <c r="C152" s="472" t="s">
        <v>2254</v>
      </c>
      <c r="D152" s="472" t="s">
        <v>2432</v>
      </c>
      <c r="E152" s="472" t="str">
        <f t="shared" si="2"/>
        <v>2018Industrial1</v>
      </c>
      <c r="F152" s="473">
        <v>4.0552380952380951E-2</v>
      </c>
      <c r="G152" s="474">
        <v>3.0666666666666669</v>
      </c>
      <c r="H152" s="474">
        <v>30</v>
      </c>
    </row>
    <row r="153" spans="1:8" x14ac:dyDescent="0.35">
      <c r="A153" s="472" t="s">
        <v>2462</v>
      </c>
      <c r="B153" s="472" t="s">
        <v>2463</v>
      </c>
      <c r="C153" s="472" t="s">
        <v>2254</v>
      </c>
      <c r="D153" s="472" t="s">
        <v>2433</v>
      </c>
      <c r="E153" s="472" t="str">
        <f t="shared" si="2"/>
        <v>2018Industrial2</v>
      </c>
      <c r="F153" s="473">
        <v>8.5383895049649702E-2</v>
      </c>
      <c r="G153" s="474">
        <v>6.0145124716553289</v>
      </c>
      <c r="H153" s="474">
        <v>55.782312925170061</v>
      </c>
    </row>
    <row r="154" spans="1:8" x14ac:dyDescent="0.35">
      <c r="A154" s="472" t="s">
        <v>2462</v>
      </c>
      <c r="B154" s="472" t="s">
        <v>2463</v>
      </c>
      <c r="C154" s="472" t="s">
        <v>2254</v>
      </c>
      <c r="D154" s="472" t="s">
        <v>2434</v>
      </c>
      <c r="E154" s="472" t="str">
        <f t="shared" si="2"/>
        <v>2018Industrial3</v>
      </c>
      <c r="F154" s="473">
        <v>0.13934940199336057</v>
      </c>
      <c r="G154" s="474">
        <v>8.8910916747651445</v>
      </c>
      <c r="H154" s="474">
        <v>81.697440881114346</v>
      </c>
    </row>
    <row r="155" spans="1:8" x14ac:dyDescent="0.35">
      <c r="A155" s="472" t="s">
        <v>2462</v>
      </c>
      <c r="B155" s="472" t="s">
        <v>2463</v>
      </c>
      <c r="C155" s="472" t="s">
        <v>2254</v>
      </c>
      <c r="D155" s="472" t="s">
        <v>2435</v>
      </c>
      <c r="E155" s="472" t="str">
        <f t="shared" si="2"/>
        <v>2018Industrial4</v>
      </c>
      <c r="F155" s="473">
        <v>0.19728065898852459</v>
      </c>
      <c r="G155" s="474">
        <v>11.729415212797138</v>
      </c>
      <c r="H155" s="474">
        <v>114.60553987278961</v>
      </c>
    </row>
    <row r="156" spans="1:8" x14ac:dyDescent="0.35">
      <c r="A156" s="472" t="s">
        <v>2462</v>
      </c>
      <c r="B156" s="472" t="s">
        <v>2463</v>
      </c>
      <c r="C156" s="472" t="s">
        <v>2254</v>
      </c>
      <c r="D156" s="472" t="s">
        <v>2436</v>
      </c>
      <c r="E156" s="472" t="str">
        <f t="shared" si="2"/>
        <v>2018Industrial5</v>
      </c>
      <c r="F156" s="473">
        <v>0.2539254265153682</v>
      </c>
      <c r="G156" s="474">
        <v>14.565779935412957</v>
      </c>
      <c r="H156" s="474">
        <v>153.78184819621256</v>
      </c>
    </row>
    <row r="157" spans="1:8" x14ac:dyDescent="0.35">
      <c r="A157" s="472" t="s">
        <v>2462</v>
      </c>
      <c r="B157" s="472" t="s">
        <v>2463</v>
      </c>
      <c r="C157" s="472" t="s">
        <v>2254</v>
      </c>
      <c r="D157" s="472" t="s">
        <v>2437</v>
      </c>
      <c r="E157" s="472" t="str">
        <f t="shared" si="2"/>
        <v>2018Industrial6</v>
      </c>
      <c r="F157" s="473">
        <v>0.30868062667626212</v>
      </c>
      <c r="G157" s="474">
        <v>17.401398442632139</v>
      </c>
      <c r="H157" s="474">
        <v>191.09261802804394</v>
      </c>
    </row>
    <row r="158" spans="1:8" x14ac:dyDescent="0.35">
      <c r="A158" s="472" t="s">
        <v>2462</v>
      </c>
      <c r="B158" s="472" t="s">
        <v>2463</v>
      </c>
      <c r="C158" s="472" t="s">
        <v>2254</v>
      </c>
      <c r="D158" s="472" t="s">
        <v>2438</v>
      </c>
      <c r="E158" s="472" t="str">
        <f t="shared" si="2"/>
        <v>2018Industrial7</v>
      </c>
      <c r="F158" s="473">
        <v>0.35721635944413493</v>
      </c>
      <c r="G158" s="474">
        <v>20.237016949851323</v>
      </c>
      <c r="H158" s="474">
        <v>226.62668453455001</v>
      </c>
    </row>
    <row r="159" spans="1:8" x14ac:dyDescent="0.35">
      <c r="A159" s="472" t="s">
        <v>2462</v>
      </c>
      <c r="B159" s="472" t="s">
        <v>2463</v>
      </c>
      <c r="C159" s="472" t="s">
        <v>2254</v>
      </c>
      <c r="D159" s="472" t="s">
        <v>2439</v>
      </c>
      <c r="E159" s="472" t="str">
        <f t="shared" si="2"/>
        <v>2018Industrial8</v>
      </c>
      <c r="F159" s="473">
        <v>0.40378872246500835</v>
      </c>
      <c r="G159" s="474">
        <v>23.066205483131235</v>
      </c>
      <c r="H159" s="474">
        <v>260.46865263598437</v>
      </c>
    </row>
    <row r="160" spans="1:8" x14ac:dyDescent="0.35">
      <c r="A160" s="472" t="s">
        <v>2462</v>
      </c>
      <c r="B160" s="472" t="s">
        <v>2463</v>
      </c>
      <c r="C160" s="472" t="s">
        <v>2254</v>
      </c>
      <c r="D160" s="472" t="s">
        <v>2440</v>
      </c>
      <c r="E160" s="472" t="str">
        <f t="shared" si="2"/>
        <v>2018Industrial9</v>
      </c>
      <c r="F160" s="473">
        <v>0.45341344848643256</v>
      </c>
      <c r="G160" s="474">
        <v>25.889592536165186</v>
      </c>
      <c r="H160" s="474">
        <v>292.69909844687419</v>
      </c>
    </row>
    <row r="161" spans="1:8" x14ac:dyDescent="0.35">
      <c r="A161" s="472" t="s">
        <v>2462</v>
      </c>
      <c r="B161" s="472" t="s">
        <v>2463</v>
      </c>
      <c r="C161" s="472" t="s">
        <v>2254</v>
      </c>
      <c r="D161" s="472" t="s">
        <v>2441</v>
      </c>
      <c r="E161" s="472" t="str">
        <f t="shared" si="2"/>
        <v>2018Industrial10</v>
      </c>
      <c r="F161" s="473">
        <v>0.5016817331340756</v>
      </c>
      <c r="G161" s="474">
        <v>28.705015829467662</v>
      </c>
      <c r="H161" s="474">
        <v>323.39476112391219</v>
      </c>
    </row>
    <row r="162" spans="1:8" x14ac:dyDescent="0.35">
      <c r="A162" s="472" t="s">
        <v>2462</v>
      </c>
      <c r="B162" s="472" t="s">
        <v>2463</v>
      </c>
      <c r="C162" s="472" t="s">
        <v>2254</v>
      </c>
      <c r="D162" s="472" t="s">
        <v>2442</v>
      </c>
      <c r="E162" s="472" t="str">
        <f t="shared" si="2"/>
        <v>2018Industrial11</v>
      </c>
      <c r="F162" s="473">
        <v>0.54870814779175237</v>
      </c>
      <c r="G162" s="474">
        <v>31.511293068176574</v>
      </c>
      <c r="H162" s="474">
        <v>352.62872557823403</v>
      </c>
    </row>
    <row r="163" spans="1:8" x14ac:dyDescent="0.35">
      <c r="A163" s="472" t="s">
        <v>2462</v>
      </c>
      <c r="B163" s="472" t="s">
        <v>2463</v>
      </c>
      <c r="C163" s="472" t="s">
        <v>2254</v>
      </c>
      <c r="D163" s="472" t="s">
        <v>2443</v>
      </c>
      <c r="E163" s="472" t="str">
        <f t="shared" si="2"/>
        <v>2018Industrial12</v>
      </c>
      <c r="F163" s="473">
        <v>0.59395045344288133</v>
      </c>
      <c r="G163" s="474">
        <v>34.298662087168239</v>
      </c>
      <c r="H163" s="474">
        <v>380.47059648711206</v>
      </c>
    </row>
    <row r="164" spans="1:8" x14ac:dyDescent="0.35">
      <c r="A164" s="472" t="s">
        <v>2462</v>
      </c>
      <c r="B164" s="472" t="s">
        <v>2463</v>
      </c>
      <c r="C164" s="472" t="s">
        <v>2254</v>
      </c>
      <c r="D164" s="472" t="s">
        <v>2444</v>
      </c>
      <c r="E164" s="472" t="str">
        <f t="shared" si="2"/>
        <v>2018Industrial13</v>
      </c>
      <c r="F164" s="473">
        <v>0.63765385681099807</v>
      </c>
      <c r="G164" s="474">
        <v>37.034233307897573</v>
      </c>
      <c r="H164" s="474">
        <v>406.9866640193768</v>
      </c>
    </row>
    <row r="165" spans="1:8" x14ac:dyDescent="0.35">
      <c r="A165" s="472" t="s">
        <v>2462</v>
      </c>
      <c r="B165" s="472" t="s">
        <v>2463</v>
      </c>
      <c r="C165" s="472" t="s">
        <v>2254</v>
      </c>
      <c r="D165" s="472" t="s">
        <v>2445</v>
      </c>
      <c r="E165" s="472" t="str">
        <f t="shared" si="2"/>
        <v>2018Industrial14</v>
      </c>
      <c r="F165" s="473">
        <v>0.68037157974590923</v>
      </c>
      <c r="G165" s="474">
        <v>39.75130531496179</v>
      </c>
      <c r="H165" s="474">
        <v>432.24006166915274</v>
      </c>
    </row>
    <row r="166" spans="1:8" x14ac:dyDescent="0.35">
      <c r="A166" s="472" t="s">
        <v>2462</v>
      </c>
      <c r="B166" s="472" t="s">
        <v>2463</v>
      </c>
      <c r="C166" s="472" t="s">
        <v>2254</v>
      </c>
      <c r="D166" s="472" t="s">
        <v>2446</v>
      </c>
      <c r="E166" s="472" t="str">
        <f t="shared" si="2"/>
        <v>2018Industrial15</v>
      </c>
      <c r="F166" s="473">
        <v>0.7214263970655862</v>
      </c>
      <c r="G166" s="474">
        <v>42.394050124264368</v>
      </c>
      <c r="H166" s="474">
        <v>456.29091657370122</v>
      </c>
    </row>
    <row r="167" spans="1:8" x14ac:dyDescent="0.35">
      <c r="A167" s="472" t="s">
        <v>2462</v>
      </c>
      <c r="B167" s="472" t="s">
        <v>2463</v>
      </c>
      <c r="C167" s="472" t="s">
        <v>2254</v>
      </c>
      <c r="D167" s="472" t="s">
        <v>2447</v>
      </c>
      <c r="E167" s="472" t="str">
        <f t="shared" si="2"/>
        <v>2018Industrial16</v>
      </c>
      <c r="F167" s="473">
        <v>0.76122993658293603</v>
      </c>
      <c r="G167" s="474">
        <v>44.921437025224378</v>
      </c>
      <c r="H167" s="474">
        <v>479.19649267327122</v>
      </c>
    </row>
    <row r="168" spans="1:8" x14ac:dyDescent="0.35">
      <c r="A168" s="472" t="s">
        <v>2462</v>
      </c>
      <c r="B168" s="472" t="s">
        <v>2463</v>
      </c>
      <c r="C168" s="472" t="s">
        <v>2254</v>
      </c>
      <c r="D168" s="472" t="s">
        <v>2448</v>
      </c>
      <c r="E168" s="472" t="str">
        <f t="shared" si="2"/>
        <v>2018Industrial17</v>
      </c>
      <c r="F168" s="473">
        <v>0.79980827278861188</v>
      </c>
      <c r="G168" s="474">
        <v>47.361764494635807</v>
      </c>
      <c r="H168" s="474">
        <v>501.01132705381411</v>
      </c>
    </row>
    <row r="169" spans="1:8" x14ac:dyDescent="0.35">
      <c r="A169" s="472" t="s">
        <v>2462</v>
      </c>
      <c r="B169" s="472" t="s">
        <v>2463</v>
      </c>
      <c r="C169" s="472" t="s">
        <v>2254</v>
      </c>
      <c r="D169" s="472" t="s">
        <v>2449</v>
      </c>
      <c r="E169" s="472" t="str">
        <f t="shared" si="2"/>
        <v>2018Industrial18</v>
      </c>
      <c r="F169" s="473">
        <v>0.83718783425307419</v>
      </c>
      <c r="G169" s="474">
        <v>49.771494731435247</v>
      </c>
      <c r="H169" s="474">
        <v>521.78735979718829</v>
      </c>
    </row>
    <row r="170" spans="1:8" x14ac:dyDescent="0.35">
      <c r="A170" s="472" t="s">
        <v>2462</v>
      </c>
      <c r="B170" s="472" t="s">
        <v>2463</v>
      </c>
      <c r="C170" s="472" t="s">
        <v>2254</v>
      </c>
      <c r="D170" s="472" t="s">
        <v>2450</v>
      </c>
      <c r="E170" s="472" t="str">
        <f t="shared" si="2"/>
        <v>2018Industrial19</v>
      </c>
      <c r="F170" s="473">
        <v>0.87339531077887445</v>
      </c>
      <c r="G170" s="474">
        <v>52.09969274217756</v>
      </c>
      <c r="H170" s="474">
        <v>541.5740576480207</v>
      </c>
    </row>
    <row r="171" spans="1:8" x14ac:dyDescent="0.35">
      <c r="A171" s="472" t="s">
        <v>2462</v>
      </c>
      <c r="B171" s="472" t="s">
        <v>2463</v>
      </c>
      <c r="C171" s="472" t="s">
        <v>2254</v>
      </c>
      <c r="D171" s="472" t="s">
        <v>2451</v>
      </c>
      <c r="E171" s="472" t="str">
        <f t="shared" si="2"/>
        <v>2018Industrial20</v>
      </c>
      <c r="F171" s="473">
        <v>0.9084575685926779</v>
      </c>
      <c r="G171" s="474">
        <v>54.360162924925326</v>
      </c>
      <c r="H171" s="474">
        <v>560.41853179167072</v>
      </c>
    </row>
    <row r="172" spans="1:8" x14ac:dyDescent="0.35">
      <c r="A172" s="472" t="s">
        <v>2462</v>
      </c>
      <c r="B172" s="472" t="s">
        <v>2463</v>
      </c>
      <c r="C172" s="472" t="s">
        <v>2254</v>
      </c>
      <c r="D172" s="472" t="s">
        <v>2452</v>
      </c>
      <c r="E172" s="472" t="str">
        <f t="shared" si="2"/>
        <v>2018Industrial21</v>
      </c>
      <c r="F172" s="473">
        <v>0.94251804761180125</v>
      </c>
      <c r="G172" s="474">
        <v>56.556048245308872</v>
      </c>
      <c r="H172" s="474">
        <v>578.36565002371844</v>
      </c>
    </row>
    <row r="173" spans="1:8" x14ac:dyDescent="0.35">
      <c r="A173" s="472" t="s">
        <v>2462</v>
      </c>
      <c r="B173" s="472" t="s">
        <v>2463</v>
      </c>
      <c r="C173" s="472" t="s">
        <v>2254</v>
      </c>
      <c r="D173" s="472" t="s">
        <v>2453</v>
      </c>
      <c r="E173" s="472" t="str">
        <f t="shared" si="2"/>
        <v>2018Industrial22</v>
      </c>
      <c r="F173" s="473">
        <v>0.97560537008752113</v>
      </c>
      <c r="G173" s="474">
        <v>58.689193985110037</v>
      </c>
      <c r="H173" s="474">
        <v>595.45814357804943</v>
      </c>
    </row>
    <row r="174" spans="1:8" x14ac:dyDescent="0.35">
      <c r="A174" s="472" t="s">
        <v>2462</v>
      </c>
      <c r="B174" s="472" t="s">
        <v>2463</v>
      </c>
      <c r="C174" s="472" t="s">
        <v>2254</v>
      </c>
      <c r="D174" s="472" t="s">
        <v>2454</v>
      </c>
      <c r="E174" s="472" t="str">
        <f t="shared" si="2"/>
        <v>2018Industrial23</v>
      </c>
      <c r="F174" s="473">
        <v>1.0077473404925061</v>
      </c>
      <c r="G174" s="474">
        <v>60.761392703774021</v>
      </c>
      <c r="H174" s="474">
        <v>611.73670886788864</v>
      </c>
    </row>
    <row r="175" spans="1:8" x14ac:dyDescent="0.35">
      <c r="A175" s="472" t="s">
        <v>2462</v>
      </c>
      <c r="B175" s="472" t="s">
        <v>2463</v>
      </c>
      <c r="C175" s="472" t="s">
        <v>2254</v>
      </c>
      <c r="D175" s="472" t="s">
        <v>2455</v>
      </c>
      <c r="E175" s="472" t="str">
        <f t="shared" si="2"/>
        <v>2018Industrial24</v>
      </c>
      <c r="F175" s="473">
        <v>1.0389709688859201</v>
      </c>
      <c r="G175" s="474">
        <v>62.774385744761894</v>
      </c>
      <c r="H175" s="474">
        <v>627.24010438202106</v>
      </c>
    </row>
    <row r="176" spans="1:8" x14ac:dyDescent="0.35">
      <c r="A176" s="472" t="s">
        <v>2462</v>
      </c>
      <c r="B176" s="472" t="s">
        <v>2463</v>
      </c>
      <c r="C176" s="472" t="s">
        <v>2254</v>
      </c>
      <c r="D176" s="472" t="s">
        <v>2456</v>
      </c>
      <c r="E176" s="472" t="str">
        <f t="shared" si="2"/>
        <v>2018Industrial25</v>
      </c>
      <c r="F176" s="473">
        <v>1.0693024936109508</v>
      </c>
      <c r="G176" s="474">
        <v>64.72986469886439</v>
      </c>
      <c r="H176" s="474">
        <v>642.00524296690924</v>
      </c>
    </row>
    <row r="177" spans="1:8" x14ac:dyDescent="0.35">
      <c r="A177" s="472" t="s">
        <v>2462</v>
      </c>
      <c r="B177" s="472" t="s">
        <v>2463</v>
      </c>
      <c r="C177" s="472" t="s">
        <v>2254</v>
      </c>
      <c r="D177" s="472" t="s">
        <v>2457</v>
      </c>
      <c r="E177" s="472" t="str">
        <f t="shared" si="2"/>
        <v>2018Industrial26</v>
      </c>
      <c r="F177" s="473">
        <v>1.0987674033438377</v>
      </c>
      <c r="G177" s="474">
        <v>66.629472825706827</v>
      </c>
      <c r="H177" s="474">
        <v>656.0672797144216</v>
      </c>
    </row>
    <row r="178" spans="1:8" x14ac:dyDescent="0.35">
      <c r="A178" s="472" t="s">
        <v>2462</v>
      </c>
      <c r="B178" s="472" t="s">
        <v>2463</v>
      </c>
      <c r="C178" s="472" t="s">
        <v>2254</v>
      </c>
      <c r="D178" s="472" t="s">
        <v>2458</v>
      </c>
      <c r="E178" s="472" t="str">
        <f t="shared" si="2"/>
        <v>2018Industrial27</v>
      </c>
      <c r="F178" s="473">
        <v>1.1273904585129277</v>
      </c>
      <c r="G178" s="474">
        <v>68.474806434639476</v>
      </c>
      <c r="H178" s="474">
        <v>669.45969566443353</v>
      </c>
    </row>
    <row r="179" spans="1:8" x14ac:dyDescent="0.35">
      <c r="A179" s="472" t="s">
        <v>2462</v>
      </c>
      <c r="B179" s="472" t="s">
        <v>2463</v>
      </c>
      <c r="C179" s="472" t="s">
        <v>2254</v>
      </c>
      <c r="D179" s="472" t="s">
        <v>2459</v>
      </c>
      <c r="E179" s="472" t="str">
        <f t="shared" si="2"/>
        <v>2018Industrial28</v>
      </c>
      <c r="F179" s="473">
        <v>1.1551957121057581</v>
      </c>
      <c r="G179" s="474">
        <v>70.267416226174035</v>
      </c>
      <c r="H179" s="474">
        <v>682.21437752158772</v>
      </c>
    </row>
    <row r="180" spans="1:8" x14ac:dyDescent="0.35">
      <c r="A180" s="472" t="s">
        <v>2462</v>
      </c>
      <c r="B180" s="472" t="s">
        <v>2463</v>
      </c>
      <c r="C180" s="472" t="s">
        <v>2254</v>
      </c>
      <c r="D180" s="472" t="s">
        <v>2460</v>
      </c>
      <c r="E180" s="472" t="str">
        <f t="shared" si="2"/>
        <v>2018Industrial29</v>
      </c>
      <c r="F180" s="473">
        <v>1.1822065298816504</v>
      </c>
      <c r="G180" s="474">
        <v>72.008808595093328</v>
      </c>
      <c r="H180" s="474">
        <v>694.36169357602034</v>
      </c>
    </row>
    <row r="181" spans="1:8" x14ac:dyDescent="0.35">
      <c r="A181" s="472" t="s">
        <v>2462</v>
      </c>
      <c r="B181" s="472" t="s">
        <v>2463</v>
      </c>
      <c r="C181" s="472" t="s">
        <v>2254</v>
      </c>
      <c r="D181" s="472" t="s">
        <v>2461</v>
      </c>
      <c r="E181" s="472" t="str">
        <f t="shared" si="2"/>
        <v>2018Industrial30</v>
      </c>
      <c r="F181" s="473">
        <v>1.2084456100068031</v>
      </c>
      <c r="G181" s="474">
        <v>73.700446896329225</v>
      </c>
      <c r="H181" s="474">
        <v>705.93056600881312</v>
      </c>
    </row>
    <row r="182" spans="1:8" x14ac:dyDescent="0.35">
      <c r="A182" s="472" t="s">
        <v>2464</v>
      </c>
      <c r="B182" s="472" t="s">
        <v>2465</v>
      </c>
      <c r="C182" s="472" t="s">
        <v>2254</v>
      </c>
      <c r="D182" s="472" t="s">
        <v>2432</v>
      </c>
      <c r="E182" s="472" t="str">
        <f t="shared" si="2"/>
        <v>2019Industrial1</v>
      </c>
      <c r="F182" s="473">
        <v>4.7073089802132186E-2</v>
      </c>
      <c r="G182" s="474">
        <v>3.0952380952380949</v>
      </c>
      <c r="H182" s="474">
        <v>30</v>
      </c>
    </row>
    <row r="183" spans="1:8" x14ac:dyDescent="0.35">
      <c r="A183" s="472" t="s">
        <v>2464</v>
      </c>
      <c r="B183" s="472" t="s">
        <v>2465</v>
      </c>
      <c r="C183" s="472" t="s">
        <v>2254</v>
      </c>
      <c r="D183" s="472" t="s">
        <v>2433</v>
      </c>
      <c r="E183" s="472" t="str">
        <f t="shared" si="2"/>
        <v>2019Industrial2</v>
      </c>
      <c r="F183" s="473">
        <v>0.10373687209302859</v>
      </c>
      <c r="G183" s="474">
        <v>6.1156462585034008</v>
      </c>
      <c r="H183" s="474">
        <v>55.782312925170061</v>
      </c>
    </row>
    <row r="184" spans="1:8" x14ac:dyDescent="0.35">
      <c r="A184" s="472" t="s">
        <v>2464</v>
      </c>
      <c r="B184" s="472" t="s">
        <v>2465</v>
      </c>
      <c r="C184" s="472" t="s">
        <v>2254</v>
      </c>
      <c r="D184" s="472" t="s">
        <v>2434</v>
      </c>
      <c r="E184" s="472" t="str">
        <f t="shared" si="2"/>
        <v>2019Industrial3</v>
      </c>
      <c r="F184" s="473">
        <v>0.16456469193795081</v>
      </c>
      <c r="G184" s="474">
        <v>9.0958859734369923</v>
      </c>
      <c r="H184" s="474">
        <v>90.335816866429113</v>
      </c>
    </row>
    <row r="185" spans="1:8" x14ac:dyDescent="0.35">
      <c r="A185" s="472" t="s">
        <v>2464</v>
      </c>
      <c r="B185" s="472" t="s">
        <v>2465</v>
      </c>
      <c r="C185" s="472" t="s">
        <v>2254</v>
      </c>
      <c r="D185" s="472" t="s">
        <v>2435</v>
      </c>
      <c r="E185" s="472" t="str">
        <f t="shared" si="2"/>
        <v>2019Industrial4</v>
      </c>
      <c r="F185" s="473">
        <v>0.22404169784113667</v>
      </c>
      <c r="G185" s="474">
        <v>12.074068932183604</v>
      </c>
      <c r="H185" s="474">
        <v>131.47094060602319</v>
      </c>
    </row>
    <row r="186" spans="1:8" x14ac:dyDescent="0.35">
      <c r="A186" s="472" t="s">
        <v>2464</v>
      </c>
      <c r="B186" s="472" t="s">
        <v>2465</v>
      </c>
      <c r="C186" s="472" t="s">
        <v>2254</v>
      </c>
      <c r="D186" s="472" t="s">
        <v>2436</v>
      </c>
      <c r="E186" s="472" t="str">
        <f t="shared" si="2"/>
        <v>2019Industrial5</v>
      </c>
      <c r="F186" s="473">
        <v>0.28153465801007527</v>
      </c>
      <c r="G186" s="474">
        <v>15.051468364763746</v>
      </c>
      <c r="H186" s="474">
        <v>170.64724892944614</v>
      </c>
    </row>
    <row r="187" spans="1:8" x14ac:dyDescent="0.35">
      <c r="A187" s="472" t="s">
        <v>2464</v>
      </c>
      <c r="B187" s="472" t="s">
        <v>2465</v>
      </c>
      <c r="C187" s="472" t="s">
        <v>2254</v>
      </c>
      <c r="D187" s="472" t="s">
        <v>2437</v>
      </c>
      <c r="E187" s="472" t="str">
        <f t="shared" si="2"/>
        <v>2019Industrial6</v>
      </c>
      <c r="F187" s="473">
        <v>0.33249717741634172</v>
      </c>
      <c r="G187" s="474">
        <v>18.028867797343889</v>
      </c>
      <c r="H187" s="474">
        <v>207.95801876127751</v>
      </c>
    </row>
    <row r="188" spans="1:8" x14ac:dyDescent="0.35">
      <c r="A188" s="472" t="s">
        <v>2464</v>
      </c>
      <c r="B188" s="472" t="s">
        <v>2465</v>
      </c>
      <c r="C188" s="472" t="s">
        <v>2254</v>
      </c>
      <c r="D188" s="472" t="s">
        <v>2438</v>
      </c>
      <c r="E188" s="472" t="str">
        <f t="shared" si="2"/>
        <v>2019Industrial7</v>
      </c>
      <c r="F188" s="473">
        <v>0.38139815858825876</v>
      </c>
      <c r="G188" s="474">
        <v>20.999515757287796</v>
      </c>
      <c r="H188" s="474">
        <v>243.49208526778358</v>
      </c>
    </row>
    <row r="189" spans="1:8" x14ac:dyDescent="0.35">
      <c r="A189" s="472" t="s">
        <v>2464</v>
      </c>
      <c r="B189" s="472" t="s">
        <v>2465</v>
      </c>
      <c r="C189" s="472" t="s">
        <v>2254</v>
      </c>
      <c r="D189" s="472" t="s">
        <v>2439</v>
      </c>
      <c r="E189" s="472" t="str">
        <f t="shared" si="2"/>
        <v>2019Industrial8</v>
      </c>
      <c r="F189" s="473">
        <v>0.43350412091075419</v>
      </c>
      <c r="G189" s="474">
        <v>23.964072162973444</v>
      </c>
      <c r="H189" s="474">
        <v>277.33405336921794</v>
      </c>
    </row>
    <row r="190" spans="1:8" x14ac:dyDescent="0.35">
      <c r="A190" s="472" t="s">
        <v>2464</v>
      </c>
      <c r="B190" s="472" t="s">
        <v>2465</v>
      </c>
      <c r="C190" s="472" t="s">
        <v>2254</v>
      </c>
      <c r="D190" s="472" t="s">
        <v>2440</v>
      </c>
      <c r="E190" s="472" t="str">
        <f t="shared" si="2"/>
        <v>2019Industrial9</v>
      </c>
      <c r="F190" s="473">
        <v>0.4841858197907794</v>
      </c>
      <c r="G190" s="474">
        <v>26.920266620941042</v>
      </c>
      <c r="H190" s="474">
        <v>309.56449918010782</v>
      </c>
    </row>
    <row r="191" spans="1:8" x14ac:dyDescent="0.35">
      <c r="A191" s="472" t="s">
        <v>2464</v>
      </c>
      <c r="B191" s="472" t="s">
        <v>2465</v>
      </c>
      <c r="C191" s="472" t="s">
        <v>2254</v>
      </c>
      <c r="D191" s="472" t="s">
        <v>2441</v>
      </c>
      <c r="E191" s="472" t="str">
        <f t="shared" si="2"/>
        <v>2019Industrial10</v>
      </c>
      <c r="F191" s="473">
        <v>0.53356355518134002</v>
      </c>
      <c r="G191" s="474">
        <v>29.866857721585397</v>
      </c>
      <c r="H191" s="474">
        <v>340.26016185714576</v>
      </c>
    </row>
    <row r="192" spans="1:8" x14ac:dyDescent="0.35">
      <c r="A192" s="472" t="s">
        <v>2464</v>
      </c>
      <c r="B192" s="472" t="s">
        <v>2465</v>
      </c>
      <c r="C192" s="472" t="s">
        <v>2254</v>
      </c>
      <c r="D192" s="472" t="s">
        <v>2442</v>
      </c>
      <c r="E192" s="472" t="str">
        <f t="shared" si="2"/>
        <v>2019Industrial11</v>
      </c>
      <c r="F192" s="473">
        <v>0.58106797611502536</v>
      </c>
      <c r="G192" s="474">
        <v>32.793595191526649</v>
      </c>
      <c r="H192" s="474">
        <v>369.49412631146765</v>
      </c>
    </row>
    <row r="193" spans="1:8" x14ac:dyDescent="0.35">
      <c r="A193" s="472" t="s">
        <v>2464</v>
      </c>
      <c r="B193" s="472" t="s">
        <v>2465</v>
      </c>
      <c r="C193" s="472" t="s">
        <v>2254</v>
      </c>
      <c r="D193" s="472" t="s">
        <v>2443</v>
      </c>
      <c r="E193" s="472" t="str">
        <f t="shared" si="2"/>
        <v>2019Industrial12</v>
      </c>
      <c r="F193" s="473">
        <v>0.6269565496515479</v>
      </c>
      <c r="G193" s="474">
        <v>35.665944973292447</v>
      </c>
      <c r="H193" s="474">
        <v>397.33599722034558</v>
      </c>
    </row>
    <row r="194" spans="1:8" x14ac:dyDescent="0.35">
      <c r="A194" s="472" t="s">
        <v>2464</v>
      </c>
      <c r="B194" s="472" t="s">
        <v>2465</v>
      </c>
      <c r="C194" s="472" t="s">
        <v>2254</v>
      </c>
      <c r="D194" s="472" t="s">
        <v>2444</v>
      </c>
      <c r="E194" s="472" t="str">
        <f t="shared" si="2"/>
        <v>2019Industrial13</v>
      </c>
      <c r="F194" s="473">
        <v>0.67181015873320471</v>
      </c>
      <c r="G194" s="474">
        <v>38.51887058070988</v>
      </c>
      <c r="H194" s="474">
        <v>423.85206475261032</v>
      </c>
    </row>
    <row r="195" spans="1:8" x14ac:dyDescent="0.35">
      <c r="A195" s="472" t="s">
        <v>2464</v>
      </c>
      <c r="B195" s="472" t="s">
        <v>2465</v>
      </c>
      <c r="C195" s="472" t="s">
        <v>2254</v>
      </c>
      <c r="D195" s="472" t="s">
        <v>2445</v>
      </c>
      <c r="E195" s="472" t="str">
        <f t="shared" ref="E195:E258" si="3">A195&amp;C195&amp;D195</f>
        <v>2019Industrial14</v>
      </c>
      <c r="F195" s="473">
        <v>0.71491771691886563</v>
      </c>
      <c r="G195" s="474">
        <v>41.293752630477584</v>
      </c>
      <c r="H195" s="474">
        <v>449.10546240238625</v>
      </c>
    </row>
    <row r="196" spans="1:8" x14ac:dyDescent="0.35">
      <c r="A196" s="472" t="s">
        <v>2464</v>
      </c>
      <c r="B196" s="472" t="s">
        <v>2465</v>
      </c>
      <c r="C196" s="472" t="s">
        <v>2254</v>
      </c>
      <c r="D196" s="472" t="s">
        <v>2446</v>
      </c>
      <c r="E196" s="472" t="str">
        <f t="shared" si="3"/>
        <v>2019Industrial15</v>
      </c>
      <c r="F196" s="473">
        <v>0.75671143341208291</v>
      </c>
      <c r="G196" s="474">
        <v>43.947508876485593</v>
      </c>
      <c r="H196" s="474">
        <v>473.15631730693474</v>
      </c>
    </row>
    <row r="197" spans="1:8" x14ac:dyDescent="0.35">
      <c r="A197" s="472" t="s">
        <v>2464</v>
      </c>
      <c r="B197" s="472" t="s">
        <v>2465</v>
      </c>
      <c r="C197" s="472" t="s">
        <v>2254</v>
      </c>
      <c r="D197" s="472" t="s">
        <v>2447</v>
      </c>
      <c r="E197" s="472" t="str">
        <f t="shared" si="3"/>
        <v>2019Industrial16</v>
      </c>
      <c r="F197" s="473">
        <v>0.79721868642804261</v>
      </c>
      <c r="G197" s="474">
        <v>46.509852719367601</v>
      </c>
      <c r="H197" s="474">
        <v>496.06189340650479</v>
      </c>
    </row>
    <row r="198" spans="1:8" x14ac:dyDescent="0.35">
      <c r="A198" s="472" t="s">
        <v>2464</v>
      </c>
      <c r="B198" s="472" t="s">
        <v>2465</v>
      </c>
      <c r="C198" s="472" t="s">
        <v>2254</v>
      </c>
      <c r="D198" s="472" t="s">
        <v>2448</v>
      </c>
      <c r="E198" s="472" t="str">
        <f t="shared" si="3"/>
        <v>2019Industrial17</v>
      </c>
      <c r="F198" s="473">
        <v>0.83646722596572787</v>
      </c>
      <c r="G198" s="474">
        <v>49.040069468007005</v>
      </c>
      <c r="H198" s="474">
        <v>517.87672778704768</v>
      </c>
    </row>
    <row r="199" spans="1:8" x14ac:dyDescent="0.35">
      <c r="A199" s="472" t="s">
        <v>2464</v>
      </c>
      <c r="B199" s="472" t="s">
        <v>2465</v>
      </c>
      <c r="C199" s="472" t="s">
        <v>2254</v>
      </c>
      <c r="D199" s="472" t="s">
        <v>2449</v>
      </c>
      <c r="E199" s="472" t="str">
        <f t="shared" si="3"/>
        <v>2019Industrial18</v>
      </c>
      <c r="F199" s="473">
        <v>0.87448507631781813</v>
      </c>
      <c r="G199" s="474">
        <v>51.484677379286431</v>
      </c>
      <c r="H199" s="474">
        <v>538.6527605304218</v>
      </c>
    </row>
    <row r="200" spans="1:8" x14ac:dyDescent="0.35">
      <c r="A200" s="472" t="s">
        <v>2464</v>
      </c>
      <c r="B200" s="472" t="s">
        <v>2465</v>
      </c>
      <c r="C200" s="472" t="s">
        <v>2254</v>
      </c>
      <c r="D200" s="472" t="s">
        <v>2450</v>
      </c>
      <c r="E200" s="472" t="str">
        <f t="shared" si="3"/>
        <v>2019Industrial19</v>
      </c>
      <c r="F200" s="473">
        <v>0.91130044702231183</v>
      </c>
      <c r="G200" s="474">
        <v>53.858171071171583</v>
      </c>
      <c r="H200" s="474">
        <v>558.43945838125433</v>
      </c>
    </row>
    <row r="201" spans="1:8" x14ac:dyDescent="0.35">
      <c r="A201" s="472" t="s">
        <v>2464</v>
      </c>
      <c r="B201" s="472" t="s">
        <v>2465</v>
      </c>
      <c r="C201" s="472" t="s">
        <v>2254</v>
      </c>
      <c r="D201" s="472" t="s">
        <v>2451</v>
      </c>
      <c r="E201" s="472" t="str">
        <f t="shared" si="3"/>
        <v>2019Industrial20</v>
      </c>
      <c r="F201" s="473">
        <v>0.9470639499923913</v>
      </c>
      <c r="G201" s="474">
        <v>56.163850657574301</v>
      </c>
      <c r="H201" s="474">
        <v>577.28393252490434</v>
      </c>
    </row>
    <row r="202" spans="1:8" x14ac:dyDescent="0.35">
      <c r="A202" s="472" t="s">
        <v>2464</v>
      </c>
      <c r="B202" s="472" t="s">
        <v>2465</v>
      </c>
      <c r="C202" s="472" t="s">
        <v>2254</v>
      </c>
      <c r="D202" s="472" t="s">
        <v>2452</v>
      </c>
      <c r="E202" s="472" t="str">
        <f t="shared" si="3"/>
        <v>2019Industrial21</v>
      </c>
      <c r="F202" s="473">
        <v>0.98180563859189718</v>
      </c>
      <c r="G202" s="474">
        <v>58.40365368436553</v>
      </c>
      <c r="H202" s="474">
        <v>595.23105075695196</v>
      </c>
    </row>
    <row r="203" spans="1:8" x14ac:dyDescent="0.35">
      <c r="A203" s="472" t="s">
        <v>2464</v>
      </c>
      <c r="B203" s="472" t="s">
        <v>2465</v>
      </c>
      <c r="C203" s="472" t="s">
        <v>2254</v>
      </c>
      <c r="D203" s="472" t="s">
        <v>2453</v>
      </c>
      <c r="E203" s="472" t="str">
        <f t="shared" si="3"/>
        <v>2019Industrial22</v>
      </c>
      <c r="F203" s="473">
        <v>1.0155547075171314</v>
      </c>
      <c r="G203" s="474">
        <v>60.579462338962713</v>
      </c>
      <c r="H203" s="474">
        <v>612.32354431128294</v>
      </c>
    </row>
    <row r="204" spans="1:8" x14ac:dyDescent="0.35">
      <c r="A204" s="472" t="s">
        <v>2464</v>
      </c>
      <c r="B204" s="472" t="s">
        <v>2465</v>
      </c>
      <c r="C204" s="472" t="s">
        <v>2254</v>
      </c>
      <c r="D204" s="472" t="s">
        <v>2454</v>
      </c>
      <c r="E204" s="472" t="str">
        <f t="shared" si="3"/>
        <v>2019Industrial23</v>
      </c>
      <c r="F204" s="473">
        <v>1.0483395173302159</v>
      </c>
      <c r="G204" s="474">
        <v>62.693105031999984</v>
      </c>
      <c r="H204" s="474">
        <v>628.60210960112215</v>
      </c>
    </row>
    <row r="205" spans="1:8" x14ac:dyDescent="0.35">
      <c r="A205" s="472" t="s">
        <v>2464</v>
      </c>
      <c r="B205" s="472" t="s">
        <v>2465</v>
      </c>
      <c r="C205" s="472" t="s">
        <v>2254</v>
      </c>
      <c r="D205" s="472" t="s">
        <v>2455</v>
      </c>
      <c r="E205" s="472" t="str">
        <f t="shared" si="3"/>
        <v>2019Industrial24</v>
      </c>
      <c r="F205" s="473">
        <v>1.080187618291498</v>
      </c>
      <c r="G205" s="474">
        <v>64.746357933807616</v>
      </c>
      <c r="H205" s="474">
        <v>644.10550511525457</v>
      </c>
    </row>
    <row r="206" spans="1:8" x14ac:dyDescent="0.35">
      <c r="A206" s="472" t="s">
        <v>2464</v>
      </c>
      <c r="B206" s="472" t="s">
        <v>2465</v>
      </c>
      <c r="C206" s="472" t="s">
        <v>2254</v>
      </c>
      <c r="D206" s="472" t="s">
        <v>2456</v>
      </c>
      <c r="E206" s="472" t="str">
        <f t="shared" si="3"/>
        <v>2019Industrial25</v>
      </c>
      <c r="F206" s="473">
        <v>1.1111257735110294</v>
      </c>
      <c r="G206" s="474">
        <v>66.74094646699217</v>
      </c>
      <c r="H206" s="474">
        <v>658.87064370014275</v>
      </c>
    </row>
    <row r="207" spans="1:8" x14ac:dyDescent="0.35">
      <c r="A207" s="472" t="s">
        <v>2464</v>
      </c>
      <c r="B207" s="472" t="s">
        <v>2465</v>
      </c>
      <c r="C207" s="472" t="s">
        <v>2254</v>
      </c>
      <c r="D207" s="472" t="s">
        <v>2457</v>
      </c>
      <c r="E207" s="472" t="str">
        <f t="shared" si="3"/>
        <v>2019Industrial26</v>
      </c>
      <c r="F207" s="473">
        <v>1.1411799814385737</v>
      </c>
      <c r="G207" s="474">
        <v>68.678546756371446</v>
      </c>
      <c r="H207" s="474">
        <v>672.93268044765512</v>
      </c>
    </row>
    <row r="208" spans="1:8" x14ac:dyDescent="0.35">
      <c r="A208" s="472" t="s">
        <v>2464</v>
      </c>
      <c r="B208" s="472" t="s">
        <v>2465</v>
      </c>
      <c r="C208" s="472" t="s">
        <v>2254</v>
      </c>
      <c r="D208" s="472" t="s">
        <v>2458</v>
      </c>
      <c r="E208" s="472" t="str">
        <f t="shared" si="3"/>
        <v>2019Industrial27</v>
      </c>
      <c r="F208" s="473">
        <v>1.1703754977110459</v>
      </c>
      <c r="G208" s="474">
        <v>70.56078703748274</v>
      </c>
      <c r="H208" s="474">
        <v>686.32509639766704</v>
      </c>
    </row>
    <row r="209" spans="1:8" x14ac:dyDescent="0.35">
      <c r="A209" s="472" t="s">
        <v>2464</v>
      </c>
      <c r="B209" s="472" t="s">
        <v>2465</v>
      </c>
      <c r="C209" s="472" t="s">
        <v>2254</v>
      </c>
      <c r="D209" s="472" t="s">
        <v>2459</v>
      </c>
      <c r="E209" s="472" t="str">
        <f t="shared" si="3"/>
        <v>2019Industrial28</v>
      </c>
      <c r="F209" s="473">
        <v>1.1987368563757326</v>
      </c>
      <c r="G209" s="474">
        <v>72.389249024848013</v>
      </c>
      <c r="H209" s="474">
        <v>699.07977825482124</v>
      </c>
    </row>
    <row r="210" spans="1:8" x14ac:dyDescent="0.35">
      <c r="A210" s="472" t="s">
        <v>2464</v>
      </c>
      <c r="B210" s="472" t="s">
        <v>2465</v>
      </c>
      <c r="C210" s="472" t="s">
        <v>2254</v>
      </c>
      <c r="D210" s="472" t="s">
        <v>2460</v>
      </c>
      <c r="E210" s="472" t="str">
        <f t="shared" si="3"/>
        <v>2019Industrial29</v>
      </c>
      <c r="F210" s="473">
        <v>1.226287890507143</v>
      </c>
      <c r="G210" s="474">
        <v>74.165469241145686</v>
      </c>
      <c r="H210" s="474">
        <v>711.22709430925386</v>
      </c>
    </row>
    <row r="211" spans="1:8" x14ac:dyDescent="0.35">
      <c r="A211" s="472" t="s">
        <v>2464</v>
      </c>
      <c r="B211" s="472" t="s">
        <v>2465</v>
      </c>
      <c r="C211" s="472" t="s">
        <v>2254</v>
      </c>
      <c r="D211" s="472" t="s">
        <v>2461</v>
      </c>
      <c r="E211" s="472" t="str">
        <f t="shared" si="3"/>
        <v>2019Industrial30</v>
      </c>
      <c r="F211" s="473">
        <v>1.2530517522347986</v>
      </c>
      <c r="G211" s="474">
        <v>75.8909403084063</v>
      </c>
      <c r="H211" s="474">
        <v>722.79596674204674</v>
      </c>
    </row>
    <row r="212" spans="1:8" x14ac:dyDescent="0.35">
      <c r="A212" s="472" t="s">
        <v>2466</v>
      </c>
      <c r="B212" s="472" t="s">
        <v>2467</v>
      </c>
      <c r="C212" s="472" t="s">
        <v>2254</v>
      </c>
      <c r="D212" s="472" t="s">
        <v>2432</v>
      </c>
      <c r="E212" s="472" t="str">
        <f t="shared" si="3"/>
        <v>2020Industrial1</v>
      </c>
      <c r="F212" s="473">
        <v>5.9496971405441232E-2</v>
      </c>
      <c r="G212" s="474">
        <v>3.1714285714285713</v>
      </c>
      <c r="H212" s="474">
        <v>30</v>
      </c>
    </row>
    <row r="213" spans="1:8" x14ac:dyDescent="0.35">
      <c r="A213" s="472" t="s">
        <v>2466</v>
      </c>
      <c r="B213" s="472" t="s">
        <v>2467</v>
      </c>
      <c r="C213" s="472" t="s">
        <v>2254</v>
      </c>
      <c r="D213" s="472" t="s">
        <v>2433</v>
      </c>
      <c r="E213" s="472" t="str">
        <f t="shared" si="3"/>
        <v>2020Industrial2</v>
      </c>
      <c r="F213" s="473">
        <v>0.12336618224260956</v>
      </c>
      <c r="G213" s="474">
        <v>6.300680272108842</v>
      </c>
      <c r="H213" s="474">
        <v>64.852607709750572</v>
      </c>
    </row>
    <row r="214" spans="1:8" x14ac:dyDescent="0.35">
      <c r="A214" s="472" t="s">
        <v>2466</v>
      </c>
      <c r="B214" s="472" t="s">
        <v>2467</v>
      </c>
      <c r="C214" s="472" t="s">
        <v>2254</v>
      </c>
      <c r="D214" s="472" t="s">
        <v>2434</v>
      </c>
      <c r="E214" s="472" t="str">
        <f t="shared" si="3"/>
        <v>2020Industrial3</v>
      </c>
      <c r="F214" s="473">
        <v>0.18581703844095473</v>
      </c>
      <c r="G214" s="474">
        <v>9.4277723787927847</v>
      </c>
      <c r="H214" s="474">
        <v>108.04448763632438</v>
      </c>
    </row>
    <row r="215" spans="1:8" x14ac:dyDescent="0.35">
      <c r="A215" s="472" t="s">
        <v>2466</v>
      </c>
      <c r="B215" s="472" t="s">
        <v>2467</v>
      </c>
      <c r="C215" s="472" t="s">
        <v>2254</v>
      </c>
      <c r="D215" s="472" t="s">
        <v>2435</v>
      </c>
      <c r="E215" s="472" t="str">
        <f t="shared" si="3"/>
        <v>2020Industrial4</v>
      </c>
      <c r="F215" s="473">
        <v>0.24618464661834022</v>
      </c>
      <c r="G215" s="474">
        <v>12.554041783001935</v>
      </c>
      <c r="H215" s="474">
        <v>149.17961137591845</v>
      </c>
    </row>
    <row r="216" spans="1:8" x14ac:dyDescent="0.35">
      <c r="A216" s="472" t="s">
        <v>2466</v>
      </c>
      <c r="B216" s="472" t="s">
        <v>2467</v>
      </c>
      <c r="C216" s="472" t="s">
        <v>2254</v>
      </c>
      <c r="D216" s="472" t="s">
        <v>2436</v>
      </c>
      <c r="E216" s="472" t="str">
        <f t="shared" si="3"/>
        <v>2020Industrial5</v>
      </c>
      <c r="F216" s="473">
        <v>0.29969529199492001</v>
      </c>
      <c r="G216" s="474">
        <v>15.680311187211089</v>
      </c>
      <c r="H216" s="474">
        <v>188.3559196993414</v>
      </c>
    </row>
    <row r="217" spans="1:8" x14ac:dyDescent="0.35">
      <c r="A217" s="472" t="s">
        <v>2466</v>
      </c>
      <c r="B217" s="472" t="s">
        <v>2467</v>
      </c>
      <c r="C217" s="472" t="s">
        <v>2254</v>
      </c>
      <c r="D217" s="472" t="s">
        <v>2437</v>
      </c>
      <c r="E217" s="472" t="str">
        <f t="shared" si="3"/>
        <v>2020Industrial6</v>
      </c>
      <c r="F217" s="473">
        <v>0.35104132222543294</v>
      </c>
      <c r="G217" s="474">
        <v>18.79949154515219</v>
      </c>
      <c r="H217" s="474">
        <v>225.66668953117278</v>
      </c>
    </row>
    <row r="218" spans="1:8" x14ac:dyDescent="0.35">
      <c r="A218" s="472" t="s">
        <v>2466</v>
      </c>
      <c r="B218" s="472" t="s">
        <v>2467</v>
      </c>
      <c r="C218" s="472" t="s">
        <v>2254</v>
      </c>
      <c r="D218" s="472" t="s">
        <v>2438</v>
      </c>
      <c r="E218" s="472" t="str">
        <f t="shared" si="3"/>
        <v>2020Industrial7</v>
      </c>
      <c r="F218" s="473">
        <v>0.40575258266405312</v>
      </c>
      <c r="G218" s="474">
        <v>21.912275771122122</v>
      </c>
      <c r="H218" s="474">
        <v>261.20075603767884</v>
      </c>
    </row>
    <row r="219" spans="1:8" x14ac:dyDescent="0.35">
      <c r="A219" s="472" t="s">
        <v>2466</v>
      </c>
      <c r="B219" s="472" t="s">
        <v>2467</v>
      </c>
      <c r="C219" s="472" t="s">
        <v>2254</v>
      </c>
      <c r="D219" s="472" t="s">
        <v>2439</v>
      </c>
      <c r="E219" s="472" t="str">
        <f t="shared" si="3"/>
        <v>2020Industrial8</v>
      </c>
      <c r="F219" s="473">
        <v>0.45896836648807959</v>
      </c>
      <c r="G219" s="474">
        <v>25.0162799519881</v>
      </c>
      <c r="H219" s="474">
        <v>295.04272413911315</v>
      </c>
    </row>
    <row r="220" spans="1:8" x14ac:dyDescent="0.35">
      <c r="A220" s="472" t="s">
        <v>2466</v>
      </c>
      <c r="B220" s="472" t="s">
        <v>2467</v>
      </c>
      <c r="C220" s="472" t="s">
        <v>2254</v>
      </c>
      <c r="D220" s="472" t="s">
        <v>2440</v>
      </c>
      <c r="E220" s="472" t="str">
        <f t="shared" si="3"/>
        <v>2020Industrial9</v>
      </c>
      <c r="F220" s="473">
        <v>0.5108149886481681</v>
      </c>
      <c r="G220" s="474">
        <v>28.110200607664673</v>
      </c>
      <c r="H220" s="474">
        <v>327.27316995000302</v>
      </c>
    </row>
    <row r="221" spans="1:8" x14ac:dyDescent="0.35">
      <c r="A221" s="472" t="s">
        <v>2466</v>
      </c>
      <c r="B221" s="472" t="s">
        <v>2467</v>
      </c>
      <c r="C221" s="472" t="s">
        <v>2254</v>
      </c>
      <c r="D221" s="472" t="s">
        <v>2441</v>
      </c>
      <c r="E221" s="472" t="str">
        <f t="shared" si="3"/>
        <v>2020Industrial10</v>
      </c>
      <c r="F221" s="473">
        <v>0.56069463062853786</v>
      </c>
      <c r="G221" s="474">
        <v>31.183274951102984</v>
      </c>
      <c r="H221" s="474">
        <v>357.96883262704102</v>
      </c>
    </row>
    <row r="222" spans="1:8" x14ac:dyDescent="0.35">
      <c r="A222" s="472" t="s">
        <v>2466</v>
      </c>
      <c r="B222" s="472" t="s">
        <v>2467</v>
      </c>
      <c r="C222" s="472" t="s">
        <v>2254</v>
      </c>
      <c r="D222" s="472" t="s">
        <v>2442</v>
      </c>
      <c r="E222" s="472" t="str">
        <f t="shared" si="3"/>
        <v>2020Industrial11</v>
      </c>
      <c r="F222" s="473">
        <v>0.60887763284188656</v>
      </c>
      <c r="G222" s="474">
        <v>34.199242221957078</v>
      </c>
      <c r="H222" s="474">
        <v>387.20279708136286</v>
      </c>
    </row>
    <row r="223" spans="1:8" x14ac:dyDescent="0.35">
      <c r="A223" s="472" t="s">
        <v>2466</v>
      </c>
      <c r="B223" s="472" t="s">
        <v>2467</v>
      </c>
      <c r="C223" s="472" t="s">
        <v>2254</v>
      </c>
      <c r="D223" s="472" t="s">
        <v>2443</v>
      </c>
      <c r="E223" s="472" t="str">
        <f t="shared" si="3"/>
        <v>2020Industrial12</v>
      </c>
      <c r="F223" s="473">
        <v>0.6559739223776262</v>
      </c>
      <c r="G223" s="474">
        <v>37.194814109745373</v>
      </c>
      <c r="H223" s="474">
        <v>415.04466799024078</v>
      </c>
    </row>
    <row r="224" spans="1:8" x14ac:dyDescent="0.35">
      <c r="A224" s="472" t="s">
        <v>2466</v>
      </c>
      <c r="B224" s="472" t="s">
        <v>2467</v>
      </c>
      <c r="C224" s="472" t="s">
        <v>2254</v>
      </c>
      <c r="D224" s="472" t="s">
        <v>2444</v>
      </c>
      <c r="E224" s="472" t="str">
        <f t="shared" si="3"/>
        <v>2020Industrial13</v>
      </c>
      <c r="F224" s="473">
        <v>0.70123685847257011</v>
      </c>
      <c r="G224" s="474">
        <v>40.108440262001473</v>
      </c>
      <c r="H224" s="474">
        <v>441.56073552250552</v>
      </c>
    </row>
    <row r="225" spans="1:8" x14ac:dyDescent="0.35">
      <c r="A225" s="472" t="s">
        <v>2466</v>
      </c>
      <c r="B225" s="472" t="s">
        <v>2467</v>
      </c>
      <c r="C225" s="472" t="s">
        <v>2254</v>
      </c>
      <c r="D225" s="472" t="s">
        <v>2445</v>
      </c>
      <c r="E225" s="472" t="str">
        <f t="shared" si="3"/>
        <v>2020Industrial14</v>
      </c>
      <c r="F225" s="473">
        <v>0.74512026079044824</v>
      </c>
      <c r="G225" s="474">
        <v>42.894884320309885</v>
      </c>
      <c r="H225" s="474">
        <v>466.81413317228152</v>
      </c>
    </row>
    <row r="226" spans="1:8" x14ac:dyDescent="0.35">
      <c r="A226" s="472" t="s">
        <v>2466</v>
      </c>
      <c r="B226" s="472" t="s">
        <v>2467</v>
      </c>
      <c r="C226" s="472" t="s">
        <v>2254</v>
      </c>
      <c r="D226" s="472" t="s">
        <v>2446</v>
      </c>
      <c r="E226" s="472" t="str">
        <f t="shared" si="3"/>
        <v>2020Industrial15</v>
      </c>
      <c r="F226" s="473">
        <v>0.78765287645720594</v>
      </c>
      <c r="G226" s="474">
        <v>45.585345355335988</v>
      </c>
      <c r="H226" s="474">
        <v>490.86498807682995</v>
      </c>
    </row>
    <row r="227" spans="1:8" x14ac:dyDescent="0.35">
      <c r="A227" s="472" t="s">
        <v>2466</v>
      </c>
      <c r="B227" s="472" t="s">
        <v>2467</v>
      </c>
      <c r="C227" s="472" t="s">
        <v>2254</v>
      </c>
      <c r="D227" s="472" t="s">
        <v>2447</v>
      </c>
      <c r="E227" s="472" t="str">
        <f t="shared" si="3"/>
        <v>2020Industrial16</v>
      </c>
      <c r="F227" s="473">
        <v>0.82886384297177551</v>
      </c>
      <c r="G227" s="474">
        <v>48.242072941407365</v>
      </c>
      <c r="H227" s="474">
        <v>513.77056417639994</v>
      </c>
    </row>
    <row r="228" spans="1:8" x14ac:dyDescent="0.35">
      <c r="A228" s="472" t="s">
        <v>2466</v>
      </c>
      <c r="B228" s="472" t="s">
        <v>2467</v>
      </c>
      <c r="C228" s="472" t="s">
        <v>2254</v>
      </c>
      <c r="D228" s="472" t="s">
        <v>2448</v>
      </c>
      <c r="E228" s="472" t="str">
        <f t="shared" si="3"/>
        <v>2020Industrial17</v>
      </c>
      <c r="F228" s="473">
        <v>0.86878258584147028</v>
      </c>
      <c r="G228" s="474">
        <v>50.808911248250759</v>
      </c>
      <c r="H228" s="474">
        <v>535.58539855694278</v>
      </c>
    </row>
    <row r="229" spans="1:8" x14ac:dyDescent="0.35">
      <c r="A229" s="472" t="s">
        <v>2466</v>
      </c>
      <c r="B229" s="472" t="s">
        <v>2467</v>
      </c>
      <c r="C229" s="472" t="s">
        <v>2254</v>
      </c>
      <c r="D229" s="472" t="s">
        <v>2449</v>
      </c>
      <c r="E229" s="472" t="str">
        <f t="shared" si="3"/>
        <v>2020Industrial18</v>
      </c>
      <c r="F229" s="473">
        <v>0.90743872508118861</v>
      </c>
      <c r="G229" s="474">
        <v>53.301079624730178</v>
      </c>
      <c r="H229" s="474">
        <v>556.36143130031689</v>
      </c>
    </row>
    <row r="230" spans="1:8" x14ac:dyDescent="0.35">
      <c r="A230" s="472" t="s">
        <v>2466</v>
      </c>
      <c r="B230" s="472" t="s">
        <v>2467</v>
      </c>
      <c r="C230" s="472" t="s">
        <v>2254</v>
      </c>
      <c r="D230" s="472" t="s">
        <v>2450</v>
      </c>
      <c r="E230" s="472" t="str">
        <f t="shared" si="3"/>
        <v>2020Industrial19</v>
      </c>
      <c r="F230" s="473">
        <v>0.94499040319977212</v>
      </c>
      <c r="G230" s="474">
        <v>55.722043190453036</v>
      </c>
      <c r="H230" s="474">
        <v>576.14812915114942</v>
      </c>
    </row>
    <row r="231" spans="1:8" x14ac:dyDescent="0.35">
      <c r="A231" s="472" t="s">
        <v>2466</v>
      </c>
      <c r="B231" s="472" t="s">
        <v>2467</v>
      </c>
      <c r="C231" s="472" t="s">
        <v>2254</v>
      </c>
      <c r="D231" s="472" t="s">
        <v>2451</v>
      </c>
      <c r="E231" s="472" t="str">
        <f t="shared" si="3"/>
        <v>2020Industrial20</v>
      </c>
      <c r="F231" s="473">
        <v>0.98146917622925312</v>
      </c>
      <c r="G231" s="474">
        <v>58.073836368583819</v>
      </c>
      <c r="H231" s="474">
        <v>594.99260329479944</v>
      </c>
    </row>
    <row r="232" spans="1:8" x14ac:dyDescent="0.35">
      <c r="A232" s="472" t="s">
        <v>2466</v>
      </c>
      <c r="B232" s="472" t="s">
        <v>2467</v>
      </c>
      <c r="C232" s="472" t="s">
        <v>2254</v>
      </c>
      <c r="D232" s="472" t="s">
        <v>2452</v>
      </c>
      <c r="E232" s="472" t="str">
        <f t="shared" si="3"/>
        <v>2020Industrial21</v>
      </c>
      <c r="F232" s="473">
        <v>1.016905698600749</v>
      </c>
      <c r="G232" s="474">
        <v>60.358435455910865</v>
      </c>
      <c r="H232" s="474">
        <v>612.93972152684705</v>
      </c>
    </row>
    <row r="233" spans="1:8" x14ac:dyDescent="0.35">
      <c r="A233" s="472" t="s">
        <v>2466</v>
      </c>
      <c r="B233" s="472" t="s">
        <v>2467</v>
      </c>
      <c r="C233" s="472" t="s">
        <v>2254</v>
      </c>
      <c r="D233" s="472" t="s">
        <v>2453</v>
      </c>
      <c r="E233" s="472" t="str">
        <f t="shared" si="3"/>
        <v>2020Industrial22</v>
      </c>
      <c r="F233" s="473">
        <v>1.0513297489044879</v>
      </c>
      <c r="G233" s="474">
        <v>62.577760283599993</v>
      </c>
      <c r="H233" s="474">
        <v>630.03221508117815</v>
      </c>
    </row>
    <row r="234" spans="1:8" x14ac:dyDescent="0.35">
      <c r="A234" s="472" t="s">
        <v>2466</v>
      </c>
      <c r="B234" s="472" t="s">
        <v>2467</v>
      </c>
      <c r="C234" s="472" t="s">
        <v>2254</v>
      </c>
      <c r="D234" s="472" t="s">
        <v>2454</v>
      </c>
      <c r="E234" s="472" t="str">
        <f t="shared" si="3"/>
        <v>2020Industrial23</v>
      </c>
      <c r="F234" s="473">
        <v>1.0847702549138343</v>
      </c>
      <c r="G234" s="474">
        <v>64.733675830498001</v>
      </c>
      <c r="H234" s="474">
        <v>646.31078037101724</v>
      </c>
    </row>
    <row r="235" spans="1:8" x14ac:dyDescent="0.35">
      <c r="A235" s="472" t="s">
        <v>2466</v>
      </c>
      <c r="B235" s="472" t="s">
        <v>2467</v>
      </c>
      <c r="C235" s="472" t="s">
        <v>2254</v>
      </c>
      <c r="D235" s="472" t="s">
        <v>2455</v>
      </c>
      <c r="E235" s="472" t="str">
        <f t="shared" si="3"/>
        <v>2020Industrial24</v>
      </c>
      <c r="F235" s="473">
        <v>1.1172553178943421</v>
      </c>
      <c r="G235" s="474">
        <v>66.827993790341779</v>
      </c>
      <c r="H235" s="474">
        <v>661.81417588514978</v>
      </c>
    </row>
    <row r="236" spans="1:8" x14ac:dyDescent="0.35">
      <c r="A236" s="472" t="s">
        <v>2466</v>
      </c>
      <c r="B236" s="472" t="s">
        <v>2467</v>
      </c>
      <c r="C236" s="472" t="s">
        <v>2254</v>
      </c>
      <c r="D236" s="472" t="s">
        <v>2456</v>
      </c>
      <c r="E236" s="472" t="str">
        <f t="shared" si="3"/>
        <v>2020Industrial25</v>
      </c>
      <c r="F236" s="473">
        <v>1.1488122362182638</v>
      </c>
      <c r="G236" s="474">
        <v>68.86247409419002</v>
      </c>
      <c r="H236" s="474">
        <v>676.57931447003784</v>
      </c>
    </row>
    <row r="237" spans="1:8" x14ac:dyDescent="0.35">
      <c r="A237" s="472" t="s">
        <v>2466</v>
      </c>
      <c r="B237" s="472" t="s">
        <v>2467</v>
      </c>
      <c r="C237" s="472" t="s">
        <v>2254</v>
      </c>
      <c r="D237" s="472" t="s">
        <v>2457</v>
      </c>
      <c r="E237" s="472" t="str">
        <f t="shared" si="3"/>
        <v>2020Industrial26</v>
      </c>
      <c r="F237" s="473">
        <v>1.1794675283043594</v>
      </c>
      <c r="G237" s="474">
        <v>70.838826389356882</v>
      </c>
      <c r="H237" s="474">
        <v>690.64135121755032</v>
      </c>
    </row>
    <row r="238" spans="1:8" x14ac:dyDescent="0.35">
      <c r="A238" s="472" t="s">
        <v>2466</v>
      </c>
      <c r="B238" s="472" t="s">
        <v>2467</v>
      </c>
      <c r="C238" s="472" t="s">
        <v>2254</v>
      </c>
      <c r="D238" s="472" t="s">
        <v>2458</v>
      </c>
      <c r="E238" s="472" t="str">
        <f t="shared" si="3"/>
        <v>2020Industrial27</v>
      </c>
      <c r="F238" s="473">
        <v>1.2092469549022806</v>
      </c>
      <c r="G238" s="474">
        <v>72.758711476090411</v>
      </c>
      <c r="H238" s="474">
        <v>704.03376716756213</v>
      </c>
    </row>
    <row r="239" spans="1:8" x14ac:dyDescent="0.35">
      <c r="A239" s="472" t="s">
        <v>2466</v>
      </c>
      <c r="B239" s="472" t="s">
        <v>2467</v>
      </c>
      <c r="C239" s="472" t="s">
        <v>2254</v>
      </c>
      <c r="D239" s="472" t="s">
        <v>2459</v>
      </c>
      <c r="E239" s="472" t="str">
        <f t="shared" si="3"/>
        <v>2020Industrial28</v>
      </c>
      <c r="F239" s="473">
        <v>1.2381755407402615</v>
      </c>
      <c r="G239" s="474">
        <v>74.623742703202979</v>
      </c>
      <c r="H239" s="474">
        <v>716.78844902471644</v>
      </c>
    </row>
    <row r="240" spans="1:8" x14ac:dyDescent="0.35">
      <c r="A240" s="472" t="s">
        <v>2466</v>
      </c>
      <c r="B240" s="472" t="s">
        <v>2467</v>
      </c>
      <c r="C240" s="472" t="s">
        <v>2254</v>
      </c>
      <c r="D240" s="472" t="s">
        <v>2460</v>
      </c>
      <c r="E240" s="472" t="str">
        <f t="shared" si="3"/>
        <v>2020Industrial29</v>
      </c>
      <c r="F240" s="473">
        <v>1.2662775955542998</v>
      </c>
      <c r="G240" s="474">
        <v>76.435487323826621</v>
      </c>
      <c r="H240" s="474">
        <v>728.93576507914895</v>
      </c>
    </row>
    <row r="241" spans="1:8" x14ac:dyDescent="0.35">
      <c r="A241" s="472" t="s">
        <v>2466</v>
      </c>
      <c r="B241" s="472" t="s">
        <v>2467</v>
      </c>
      <c r="C241" s="472" t="s">
        <v>2254</v>
      </c>
      <c r="D241" s="472" t="s">
        <v>2461</v>
      </c>
      <c r="E241" s="472" t="str">
        <f t="shared" si="3"/>
        <v>2020Industrial30</v>
      </c>
      <c r="F241" s="473">
        <v>1.2935767345165086</v>
      </c>
      <c r="G241" s="474">
        <v>78.19546781243244</v>
      </c>
      <c r="H241" s="474">
        <v>740.50463751194184</v>
      </c>
    </row>
    <row r="242" spans="1:8" x14ac:dyDescent="0.35">
      <c r="A242" s="472" t="s">
        <v>2430</v>
      </c>
      <c r="B242" s="472" t="s">
        <v>2431</v>
      </c>
      <c r="C242" s="472" t="s">
        <v>347</v>
      </c>
      <c r="D242" s="472" t="s">
        <v>2432</v>
      </c>
      <c r="E242" s="472" t="str">
        <f t="shared" si="3"/>
        <v>2017Residential1</v>
      </c>
      <c r="F242" s="473">
        <v>6.5881172601044563E-2</v>
      </c>
      <c r="G242" s="474">
        <v>3.92192652711408</v>
      </c>
      <c r="H242" s="474">
        <v>20</v>
      </c>
    </row>
    <row r="243" spans="1:8" x14ac:dyDescent="0.35">
      <c r="A243" s="472" t="s">
        <v>2430</v>
      </c>
      <c r="B243" s="472" t="s">
        <v>2431</v>
      </c>
      <c r="C243" s="472" t="s">
        <v>347</v>
      </c>
      <c r="D243" s="472" t="s">
        <v>2433</v>
      </c>
      <c r="E243" s="472" t="str">
        <f t="shared" si="3"/>
        <v>2017Residential2</v>
      </c>
      <c r="F243" s="473">
        <v>0.12250013953028693</v>
      </c>
      <c r="G243" s="474">
        <v>7.2924710935001036</v>
      </c>
      <c r="H243" s="474">
        <v>46.258503401360542</v>
      </c>
    </row>
    <row r="244" spans="1:8" x14ac:dyDescent="0.35">
      <c r="A244" s="472" t="s">
        <v>2430</v>
      </c>
      <c r="B244" s="472" t="s">
        <v>2431</v>
      </c>
      <c r="C244" s="472" t="s">
        <v>347</v>
      </c>
      <c r="D244" s="472" t="s">
        <v>2434</v>
      </c>
      <c r="E244" s="472" t="str">
        <f t="shared" si="3"/>
        <v>2017Residential3</v>
      </c>
      <c r="F244" s="473">
        <v>0.17640446968323603</v>
      </c>
      <c r="G244" s="474">
        <v>10.680378686299223</v>
      </c>
      <c r="H244" s="474">
        <v>72.173631357304814</v>
      </c>
    </row>
    <row r="245" spans="1:8" x14ac:dyDescent="0.35">
      <c r="A245" s="472" t="s">
        <v>2430</v>
      </c>
      <c r="B245" s="472" t="s">
        <v>2431</v>
      </c>
      <c r="C245" s="472" t="s">
        <v>347</v>
      </c>
      <c r="D245" s="472" t="s">
        <v>2435</v>
      </c>
      <c r="E245" s="472" t="str">
        <f t="shared" si="3"/>
        <v>2017Residential4</v>
      </c>
      <c r="F245" s="473">
        <v>0.24129129230657193</v>
      </c>
      <c r="G245" s="474">
        <v>13.986380820810888</v>
      </c>
      <c r="H245" s="474">
        <v>96.854705601061283</v>
      </c>
    </row>
    <row r="246" spans="1:8" x14ac:dyDescent="0.35">
      <c r="A246" s="472" t="s">
        <v>2430</v>
      </c>
      <c r="B246" s="472" t="s">
        <v>2431</v>
      </c>
      <c r="C246" s="472" t="s">
        <v>347</v>
      </c>
      <c r="D246" s="472" t="s">
        <v>2436</v>
      </c>
      <c r="E246" s="472" t="str">
        <f t="shared" si="3"/>
        <v>2017Residential5</v>
      </c>
      <c r="F246" s="473">
        <v>0.31094643704398578</v>
      </c>
      <c r="G246" s="474">
        <v>17.248416388969115</v>
      </c>
      <c r="H246" s="474">
        <v>128.19575225979963</v>
      </c>
    </row>
    <row r="247" spans="1:8" x14ac:dyDescent="0.35">
      <c r="A247" s="472" t="s">
        <v>2430</v>
      </c>
      <c r="B247" s="472" t="s">
        <v>2431</v>
      </c>
      <c r="C247" s="472" t="s">
        <v>347</v>
      </c>
      <c r="D247" s="472" t="s">
        <v>2437</v>
      </c>
      <c r="E247" s="472" t="str">
        <f t="shared" si="3"/>
        <v>2017Residential6</v>
      </c>
      <c r="F247" s="473">
        <v>0.37905473790527783</v>
      </c>
      <c r="G247" s="474">
        <v>20.508200724851182</v>
      </c>
      <c r="H247" s="474">
        <v>165.50652209163101</v>
      </c>
    </row>
    <row r="248" spans="1:8" x14ac:dyDescent="0.35">
      <c r="A248" s="472" t="s">
        <v>2430</v>
      </c>
      <c r="B248" s="472" t="s">
        <v>2431</v>
      </c>
      <c r="C248" s="472" t="s">
        <v>347</v>
      </c>
      <c r="D248" s="472" t="s">
        <v>2438</v>
      </c>
      <c r="E248" s="472" t="str">
        <f t="shared" si="3"/>
        <v>2017Residential7</v>
      </c>
      <c r="F248" s="473">
        <v>0.4448910685868564</v>
      </c>
      <c r="G248" s="474">
        <v>23.76712744843757</v>
      </c>
      <c r="H248" s="474">
        <v>201.04058859813708</v>
      </c>
    </row>
    <row r="249" spans="1:8" x14ac:dyDescent="0.35">
      <c r="A249" s="472" t="s">
        <v>2430</v>
      </c>
      <c r="B249" s="472" t="s">
        <v>2431</v>
      </c>
      <c r="C249" s="472" t="s">
        <v>347</v>
      </c>
      <c r="D249" s="472" t="s">
        <v>2439</v>
      </c>
      <c r="E249" s="472" t="str">
        <f t="shared" si="3"/>
        <v>2017Residential8</v>
      </c>
      <c r="F249" s="473">
        <v>0.50324926183587981</v>
      </c>
      <c r="G249" s="474">
        <v>27.026054172023954</v>
      </c>
      <c r="H249" s="474">
        <v>234.88255669957144</v>
      </c>
    </row>
    <row r="250" spans="1:8" x14ac:dyDescent="0.35">
      <c r="A250" s="472" t="s">
        <v>2430</v>
      </c>
      <c r="B250" s="472" t="s">
        <v>2431</v>
      </c>
      <c r="C250" s="472" t="s">
        <v>347</v>
      </c>
      <c r="D250" s="472" t="s">
        <v>2440</v>
      </c>
      <c r="E250" s="472" t="str">
        <f t="shared" si="3"/>
        <v>2017Residential9</v>
      </c>
      <c r="F250" s="473">
        <v>0.55924674670407659</v>
      </c>
      <c r="G250" s="474">
        <v>30.277591039094272</v>
      </c>
      <c r="H250" s="474">
        <v>267.11300251046129</v>
      </c>
    </row>
    <row r="251" spans="1:8" x14ac:dyDescent="0.35">
      <c r="A251" s="472" t="s">
        <v>2430</v>
      </c>
      <c r="B251" s="472" t="s">
        <v>2431</v>
      </c>
      <c r="C251" s="472" t="s">
        <v>347</v>
      </c>
      <c r="D251" s="472" t="s">
        <v>2441</v>
      </c>
      <c r="E251" s="472" t="str">
        <f t="shared" si="3"/>
        <v>2017Residential10</v>
      </c>
      <c r="F251" s="473">
        <v>0.61891431914886863</v>
      </c>
      <c r="G251" s="474">
        <v>33.522460366450844</v>
      </c>
      <c r="H251" s="474">
        <v>297.80866518749929</v>
      </c>
    </row>
    <row r="252" spans="1:8" x14ac:dyDescent="0.35">
      <c r="A252" s="472" t="s">
        <v>2430</v>
      </c>
      <c r="B252" s="472" t="s">
        <v>2431</v>
      </c>
      <c r="C252" s="472" t="s">
        <v>347</v>
      </c>
      <c r="D252" s="472" t="s">
        <v>2442</v>
      </c>
      <c r="E252" s="472" t="str">
        <f t="shared" si="3"/>
        <v>2017Residential11</v>
      </c>
      <c r="F252" s="473">
        <v>0.6769509392353088</v>
      </c>
      <c r="G252" s="474">
        <v>36.758177084123481</v>
      </c>
      <c r="H252" s="474">
        <v>327.04262964182112</v>
      </c>
    </row>
    <row r="253" spans="1:8" x14ac:dyDescent="0.35">
      <c r="A253" s="472" t="s">
        <v>2430</v>
      </c>
      <c r="B253" s="472" t="s">
        <v>2431</v>
      </c>
      <c r="C253" s="472" t="s">
        <v>347</v>
      </c>
      <c r="D253" s="472" t="s">
        <v>2443</v>
      </c>
      <c r="E253" s="472" t="str">
        <f t="shared" si="3"/>
        <v>2017Residential12</v>
      </c>
      <c r="F253" s="473">
        <v>0.73349436482912145</v>
      </c>
      <c r="G253" s="474">
        <v>39.983382401318778</v>
      </c>
      <c r="H253" s="474">
        <v>354.88450055069904</v>
      </c>
    </row>
    <row r="254" spans="1:8" x14ac:dyDescent="0.35">
      <c r="A254" s="472" t="s">
        <v>2430</v>
      </c>
      <c r="B254" s="472" t="s">
        <v>2431</v>
      </c>
      <c r="C254" s="472" t="s">
        <v>347</v>
      </c>
      <c r="D254" s="472" t="s">
        <v>2444</v>
      </c>
      <c r="E254" s="472" t="str">
        <f t="shared" si="3"/>
        <v>2017Residential13</v>
      </c>
      <c r="F254" s="473">
        <v>0.78789262082841294</v>
      </c>
      <c r="G254" s="474">
        <v>43.186856832509804</v>
      </c>
      <c r="H254" s="474">
        <v>381.40056808296379</v>
      </c>
    </row>
    <row r="255" spans="1:8" x14ac:dyDescent="0.35">
      <c r="A255" s="472" t="s">
        <v>2430</v>
      </c>
      <c r="B255" s="472" t="s">
        <v>2431</v>
      </c>
      <c r="C255" s="472" t="s">
        <v>347</v>
      </c>
      <c r="D255" s="472" t="s">
        <v>2445</v>
      </c>
      <c r="E255" s="472" t="str">
        <f t="shared" si="3"/>
        <v>2017Residential14</v>
      </c>
      <c r="F255" s="473">
        <v>0.84044053787737083</v>
      </c>
      <c r="G255" s="474">
        <v>46.330800960682183</v>
      </c>
      <c r="H255" s="474">
        <v>406.65396573273972</v>
      </c>
    </row>
    <row r="256" spans="1:8" x14ac:dyDescent="0.35">
      <c r="A256" s="472" t="s">
        <v>2430</v>
      </c>
      <c r="B256" s="472" t="s">
        <v>2431</v>
      </c>
      <c r="C256" s="472" t="s">
        <v>347</v>
      </c>
      <c r="D256" s="472" t="s">
        <v>2446</v>
      </c>
      <c r="E256" s="472" t="str">
        <f t="shared" si="3"/>
        <v>2017Residential15</v>
      </c>
      <c r="F256" s="473">
        <v>0.89180329657139246</v>
      </c>
      <c r="G256" s="474">
        <v>49.4534842663479</v>
      </c>
      <c r="H256" s="474">
        <v>430.70482063728826</v>
      </c>
    </row>
    <row r="257" spans="1:8" x14ac:dyDescent="0.35">
      <c r="A257" s="472" t="s">
        <v>2430</v>
      </c>
      <c r="B257" s="472" t="s">
        <v>2431</v>
      </c>
      <c r="C257" s="472" t="s">
        <v>347</v>
      </c>
      <c r="D257" s="472" t="s">
        <v>2447</v>
      </c>
      <c r="E257" s="472" t="str">
        <f t="shared" si="3"/>
        <v>2017Residential16</v>
      </c>
      <c r="F257" s="473">
        <v>0.94116661770231325</v>
      </c>
      <c r="G257" s="474">
        <v>52.490744624442215</v>
      </c>
      <c r="H257" s="474">
        <v>453.61039673685826</v>
      </c>
    </row>
    <row r="258" spans="1:8" x14ac:dyDescent="0.35">
      <c r="A258" s="472" t="s">
        <v>2430</v>
      </c>
      <c r="B258" s="472" t="s">
        <v>2431</v>
      </c>
      <c r="C258" s="472" t="s">
        <v>347</v>
      </c>
      <c r="D258" s="472" t="s">
        <v>2448</v>
      </c>
      <c r="E258" s="472" t="str">
        <f t="shared" si="3"/>
        <v>2017Residential17</v>
      </c>
      <c r="F258" s="473">
        <v>0.98902543261416309</v>
      </c>
      <c r="G258" s="474">
        <v>55.395426157381614</v>
      </c>
      <c r="H258" s="474">
        <v>475.4252311174011</v>
      </c>
    </row>
    <row r="259" spans="1:8" x14ac:dyDescent="0.35">
      <c r="A259" s="472" t="s">
        <v>2430</v>
      </c>
      <c r="B259" s="472" t="s">
        <v>2431</v>
      </c>
      <c r="C259" s="472" t="s">
        <v>347</v>
      </c>
      <c r="D259" s="472" t="s">
        <v>2449</v>
      </c>
      <c r="E259" s="472" t="str">
        <f t="shared" ref="E259:E322" si="4">A259&amp;C259&amp;D259</f>
        <v>2017Residential18</v>
      </c>
      <c r="F259" s="473">
        <v>1.0354110926449698</v>
      </c>
      <c r="G259" s="474">
        <v>58.200051809287807</v>
      </c>
      <c r="H259" s="474">
        <v>496.20126386077527</v>
      </c>
    </row>
    <row r="260" spans="1:8" x14ac:dyDescent="0.35">
      <c r="A260" s="472" t="s">
        <v>2430</v>
      </c>
      <c r="B260" s="472" t="s">
        <v>2431</v>
      </c>
      <c r="C260" s="472" t="s">
        <v>347</v>
      </c>
      <c r="D260" s="472" t="s">
        <v>2450</v>
      </c>
      <c r="E260" s="472" t="str">
        <f t="shared" si="4"/>
        <v>2017Residential19</v>
      </c>
      <c r="F260" s="473">
        <v>1.0803553748697712</v>
      </c>
      <c r="G260" s="474">
        <v>60.969512597241682</v>
      </c>
      <c r="H260" s="474">
        <v>515.9879617116078</v>
      </c>
    </row>
    <row r="261" spans="1:8" x14ac:dyDescent="0.35">
      <c r="A261" s="472" t="s">
        <v>2430</v>
      </c>
      <c r="B261" s="472" t="s">
        <v>2431</v>
      </c>
      <c r="C261" s="472" t="s">
        <v>347</v>
      </c>
      <c r="D261" s="472" t="s">
        <v>2451</v>
      </c>
      <c r="E261" s="472" t="str">
        <f t="shared" si="4"/>
        <v>2017Residential20</v>
      </c>
      <c r="F261" s="473">
        <v>1.1238903704627663</v>
      </c>
      <c r="G261" s="474">
        <v>63.645269824700875</v>
      </c>
      <c r="H261" s="474">
        <v>534.83243585525781</v>
      </c>
    </row>
    <row r="262" spans="1:8" x14ac:dyDescent="0.35">
      <c r="A262" s="472" t="s">
        <v>2430</v>
      </c>
      <c r="B262" s="472" t="s">
        <v>2431</v>
      </c>
      <c r="C262" s="472" t="s">
        <v>347</v>
      </c>
      <c r="D262" s="472" t="s">
        <v>2452</v>
      </c>
      <c r="E262" s="472" t="str">
        <f t="shared" si="4"/>
        <v>2017Residential21</v>
      </c>
      <c r="F262" s="473">
        <v>1.1660483827262473</v>
      </c>
      <c r="G262" s="474">
        <v>66.243188644765027</v>
      </c>
      <c r="H262" s="474">
        <v>552.77955408730543</v>
      </c>
    </row>
    <row r="263" spans="1:8" x14ac:dyDescent="0.35">
      <c r="A263" s="472" t="s">
        <v>2430</v>
      </c>
      <c r="B263" s="472" t="s">
        <v>2431</v>
      </c>
      <c r="C263" s="472" t="s">
        <v>347</v>
      </c>
      <c r="D263" s="472" t="s">
        <v>2453</v>
      </c>
      <c r="E263" s="472" t="str">
        <f t="shared" si="4"/>
        <v>2017Residential22</v>
      </c>
      <c r="F263" s="473">
        <v>1.2070018803536289</v>
      </c>
      <c r="G263" s="474">
        <v>68.766881212827343</v>
      </c>
      <c r="H263" s="474">
        <v>569.87204764163653</v>
      </c>
    </row>
    <row r="264" spans="1:8" x14ac:dyDescent="0.35">
      <c r="A264" s="472" t="s">
        <v>2430</v>
      </c>
      <c r="B264" s="472" t="s">
        <v>2431</v>
      </c>
      <c r="C264" s="472" t="s">
        <v>347</v>
      </c>
      <c r="D264" s="472" t="s">
        <v>2454</v>
      </c>
      <c r="E264" s="472" t="str">
        <f t="shared" si="4"/>
        <v>2017Residential23</v>
      </c>
      <c r="F264" s="473">
        <v>1.2467852780487998</v>
      </c>
      <c r="G264" s="474">
        <v>71.218468278945025</v>
      </c>
      <c r="H264" s="474">
        <v>586.15061293147562</v>
      </c>
    </row>
    <row r="265" spans="1:8" x14ac:dyDescent="0.35">
      <c r="A265" s="472" t="s">
        <v>2430</v>
      </c>
      <c r="B265" s="472" t="s">
        <v>2431</v>
      </c>
      <c r="C265" s="472" t="s">
        <v>347</v>
      </c>
      <c r="D265" s="472" t="s">
        <v>2455</v>
      </c>
      <c r="E265" s="472" t="str">
        <f t="shared" si="4"/>
        <v>2017Residential24</v>
      </c>
      <c r="F265" s="473">
        <v>1.285432007238394</v>
      </c>
      <c r="G265" s="474">
        <v>73.600010000316487</v>
      </c>
      <c r="H265" s="474">
        <v>601.65400844560804</v>
      </c>
    </row>
    <row r="266" spans="1:8" x14ac:dyDescent="0.35">
      <c r="A266" s="472" t="s">
        <v>2430</v>
      </c>
      <c r="B266" s="472" t="s">
        <v>2431</v>
      </c>
      <c r="C266" s="472" t="s">
        <v>347</v>
      </c>
      <c r="D266" s="472" t="s">
        <v>2456</v>
      </c>
      <c r="E266" s="472" t="str">
        <f t="shared" si="4"/>
        <v>2017Residential25</v>
      </c>
      <c r="F266" s="473">
        <v>1.3229745441654284</v>
      </c>
      <c r="G266" s="474">
        <v>75.913507672505901</v>
      </c>
      <c r="H266" s="474">
        <v>616.41914703049622</v>
      </c>
    </row>
    <row r="267" spans="1:8" x14ac:dyDescent="0.35">
      <c r="A267" s="472" t="s">
        <v>2430</v>
      </c>
      <c r="B267" s="472" t="s">
        <v>2431</v>
      </c>
      <c r="C267" s="472" t="s">
        <v>347</v>
      </c>
      <c r="D267" s="472" t="s">
        <v>2457</v>
      </c>
      <c r="E267" s="472" t="str">
        <f t="shared" si="4"/>
        <v>2017Residential26</v>
      </c>
      <c r="F267" s="473">
        <v>1.3594444371802619</v>
      </c>
      <c r="G267" s="474">
        <v>78.160905411204197</v>
      </c>
      <c r="H267" s="474">
        <v>630.4811837780087</v>
      </c>
    </row>
    <row r="268" spans="1:8" x14ac:dyDescent="0.35">
      <c r="A268" s="472" t="s">
        <v>2430</v>
      </c>
      <c r="B268" s="472" t="s">
        <v>2431</v>
      </c>
      <c r="C268" s="472" t="s">
        <v>347</v>
      </c>
      <c r="D268" s="472" t="s">
        <v>2458</v>
      </c>
      <c r="E268" s="472" t="str">
        <f t="shared" si="4"/>
        <v>2017Residential27</v>
      </c>
      <c r="F268" s="473">
        <v>1.3948723332518143</v>
      </c>
      <c r="G268" s="474">
        <v>80.344091785939682</v>
      </c>
      <c r="H268" s="474">
        <v>643.87359972802051</v>
      </c>
    </row>
    <row r="269" spans="1:8" x14ac:dyDescent="0.35">
      <c r="A269" s="472" t="s">
        <v>2430</v>
      </c>
      <c r="B269" s="472" t="s">
        <v>2431</v>
      </c>
      <c r="C269" s="472" t="s">
        <v>347</v>
      </c>
      <c r="D269" s="472" t="s">
        <v>2459</v>
      </c>
      <c r="E269" s="472" t="str">
        <f t="shared" si="4"/>
        <v>2017Residential28</v>
      </c>
      <c r="F269" s="473">
        <v>1.4292880037213225</v>
      </c>
      <c r="G269" s="474">
        <v>82.464901407111284</v>
      </c>
      <c r="H269" s="474">
        <v>656.6282815851747</v>
      </c>
    </row>
    <row r="270" spans="1:8" x14ac:dyDescent="0.35">
      <c r="A270" s="472" t="s">
        <v>2430</v>
      </c>
      <c r="B270" s="472" t="s">
        <v>2431</v>
      </c>
      <c r="C270" s="472" t="s">
        <v>347</v>
      </c>
      <c r="D270" s="472" t="s">
        <v>2460</v>
      </c>
      <c r="E270" s="472" t="str">
        <f t="shared" si="4"/>
        <v>2017Residential29</v>
      </c>
      <c r="F270" s="473">
        <v>1.4627203693202733</v>
      </c>
      <c r="G270" s="474">
        <v>84.525116467677989</v>
      </c>
      <c r="H270" s="474">
        <v>668.77559763960733</v>
      </c>
    </row>
    <row r="271" spans="1:8" x14ac:dyDescent="0.35">
      <c r="A271" s="472" t="s">
        <v>2430</v>
      </c>
      <c r="B271" s="472" t="s">
        <v>2431</v>
      </c>
      <c r="C271" s="472" t="s">
        <v>347</v>
      </c>
      <c r="D271" s="472" t="s">
        <v>2461</v>
      </c>
      <c r="E271" s="472" t="str">
        <f t="shared" si="4"/>
        <v>2017Residential30</v>
      </c>
      <c r="F271" s="473">
        <v>1.4951975244735398</v>
      </c>
      <c r="G271" s="474">
        <v>86.526468240799943</v>
      </c>
      <c r="H271" s="474">
        <v>680.34447007240021</v>
      </c>
    </row>
    <row r="272" spans="1:8" x14ac:dyDescent="0.35">
      <c r="A272" s="472" t="s">
        <v>2462</v>
      </c>
      <c r="B272" s="472" t="s">
        <v>2463</v>
      </c>
      <c r="C272" s="472" t="s">
        <v>347</v>
      </c>
      <c r="D272" s="472" t="s">
        <v>2432</v>
      </c>
      <c r="E272" s="472" t="str">
        <f t="shared" si="4"/>
        <v>2018Residential1</v>
      </c>
      <c r="F272" s="473">
        <v>6.5881172601044563E-2</v>
      </c>
      <c r="G272" s="474">
        <v>3.92192652711408</v>
      </c>
      <c r="H272" s="474">
        <v>30</v>
      </c>
    </row>
    <row r="273" spans="1:8" x14ac:dyDescent="0.35">
      <c r="A273" s="472" t="s">
        <v>2462</v>
      </c>
      <c r="B273" s="472" t="s">
        <v>2463</v>
      </c>
      <c r="C273" s="472" t="s">
        <v>347</v>
      </c>
      <c r="D273" s="472" t="s">
        <v>2433</v>
      </c>
      <c r="E273" s="472" t="str">
        <f t="shared" si="4"/>
        <v>2018Residential2</v>
      </c>
      <c r="F273" s="473">
        <v>0.11934352056635328</v>
      </c>
      <c r="G273" s="474">
        <v>7.2924710935001036</v>
      </c>
      <c r="H273" s="474">
        <v>55.782312925170061</v>
      </c>
    </row>
    <row r="274" spans="1:8" x14ac:dyDescent="0.35">
      <c r="A274" s="472" t="s">
        <v>2462</v>
      </c>
      <c r="B274" s="472" t="s">
        <v>2463</v>
      </c>
      <c r="C274" s="472" t="s">
        <v>347</v>
      </c>
      <c r="D274" s="472" t="s">
        <v>2434</v>
      </c>
      <c r="E274" s="472" t="str">
        <f t="shared" si="4"/>
        <v>2018Residential3</v>
      </c>
      <c r="F274" s="473">
        <v>0.18747468432085596</v>
      </c>
      <c r="G274" s="474">
        <v>10.763773334737351</v>
      </c>
      <c r="H274" s="474">
        <v>81.697440881114346</v>
      </c>
    </row>
    <row r="275" spans="1:8" x14ac:dyDescent="0.35">
      <c r="A275" s="472" t="s">
        <v>2462</v>
      </c>
      <c r="B275" s="472" t="s">
        <v>2463</v>
      </c>
      <c r="C275" s="472" t="s">
        <v>347</v>
      </c>
      <c r="D275" s="472" t="s">
        <v>2435</v>
      </c>
      <c r="E275" s="472" t="str">
        <f t="shared" si="4"/>
        <v>2018Residential4</v>
      </c>
      <c r="F275" s="473">
        <v>0.2606125862951405</v>
      </c>
      <c r="G275" s="474">
        <v>14.188910681303492</v>
      </c>
      <c r="H275" s="474">
        <v>114.60553987278961</v>
      </c>
    </row>
    <row r="276" spans="1:8" x14ac:dyDescent="0.35">
      <c r="A276" s="472" t="s">
        <v>2462</v>
      </c>
      <c r="B276" s="472" t="s">
        <v>2463</v>
      </c>
      <c r="C276" s="472" t="s">
        <v>347</v>
      </c>
      <c r="D276" s="472" t="s">
        <v>2436</v>
      </c>
      <c r="E276" s="472" t="str">
        <f t="shared" si="4"/>
        <v>2018Residential5</v>
      </c>
      <c r="F276" s="473">
        <v>0.33212630219949713</v>
      </c>
      <c r="G276" s="474">
        <v>17.611684233979663</v>
      </c>
      <c r="H276" s="474">
        <v>153.78184819621256</v>
      </c>
    </row>
    <row r="277" spans="1:8" x14ac:dyDescent="0.35">
      <c r="A277" s="472" t="s">
        <v>2462</v>
      </c>
      <c r="B277" s="472" t="s">
        <v>2463</v>
      </c>
      <c r="C277" s="472" t="s">
        <v>347</v>
      </c>
      <c r="D277" s="472" t="s">
        <v>2437</v>
      </c>
      <c r="E277" s="472" t="str">
        <f t="shared" si="4"/>
        <v>2018Residential6</v>
      </c>
      <c r="F277" s="473">
        <v>0.40125444941515465</v>
      </c>
      <c r="G277" s="474">
        <v>21.033557293745371</v>
      </c>
      <c r="H277" s="474">
        <v>191.09261802804394</v>
      </c>
    </row>
    <row r="278" spans="1:8" x14ac:dyDescent="0.35">
      <c r="A278" s="472" t="s">
        <v>2462</v>
      </c>
      <c r="B278" s="472" t="s">
        <v>2463</v>
      </c>
      <c r="C278" s="472" t="s">
        <v>347</v>
      </c>
      <c r="D278" s="472" t="s">
        <v>2438</v>
      </c>
      <c r="E278" s="472" t="str">
        <f t="shared" si="4"/>
        <v>2018Residential7</v>
      </c>
      <c r="F278" s="473">
        <v>0.46253055232662932</v>
      </c>
      <c r="G278" s="474">
        <v>24.455430353511076</v>
      </c>
      <c r="H278" s="474">
        <v>226.62668453455001</v>
      </c>
    </row>
    <row r="279" spans="1:8" x14ac:dyDescent="0.35">
      <c r="A279" s="472" t="s">
        <v>2462</v>
      </c>
      <c r="B279" s="472" t="s">
        <v>2463</v>
      </c>
      <c r="C279" s="472" t="s">
        <v>347</v>
      </c>
      <c r="D279" s="472" t="s">
        <v>2439</v>
      </c>
      <c r="E279" s="472" t="str">
        <f t="shared" si="4"/>
        <v>2018Residential8</v>
      </c>
      <c r="F279" s="473">
        <v>0.52132791143823587</v>
      </c>
      <c r="G279" s="474">
        <v>27.86954406393491</v>
      </c>
      <c r="H279" s="474">
        <v>260.46865263598437</v>
      </c>
    </row>
    <row r="280" spans="1:8" x14ac:dyDescent="0.35">
      <c r="A280" s="472" t="s">
        <v>2462</v>
      </c>
      <c r="B280" s="472" t="s">
        <v>2463</v>
      </c>
      <c r="C280" s="472" t="s">
        <v>347</v>
      </c>
      <c r="D280" s="472" t="s">
        <v>2440</v>
      </c>
      <c r="E280" s="472" t="str">
        <f t="shared" si="4"/>
        <v>2018Residential9</v>
      </c>
      <c r="F280" s="473">
        <v>0.58397886250526754</v>
      </c>
      <c r="G280" s="474">
        <v>31.276656857659304</v>
      </c>
      <c r="H280" s="474">
        <v>292.69909844687419</v>
      </c>
    </row>
    <row r="281" spans="1:8" x14ac:dyDescent="0.35">
      <c r="A281" s="472" t="s">
        <v>2462</v>
      </c>
      <c r="B281" s="472" t="s">
        <v>2463</v>
      </c>
      <c r="C281" s="472" t="s">
        <v>347</v>
      </c>
      <c r="D281" s="472" t="s">
        <v>2441</v>
      </c>
      <c r="E281" s="472" t="str">
        <f t="shared" si="4"/>
        <v>2018Residential10</v>
      </c>
      <c r="F281" s="473">
        <v>0.64491731359602977</v>
      </c>
      <c r="G281" s="474">
        <v>34.674159411215577</v>
      </c>
      <c r="H281" s="474">
        <v>323.39476112391219</v>
      </c>
    </row>
    <row r="282" spans="1:8" x14ac:dyDescent="0.35">
      <c r="A282" s="472" t="s">
        <v>2462</v>
      </c>
      <c r="B282" s="472" t="s">
        <v>2463</v>
      </c>
      <c r="C282" s="472" t="s">
        <v>347</v>
      </c>
      <c r="D282" s="472" t="s">
        <v>2442</v>
      </c>
      <c r="E282" s="472" t="str">
        <f t="shared" si="4"/>
        <v>2018Residential11</v>
      </c>
      <c r="F282" s="473">
        <v>0.70428791046953299</v>
      </c>
      <c r="G282" s="474">
        <v>38.060624994270633</v>
      </c>
      <c r="H282" s="474">
        <v>352.62872557823403</v>
      </c>
    </row>
    <row r="283" spans="1:8" x14ac:dyDescent="0.35">
      <c r="A283" s="472" t="s">
        <v>2462</v>
      </c>
      <c r="B283" s="472" t="s">
        <v>2463</v>
      </c>
      <c r="C283" s="472" t="s">
        <v>347</v>
      </c>
      <c r="D283" s="472" t="s">
        <v>2443</v>
      </c>
      <c r="E283" s="472" t="str">
        <f t="shared" si="4"/>
        <v>2018Residential12</v>
      </c>
      <c r="F283" s="473">
        <v>0.76140607926878923</v>
      </c>
      <c r="G283" s="474">
        <v>41.424273147021218</v>
      </c>
      <c r="H283" s="474">
        <v>380.47059648711206</v>
      </c>
    </row>
    <row r="284" spans="1:8" x14ac:dyDescent="0.35">
      <c r="A284" s="472" t="s">
        <v>2462</v>
      </c>
      <c r="B284" s="472" t="s">
        <v>2463</v>
      </c>
      <c r="C284" s="472" t="s">
        <v>347</v>
      </c>
      <c r="D284" s="472" t="s">
        <v>2444</v>
      </c>
      <c r="E284" s="472" t="str">
        <f t="shared" si="4"/>
        <v>2018Residential13</v>
      </c>
      <c r="F284" s="473">
        <v>0.81658139217019499</v>
      </c>
      <c r="G284" s="474">
        <v>44.725414481602208</v>
      </c>
      <c r="H284" s="474">
        <v>406.9866640193768</v>
      </c>
    </row>
    <row r="285" spans="1:8" x14ac:dyDescent="0.35">
      <c r="A285" s="472" t="s">
        <v>2462</v>
      </c>
      <c r="B285" s="472" t="s">
        <v>2463</v>
      </c>
      <c r="C285" s="472" t="s">
        <v>347</v>
      </c>
      <c r="D285" s="472" t="s">
        <v>2445</v>
      </c>
      <c r="E285" s="472" t="str">
        <f t="shared" si="4"/>
        <v>2018Residential14</v>
      </c>
      <c r="F285" s="473">
        <v>0.87051228879891773</v>
      </c>
      <c r="G285" s="474">
        <v>48.004231952551216</v>
      </c>
      <c r="H285" s="474">
        <v>432.24006166915274</v>
      </c>
    </row>
    <row r="286" spans="1:8" x14ac:dyDescent="0.35">
      <c r="A286" s="472" t="s">
        <v>2462</v>
      </c>
      <c r="B286" s="472" t="s">
        <v>2463</v>
      </c>
      <c r="C286" s="472" t="s">
        <v>347</v>
      </c>
      <c r="D286" s="472" t="s">
        <v>2446</v>
      </c>
      <c r="E286" s="472" t="str">
        <f t="shared" si="4"/>
        <v>2018Residential15</v>
      </c>
      <c r="F286" s="473">
        <v>0.92234377598638462</v>
      </c>
      <c r="G286" s="474">
        <v>51.193355328550247</v>
      </c>
      <c r="H286" s="474">
        <v>456.29091657370122</v>
      </c>
    </row>
    <row r="287" spans="1:8" x14ac:dyDescent="0.35">
      <c r="A287" s="472" t="s">
        <v>2462</v>
      </c>
      <c r="B287" s="472" t="s">
        <v>2463</v>
      </c>
      <c r="C287" s="472" t="s">
        <v>347</v>
      </c>
      <c r="D287" s="472" t="s">
        <v>2447</v>
      </c>
      <c r="E287" s="472" t="str">
        <f t="shared" si="4"/>
        <v>2018Residential16</v>
      </c>
      <c r="F287" s="473">
        <v>0.97259553164382695</v>
      </c>
      <c r="G287" s="474">
        <v>54.243270938136618</v>
      </c>
      <c r="H287" s="474">
        <v>479.19649267327122</v>
      </c>
    </row>
    <row r="288" spans="1:8" x14ac:dyDescent="0.35">
      <c r="A288" s="472" t="s">
        <v>2462</v>
      </c>
      <c r="B288" s="472" t="s">
        <v>2463</v>
      </c>
      <c r="C288" s="472" t="s">
        <v>347</v>
      </c>
      <c r="D288" s="472" t="s">
        <v>2448</v>
      </c>
      <c r="E288" s="472" t="str">
        <f t="shared" si="4"/>
        <v>2018Residential17</v>
      </c>
      <c r="F288" s="473">
        <v>1.0213004746761738</v>
      </c>
      <c r="G288" s="474">
        <v>57.18812787263812</v>
      </c>
      <c r="H288" s="474">
        <v>501.01132705381411</v>
      </c>
    </row>
    <row r="289" spans="1:8" x14ac:dyDescent="0.35">
      <c r="A289" s="472" t="s">
        <v>2462</v>
      </c>
      <c r="B289" s="472" t="s">
        <v>2463</v>
      </c>
      <c r="C289" s="472" t="s">
        <v>347</v>
      </c>
      <c r="D289" s="472" t="s">
        <v>2449</v>
      </c>
      <c r="E289" s="472" t="str">
        <f t="shared" si="4"/>
        <v>2018Residential18</v>
      </c>
      <c r="F289" s="473">
        <v>1.0684919710122154</v>
      </c>
      <c r="G289" s="474">
        <v>60.09606169998969</v>
      </c>
      <c r="H289" s="474">
        <v>521.78735979718829</v>
      </c>
    </row>
    <row r="290" spans="1:8" x14ac:dyDescent="0.35">
      <c r="A290" s="472" t="s">
        <v>2462</v>
      </c>
      <c r="B290" s="472" t="s">
        <v>2463</v>
      </c>
      <c r="C290" s="472" t="s">
        <v>347</v>
      </c>
      <c r="D290" s="472" t="s">
        <v>2450</v>
      </c>
      <c r="E290" s="472" t="str">
        <f t="shared" si="4"/>
        <v>2018Residential19</v>
      </c>
      <c r="F290" s="473">
        <v>1.1142037163848599</v>
      </c>
      <c r="G290" s="474">
        <v>62.905606788821849</v>
      </c>
      <c r="H290" s="474">
        <v>541.5740576480207</v>
      </c>
    </row>
    <row r="291" spans="1:8" x14ac:dyDescent="0.35">
      <c r="A291" s="472" t="s">
        <v>2462</v>
      </c>
      <c r="B291" s="472" t="s">
        <v>2463</v>
      </c>
      <c r="C291" s="472" t="s">
        <v>347</v>
      </c>
      <c r="D291" s="472" t="s">
        <v>2451</v>
      </c>
      <c r="E291" s="472" t="str">
        <f t="shared" si="4"/>
        <v>2018Residential20</v>
      </c>
      <c r="F291" s="473">
        <v>1.1584696292615151</v>
      </c>
      <c r="G291" s="474">
        <v>65.633421549889206</v>
      </c>
      <c r="H291" s="474">
        <v>560.41853179167072</v>
      </c>
    </row>
    <row r="292" spans="1:8" x14ac:dyDescent="0.35">
      <c r="A292" s="472" t="s">
        <v>2462</v>
      </c>
      <c r="B292" s="472" t="s">
        <v>2463</v>
      </c>
      <c r="C292" s="472" t="s">
        <v>347</v>
      </c>
      <c r="D292" s="472" t="s">
        <v>2452</v>
      </c>
      <c r="E292" s="472" t="str">
        <f t="shared" si="4"/>
        <v>2018Residential21</v>
      </c>
      <c r="F292" s="473">
        <v>1.2014708017702658</v>
      </c>
      <c r="G292" s="474">
        <v>68.283298746354646</v>
      </c>
      <c r="H292" s="474">
        <v>578.36565002371844</v>
      </c>
    </row>
    <row r="293" spans="1:8" x14ac:dyDescent="0.35">
      <c r="A293" s="472" t="s">
        <v>2462</v>
      </c>
      <c r="B293" s="472" t="s">
        <v>2463</v>
      </c>
      <c r="C293" s="472" t="s">
        <v>347</v>
      </c>
      <c r="D293" s="472" t="s">
        <v>2453</v>
      </c>
      <c r="E293" s="472" t="str">
        <f t="shared" si="4"/>
        <v>2018Residential22</v>
      </c>
      <c r="F293" s="473">
        <v>1.243243369350195</v>
      </c>
      <c r="G293" s="474">
        <v>70.857465165778208</v>
      </c>
      <c r="H293" s="474">
        <v>595.45814357804943</v>
      </c>
    </row>
    <row r="294" spans="1:8" x14ac:dyDescent="0.35">
      <c r="A294" s="472" t="s">
        <v>2462</v>
      </c>
      <c r="B294" s="472" t="s">
        <v>2463</v>
      </c>
      <c r="C294" s="472" t="s">
        <v>347</v>
      </c>
      <c r="D294" s="472" t="s">
        <v>2454</v>
      </c>
      <c r="E294" s="472" t="str">
        <f t="shared" si="4"/>
        <v>2018Residential23</v>
      </c>
      <c r="F294" s="473">
        <v>1.2838224349992688</v>
      </c>
      <c r="G294" s="474">
        <v>73.358083973218228</v>
      </c>
      <c r="H294" s="474">
        <v>611.73670886788864</v>
      </c>
    </row>
    <row r="295" spans="1:8" x14ac:dyDescent="0.35">
      <c r="A295" s="472" t="s">
        <v>2462</v>
      </c>
      <c r="B295" s="472" t="s">
        <v>2463</v>
      </c>
      <c r="C295" s="472" t="s">
        <v>347</v>
      </c>
      <c r="D295" s="472" t="s">
        <v>2455</v>
      </c>
      <c r="E295" s="472" t="str">
        <f t="shared" si="4"/>
        <v>2018Residential24</v>
      </c>
      <c r="F295" s="473">
        <v>1.3232420987726552</v>
      </c>
      <c r="G295" s="474">
        <v>75.787256529017128</v>
      </c>
      <c r="H295" s="474">
        <v>627.24010438202106</v>
      </c>
    </row>
    <row r="296" spans="1:8" x14ac:dyDescent="0.35">
      <c r="A296" s="472" t="s">
        <v>2462</v>
      </c>
      <c r="B296" s="472" t="s">
        <v>2463</v>
      </c>
      <c r="C296" s="472" t="s">
        <v>347</v>
      </c>
      <c r="D296" s="472" t="s">
        <v>2456</v>
      </c>
      <c r="E296" s="472" t="str">
        <f t="shared" si="4"/>
        <v>2018Residential25</v>
      </c>
      <c r="F296" s="473">
        <v>1.3615354864382303</v>
      </c>
      <c r="G296" s="474">
        <v>78.147024154650325</v>
      </c>
      <c r="H296" s="474">
        <v>642.00524296690924</v>
      </c>
    </row>
    <row r="297" spans="1:8" x14ac:dyDescent="0.35">
      <c r="A297" s="472" t="s">
        <v>2462</v>
      </c>
      <c r="B297" s="472" t="s">
        <v>2463</v>
      </c>
      <c r="C297" s="472" t="s">
        <v>347</v>
      </c>
      <c r="D297" s="472" t="s">
        <v>2457</v>
      </c>
      <c r="E297" s="472" t="str">
        <f t="shared" si="4"/>
        <v>2018Residential26</v>
      </c>
      <c r="F297" s="473">
        <v>1.3987347773133605</v>
      </c>
      <c r="G297" s="474">
        <v>80.439369848122581</v>
      </c>
      <c r="H297" s="474">
        <v>656.0672797144216</v>
      </c>
    </row>
    <row r="298" spans="1:8" x14ac:dyDescent="0.35">
      <c r="A298" s="472" t="s">
        <v>2462</v>
      </c>
      <c r="B298" s="472" t="s">
        <v>2463</v>
      </c>
      <c r="C298" s="472" t="s">
        <v>347</v>
      </c>
      <c r="D298" s="472" t="s">
        <v>2458</v>
      </c>
      <c r="E298" s="472" t="str">
        <f t="shared" si="4"/>
        <v>2018Residential27</v>
      </c>
      <c r="F298" s="473">
        <v>1.4348712313063439</v>
      </c>
      <c r="G298" s="474">
        <v>82.666219950352769</v>
      </c>
      <c r="H298" s="474">
        <v>669.45969566443353</v>
      </c>
    </row>
    <row r="299" spans="1:8" x14ac:dyDescent="0.35">
      <c r="A299" s="472" t="s">
        <v>2462</v>
      </c>
      <c r="B299" s="472" t="s">
        <v>2463</v>
      </c>
      <c r="C299" s="472" t="s">
        <v>347</v>
      </c>
      <c r="D299" s="472" t="s">
        <v>2459</v>
      </c>
      <c r="E299" s="472" t="str">
        <f t="shared" si="4"/>
        <v>2018Residential28</v>
      </c>
      <c r="F299" s="473">
        <v>1.4699752151852421</v>
      </c>
      <c r="G299" s="474">
        <v>84.829445763947803</v>
      </c>
      <c r="H299" s="474">
        <v>682.21437752158772</v>
      </c>
    </row>
    <row r="300" spans="1:8" x14ac:dyDescent="0.35">
      <c r="A300" s="472" t="s">
        <v>2462</v>
      </c>
      <c r="B300" s="472" t="s">
        <v>2463</v>
      </c>
      <c r="C300" s="472" t="s">
        <v>347</v>
      </c>
      <c r="D300" s="472" t="s">
        <v>2460</v>
      </c>
      <c r="E300" s="472" t="str">
        <f t="shared" si="4"/>
        <v>2018Residential29</v>
      </c>
      <c r="F300" s="473">
        <v>1.5040762280961719</v>
      </c>
      <c r="G300" s="474">
        <v>86.930865125725845</v>
      </c>
      <c r="H300" s="474">
        <v>694.36169357602034</v>
      </c>
    </row>
    <row r="301" spans="1:8" x14ac:dyDescent="0.35">
      <c r="A301" s="472" t="s">
        <v>2462</v>
      </c>
      <c r="B301" s="472" t="s">
        <v>2463</v>
      </c>
      <c r="C301" s="472" t="s">
        <v>347</v>
      </c>
      <c r="D301" s="472" t="s">
        <v>2461</v>
      </c>
      <c r="E301" s="472" t="str">
        <f t="shared" si="4"/>
        <v>2018Residential30</v>
      </c>
      <c r="F301" s="473">
        <v>1.5372029263525036</v>
      </c>
      <c r="G301" s="474">
        <v>88.972243934310228</v>
      </c>
      <c r="H301" s="474">
        <v>705.93056600881312</v>
      </c>
    </row>
    <row r="302" spans="1:8" x14ac:dyDescent="0.35">
      <c r="A302" s="472" t="s">
        <v>2464</v>
      </c>
      <c r="B302" s="472" t="s">
        <v>2465</v>
      </c>
      <c r="C302" s="472" t="s">
        <v>347</v>
      </c>
      <c r="D302" s="472" t="s">
        <v>2432</v>
      </c>
      <c r="E302" s="472" t="str">
        <f t="shared" si="4"/>
        <v>2019Residential1</v>
      </c>
      <c r="F302" s="473">
        <v>6.2401000193307701E-2</v>
      </c>
      <c r="G302" s="474">
        <v>3.92192652711408</v>
      </c>
      <c r="H302" s="474">
        <v>30</v>
      </c>
    </row>
    <row r="303" spans="1:8" x14ac:dyDescent="0.35">
      <c r="A303" s="472" t="s">
        <v>2464</v>
      </c>
      <c r="B303" s="472" t="s">
        <v>2465</v>
      </c>
      <c r="C303" s="472" t="s">
        <v>347</v>
      </c>
      <c r="D303" s="472" t="s">
        <v>2433</v>
      </c>
      <c r="E303" s="472" t="str">
        <f t="shared" si="4"/>
        <v>2019Residential2</v>
      </c>
      <c r="F303" s="473">
        <v>0.13096724593585424</v>
      </c>
      <c r="G303" s="474">
        <v>7.38003547436014</v>
      </c>
      <c r="H303" s="474">
        <v>55.782312925170061</v>
      </c>
    </row>
    <row r="304" spans="1:8" x14ac:dyDescent="0.35">
      <c r="A304" s="472" t="s">
        <v>2464</v>
      </c>
      <c r="B304" s="472" t="s">
        <v>2465</v>
      </c>
      <c r="C304" s="472" t="s">
        <v>347</v>
      </c>
      <c r="D304" s="472" t="s">
        <v>2434</v>
      </c>
      <c r="E304" s="472" t="str">
        <f t="shared" si="4"/>
        <v>2019Residential3</v>
      </c>
      <c r="F304" s="473">
        <v>0.20776204300885298</v>
      </c>
      <c r="G304" s="474">
        <v>10.976429688254585</v>
      </c>
      <c r="H304" s="474">
        <v>90.335816866429113</v>
      </c>
    </row>
    <row r="305" spans="1:14" x14ac:dyDescent="0.35">
      <c r="A305" s="472" t="s">
        <v>2464</v>
      </c>
      <c r="B305" s="472" t="s">
        <v>2465</v>
      </c>
      <c r="C305" s="472" t="s">
        <v>347</v>
      </c>
      <c r="D305" s="472" t="s">
        <v>2435</v>
      </c>
      <c r="E305" s="472" t="str">
        <f t="shared" si="4"/>
        <v>2019Residential4</v>
      </c>
      <c r="F305" s="473">
        <v>0.28285144470842749</v>
      </c>
      <c r="G305" s="474">
        <v>14.570341918564566</v>
      </c>
      <c r="H305" s="474">
        <v>131.47094060602319</v>
      </c>
    </row>
    <row r="306" spans="1:14" x14ac:dyDescent="0.35">
      <c r="A306" s="472" t="s">
        <v>2464</v>
      </c>
      <c r="B306" s="472" t="s">
        <v>2465</v>
      </c>
      <c r="C306" s="472" t="s">
        <v>347</v>
      </c>
      <c r="D306" s="472" t="s">
        <v>2436</v>
      </c>
      <c r="E306" s="472" t="str">
        <f t="shared" si="4"/>
        <v>2019Residential5</v>
      </c>
      <c r="F306" s="473">
        <v>0.35543599928486791</v>
      </c>
      <c r="G306" s="474">
        <v>18.163308631318561</v>
      </c>
      <c r="H306" s="474">
        <v>170.64724892944614</v>
      </c>
    </row>
    <row r="307" spans="1:14" x14ac:dyDescent="0.35">
      <c r="A307" s="472" t="s">
        <v>2464</v>
      </c>
      <c r="B307" s="472" t="s">
        <v>2465</v>
      </c>
      <c r="C307" s="472" t="s">
        <v>347</v>
      </c>
      <c r="D307" s="472" t="s">
        <v>2437</v>
      </c>
      <c r="E307" s="472" t="str">
        <f t="shared" si="4"/>
        <v>2019Residential6</v>
      </c>
      <c r="F307" s="473">
        <v>0.41977590734191628</v>
      </c>
      <c r="G307" s="474">
        <v>21.756275344072552</v>
      </c>
      <c r="H307" s="474">
        <v>207.95801876127751</v>
      </c>
    </row>
    <row r="308" spans="1:14" x14ac:dyDescent="0.35">
      <c r="A308" s="472" t="s">
        <v>2464</v>
      </c>
      <c r="B308" s="472" t="s">
        <v>2465</v>
      </c>
      <c r="C308" s="472" t="s">
        <v>347</v>
      </c>
      <c r="D308" s="472" t="s">
        <v>2438</v>
      </c>
      <c r="E308" s="472" t="str">
        <f t="shared" si="4"/>
        <v>2019Residential7</v>
      </c>
      <c r="F308" s="473">
        <v>0.48151313440910315</v>
      </c>
      <c r="G308" s="474">
        <v>25.341094740017578</v>
      </c>
      <c r="H308" s="474">
        <v>243.49208526778358</v>
      </c>
    </row>
    <row r="309" spans="1:14" x14ac:dyDescent="0.35">
      <c r="A309" s="472" t="s">
        <v>2464</v>
      </c>
      <c r="B309" s="472" t="s">
        <v>2465</v>
      </c>
      <c r="C309" s="472" t="s">
        <v>347</v>
      </c>
      <c r="D309" s="472" t="s">
        <v>2439</v>
      </c>
      <c r="E309" s="472" t="str">
        <f t="shared" si="4"/>
        <v>2019Residential8</v>
      </c>
      <c r="F309" s="473">
        <v>0.54729663302948639</v>
      </c>
      <c r="G309" s="474">
        <v>28.918563173428197</v>
      </c>
      <c r="H309" s="474">
        <v>277.33405336921794</v>
      </c>
      <c r="N309" s="475"/>
    </row>
    <row r="310" spans="1:14" x14ac:dyDescent="0.35">
      <c r="A310" s="472" t="s">
        <v>2464</v>
      </c>
      <c r="B310" s="472" t="s">
        <v>2465</v>
      </c>
      <c r="C310" s="472" t="s">
        <v>347</v>
      </c>
      <c r="D310" s="472" t="s">
        <v>2440</v>
      </c>
      <c r="E310" s="472" t="str">
        <f t="shared" si="4"/>
        <v>2019Residential9</v>
      </c>
      <c r="F310" s="473">
        <v>0.61128200667478672</v>
      </c>
      <c r="G310" s="474">
        <v>32.485940854662282</v>
      </c>
      <c r="H310" s="474">
        <v>309.56449918010782</v>
      </c>
    </row>
    <row r="311" spans="1:14" x14ac:dyDescent="0.35">
      <c r="A311" s="472" t="s">
        <v>2464</v>
      </c>
      <c r="B311" s="472" t="s">
        <v>2465</v>
      </c>
      <c r="C311" s="472" t="s">
        <v>347</v>
      </c>
      <c r="D311" s="472" t="s">
        <v>2441</v>
      </c>
      <c r="E311" s="472" t="str">
        <f t="shared" si="4"/>
        <v>2019Residential10</v>
      </c>
      <c r="F311" s="473">
        <v>0.67362113339196505</v>
      </c>
      <c r="G311" s="474">
        <v>36.041729716870101</v>
      </c>
      <c r="H311" s="474">
        <v>340.26016185714576</v>
      </c>
    </row>
    <row r="312" spans="1:14" x14ac:dyDescent="0.35">
      <c r="A312" s="472" t="s">
        <v>2464</v>
      </c>
      <c r="B312" s="472" t="s">
        <v>2465</v>
      </c>
      <c r="C312" s="472" t="s">
        <v>347</v>
      </c>
      <c r="D312" s="472" t="s">
        <v>2442</v>
      </c>
      <c r="E312" s="472" t="str">
        <f t="shared" si="4"/>
        <v>2019Residential11</v>
      </c>
      <c r="F312" s="473">
        <v>0.73359521063118405</v>
      </c>
      <c r="G312" s="474">
        <v>39.57356027725821</v>
      </c>
      <c r="H312" s="474">
        <v>369.49412631146765</v>
      </c>
    </row>
    <row r="313" spans="1:14" x14ac:dyDescent="0.35">
      <c r="A313" s="472" t="s">
        <v>2464</v>
      </c>
      <c r="B313" s="472" t="s">
        <v>2465</v>
      </c>
      <c r="C313" s="472" t="s">
        <v>347</v>
      </c>
      <c r="D313" s="472" t="s">
        <v>2443</v>
      </c>
      <c r="E313" s="472" t="str">
        <f t="shared" si="4"/>
        <v>2019Residential12</v>
      </c>
      <c r="F313" s="473">
        <v>0.79152928917766008</v>
      </c>
      <c r="G313" s="474">
        <v>43.039758678568255</v>
      </c>
      <c r="H313" s="474">
        <v>397.33599722034558</v>
      </c>
    </row>
    <row r="314" spans="1:14" x14ac:dyDescent="0.35">
      <c r="A314" s="472" t="s">
        <v>2464</v>
      </c>
      <c r="B314" s="472" t="s">
        <v>2465</v>
      </c>
      <c r="C314" s="472" t="s">
        <v>347</v>
      </c>
      <c r="D314" s="472" t="s">
        <v>2444</v>
      </c>
      <c r="E314" s="472" t="str">
        <f t="shared" si="4"/>
        <v>2019Residential13</v>
      </c>
      <c r="F314" s="473">
        <v>0.84815673063781905</v>
      </c>
      <c r="G314" s="474">
        <v>46.482517023064709</v>
      </c>
      <c r="H314" s="474">
        <v>423.85206475261032</v>
      </c>
    </row>
    <row r="315" spans="1:14" x14ac:dyDescent="0.35">
      <c r="A315" s="472" t="s">
        <v>2464</v>
      </c>
      <c r="B315" s="472" t="s">
        <v>2465</v>
      </c>
      <c r="C315" s="472" t="s">
        <v>347</v>
      </c>
      <c r="D315" s="472" t="s">
        <v>2445</v>
      </c>
      <c r="E315" s="472" t="str">
        <f t="shared" si="4"/>
        <v>2019Residential14</v>
      </c>
      <c r="F315" s="473">
        <v>0.90257979218465922</v>
      </c>
      <c r="G315" s="474">
        <v>49.831096567863703</v>
      </c>
      <c r="H315" s="474">
        <v>449.10546240238625</v>
      </c>
    </row>
    <row r="316" spans="1:14" x14ac:dyDescent="0.35">
      <c r="A316" s="472" t="s">
        <v>2464</v>
      </c>
      <c r="B316" s="472" t="s">
        <v>2465</v>
      </c>
      <c r="C316" s="472" t="s">
        <v>347</v>
      </c>
      <c r="D316" s="472" t="s">
        <v>2446</v>
      </c>
      <c r="E316" s="472" t="str">
        <f t="shared" si="4"/>
        <v>2019Residential15</v>
      </c>
      <c r="F316" s="473">
        <v>0.95534413562497367</v>
      </c>
      <c r="G316" s="474">
        <v>53.033507957929395</v>
      </c>
      <c r="H316" s="474">
        <v>473.15631730693474</v>
      </c>
    </row>
    <row r="317" spans="1:14" x14ac:dyDescent="0.35">
      <c r="A317" s="472" t="s">
        <v>2464</v>
      </c>
      <c r="B317" s="472" t="s">
        <v>2465</v>
      </c>
      <c r="C317" s="472" t="s">
        <v>347</v>
      </c>
      <c r="D317" s="472" t="s">
        <v>2447</v>
      </c>
      <c r="E317" s="472" t="str">
        <f t="shared" si="4"/>
        <v>2019Residential16</v>
      </c>
      <c r="F317" s="473">
        <v>1.006484325808938</v>
      </c>
      <c r="G317" s="474">
        <v>56.125607739155967</v>
      </c>
      <c r="H317" s="474">
        <v>496.06189340650479</v>
      </c>
    </row>
    <row r="318" spans="1:14" x14ac:dyDescent="0.35">
      <c r="A318" s="472" t="s">
        <v>2464</v>
      </c>
      <c r="B318" s="472" t="s">
        <v>2465</v>
      </c>
      <c r="C318" s="472" t="s">
        <v>347</v>
      </c>
      <c r="D318" s="472" t="s">
        <v>2448</v>
      </c>
      <c r="E318" s="472" t="str">
        <f t="shared" si="4"/>
        <v>2019Residential17</v>
      </c>
      <c r="F318" s="473">
        <v>1.0560353969617815</v>
      </c>
      <c r="G318" s="474">
        <v>59.178938257875117</v>
      </c>
      <c r="H318" s="474">
        <v>517.87672778704768</v>
      </c>
    </row>
    <row r="319" spans="1:14" x14ac:dyDescent="0.35">
      <c r="A319" s="472" t="s">
        <v>2464</v>
      </c>
      <c r="B319" s="472" t="s">
        <v>2465</v>
      </c>
      <c r="C319" s="472" t="s">
        <v>347</v>
      </c>
      <c r="D319" s="472" t="s">
        <v>2449</v>
      </c>
      <c r="E319" s="472" t="str">
        <f t="shared" si="4"/>
        <v>2019Residential18</v>
      </c>
      <c r="F319" s="473">
        <v>1.1040327296030585</v>
      </c>
      <c r="G319" s="474">
        <v>62.128960601148876</v>
      </c>
      <c r="H319" s="474">
        <v>538.6527605304218</v>
      </c>
    </row>
    <row r="320" spans="1:14" x14ac:dyDescent="0.35">
      <c r="A320" s="472" t="s">
        <v>2464</v>
      </c>
      <c r="B320" s="472" t="s">
        <v>2465</v>
      </c>
      <c r="C320" s="472" t="s">
        <v>347</v>
      </c>
      <c r="D320" s="472" t="s">
        <v>2450</v>
      </c>
      <c r="E320" s="472" t="str">
        <f t="shared" si="4"/>
        <v>2019Residential19</v>
      </c>
      <c r="F320" s="473">
        <v>1.1505119381235462</v>
      </c>
      <c r="G320" s="474">
        <v>64.993166100269605</v>
      </c>
      <c r="H320" s="474">
        <v>558.43945838125433</v>
      </c>
    </row>
    <row r="321" spans="1:8" x14ac:dyDescent="0.35">
      <c r="A321" s="472" t="s">
        <v>2464</v>
      </c>
      <c r="B321" s="472" t="s">
        <v>2465</v>
      </c>
      <c r="C321" s="472" t="s">
        <v>347</v>
      </c>
      <c r="D321" s="472" t="s">
        <v>2451</v>
      </c>
      <c r="E321" s="472" t="str">
        <f t="shared" si="4"/>
        <v>2019Residential20</v>
      </c>
      <c r="F321" s="473">
        <v>1.1956631692577346</v>
      </c>
      <c r="G321" s="474">
        <v>67.7755371565583</v>
      </c>
      <c r="H321" s="474">
        <v>577.28393252490434</v>
      </c>
    </row>
    <row r="322" spans="1:8" x14ac:dyDescent="0.35">
      <c r="A322" s="472" t="s">
        <v>2464</v>
      </c>
      <c r="B322" s="472" t="s">
        <v>2465</v>
      </c>
      <c r="C322" s="472" t="s">
        <v>347</v>
      </c>
      <c r="D322" s="472" t="s">
        <v>2452</v>
      </c>
      <c r="E322" s="472" t="str">
        <f t="shared" si="4"/>
        <v>2019Residential21</v>
      </c>
      <c r="F322" s="473">
        <v>1.2395243652166605</v>
      </c>
      <c r="G322" s="474">
        <v>70.478411896953048</v>
      </c>
      <c r="H322" s="474">
        <v>595.23105075695196</v>
      </c>
    </row>
    <row r="323" spans="1:8" x14ac:dyDescent="0.35">
      <c r="A323" s="472" t="s">
        <v>2464</v>
      </c>
      <c r="B323" s="472" t="s">
        <v>2465</v>
      </c>
      <c r="C323" s="472" t="s">
        <v>347</v>
      </c>
      <c r="D323" s="472" t="s">
        <v>2453</v>
      </c>
      <c r="E323" s="472" t="str">
        <f t="shared" ref="E323:E361" si="5">A323&amp;C323&amp;D323</f>
        <v>2019Residential22</v>
      </c>
      <c r="F323" s="473">
        <v>1.282132384148188</v>
      </c>
      <c r="G323" s="474">
        <v>73.104061644765068</v>
      </c>
      <c r="H323" s="474">
        <v>612.32354431128294</v>
      </c>
    </row>
    <row r="324" spans="1:8" x14ac:dyDescent="0.35">
      <c r="A324" s="472" t="s">
        <v>2464</v>
      </c>
      <c r="B324" s="472" t="s">
        <v>2465</v>
      </c>
      <c r="C324" s="472" t="s">
        <v>347</v>
      </c>
      <c r="D324" s="472" t="s">
        <v>2454</v>
      </c>
      <c r="E324" s="472" t="str">
        <f t="shared" si="5"/>
        <v>2019Residential23</v>
      </c>
      <c r="F324" s="473">
        <v>1.3235230311102437</v>
      </c>
      <c r="G324" s="474">
        <v>75.654692828353902</v>
      </c>
      <c r="H324" s="474">
        <v>628.60210960112215</v>
      </c>
    </row>
    <row r="325" spans="1:8" x14ac:dyDescent="0.35">
      <c r="A325" s="472" t="s">
        <v>2464</v>
      </c>
      <c r="B325" s="472" t="s">
        <v>2465</v>
      </c>
      <c r="C325" s="472" t="s">
        <v>347</v>
      </c>
      <c r="D325" s="472" t="s">
        <v>2455</v>
      </c>
      <c r="E325" s="472" t="str">
        <f t="shared" si="5"/>
        <v>2019Residential24</v>
      </c>
      <c r="F325" s="473">
        <v>1.3637310881590974</v>
      </c>
      <c r="G325" s="474">
        <v>78.132448835268761</v>
      </c>
      <c r="H325" s="474">
        <v>644.10550511525457</v>
      </c>
    </row>
    <row r="326" spans="1:8" x14ac:dyDescent="0.35">
      <c r="A326" s="472" t="s">
        <v>2464</v>
      </c>
      <c r="B326" s="472" t="s">
        <v>2465</v>
      </c>
      <c r="C326" s="472" t="s">
        <v>347</v>
      </c>
      <c r="D326" s="472" t="s">
        <v>2456</v>
      </c>
      <c r="E326" s="472" t="str">
        <f t="shared" si="5"/>
        <v>2019Residential25</v>
      </c>
      <c r="F326" s="473">
        <v>1.402790343577984</v>
      </c>
      <c r="G326" s="474">
        <v>80.539411813414645</v>
      </c>
      <c r="H326" s="474">
        <v>658.87064370014275</v>
      </c>
    </row>
    <row r="327" spans="1:8" x14ac:dyDescent="0.35">
      <c r="A327" s="472" t="s">
        <v>2464</v>
      </c>
      <c r="B327" s="472" t="s">
        <v>2465</v>
      </c>
      <c r="C327" s="472" t="s">
        <v>347</v>
      </c>
      <c r="D327" s="472" t="s">
        <v>2457</v>
      </c>
      <c r="E327" s="472" t="str">
        <f t="shared" si="5"/>
        <v>2019Residential26</v>
      </c>
      <c r="F327" s="473">
        <v>1.4407336202706167</v>
      </c>
      <c r="G327" s="474">
        <v>82.877604420756342</v>
      </c>
      <c r="H327" s="474">
        <v>672.93268044765512</v>
      </c>
    </row>
    <row r="328" spans="1:8" x14ac:dyDescent="0.35">
      <c r="A328" s="472" t="s">
        <v>2464</v>
      </c>
      <c r="B328" s="472" t="s">
        <v>2465</v>
      </c>
      <c r="C328" s="472" t="s">
        <v>347</v>
      </c>
      <c r="D328" s="472" t="s">
        <v>2458</v>
      </c>
      <c r="E328" s="472" t="str">
        <f t="shared" si="5"/>
        <v>2019Residential27</v>
      </c>
      <c r="F328" s="473">
        <v>1.4775928033434598</v>
      </c>
      <c r="G328" s="474">
        <v>85.148991525031136</v>
      </c>
      <c r="H328" s="474">
        <v>686.32509639766704</v>
      </c>
    </row>
    <row r="329" spans="1:8" x14ac:dyDescent="0.35">
      <c r="A329" s="472" t="s">
        <v>2464</v>
      </c>
      <c r="B329" s="472" t="s">
        <v>2465</v>
      </c>
      <c r="C329" s="472" t="s">
        <v>347</v>
      </c>
      <c r="D329" s="472" t="s">
        <v>2459</v>
      </c>
      <c r="E329" s="472" t="str">
        <f t="shared" si="5"/>
        <v>2019Residential28</v>
      </c>
      <c r="F329" s="473">
        <v>1.5133988668999361</v>
      </c>
      <c r="G329" s="474">
        <v>87.355481854898073</v>
      </c>
      <c r="H329" s="474">
        <v>699.07977825482124</v>
      </c>
    </row>
    <row r="330" spans="1:8" x14ac:dyDescent="0.35">
      <c r="A330" s="472" t="s">
        <v>2464</v>
      </c>
      <c r="B330" s="472" t="s">
        <v>2465</v>
      </c>
      <c r="C330" s="472" t="s">
        <v>347</v>
      </c>
      <c r="D330" s="472" t="s">
        <v>2460</v>
      </c>
      <c r="E330" s="472" t="str">
        <f t="shared" si="5"/>
        <v>2019Residential29</v>
      </c>
      <c r="F330" s="473">
        <v>1.5481819000690844</v>
      </c>
      <c r="G330" s="474">
        <v>89.498929603911677</v>
      </c>
      <c r="H330" s="474">
        <v>711.22709430925386</v>
      </c>
    </row>
    <row r="331" spans="1:8" x14ac:dyDescent="0.35">
      <c r="A331" s="472" t="s">
        <v>2464</v>
      </c>
      <c r="B331" s="472" t="s">
        <v>2465</v>
      </c>
      <c r="C331" s="472" t="s">
        <v>347</v>
      </c>
      <c r="D331" s="472" t="s">
        <v>2461</v>
      </c>
      <c r="E331" s="472" t="str">
        <f t="shared" si="5"/>
        <v>2019Residential30</v>
      </c>
      <c r="F331" s="473">
        <v>1.581971132290543</v>
      </c>
      <c r="G331" s="474">
        <v>91.581135988667754</v>
      </c>
      <c r="H331" s="474">
        <v>722.79596674204674</v>
      </c>
    </row>
    <row r="332" spans="1:8" x14ac:dyDescent="0.35">
      <c r="A332" s="472" t="s">
        <v>2466</v>
      </c>
      <c r="B332" s="472" t="s">
        <v>2467</v>
      </c>
      <c r="C332" s="472" t="s">
        <v>347</v>
      </c>
      <c r="D332" s="472" t="s">
        <v>2432</v>
      </c>
      <c r="E332" s="472" t="str">
        <f t="shared" si="5"/>
        <v>2020Residential1</v>
      </c>
      <c r="F332" s="473">
        <v>7.8870338441306198E-2</v>
      </c>
      <c r="G332" s="474">
        <v>4.0184662570122702</v>
      </c>
      <c r="H332" s="474">
        <v>30</v>
      </c>
    </row>
    <row r="333" spans="1:8" x14ac:dyDescent="0.35">
      <c r="A333" s="472" t="s">
        <v>2466</v>
      </c>
      <c r="B333" s="472" t="s">
        <v>2467</v>
      </c>
      <c r="C333" s="472" t="s">
        <v>347</v>
      </c>
      <c r="D333" s="472" t="s">
        <v>2433</v>
      </c>
      <c r="E333" s="472" t="str">
        <f t="shared" si="5"/>
        <v>2020Residential2</v>
      </c>
      <c r="F333" s="473">
        <v>0.15574914496598793</v>
      </c>
      <c r="G333" s="474">
        <v>7.6033246455532355</v>
      </c>
      <c r="H333" s="474">
        <v>64.852607709750572</v>
      </c>
    </row>
    <row r="334" spans="1:8" x14ac:dyDescent="0.35">
      <c r="A334" s="472" t="s">
        <v>2466</v>
      </c>
      <c r="B334" s="472" t="s">
        <v>2467</v>
      </c>
      <c r="C334" s="472" t="s">
        <v>347</v>
      </c>
      <c r="D334" s="472" t="s">
        <v>2434</v>
      </c>
      <c r="E334" s="472" t="str">
        <f t="shared" si="5"/>
        <v>2020Residential3</v>
      </c>
      <c r="F334" s="473">
        <v>0.23459301675054114</v>
      </c>
      <c r="G334" s="474">
        <v>11.376932487378715</v>
      </c>
      <c r="H334" s="474">
        <v>108.04448763632438</v>
      </c>
    </row>
    <row r="335" spans="1:8" x14ac:dyDescent="0.35">
      <c r="A335" s="472" t="s">
        <v>2466</v>
      </c>
      <c r="B335" s="472" t="s">
        <v>2467</v>
      </c>
      <c r="C335" s="472" t="s">
        <v>347</v>
      </c>
      <c r="D335" s="472" t="s">
        <v>2435</v>
      </c>
      <c r="E335" s="472" t="str">
        <f t="shared" si="5"/>
        <v>2020Residential4</v>
      </c>
      <c r="F335" s="473">
        <v>0.31080679905580355</v>
      </c>
      <c r="G335" s="474">
        <v>15.149547535770409</v>
      </c>
      <c r="H335" s="474">
        <v>149.17961137591845</v>
      </c>
    </row>
    <row r="336" spans="1:8" x14ac:dyDescent="0.35">
      <c r="A336" s="472" t="s">
        <v>2466</v>
      </c>
      <c r="B336" s="472" t="s">
        <v>2467</v>
      </c>
      <c r="C336" s="472" t="s">
        <v>347</v>
      </c>
      <c r="D336" s="472" t="s">
        <v>2436</v>
      </c>
      <c r="E336" s="472" t="str">
        <f t="shared" si="5"/>
        <v>2020Residential5</v>
      </c>
      <c r="F336" s="473">
        <v>0.37836370251570439</v>
      </c>
      <c r="G336" s="474">
        <v>18.922162584162098</v>
      </c>
      <c r="H336" s="474">
        <v>188.3559196993414</v>
      </c>
    </row>
    <row r="337" spans="1:8" x14ac:dyDescent="0.35">
      <c r="A337" s="472" t="s">
        <v>2466</v>
      </c>
      <c r="B337" s="472" t="s">
        <v>2467</v>
      </c>
      <c r="C337" s="472" t="s">
        <v>347</v>
      </c>
      <c r="D337" s="472" t="s">
        <v>2437</v>
      </c>
      <c r="E337" s="472" t="str">
        <f t="shared" si="5"/>
        <v>2020Residential6</v>
      </c>
      <c r="F337" s="473">
        <v>0.44318779093625066</v>
      </c>
      <c r="G337" s="474">
        <v>22.686222949904376</v>
      </c>
      <c r="H337" s="474">
        <v>225.66668953117278</v>
      </c>
    </row>
    <row r="338" spans="1:8" x14ac:dyDescent="0.35">
      <c r="A338" s="472" t="s">
        <v>2466</v>
      </c>
      <c r="B338" s="472" t="s">
        <v>2467</v>
      </c>
      <c r="C338" s="472" t="s">
        <v>347</v>
      </c>
      <c r="D338" s="472" t="s">
        <v>2438</v>
      </c>
      <c r="E338" s="472" t="str">
        <f t="shared" si="5"/>
        <v>2020Residential7</v>
      </c>
      <c r="F338" s="473">
        <v>0.51226046448765306</v>
      </c>
      <c r="G338" s="474">
        <v>26.442564804985523</v>
      </c>
      <c r="H338" s="474">
        <v>261.20075603767884</v>
      </c>
    </row>
    <row r="339" spans="1:8" x14ac:dyDescent="0.35">
      <c r="A339" s="472" t="s">
        <v>2466</v>
      </c>
      <c r="B339" s="472" t="s">
        <v>2467</v>
      </c>
      <c r="C339" s="472" t="s">
        <v>347</v>
      </c>
      <c r="D339" s="472" t="s">
        <v>2439</v>
      </c>
      <c r="E339" s="472" t="str">
        <f t="shared" si="5"/>
        <v>2020Residential8</v>
      </c>
      <c r="F339" s="473">
        <v>0.57944510681521844</v>
      </c>
      <c r="G339" s="474">
        <v>30.188311370281312</v>
      </c>
      <c r="H339" s="474">
        <v>295.04272413911315</v>
      </c>
    </row>
    <row r="340" spans="1:8" x14ac:dyDescent="0.35">
      <c r="A340" s="472" t="s">
        <v>2466</v>
      </c>
      <c r="B340" s="472" t="s">
        <v>2467</v>
      </c>
      <c r="C340" s="472" t="s">
        <v>347</v>
      </c>
      <c r="D340" s="472" t="s">
        <v>2440</v>
      </c>
      <c r="E340" s="472" t="str">
        <f t="shared" si="5"/>
        <v>2020Residential9</v>
      </c>
      <c r="F340" s="473">
        <v>0.64490118986825584</v>
      </c>
      <c r="G340" s="474">
        <v>33.921889675599516</v>
      </c>
      <c r="H340" s="474">
        <v>327.27316995000302</v>
      </c>
    </row>
    <row r="341" spans="1:8" x14ac:dyDescent="0.35">
      <c r="A341" s="472" t="s">
        <v>2466</v>
      </c>
      <c r="B341" s="472" t="s">
        <v>2467</v>
      </c>
      <c r="C341" s="472" t="s">
        <v>347</v>
      </c>
      <c r="D341" s="472" t="s">
        <v>2441</v>
      </c>
      <c r="E341" s="472" t="str">
        <f t="shared" si="5"/>
        <v>2020Residential10</v>
      </c>
      <c r="F341" s="473">
        <v>0.70787397096943572</v>
      </c>
      <c r="G341" s="474">
        <v>37.630311764007033</v>
      </c>
      <c r="H341" s="474">
        <v>357.96883262704102</v>
      </c>
    </row>
    <row r="342" spans="1:8" x14ac:dyDescent="0.35">
      <c r="A342" s="472" t="s">
        <v>2466</v>
      </c>
      <c r="B342" s="472" t="s">
        <v>2467</v>
      </c>
      <c r="C342" s="472" t="s">
        <v>347</v>
      </c>
      <c r="D342" s="472" t="s">
        <v>2442</v>
      </c>
      <c r="E342" s="472" t="str">
        <f t="shared" si="5"/>
        <v>2020Residential11</v>
      </c>
      <c r="F342" s="473">
        <v>0.76870475344323563</v>
      </c>
      <c r="G342" s="474">
        <v>41.269820085382577</v>
      </c>
      <c r="H342" s="474">
        <v>387.20279708136286</v>
      </c>
    </row>
    <row r="343" spans="1:8" x14ac:dyDescent="0.35">
      <c r="A343" s="472" t="s">
        <v>2466</v>
      </c>
      <c r="B343" s="472" t="s">
        <v>2467</v>
      </c>
      <c r="C343" s="472" t="s">
        <v>347</v>
      </c>
      <c r="D343" s="472" t="s">
        <v>2443</v>
      </c>
      <c r="E343" s="472" t="str">
        <f t="shared" si="5"/>
        <v>2020Residential12</v>
      </c>
      <c r="F343" s="473">
        <v>0.82816356697640259</v>
      </c>
      <c r="G343" s="474">
        <v>44.884716347103847</v>
      </c>
      <c r="H343" s="474">
        <v>415.04466799024078</v>
      </c>
    </row>
    <row r="344" spans="1:8" x14ac:dyDescent="0.35">
      <c r="A344" s="472" t="s">
        <v>2466</v>
      </c>
      <c r="B344" s="472" t="s">
        <v>2467</v>
      </c>
      <c r="C344" s="472" t="s">
        <v>347</v>
      </c>
      <c r="D344" s="472" t="s">
        <v>2444</v>
      </c>
      <c r="E344" s="472" t="str">
        <f t="shared" si="5"/>
        <v>2020Residential13</v>
      </c>
      <c r="F344" s="473">
        <v>0.88530778160058465</v>
      </c>
      <c r="G344" s="474">
        <v>48.400724869142785</v>
      </c>
      <c r="H344" s="474">
        <v>441.56073552250552</v>
      </c>
    </row>
    <row r="345" spans="1:8" x14ac:dyDescent="0.35">
      <c r="A345" s="472" t="s">
        <v>2466</v>
      </c>
      <c r="B345" s="472" t="s">
        <v>2467</v>
      </c>
      <c r="C345" s="472" t="s">
        <v>347</v>
      </c>
      <c r="D345" s="472" t="s">
        <v>2445</v>
      </c>
      <c r="E345" s="472" t="str">
        <f t="shared" si="5"/>
        <v>2020Residential14</v>
      </c>
      <c r="F345" s="473">
        <v>0.94071034221291483</v>
      </c>
      <c r="G345" s="474">
        <v>51.763256828711761</v>
      </c>
      <c r="H345" s="474">
        <v>466.81413317228152</v>
      </c>
    </row>
    <row r="346" spans="1:8" x14ac:dyDescent="0.35">
      <c r="A346" s="472" t="s">
        <v>2466</v>
      </c>
      <c r="B346" s="472" t="s">
        <v>2467</v>
      </c>
      <c r="C346" s="472" t="s">
        <v>347</v>
      </c>
      <c r="D346" s="472" t="s">
        <v>2446</v>
      </c>
      <c r="E346" s="472" t="str">
        <f t="shared" si="5"/>
        <v>2020Residential15</v>
      </c>
      <c r="F346" s="473">
        <v>0.99440754190607739</v>
      </c>
      <c r="G346" s="474">
        <v>55.009961598999666</v>
      </c>
      <c r="H346" s="474">
        <v>490.86498807682995</v>
      </c>
    </row>
    <row r="347" spans="1:8" x14ac:dyDescent="0.35">
      <c r="A347" s="472" t="s">
        <v>2466</v>
      </c>
      <c r="B347" s="472" t="s">
        <v>2467</v>
      </c>
      <c r="C347" s="472" t="s">
        <v>347</v>
      </c>
      <c r="D347" s="472" t="s">
        <v>2447</v>
      </c>
      <c r="E347" s="472" t="str">
        <f t="shared" si="5"/>
        <v>2020Residential16</v>
      </c>
      <c r="F347" s="473">
        <v>1.0464361666165631</v>
      </c>
      <c r="G347" s="474">
        <v>58.21595864365478</v>
      </c>
      <c r="H347" s="474">
        <v>513.77056417639994</v>
      </c>
    </row>
    <row r="348" spans="1:8" x14ac:dyDescent="0.35">
      <c r="A348" s="472" t="s">
        <v>2466</v>
      </c>
      <c r="B348" s="472" t="s">
        <v>2467</v>
      </c>
      <c r="C348" s="472" t="s">
        <v>347</v>
      </c>
      <c r="D348" s="472" t="s">
        <v>2448</v>
      </c>
      <c r="E348" s="472" t="str">
        <f t="shared" si="5"/>
        <v>2020Residential17</v>
      </c>
      <c r="F348" s="473">
        <v>1.0968333658899039</v>
      </c>
      <c r="G348" s="474">
        <v>61.313482104092223</v>
      </c>
      <c r="H348" s="474">
        <v>535.58539855694278</v>
      </c>
    </row>
    <row r="349" spans="1:8" x14ac:dyDescent="0.35">
      <c r="A349" s="472" t="s">
        <v>2466</v>
      </c>
      <c r="B349" s="472" t="s">
        <v>2467</v>
      </c>
      <c r="C349" s="472" t="s">
        <v>347</v>
      </c>
      <c r="D349" s="472" t="s">
        <v>2449</v>
      </c>
      <c r="E349" s="472" t="str">
        <f t="shared" si="5"/>
        <v>2020Residential18</v>
      </c>
      <c r="F349" s="473">
        <v>1.1456365348364161</v>
      </c>
      <c r="G349" s="474">
        <v>64.320897878168992</v>
      </c>
      <c r="H349" s="474">
        <v>556.36143130031689</v>
      </c>
    </row>
    <row r="350" spans="1:8" x14ac:dyDescent="0.35">
      <c r="A350" s="472" t="s">
        <v>2466</v>
      </c>
      <c r="B350" s="472" t="s">
        <v>2467</v>
      </c>
      <c r="C350" s="472" t="s">
        <v>347</v>
      </c>
      <c r="D350" s="472" t="s">
        <v>2450</v>
      </c>
      <c r="E350" s="472" t="str">
        <f t="shared" si="5"/>
        <v>2020Residential19</v>
      </c>
      <c r="F350" s="473">
        <v>1.1930453275273138</v>
      </c>
      <c r="G350" s="474">
        <v>67.242387487272126</v>
      </c>
      <c r="H350" s="474">
        <v>576.14812915114942</v>
      </c>
    </row>
    <row r="351" spans="1:8" x14ac:dyDescent="0.35">
      <c r="A351" s="472" t="s">
        <v>2466</v>
      </c>
      <c r="B351" s="472" t="s">
        <v>2467</v>
      </c>
      <c r="C351" s="472" t="s">
        <v>347</v>
      </c>
      <c r="D351" s="472" t="s">
        <v>2451</v>
      </c>
      <c r="E351" s="472" t="str">
        <f t="shared" si="5"/>
        <v>2020Residential20</v>
      </c>
      <c r="F351" s="473">
        <v>1.2390995832841858</v>
      </c>
      <c r="G351" s="474">
        <v>70.080405964686605</v>
      </c>
      <c r="H351" s="474">
        <v>594.99260329479944</v>
      </c>
    </row>
    <row r="352" spans="1:8" x14ac:dyDescent="0.35">
      <c r="A352" s="472" t="s">
        <v>2466</v>
      </c>
      <c r="B352" s="472" t="s">
        <v>2467</v>
      </c>
      <c r="C352" s="472" t="s">
        <v>347</v>
      </c>
      <c r="D352" s="472" t="s">
        <v>2452</v>
      </c>
      <c r="E352" s="472" t="str">
        <f t="shared" si="5"/>
        <v>2020Residential21</v>
      </c>
      <c r="F352" s="473">
        <v>1.2838380031622898</v>
      </c>
      <c r="G352" s="474">
        <v>72.837338199889246</v>
      </c>
      <c r="H352" s="474">
        <v>612.93972152684705</v>
      </c>
    </row>
    <row r="353" spans="1:8" x14ac:dyDescent="0.35">
      <c r="A353" s="472" t="s">
        <v>2466</v>
      </c>
      <c r="B353" s="472" t="s">
        <v>2467</v>
      </c>
      <c r="C353" s="472" t="s">
        <v>347</v>
      </c>
      <c r="D353" s="472" t="s">
        <v>2453</v>
      </c>
      <c r="E353" s="472" t="str">
        <f t="shared" si="5"/>
        <v>2020Residential22</v>
      </c>
      <c r="F353" s="473">
        <v>1.3272981824724481</v>
      </c>
      <c r="G353" s="474">
        <v>75.515500942657511</v>
      </c>
      <c r="H353" s="474">
        <v>630.03221508117815</v>
      </c>
    </row>
    <row r="354" spans="1:8" x14ac:dyDescent="0.35">
      <c r="A354" s="472" t="s">
        <v>2466</v>
      </c>
      <c r="B354" s="472" t="s">
        <v>2467</v>
      </c>
      <c r="C354" s="472" t="s">
        <v>347</v>
      </c>
      <c r="D354" s="472" t="s">
        <v>2454</v>
      </c>
      <c r="E354" s="472" t="str">
        <f t="shared" si="5"/>
        <v>2020Residential23</v>
      </c>
      <c r="F354" s="473">
        <v>1.3695166423737446</v>
      </c>
      <c r="G354" s="474">
        <v>78.117144749918126</v>
      </c>
      <c r="H354" s="474">
        <v>646.31078037101724</v>
      </c>
    </row>
    <row r="355" spans="1:8" x14ac:dyDescent="0.35">
      <c r="A355" s="472" t="s">
        <v>2466</v>
      </c>
      <c r="B355" s="472" t="s">
        <v>2467</v>
      </c>
      <c r="C355" s="472" t="s">
        <v>347</v>
      </c>
      <c r="D355" s="472" t="s">
        <v>2455</v>
      </c>
      <c r="E355" s="472" t="str">
        <f t="shared" si="5"/>
        <v>2020Residential24</v>
      </c>
      <c r="F355" s="473">
        <v>1.4105288605635755</v>
      </c>
      <c r="G355" s="474">
        <v>80.644455876971293</v>
      </c>
      <c r="H355" s="474">
        <v>661.81417588514978</v>
      </c>
    </row>
    <row r="356" spans="1:8" x14ac:dyDescent="0.35">
      <c r="A356" s="472" t="s">
        <v>2466</v>
      </c>
      <c r="B356" s="472" t="s">
        <v>2467</v>
      </c>
      <c r="C356" s="472" t="s">
        <v>347</v>
      </c>
      <c r="D356" s="472" t="s">
        <v>2456</v>
      </c>
      <c r="E356" s="472" t="str">
        <f t="shared" si="5"/>
        <v>2020Residential25</v>
      </c>
      <c r="F356" s="473">
        <v>1.4503693010908401</v>
      </c>
      <c r="G356" s="474">
        <v>83.099558114680079</v>
      </c>
      <c r="H356" s="474">
        <v>676.57931447003784</v>
      </c>
    </row>
    <row r="357" spans="1:8" x14ac:dyDescent="0.35">
      <c r="A357" s="472" t="s">
        <v>2466</v>
      </c>
      <c r="B357" s="472" t="s">
        <v>2467</v>
      </c>
      <c r="C357" s="472" t="s">
        <v>347</v>
      </c>
      <c r="D357" s="472" t="s">
        <v>2457</v>
      </c>
      <c r="E357" s="472" t="str">
        <f t="shared" si="5"/>
        <v>2020Residential26</v>
      </c>
      <c r="F357" s="473">
        <v>1.4890714433173253</v>
      </c>
      <c r="G357" s="474">
        <v>85.484514574168614</v>
      </c>
      <c r="H357" s="474">
        <v>690.64135121755032</v>
      </c>
    </row>
    <row r="358" spans="1:8" x14ac:dyDescent="0.35">
      <c r="A358" s="472" t="s">
        <v>2466</v>
      </c>
      <c r="B358" s="472" t="s">
        <v>2467</v>
      </c>
      <c r="C358" s="472" t="s">
        <v>347</v>
      </c>
      <c r="D358" s="472" t="s">
        <v>2458</v>
      </c>
      <c r="E358" s="472" t="str">
        <f t="shared" si="5"/>
        <v>2020Residential27</v>
      </c>
      <c r="F358" s="473">
        <v>1.5266678100516253</v>
      </c>
      <c r="G358" s="474">
        <v>87.801329420528901</v>
      </c>
      <c r="H358" s="474">
        <v>704.03376716756213</v>
      </c>
    </row>
    <row r="359" spans="1:8" x14ac:dyDescent="0.35">
      <c r="A359" s="472" t="s">
        <v>2466</v>
      </c>
      <c r="B359" s="472" t="s">
        <v>2467</v>
      </c>
      <c r="C359" s="472" t="s">
        <v>347</v>
      </c>
      <c r="D359" s="472" t="s">
        <v>2459</v>
      </c>
      <c r="E359" s="472" t="str">
        <f t="shared" si="5"/>
        <v>2020Residential28</v>
      </c>
      <c r="F359" s="473">
        <v>1.5631899948792312</v>
      </c>
      <c r="G359" s="474">
        <v>90.051949556993179</v>
      </c>
      <c r="H359" s="474">
        <v>716.78844902471644</v>
      </c>
    </row>
    <row r="360" spans="1:8" x14ac:dyDescent="0.35">
      <c r="A360" s="472" t="s">
        <v>2466</v>
      </c>
      <c r="B360" s="472" t="s">
        <v>2467</v>
      </c>
      <c r="C360" s="472" t="s">
        <v>347</v>
      </c>
      <c r="D360" s="472" t="s">
        <v>2460</v>
      </c>
      <c r="E360" s="472" t="str">
        <f t="shared" si="5"/>
        <v>2020Residential29</v>
      </c>
      <c r="F360" s="473">
        <v>1.5986686887117627</v>
      </c>
      <c r="G360" s="474">
        <v>92.238266260987047</v>
      </c>
      <c r="H360" s="474">
        <v>728.93576507914895</v>
      </c>
    </row>
    <row r="361" spans="1:8" x14ac:dyDescent="0.35">
      <c r="A361" s="472" t="s">
        <v>2466</v>
      </c>
      <c r="B361" s="472" t="s">
        <v>2467</v>
      </c>
      <c r="C361" s="472" t="s">
        <v>347</v>
      </c>
      <c r="D361" s="472" t="s">
        <v>2461</v>
      </c>
      <c r="E361" s="472" t="str">
        <f t="shared" si="5"/>
        <v>2020Residential30</v>
      </c>
      <c r="F361" s="473">
        <v>1.6331337055776503</v>
      </c>
      <c r="G361" s="474">
        <v>94.362116773438245</v>
      </c>
      <c r="H361" s="474">
        <v>740.50463751194184</v>
      </c>
    </row>
  </sheetData>
  <sheetProtection algorithmName="SHA-512" hashValue="TN0JIreqq32ueZyIo7bqGbJs4+K6HPKTz7XZDWI+QN0KogQwNz+bqEsGILCVMw3EN12Clfq5enRbs4ppJIKjDg==" saltValue="9WlqGUNp+9EI2U1Hzi0MEA==" spinCount="100000" sheet="1" objects="1" scenarios="1" selectLockedCells="1" selectUnlockedCells="1"/>
  <autoFilter ref="A1:H361" xr:uid="{0B450445-66E7-4935-8F4C-8DA1582DFF0E}">
    <sortState xmlns:xlrd2="http://schemas.microsoft.com/office/spreadsheetml/2017/richdata2" ref="A2:H361">
      <sortCondition ref="C1:C361"/>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894E4-CBB0-421E-8D5A-8BAB52B72C35}">
  <sheetPr codeName="Sheet274"/>
  <dimension ref="A2:R140"/>
  <sheetViews>
    <sheetView workbookViewId="0">
      <selection activeCell="H62" sqref="H62"/>
    </sheetView>
  </sheetViews>
  <sheetFormatPr defaultColWidth="9.08984375" defaultRowHeight="18.75" customHeight="1" x14ac:dyDescent="0.3"/>
  <cols>
    <col min="1" max="1" width="2.36328125" style="488" customWidth="1"/>
    <col min="2" max="2" width="38.7265625" style="488" customWidth="1"/>
    <col min="3" max="3" width="19.81640625" style="488" customWidth="1"/>
    <col min="4" max="4" width="21.6328125" style="488" customWidth="1"/>
    <col min="5" max="5" width="21.08984375" style="488" customWidth="1"/>
    <col min="6" max="6" width="15.6328125" style="488" customWidth="1"/>
    <col min="7" max="7" width="19.6328125" style="488" customWidth="1"/>
    <col min="8" max="8" width="16" style="488" customWidth="1"/>
    <col min="9" max="9" width="10.36328125" style="488" customWidth="1"/>
    <col min="10" max="10" width="14.6328125" style="488" customWidth="1"/>
    <col min="11" max="12" width="9.08984375" style="488" bestFit="1"/>
    <col min="13" max="13" width="11" style="488" customWidth="1"/>
    <col min="14" max="14" width="12.36328125" style="488" customWidth="1"/>
    <col min="15" max="15" width="10.6328125" style="488" customWidth="1"/>
    <col min="16" max="17" width="9.08984375" style="488" bestFit="1"/>
    <col min="18" max="18" width="9.81640625" style="489" customWidth="1"/>
    <col min="19" max="19" width="9.08984375" style="488" bestFit="1"/>
    <col min="20" max="20" width="8.6328125" style="488" customWidth="1"/>
    <col min="21" max="16384" width="9.08984375" style="488"/>
  </cols>
  <sheetData>
    <row r="2" spans="1:18" ht="18.75" customHeight="1" x14ac:dyDescent="0.3">
      <c r="B2" s="1193" t="s">
        <v>506</v>
      </c>
      <c r="C2" s="1366" t="s">
        <v>406</v>
      </c>
      <c r="D2" s="1366"/>
      <c r="E2" s="1366"/>
      <c r="F2" s="1366"/>
    </row>
    <row r="3" spans="1:18" ht="18.75" customHeight="1" x14ac:dyDescent="0.3">
      <c r="B3" s="490" t="s">
        <v>407</v>
      </c>
      <c r="C3" s="1516" t="str">
        <f>IF(ISBLANK(C8)+ISBLANK(C10),C8,C8&amp;"_"&amp;C10)</f>
        <v>R-HC-002</v>
      </c>
      <c r="D3" s="1516"/>
      <c r="E3" s="1516"/>
      <c r="F3" s="1516"/>
    </row>
    <row r="4" spans="1:18" ht="18.75" customHeight="1" x14ac:dyDescent="0.3">
      <c r="B4" s="490" t="s">
        <v>11</v>
      </c>
      <c r="C4" s="1516" t="str" cm="1">
        <f t="array" ref="C4">_xlfn.SWITCH(LEFT(C8,1),"R","Residential","C","Commercial","ERROR")</f>
        <v>Residential</v>
      </c>
      <c r="D4" s="1516"/>
      <c r="E4" s="1516"/>
      <c r="F4" s="1516"/>
    </row>
    <row r="5" spans="1:18" ht="19.5" customHeight="1" x14ac:dyDescent="0.3">
      <c r="B5" s="490" t="s">
        <v>408</v>
      </c>
      <c r="C5" s="1517" t="s">
        <v>351</v>
      </c>
      <c r="D5" s="1518"/>
      <c r="E5" s="1518"/>
      <c r="F5" s="1519"/>
      <c r="R5" s="488"/>
    </row>
    <row r="6" spans="1:18" ht="18.75" customHeight="1" x14ac:dyDescent="0.3">
      <c r="A6" s="573"/>
    </row>
    <row r="7" spans="1:18" ht="18.75" customHeight="1" x14ac:dyDescent="0.3">
      <c r="B7" s="1193" t="s">
        <v>409</v>
      </c>
      <c r="C7" s="1192" t="s">
        <v>406</v>
      </c>
      <c r="D7" s="1363" t="s">
        <v>410</v>
      </c>
      <c r="E7" s="1363"/>
      <c r="F7" s="1363"/>
      <c r="R7" s="488"/>
    </row>
    <row r="8" spans="1:18" ht="18.75" customHeight="1" x14ac:dyDescent="0.3">
      <c r="B8" s="490" t="s">
        <v>411</v>
      </c>
      <c r="C8" s="587" t="s">
        <v>153</v>
      </c>
      <c r="D8" s="1457"/>
      <c r="E8" s="1457"/>
      <c r="F8" s="1457"/>
      <c r="R8" s="488"/>
    </row>
    <row r="9" spans="1:18" ht="18.75" customHeight="1" x14ac:dyDescent="0.3">
      <c r="B9" s="490" t="s">
        <v>49</v>
      </c>
      <c r="C9" s="587" t="s">
        <v>539</v>
      </c>
      <c r="D9" s="1457"/>
      <c r="E9" s="1457"/>
      <c r="F9" s="1457"/>
      <c r="R9" s="488"/>
    </row>
    <row r="10" spans="1:18" ht="18.75" customHeight="1" x14ac:dyDescent="0.3">
      <c r="B10" s="490" t="s">
        <v>412</v>
      </c>
      <c r="C10" s="587"/>
      <c r="D10" s="1457"/>
      <c r="E10" s="1457"/>
      <c r="F10" s="1457"/>
      <c r="R10" s="488"/>
    </row>
    <row r="11" spans="1:18" ht="18.75" customHeight="1" x14ac:dyDescent="0.3">
      <c r="B11" s="490" t="s">
        <v>413</v>
      </c>
      <c r="C11" s="587"/>
      <c r="D11" s="1457"/>
      <c r="E11" s="1457"/>
      <c r="F11" s="1457"/>
      <c r="R11" s="488"/>
    </row>
    <row r="12" spans="1:18" ht="18.75" customHeight="1" x14ac:dyDescent="0.3">
      <c r="B12" s="490" t="s">
        <v>414</v>
      </c>
      <c r="C12" s="588"/>
      <c r="D12" s="1457"/>
      <c r="E12" s="1457"/>
      <c r="F12" s="1457"/>
      <c r="R12" s="488"/>
    </row>
    <row r="13" spans="1:18" ht="18.75" customHeight="1" x14ac:dyDescent="0.3">
      <c r="B13" s="494" t="s">
        <v>415</v>
      </c>
      <c r="C13" s="574">
        <f>N43</f>
        <v>21.232933955083517</v>
      </c>
      <c r="D13" s="1457"/>
      <c r="E13" s="1457"/>
      <c r="F13" s="1457"/>
      <c r="R13" s="488"/>
    </row>
    <row r="14" spans="1:18" ht="18.75" customHeight="1" x14ac:dyDescent="0.3">
      <c r="B14" s="494" t="s">
        <v>416</v>
      </c>
      <c r="C14" s="574">
        <f>N42</f>
        <v>0</v>
      </c>
      <c r="D14" s="1457"/>
      <c r="E14" s="1457"/>
      <c r="F14" s="1457"/>
      <c r="R14" s="488"/>
    </row>
    <row r="15" spans="1:18" ht="18.75" customHeight="1" x14ac:dyDescent="0.3">
      <c r="B15" s="494" t="s">
        <v>417</v>
      </c>
      <c r="C15" s="574">
        <f>N44</f>
        <v>0</v>
      </c>
      <c r="D15" s="1457"/>
      <c r="E15" s="1457"/>
      <c r="F15" s="1457"/>
      <c r="R15" s="488"/>
    </row>
    <row r="16" spans="1:18" ht="18.75" customHeight="1" x14ac:dyDescent="0.3">
      <c r="B16" s="494" t="s">
        <v>418</v>
      </c>
      <c r="C16" s="575">
        <f>C37</f>
        <v>0</v>
      </c>
      <c r="D16" s="1457"/>
      <c r="E16" s="1457"/>
      <c r="F16" s="1457"/>
      <c r="R16" s="488"/>
    </row>
    <row r="17" spans="2:18" ht="18.75" customHeight="1" x14ac:dyDescent="0.3">
      <c r="B17" s="490" t="s">
        <v>48</v>
      </c>
      <c r="C17" s="587" t="s">
        <v>540</v>
      </c>
      <c r="D17" s="1363" t="s">
        <v>419</v>
      </c>
      <c r="E17" s="1363"/>
      <c r="F17" s="1363"/>
      <c r="R17" s="488"/>
    </row>
    <row r="18" spans="2:18" ht="18.75" customHeight="1" x14ac:dyDescent="0.3">
      <c r="B18" s="490" t="s">
        <v>420</v>
      </c>
      <c r="C18" s="589">
        <v>18</v>
      </c>
      <c r="D18" s="1513" t="s">
        <v>541</v>
      </c>
      <c r="E18" s="1513"/>
      <c r="F18" s="1513"/>
      <c r="R18" s="488"/>
    </row>
    <row r="19" spans="2:18" ht="18.75" customHeight="1" x14ac:dyDescent="0.3">
      <c r="B19" s="497"/>
      <c r="C19" s="576"/>
      <c r="R19" s="488"/>
    </row>
    <row r="20" spans="2:18" ht="18.75" customHeight="1" x14ac:dyDescent="0.3">
      <c r="B20" s="1368" t="s">
        <v>421</v>
      </c>
      <c r="C20" s="1368"/>
      <c r="D20" s="1368"/>
      <c r="E20" s="1368"/>
      <c r="F20" s="1368"/>
      <c r="G20" s="1368"/>
      <c r="H20" s="1368"/>
      <c r="I20" s="1368"/>
      <c r="J20" s="1368"/>
      <c r="K20" s="1368"/>
      <c r="L20" s="1368"/>
      <c r="M20" s="1368"/>
      <c r="N20" s="1368"/>
      <c r="O20" s="1368"/>
      <c r="P20" s="1368"/>
      <c r="Q20" s="1368"/>
      <c r="R20" s="488"/>
    </row>
    <row r="21" spans="2:18" ht="27.75" customHeight="1" x14ac:dyDescent="0.3">
      <c r="B21" s="499" t="s">
        <v>422</v>
      </c>
      <c r="C21" s="1507" t="s">
        <v>352</v>
      </c>
      <c r="D21" s="1514"/>
      <c r="E21" s="1514"/>
      <c r="F21" s="1514"/>
      <c r="G21" s="1514"/>
      <c r="H21" s="1514"/>
      <c r="I21" s="1514"/>
      <c r="J21" s="1514"/>
      <c r="K21" s="1514"/>
      <c r="L21" s="1514"/>
      <c r="M21" s="1514"/>
      <c r="N21" s="1514"/>
      <c r="O21" s="1514"/>
      <c r="P21" s="1514"/>
      <c r="Q21" s="1515"/>
      <c r="R21" s="488"/>
    </row>
    <row r="22" spans="2:18" ht="27.75" customHeight="1" x14ac:dyDescent="0.3">
      <c r="B22" s="500" t="s">
        <v>423</v>
      </c>
      <c r="C22" s="1507" t="s">
        <v>542</v>
      </c>
      <c r="D22" s="1514"/>
      <c r="E22" s="1514"/>
      <c r="F22" s="1514"/>
      <c r="G22" s="1514"/>
      <c r="H22" s="1514"/>
      <c r="I22" s="1514"/>
      <c r="J22" s="1514"/>
      <c r="K22" s="1514"/>
      <c r="L22" s="1514"/>
      <c r="M22" s="1514"/>
      <c r="N22" s="1514"/>
      <c r="O22" s="1514"/>
      <c r="P22" s="1514"/>
      <c r="Q22" s="1515"/>
      <c r="R22" s="488"/>
    </row>
    <row r="23" spans="2:18" ht="18.75" customHeight="1" x14ac:dyDescent="0.3">
      <c r="B23" s="500" t="s">
        <v>424</v>
      </c>
      <c r="C23" s="1507"/>
      <c r="D23" s="1514"/>
      <c r="E23" s="1514"/>
      <c r="F23" s="1514"/>
      <c r="G23" s="1514"/>
      <c r="H23" s="1514"/>
      <c r="I23" s="1514"/>
      <c r="J23" s="1514"/>
      <c r="K23" s="1514"/>
      <c r="L23" s="1514"/>
      <c r="M23" s="1514"/>
      <c r="N23" s="1514"/>
      <c r="O23" s="1514"/>
      <c r="P23" s="1514"/>
      <c r="Q23" s="1515"/>
      <c r="R23" s="488"/>
    </row>
    <row r="25" spans="2:18" ht="18.75" customHeight="1" x14ac:dyDescent="0.3">
      <c r="B25" s="1193" t="s">
        <v>425</v>
      </c>
      <c r="C25" s="493" t="s">
        <v>406</v>
      </c>
      <c r="D25" s="1363" t="s">
        <v>421</v>
      </c>
      <c r="E25" s="1363"/>
      <c r="F25" s="1363"/>
      <c r="G25" s="1363"/>
      <c r="H25" s="1363"/>
      <c r="I25" s="1363"/>
      <c r="J25" s="1363"/>
      <c r="K25" s="1363"/>
      <c r="L25" s="1363"/>
      <c r="M25" s="1363"/>
      <c r="N25" s="1363"/>
      <c r="O25" s="1363"/>
      <c r="P25" s="1363"/>
      <c r="Q25" s="1363"/>
      <c r="R25" s="488"/>
    </row>
    <row r="26" spans="2:18" ht="18.75" customHeight="1" x14ac:dyDescent="0.3">
      <c r="B26" s="490" t="s">
        <v>9</v>
      </c>
      <c r="C26" s="539" t="str">
        <f>Default.Region</f>
        <v>Average</v>
      </c>
      <c r="D26" s="1384"/>
      <c r="E26" s="1384"/>
      <c r="F26" s="1384"/>
      <c r="G26" s="1384"/>
      <c r="H26" s="1384"/>
      <c r="I26" s="1384"/>
      <c r="J26" s="1384"/>
      <c r="K26" s="1384"/>
      <c r="L26" s="1384"/>
      <c r="M26" s="1384"/>
      <c r="N26" s="1384"/>
      <c r="O26" s="1384"/>
      <c r="P26" s="1384"/>
      <c r="Q26" s="1384"/>
      <c r="R26" s="488"/>
    </row>
    <row r="27" spans="2:18" ht="21.75" customHeight="1" x14ac:dyDescent="0.3">
      <c r="B27" s="490" t="s">
        <v>27</v>
      </c>
      <c r="C27" s="539" t="str">
        <f>Default.ReplacementType</f>
        <v>RET</v>
      </c>
      <c r="D27" s="1385" t="s">
        <v>543</v>
      </c>
      <c r="E27" s="1385"/>
      <c r="F27" s="1385"/>
      <c r="G27" s="1385"/>
      <c r="H27" s="1385"/>
      <c r="I27" s="1385"/>
      <c r="J27" s="1385"/>
      <c r="K27" s="1385"/>
      <c r="L27" s="1385"/>
      <c r="M27" s="1385"/>
      <c r="N27" s="1385"/>
      <c r="O27" s="1385"/>
      <c r="P27" s="1385"/>
      <c r="Q27" s="1385"/>
      <c r="R27" s="488"/>
    </row>
    <row r="28" spans="2:18" ht="18.75" customHeight="1" x14ac:dyDescent="0.3">
      <c r="B28" s="490" t="s">
        <v>54</v>
      </c>
      <c r="C28" s="539" t="str">
        <f>Default.BuildingType.R</f>
        <v>Home - detached</v>
      </c>
      <c r="D28" s="1386"/>
      <c r="E28" s="1386"/>
      <c r="F28" s="1386"/>
      <c r="G28" s="1386"/>
      <c r="H28" s="1386"/>
      <c r="I28" s="1386"/>
      <c r="J28" s="1386"/>
      <c r="K28" s="1386"/>
      <c r="L28" s="1386"/>
      <c r="M28" s="1386"/>
      <c r="N28" s="1386"/>
      <c r="O28" s="1386"/>
      <c r="P28" s="1386"/>
      <c r="Q28" s="1386"/>
      <c r="R28" s="488"/>
    </row>
    <row r="29" spans="2:18" ht="18.75" customHeight="1" x14ac:dyDescent="0.3">
      <c r="B29" s="490" t="s">
        <v>33</v>
      </c>
      <c r="C29" s="539" t="str">
        <f>Default.SpaceHeatingFuel</f>
        <v>Natural gas</v>
      </c>
      <c r="D29" s="1384"/>
      <c r="E29" s="1384"/>
      <c r="F29" s="1384"/>
      <c r="G29" s="1384"/>
      <c r="H29" s="1384"/>
      <c r="I29" s="1384"/>
      <c r="J29" s="1384"/>
      <c r="K29" s="1384"/>
      <c r="L29" s="1384"/>
      <c r="M29" s="1384"/>
      <c r="N29" s="1384"/>
      <c r="O29" s="1384"/>
      <c r="P29" s="1384"/>
      <c r="Q29" s="1384"/>
      <c r="R29" s="488"/>
    </row>
    <row r="30" spans="2:18" ht="18.75" customHeight="1" x14ac:dyDescent="0.3">
      <c r="B30" s="490" t="s">
        <v>35</v>
      </c>
      <c r="C30" s="539" t="str">
        <f>Default.WaterHeatingFuel</f>
        <v>Natural gas</v>
      </c>
      <c r="D30" s="1384"/>
      <c r="E30" s="1384"/>
      <c r="F30" s="1384"/>
      <c r="G30" s="1384"/>
      <c r="H30" s="1384"/>
      <c r="I30" s="1384"/>
      <c r="J30" s="1384"/>
      <c r="K30" s="1384"/>
      <c r="L30" s="1384"/>
      <c r="M30" s="1384"/>
      <c r="N30" s="1384"/>
      <c r="O30" s="1384"/>
      <c r="P30" s="1384"/>
      <c r="Q30" s="1384"/>
      <c r="R30" s="488"/>
    </row>
    <row r="31" spans="2:18" ht="18.75" customHeight="1" x14ac:dyDescent="0.3">
      <c r="B31" s="577"/>
      <c r="C31" s="578"/>
      <c r="D31" s="578"/>
      <c r="E31" s="578"/>
      <c r="F31" s="578"/>
      <c r="G31" s="578"/>
      <c r="H31" s="578"/>
      <c r="I31" s="578"/>
      <c r="J31" s="578"/>
      <c r="K31" s="578"/>
      <c r="L31" s="578"/>
      <c r="M31" s="578"/>
      <c r="N31" s="578"/>
    </row>
    <row r="32" spans="2:18" ht="18.75" customHeight="1" x14ac:dyDescent="0.3">
      <c r="B32" s="1193" t="s">
        <v>427</v>
      </c>
      <c r="C32" s="1192" t="s">
        <v>406</v>
      </c>
      <c r="D32" s="493" t="s">
        <v>428</v>
      </c>
      <c r="E32" s="1363" t="s">
        <v>419</v>
      </c>
      <c r="F32" s="1363"/>
      <c r="G32" s="1363"/>
      <c r="H32" s="1363"/>
      <c r="I32" s="1363"/>
      <c r="J32" s="1363"/>
      <c r="K32" s="1363"/>
      <c r="L32" s="1363"/>
      <c r="M32" s="1363"/>
      <c r="N32" s="1363"/>
      <c r="O32" s="1363"/>
      <c r="P32" s="1363"/>
      <c r="Q32" s="1363"/>
    </row>
    <row r="33" spans="2:18" ht="18.75" customHeight="1" x14ac:dyDescent="0.3">
      <c r="B33" s="490" t="s">
        <v>429</v>
      </c>
      <c r="C33" s="590"/>
      <c r="D33" s="586" t="s">
        <v>430</v>
      </c>
      <c r="E33" s="1512"/>
      <c r="F33" s="1512"/>
      <c r="G33" s="1512"/>
      <c r="H33" s="1512"/>
      <c r="I33" s="1512"/>
      <c r="J33" s="1512"/>
      <c r="K33" s="1512"/>
      <c r="L33" s="1512"/>
      <c r="M33" s="1512"/>
      <c r="N33" s="1512"/>
      <c r="O33" s="1512"/>
      <c r="P33" s="1512"/>
      <c r="Q33" s="1512"/>
      <c r="R33" s="488"/>
    </row>
    <row r="34" spans="2:18" ht="18.75" customHeight="1" x14ac:dyDescent="0.3">
      <c r="B34" s="494" t="s">
        <v>431</v>
      </c>
      <c r="C34" s="590"/>
      <c r="D34" s="586" t="s">
        <v>430</v>
      </c>
      <c r="E34" s="1442"/>
      <c r="F34" s="1442"/>
      <c r="G34" s="1442"/>
      <c r="H34" s="1442"/>
      <c r="I34" s="1442"/>
      <c r="J34" s="1442"/>
      <c r="K34" s="1442"/>
      <c r="L34" s="1442"/>
      <c r="M34" s="1442"/>
      <c r="N34" s="1442"/>
      <c r="O34" s="1442"/>
      <c r="P34" s="1442"/>
      <c r="Q34" s="1442"/>
    </row>
    <row r="35" spans="2:18" ht="18.75" customHeight="1" x14ac:dyDescent="0.3">
      <c r="B35" s="490" t="s">
        <v>432</v>
      </c>
      <c r="C35" s="590"/>
      <c r="D35" s="586" t="s">
        <v>430</v>
      </c>
      <c r="E35" s="1512"/>
      <c r="F35" s="1512"/>
      <c r="G35" s="1512"/>
      <c r="H35" s="1512"/>
      <c r="I35" s="1512"/>
      <c r="J35" s="1512"/>
      <c r="K35" s="1512"/>
      <c r="L35" s="1512"/>
      <c r="M35" s="1512"/>
      <c r="N35" s="1512"/>
      <c r="O35" s="1512"/>
      <c r="P35" s="1512"/>
      <c r="Q35" s="1512"/>
    </row>
    <row r="36" spans="2:18" ht="18.75" customHeight="1" x14ac:dyDescent="0.3">
      <c r="B36" s="494" t="s">
        <v>433</v>
      </c>
      <c r="C36" s="579">
        <f>SUM(C33:C34)</f>
        <v>0</v>
      </c>
      <c r="D36" s="586" t="s">
        <v>430</v>
      </c>
      <c r="E36" s="1442"/>
      <c r="F36" s="1442"/>
      <c r="G36" s="1442"/>
      <c r="H36" s="1442"/>
      <c r="I36" s="1442"/>
      <c r="J36" s="1442"/>
      <c r="K36" s="1442"/>
      <c r="L36" s="1442"/>
      <c r="M36" s="1442"/>
      <c r="N36" s="1442"/>
      <c r="O36" s="1442"/>
      <c r="P36" s="1442"/>
      <c r="Q36" s="1442"/>
    </row>
    <row r="37" spans="2:18" ht="18.75" customHeight="1" x14ac:dyDescent="0.3">
      <c r="B37" s="494" t="s">
        <v>434</v>
      </c>
      <c r="C37" s="579">
        <f>IF(C27="RET",C33+(C34-C35),C34-C35)</f>
        <v>0</v>
      </c>
      <c r="D37" s="586" t="s">
        <v>430</v>
      </c>
      <c r="E37" s="1442"/>
      <c r="F37" s="1442"/>
      <c r="G37" s="1442"/>
      <c r="H37" s="1442"/>
      <c r="I37" s="1442"/>
      <c r="J37" s="1442"/>
      <c r="K37" s="1442"/>
      <c r="L37" s="1442"/>
      <c r="M37" s="1442"/>
      <c r="N37" s="1442"/>
      <c r="O37" s="1442"/>
      <c r="P37" s="1442"/>
      <c r="Q37" s="1442"/>
    </row>
    <row r="38" spans="2:18" ht="18.75" customHeight="1" x14ac:dyDescent="0.3">
      <c r="B38" s="577"/>
      <c r="C38" s="578"/>
      <c r="D38" s="580"/>
      <c r="E38" s="578"/>
      <c r="F38" s="578"/>
      <c r="G38" s="578"/>
      <c r="H38" s="578"/>
      <c r="I38" s="578"/>
      <c r="J38" s="578"/>
      <c r="K38" s="578"/>
      <c r="L38" s="578"/>
      <c r="M38" s="578"/>
      <c r="N38" s="578"/>
    </row>
    <row r="39" spans="2:18" ht="18.75" customHeight="1" x14ac:dyDescent="0.3">
      <c r="B39" s="511" t="s">
        <v>435</v>
      </c>
      <c r="C39" s="512"/>
      <c r="D39" s="512"/>
      <c r="E39" s="512"/>
      <c r="F39" s="512"/>
      <c r="G39" s="512"/>
      <c r="H39" s="513"/>
      <c r="I39" s="513"/>
      <c r="J39" s="513"/>
      <c r="K39" s="513"/>
      <c r="L39" s="513"/>
      <c r="M39" s="513"/>
      <c r="N39" s="513"/>
      <c r="O39" s="513"/>
      <c r="P39" s="513"/>
      <c r="Q39" s="514"/>
    </row>
    <row r="41" spans="2:18" ht="18.75" customHeight="1" x14ac:dyDescent="0.3">
      <c r="B41" s="506" t="s">
        <v>436</v>
      </c>
      <c r="C41" s="1376" t="s">
        <v>437</v>
      </c>
      <c r="D41" s="1377"/>
      <c r="E41" s="1377"/>
      <c r="F41" s="1377"/>
      <c r="G41" s="1377"/>
      <c r="H41" s="1377"/>
      <c r="I41" s="1377"/>
      <c r="J41" s="1377"/>
      <c r="K41" s="1377"/>
      <c r="L41" s="1377"/>
      <c r="M41" s="1378"/>
      <c r="N41" s="1188" t="s">
        <v>406</v>
      </c>
      <c r="O41" s="1188" t="s">
        <v>428</v>
      </c>
      <c r="P41" s="1379" t="s">
        <v>419</v>
      </c>
      <c r="Q41" s="1379"/>
    </row>
    <row r="42" spans="2:18" ht="18.75" customHeight="1" x14ac:dyDescent="0.3">
      <c r="B42" s="582" t="s">
        <v>438</v>
      </c>
      <c r="C42" s="1380" t="s">
        <v>439</v>
      </c>
      <c r="D42" s="1381"/>
      <c r="E42" s="1381"/>
      <c r="F42" s="1381"/>
      <c r="G42" s="1381"/>
      <c r="H42" s="1381"/>
      <c r="I42" s="1381"/>
      <c r="J42" s="1381"/>
      <c r="K42" s="1381"/>
      <c r="L42" s="1381"/>
      <c r="M42" s="1382"/>
      <c r="N42" s="584">
        <f>N48+N54</f>
        <v>0</v>
      </c>
      <c r="O42" s="1243" t="s">
        <v>440</v>
      </c>
      <c r="P42" s="1511"/>
      <c r="Q42" s="1511"/>
      <c r="R42" s="488"/>
    </row>
    <row r="43" spans="2:18" ht="18.75" customHeight="1" x14ac:dyDescent="0.3">
      <c r="B43" s="582" t="s">
        <v>441</v>
      </c>
      <c r="C43" s="1380" t="s">
        <v>442</v>
      </c>
      <c r="D43" s="1381"/>
      <c r="E43" s="1381"/>
      <c r="F43" s="1381"/>
      <c r="G43" s="1381"/>
      <c r="H43" s="1381"/>
      <c r="I43" s="1381"/>
      <c r="J43" s="1381"/>
      <c r="K43" s="1381"/>
      <c r="L43" s="1381"/>
      <c r="M43" s="1382"/>
      <c r="N43" s="585">
        <f>N49+N55</f>
        <v>21.232933955083517</v>
      </c>
      <c r="O43" s="1243" t="s">
        <v>443</v>
      </c>
      <c r="P43" s="1511"/>
      <c r="Q43" s="1511"/>
      <c r="R43" s="488"/>
    </row>
    <row r="44" spans="2:18" ht="18.75" customHeight="1" x14ac:dyDescent="0.3">
      <c r="B44" s="582" t="s">
        <v>444</v>
      </c>
      <c r="C44" s="1380" t="s">
        <v>445</v>
      </c>
      <c r="D44" s="1381"/>
      <c r="E44" s="1381"/>
      <c r="F44" s="1381"/>
      <c r="G44" s="1381"/>
      <c r="H44" s="1381"/>
      <c r="I44" s="1381"/>
      <c r="J44" s="1381"/>
      <c r="K44" s="1381"/>
      <c r="L44" s="1381"/>
      <c r="M44" s="1382"/>
      <c r="N44" s="584">
        <f>N50+N56</f>
        <v>0</v>
      </c>
      <c r="O44" s="1243" t="s">
        <v>446</v>
      </c>
      <c r="P44" s="1511"/>
      <c r="Q44" s="1511"/>
      <c r="R44" s="488"/>
    </row>
    <row r="45" spans="2:18" ht="18.75" customHeight="1" x14ac:dyDescent="0.3">
      <c r="B45" s="582" t="s">
        <v>447</v>
      </c>
      <c r="C45" s="1380" t="s">
        <v>448</v>
      </c>
      <c r="D45" s="1381"/>
      <c r="E45" s="1381"/>
      <c r="F45" s="1381"/>
      <c r="G45" s="1381"/>
      <c r="H45" s="1381"/>
      <c r="I45" s="1381"/>
      <c r="J45" s="1381"/>
      <c r="K45" s="1381"/>
      <c r="L45" s="1381"/>
      <c r="M45" s="1382"/>
      <c r="N45" s="584">
        <f>N51+N57</f>
        <v>0</v>
      </c>
      <c r="O45" s="1243" t="s">
        <v>449</v>
      </c>
      <c r="P45" s="1511"/>
      <c r="Q45" s="1511"/>
      <c r="R45" s="488"/>
    </row>
    <row r="46" spans="2:18" ht="18.75" customHeight="1" x14ac:dyDescent="0.3">
      <c r="B46" s="583"/>
      <c r="C46" s="578"/>
      <c r="D46" s="578"/>
      <c r="E46" s="578"/>
      <c r="F46" s="578"/>
      <c r="G46" s="578"/>
      <c r="H46" s="578"/>
      <c r="I46" s="578"/>
      <c r="J46" s="578"/>
      <c r="K46" s="578"/>
      <c r="L46" s="578"/>
      <c r="M46" s="578"/>
      <c r="Q46" s="489"/>
      <c r="R46" s="488"/>
    </row>
    <row r="47" spans="2:18" ht="18.75" customHeight="1" x14ac:dyDescent="0.3">
      <c r="B47" s="506" t="s">
        <v>450</v>
      </c>
      <c r="C47" s="1376" t="s">
        <v>451</v>
      </c>
      <c r="D47" s="1377"/>
      <c r="E47" s="1377"/>
      <c r="F47" s="1377"/>
      <c r="G47" s="1377"/>
      <c r="H47" s="1377"/>
      <c r="I47" s="1377"/>
      <c r="J47" s="1377"/>
      <c r="K47" s="1377"/>
      <c r="L47" s="1377"/>
      <c r="M47" s="1378"/>
      <c r="N47" s="1188" t="s">
        <v>406</v>
      </c>
      <c r="O47" s="1188" t="s">
        <v>428</v>
      </c>
      <c r="P47" s="1379" t="s">
        <v>419</v>
      </c>
      <c r="Q47" s="1379"/>
      <c r="R47" s="488"/>
    </row>
    <row r="48" spans="2:18" ht="18.75" customHeight="1" x14ac:dyDescent="0.3">
      <c r="B48" s="582" t="s">
        <v>452</v>
      </c>
      <c r="C48" s="1504" t="s">
        <v>453</v>
      </c>
      <c r="D48" s="1505"/>
      <c r="E48" s="1505"/>
      <c r="F48" s="1505"/>
      <c r="G48" s="1505"/>
      <c r="H48" s="1505"/>
      <c r="I48" s="1505"/>
      <c r="J48" s="1505"/>
      <c r="K48" s="1505"/>
      <c r="L48" s="1505"/>
      <c r="M48" s="1506"/>
      <c r="N48" s="591"/>
      <c r="O48" s="1243" t="s">
        <v>440</v>
      </c>
      <c r="P48" s="1511"/>
      <c r="Q48" s="1511"/>
      <c r="R48" s="488"/>
    </row>
    <row r="49" spans="2:18" ht="19.5" customHeight="1" x14ac:dyDescent="0.3">
      <c r="B49" s="582" t="s">
        <v>454</v>
      </c>
      <c r="C49" s="1507" t="s">
        <v>544</v>
      </c>
      <c r="D49" s="1508"/>
      <c r="E49" s="1508"/>
      <c r="F49" s="1508"/>
      <c r="G49" s="1508"/>
      <c r="H49" s="1508"/>
      <c r="I49" s="1508"/>
      <c r="J49" s="1508"/>
      <c r="K49" s="1508"/>
      <c r="L49" s="1508"/>
      <c r="M49" s="1509"/>
      <c r="N49" s="592">
        <f>(H62*H63*(1/(H64*(1-H68))-1/(H65*H66*(1-H67))))/1000</f>
        <v>21.232933955083517</v>
      </c>
      <c r="O49" s="1243" t="s">
        <v>443</v>
      </c>
      <c r="P49" s="1510"/>
      <c r="Q49" s="1510"/>
      <c r="R49" s="488"/>
    </row>
    <row r="50" spans="2:18" ht="18.75" customHeight="1" x14ac:dyDescent="0.3">
      <c r="B50" s="582" t="s">
        <v>456</v>
      </c>
      <c r="C50" s="1504" t="s">
        <v>457</v>
      </c>
      <c r="D50" s="1505"/>
      <c r="E50" s="1505"/>
      <c r="F50" s="1505"/>
      <c r="G50" s="1505"/>
      <c r="H50" s="1505"/>
      <c r="I50" s="1505"/>
      <c r="J50" s="1505"/>
      <c r="K50" s="1505"/>
      <c r="L50" s="1505"/>
      <c r="M50" s="1506"/>
      <c r="N50" s="592"/>
      <c r="O50" s="1243" t="s">
        <v>446</v>
      </c>
      <c r="P50" s="1511"/>
      <c r="Q50" s="1511"/>
      <c r="R50" s="488"/>
    </row>
    <row r="51" spans="2:18" ht="18.75" customHeight="1" x14ac:dyDescent="0.3">
      <c r="B51" s="582" t="s">
        <v>458</v>
      </c>
      <c r="C51" s="1504" t="s">
        <v>459</v>
      </c>
      <c r="D51" s="1505"/>
      <c r="E51" s="1505"/>
      <c r="F51" s="1505"/>
      <c r="G51" s="1505"/>
      <c r="H51" s="1505"/>
      <c r="I51" s="1505"/>
      <c r="J51" s="1505"/>
      <c r="K51" s="1505"/>
      <c r="L51" s="1505"/>
      <c r="M51" s="1506"/>
      <c r="N51" s="592"/>
      <c r="O51" s="1243" t="s">
        <v>449</v>
      </c>
      <c r="P51" s="1511"/>
      <c r="Q51" s="1511"/>
      <c r="R51" s="488"/>
    </row>
    <row r="52" spans="2:18" ht="18.75" customHeight="1" x14ac:dyDescent="0.3">
      <c r="B52" s="583"/>
      <c r="C52" s="578"/>
      <c r="D52" s="578"/>
      <c r="E52" s="578"/>
      <c r="F52" s="578"/>
      <c r="G52" s="578"/>
      <c r="H52" s="578"/>
      <c r="I52" s="578"/>
      <c r="J52" s="578"/>
      <c r="K52" s="578"/>
      <c r="L52" s="578"/>
      <c r="M52" s="578"/>
      <c r="Q52" s="489"/>
      <c r="R52" s="488"/>
    </row>
    <row r="53" spans="2:18" s="491" customFormat="1" ht="18.75" customHeight="1" x14ac:dyDescent="0.3">
      <c r="B53" s="506" t="s">
        <v>460</v>
      </c>
      <c r="C53" s="1376" t="s">
        <v>461</v>
      </c>
      <c r="D53" s="1377"/>
      <c r="E53" s="1377"/>
      <c r="F53" s="1377"/>
      <c r="G53" s="1377"/>
      <c r="H53" s="1377"/>
      <c r="I53" s="1377"/>
      <c r="J53" s="1377"/>
      <c r="K53" s="1377"/>
      <c r="L53" s="1377"/>
      <c r="M53" s="1378"/>
      <c r="N53" s="1188" t="s">
        <v>406</v>
      </c>
      <c r="O53" s="1188" t="s">
        <v>428</v>
      </c>
      <c r="P53" s="1379" t="s">
        <v>419</v>
      </c>
      <c r="Q53" s="1379"/>
    </row>
    <row r="54" spans="2:18" s="491" customFormat="1" ht="18.75" customHeight="1" x14ac:dyDescent="0.3">
      <c r="B54" s="531" t="s">
        <v>462</v>
      </c>
      <c r="C54" s="1449" t="s">
        <v>463</v>
      </c>
      <c r="D54" s="1450"/>
      <c r="E54" s="1450"/>
      <c r="F54" s="1450"/>
      <c r="G54" s="1450"/>
      <c r="H54" s="1450"/>
      <c r="I54" s="1450"/>
      <c r="J54" s="1450"/>
      <c r="K54" s="1450"/>
      <c r="L54" s="1450"/>
      <c r="M54" s="1451"/>
      <c r="N54" s="543"/>
      <c r="O54" s="509" t="s">
        <v>440</v>
      </c>
      <c r="P54" s="1447"/>
      <c r="Q54" s="1447"/>
    </row>
    <row r="55" spans="2:18" s="491" customFormat="1" ht="18.75" customHeight="1" x14ac:dyDescent="0.3">
      <c r="B55" s="531" t="s">
        <v>464</v>
      </c>
      <c r="C55" s="1449" t="s">
        <v>465</v>
      </c>
      <c r="D55" s="1450"/>
      <c r="E55" s="1450"/>
      <c r="F55" s="1450"/>
      <c r="G55" s="1450"/>
      <c r="H55" s="1450"/>
      <c r="I55" s="1450"/>
      <c r="J55" s="1450"/>
      <c r="K55" s="1450"/>
      <c r="L55" s="1450"/>
      <c r="M55" s="1451"/>
      <c r="N55" s="593"/>
      <c r="O55" s="509" t="s">
        <v>443</v>
      </c>
      <c r="P55" s="1447"/>
      <c r="Q55" s="1447"/>
    </row>
    <row r="56" spans="2:18" s="491" customFormat="1" ht="18.75" customHeight="1" x14ac:dyDescent="0.3">
      <c r="B56" s="531" t="s">
        <v>466</v>
      </c>
      <c r="C56" s="1504" t="s">
        <v>467</v>
      </c>
      <c r="D56" s="1505"/>
      <c r="E56" s="1505"/>
      <c r="F56" s="1505"/>
      <c r="G56" s="1505"/>
      <c r="H56" s="1505"/>
      <c r="I56" s="1505"/>
      <c r="J56" s="1505"/>
      <c r="K56" s="1505"/>
      <c r="L56" s="1505"/>
      <c r="M56" s="1506"/>
      <c r="N56" s="594"/>
      <c r="O56" s="509" t="s">
        <v>446</v>
      </c>
      <c r="P56" s="1447"/>
      <c r="Q56" s="1447"/>
    </row>
    <row r="57" spans="2:18" s="491" customFormat="1" ht="18.75" customHeight="1" x14ac:dyDescent="0.3">
      <c r="B57" s="531" t="s">
        <v>468</v>
      </c>
      <c r="C57" s="1449" t="s">
        <v>469</v>
      </c>
      <c r="D57" s="1450"/>
      <c r="E57" s="1450"/>
      <c r="F57" s="1450"/>
      <c r="G57" s="1450"/>
      <c r="H57" s="1450"/>
      <c r="I57" s="1450"/>
      <c r="J57" s="1450"/>
      <c r="K57" s="1450"/>
      <c r="L57" s="1450"/>
      <c r="M57" s="1451"/>
      <c r="N57" s="595"/>
      <c r="O57" s="509" t="s">
        <v>449</v>
      </c>
      <c r="P57" s="1447"/>
      <c r="Q57" s="1447"/>
    </row>
    <row r="58" spans="2:18" s="491" customFormat="1" ht="18.75" customHeight="1" x14ac:dyDescent="0.3">
      <c r="B58" s="510"/>
      <c r="C58" s="502"/>
      <c r="D58" s="503"/>
      <c r="E58" s="503"/>
      <c r="F58" s="503"/>
      <c r="G58" s="503"/>
      <c r="H58" s="503"/>
      <c r="I58" s="503"/>
      <c r="J58" s="503"/>
      <c r="K58" s="503"/>
      <c r="L58" s="503"/>
      <c r="M58" s="503"/>
      <c r="N58" s="503"/>
      <c r="O58" s="503"/>
      <c r="R58" s="489"/>
    </row>
    <row r="59" spans="2:18" ht="18.75" customHeight="1" x14ac:dyDescent="0.3">
      <c r="B59" s="511" t="s">
        <v>470</v>
      </c>
      <c r="C59" s="512"/>
      <c r="D59" s="512"/>
      <c r="E59" s="512"/>
      <c r="F59" s="512"/>
      <c r="G59" s="512"/>
      <c r="H59" s="513"/>
      <c r="I59" s="513"/>
      <c r="J59" s="513"/>
      <c r="K59" s="513"/>
      <c r="L59" s="513"/>
      <c r="M59" s="513"/>
      <c r="N59" s="513"/>
      <c r="O59" s="513"/>
      <c r="P59" s="513"/>
      <c r="Q59" s="514"/>
    </row>
    <row r="61" spans="2:18" ht="18.75" customHeight="1" x14ac:dyDescent="0.3">
      <c r="B61" s="506" t="s">
        <v>471</v>
      </c>
      <c r="C61" s="506" t="s">
        <v>472</v>
      </c>
      <c r="D61" s="1395" t="s">
        <v>473</v>
      </c>
      <c r="E61" s="1395"/>
      <c r="F61" s="506" t="s">
        <v>474</v>
      </c>
      <c r="G61" s="506" t="s">
        <v>475</v>
      </c>
      <c r="H61" s="1188" t="s">
        <v>406</v>
      </c>
      <c r="I61" s="1188" t="s">
        <v>428</v>
      </c>
      <c r="J61" s="1396" t="s">
        <v>476</v>
      </c>
      <c r="K61" s="1397"/>
      <c r="L61" s="1397"/>
      <c r="M61" s="1397"/>
      <c r="N61" s="1397"/>
      <c r="O61" s="1397"/>
      <c r="P61" s="1397"/>
      <c r="Q61" s="1398"/>
    </row>
    <row r="62" spans="2:18" ht="13.9" customHeight="1" x14ac:dyDescent="0.3">
      <c r="B62" s="533">
        <v>1</v>
      </c>
      <c r="C62" s="546" t="s">
        <v>545</v>
      </c>
      <c r="D62" s="1468" t="s">
        <v>546</v>
      </c>
      <c r="E62" s="1469"/>
      <c r="F62" s="1238" t="str">
        <f>C28</f>
        <v>Home - detached</v>
      </c>
      <c r="G62" s="547" t="str">
        <f>$C$26</f>
        <v>Average</v>
      </c>
      <c r="H62" s="596">
        <f>INDEX(EFLC[#All],MATCH(F62,EFLC[[#All],[EFLC]],0),MATCH(G62,EFLC[#Headers],0))</f>
        <v>102.21882660823093</v>
      </c>
      <c r="I62" s="1238" t="s">
        <v>532</v>
      </c>
      <c r="J62" s="1462" t="s">
        <v>533</v>
      </c>
      <c r="K62" s="1470"/>
      <c r="L62" s="1470"/>
      <c r="M62" s="1470"/>
      <c r="N62" s="1470"/>
      <c r="O62" s="1470"/>
      <c r="P62" s="1470"/>
      <c r="Q62" s="1471"/>
      <c r="R62" s="488"/>
    </row>
    <row r="63" spans="2:18" ht="27" customHeight="1" x14ac:dyDescent="0.3">
      <c r="B63" s="535">
        <v>2</v>
      </c>
      <c r="C63" s="551" t="s">
        <v>534</v>
      </c>
      <c r="D63" s="1482" t="s">
        <v>547</v>
      </c>
      <c r="E63" s="1483"/>
      <c r="F63" s="552"/>
      <c r="G63" s="552"/>
      <c r="H63" s="597">
        <v>12000</v>
      </c>
      <c r="I63" s="552" t="s">
        <v>536</v>
      </c>
      <c r="J63" s="1482" t="s">
        <v>548</v>
      </c>
      <c r="K63" s="1484"/>
      <c r="L63" s="1484"/>
      <c r="M63" s="1484"/>
      <c r="N63" s="1484"/>
      <c r="O63" s="1484"/>
      <c r="P63" s="1484"/>
      <c r="Q63" s="1483"/>
      <c r="R63" s="488"/>
    </row>
    <row r="64" spans="2:18" ht="13" x14ac:dyDescent="0.3">
      <c r="B64" s="533">
        <v>3</v>
      </c>
      <c r="C64" s="549" t="s">
        <v>549</v>
      </c>
      <c r="D64" s="1462" t="s">
        <v>550</v>
      </c>
      <c r="E64" s="1463"/>
      <c r="F64" s="1238"/>
      <c r="G64" s="1238"/>
      <c r="H64" s="598">
        <f>SpaceCoolingEfficiency.R.SEER</f>
        <v>13</v>
      </c>
      <c r="I64" s="1238" t="s">
        <v>551</v>
      </c>
      <c r="J64" s="1465" t="s">
        <v>552</v>
      </c>
      <c r="K64" s="1466"/>
      <c r="L64" s="1466"/>
      <c r="M64" s="1466"/>
      <c r="N64" s="1466"/>
      <c r="O64" s="1466"/>
      <c r="P64" s="1466"/>
      <c r="Q64" s="1467"/>
      <c r="R64" s="488"/>
    </row>
    <row r="65" spans="2:17" s="488" customFormat="1" ht="13" x14ac:dyDescent="0.3">
      <c r="B65" s="534">
        <v>4</v>
      </c>
      <c r="C65" s="549" t="s">
        <v>553</v>
      </c>
      <c r="D65" s="1462" t="s">
        <v>554</v>
      </c>
      <c r="E65" s="1463"/>
      <c r="F65" s="1238"/>
      <c r="G65" s="1238"/>
      <c r="H65" s="598">
        <v>17</v>
      </c>
      <c r="I65" s="1238" t="s">
        <v>551</v>
      </c>
      <c r="J65" s="1462" t="s">
        <v>555</v>
      </c>
      <c r="K65" s="1464"/>
      <c r="L65" s="1464"/>
      <c r="M65" s="1464"/>
      <c r="N65" s="1464"/>
      <c r="O65" s="1464"/>
      <c r="P65" s="1464"/>
      <c r="Q65" s="1463"/>
    </row>
    <row r="66" spans="2:17" s="488" customFormat="1" ht="13" x14ac:dyDescent="0.3">
      <c r="B66" s="534">
        <v>5</v>
      </c>
      <c r="C66" s="546" t="s">
        <v>556</v>
      </c>
      <c r="D66" s="1468" t="s">
        <v>557</v>
      </c>
      <c r="E66" s="1469"/>
      <c r="F66" s="1217"/>
      <c r="G66" s="1217"/>
      <c r="H66" s="554">
        <f>0.805*(H69/H65)+0.367</f>
        <v>0.95891176470588246</v>
      </c>
      <c r="I66" s="1217" t="s">
        <v>519</v>
      </c>
      <c r="J66" s="1479" t="s">
        <v>558</v>
      </c>
      <c r="K66" s="1480"/>
      <c r="L66" s="1480"/>
      <c r="M66" s="1480"/>
      <c r="N66" s="1480"/>
      <c r="O66" s="1480"/>
      <c r="P66" s="1480"/>
      <c r="Q66" s="1481"/>
    </row>
    <row r="67" spans="2:17" s="488" customFormat="1" ht="13" x14ac:dyDescent="0.3">
      <c r="B67" s="534">
        <v>6</v>
      </c>
      <c r="C67" s="546" t="s">
        <v>559</v>
      </c>
      <c r="D67" s="1468" t="s">
        <v>560</v>
      </c>
      <c r="E67" s="1469"/>
      <c r="F67" s="1217"/>
      <c r="G67" s="1217"/>
      <c r="H67" s="554">
        <v>0.1</v>
      </c>
      <c r="I67" s="1217" t="s">
        <v>519</v>
      </c>
      <c r="J67" s="1468" t="s">
        <v>561</v>
      </c>
      <c r="K67" s="1478"/>
      <c r="L67" s="1478"/>
      <c r="M67" s="1478"/>
      <c r="N67" s="1478"/>
      <c r="O67" s="1478"/>
      <c r="P67" s="1478"/>
      <c r="Q67" s="1469"/>
    </row>
    <row r="68" spans="2:17" s="488" customFormat="1" ht="13.9" customHeight="1" x14ac:dyDescent="0.3">
      <c r="B68" s="533">
        <v>7</v>
      </c>
      <c r="C68" s="546" t="s">
        <v>562</v>
      </c>
      <c r="D68" s="1468" t="s">
        <v>563</v>
      </c>
      <c r="E68" s="1469"/>
      <c r="F68" s="1217"/>
      <c r="G68" s="1217"/>
      <c r="H68" s="554">
        <v>0.1</v>
      </c>
      <c r="I68" s="1217" t="s">
        <v>519</v>
      </c>
      <c r="J68" s="1468" t="s">
        <v>564</v>
      </c>
      <c r="K68" s="1478"/>
      <c r="L68" s="1478"/>
      <c r="M68" s="1478"/>
      <c r="N68" s="1478"/>
      <c r="O68" s="1478"/>
      <c r="P68" s="1478"/>
      <c r="Q68" s="1469"/>
    </row>
    <row r="69" spans="2:17" s="488" customFormat="1" ht="13" x14ac:dyDescent="0.3">
      <c r="B69" s="533">
        <v>8</v>
      </c>
      <c r="C69" s="546" t="s">
        <v>565</v>
      </c>
      <c r="D69" s="1468" t="s">
        <v>566</v>
      </c>
      <c r="E69" s="1469"/>
      <c r="F69" s="1217"/>
      <c r="G69" s="1217"/>
      <c r="H69" s="1217">
        <v>12.5</v>
      </c>
      <c r="I69" s="1238" t="s">
        <v>551</v>
      </c>
      <c r="J69" s="1468" t="s">
        <v>567</v>
      </c>
      <c r="K69" s="1478"/>
      <c r="L69" s="1478"/>
      <c r="M69" s="1478"/>
      <c r="N69" s="1478"/>
      <c r="O69" s="1478"/>
      <c r="P69" s="1478"/>
      <c r="Q69" s="1469"/>
    </row>
    <row r="70" spans="2:17" s="488" customFormat="1" ht="13" x14ac:dyDescent="0.3">
      <c r="B70" s="533">
        <v>9</v>
      </c>
      <c r="C70" s="555"/>
      <c r="D70" s="1437"/>
      <c r="E70" s="1438"/>
      <c r="F70" s="556"/>
      <c r="G70" s="557"/>
      <c r="H70" s="556"/>
      <c r="I70" s="557"/>
      <c r="J70" s="1437"/>
      <c r="K70" s="1448"/>
      <c r="L70" s="1448"/>
      <c r="M70" s="1448"/>
      <c r="N70" s="1448"/>
      <c r="O70" s="1448"/>
      <c r="P70" s="1448"/>
      <c r="Q70" s="1438"/>
    </row>
    <row r="71" spans="2:17" s="488" customFormat="1" ht="13" x14ac:dyDescent="0.3">
      <c r="B71" s="533">
        <v>10</v>
      </c>
      <c r="C71" s="555"/>
      <c r="D71" s="1437"/>
      <c r="E71" s="1438"/>
      <c r="F71" s="556"/>
      <c r="G71" s="557"/>
      <c r="H71" s="556"/>
      <c r="I71" s="557"/>
      <c r="J71" s="1437"/>
      <c r="K71" s="1448"/>
      <c r="L71" s="1448"/>
      <c r="M71" s="1448"/>
      <c r="N71" s="1448"/>
      <c r="O71" s="1448"/>
      <c r="P71" s="1448"/>
      <c r="Q71" s="1438"/>
    </row>
    <row r="72" spans="2:17" s="491" customFormat="1" ht="13" x14ac:dyDescent="0.3">
      <c r="B72" s="536">
        <v>11</v>
      </c>
      <c r="C72" s="555"/>
      <c r="D72" s="1437"/>
      <c r="E72" s="1438"/>
      <c r="F72" s="556"/>
      <c r="G72" s="557"/>
      <c r="H72" s="556"/>
      <c r="I72" s="557"/>
      <c r="J72" s="1437"/>
      <c r="K72" s="1448"/>
      <c r="L72" s="1448"/>
      <c r="M72" s="1448"/>
      <c r="N72" s="1448"/>
      <c r="O72" s="1448"/>
      <c r="P72" s="1448"/>
      <c r="Q72" s="1438"/>
    </row>
    <row r="73" spans="2:17" s="491" customFormat="1" ht="13" x14ac:dyDescent="0.3">
      <c r="B73" s="536">
        <v>12</v>
      </c>
      <c r="C73" s="555"/>
      <c r="D73" s="1437"/>
      <c r="E73" s="1438"/>
      <c r="F73" s="556"/>
      <c r="G73" s="557"/>
      <c r="H73" s="558"/>
      <c r="I73" s="557"/>
      <c r="J73" s="1472"/>
      <c r="K73" s="1473"/>
      <c r="L73" s="1473"/>
      <c r="M73" s="1473"/>
      <c r="N73" s="1473"/>
      <c r="O73" s="1473"/>
      <c r="P73" s="1473"/>
      <c r="Q73" s="1474"/>
    </row>
    <row r="74" spans="2:17" s="491" customFormat="1" ht="13" x14ac:dyDescent="0.3">
      <c r="B74" s="536">
        <v>13</v>
      </c>
      <c r="C74" s="555"/>
      <c r="D74" s="1437"/>
      <c r="E74" s="1438"/>
      <c r="F74" s="556"/>
      <c r="G74" s="557"/>
      <c r="H74" s="556"/>
      <c r="I74" s="557"/>
      <c r="J74" s="1472"/>
      <c r="K74" s="1473"/>
      <c r="L74" s="1473"/>
      <c r="M74" s="1473"/>
      <c r="N74" s="1473"/>
      <c r="O74" s="1473"/>
      <c r="P74" s="1473"/>
      <c r="Q74" s="1474"/>
    </row>
    <row r="75" spans="2:17" s="489" customFormat="1" ht="13.15" customHeight="1" x14ac:dyDescent="0.3">
      <c r="B75" s="536">
        <v>14</v>
      </c>
      <c r="C75" s="555"/>
      <c r="D75" s="1437"/>
      <c r="E75" s="1438"/>
      <c r="F75" s="556"/>
      <c r="G75" s="557"/>
      <c r="H75" s="556"/>
      <c r="I75" s="557"/>
      <c r="J75" s="1472"/>
      <c r="K75" s="1473"/>
      <c r="L75" s="1473"/>
      <c r="M75" s="1473"/>
      <c r="N75" s="1473"/>
      <c r="O75" s="1473"/>
      <c r="P75" s="1473"/>
      <c r="Q75" s="1474"/>
    </row>
    <row r="76" spans="2:17" s="489" customFormat="1" ht="13" x14ac:dyDescent="0.3">
      <c r="B76" s="536">
        <v>15</v>
      </c>
      <c r="C76" s="555"/>
      <c r="D76" s="1437"/>
      <c r="E76" s="1438"/>
      <c r="F76" s="556"/>
      <c r="G76" s="557"/>
      <c r="H76" s="559"/>
      <c r="I76" s="557"/>
      <c r="J76" s="1472"/>
      <c r="K76" s="1473"/>
      <c r="L76" s="1473"/>
      <c r="M76" s="1473"/>
      <c r="N76" s="1473"/>
      <c r="O76" s="1473"/>
      <c r="P76" s="1473"/>
      <c r="Q76" s="1474"/>
    </row>
    <row r="77" spans="2:17" s="488" customFormat="1" ht="18.75" customHeight="1" x14ac:dyDescent="0.3"/>
    <row r="78" spans="2:17" s="488" customFormat="1" ht="18.75" customHeight="1" x14ac:dyDescent="0.3">
      <c r="B78" s="511" t="s">
        <v>477</v>
      </c>
      <c r="C78" s="512"/>
      <c r="D78" s="512"/>
      <c r="E78" s="512"/>
      <c r="F78" s="512"/>
      <c r="G78" s="512"/>
      <c r="H78" s="513"/>
      <c r="I78" s="513"/>
      <c r="J78" s="513"/>
      <c r="K78" s="513"/>
      <c r="L78" s="513"/>
      <c r="M78" s="513"/>
      <c r="N78" s="513"/>
      <c r="O78" s="513"/>
      <c r="P78" s="513"/>
      <c r="Q78" s="514"/>
    </row>
    <row r="79" spans="2:17" s="488" customFormat="1" ht="18.75" customHeight="1" x14ac:dyDescent="0.3"/>
    <row r="80" spans="2:17" s="488" customFormat="1" ht="18.75" customHeight="1" x14ac:dyDescent="0.3">
      <c r="B80" s="506" t="s">
        <v>478</v>
      </c>
      <c r="C80" s="506" t="s">
        <v>479</v>
      </c>
      <c r="D80" s="1187" t="s">
        <v>406</v>
      </c>
      <c r="E80" s="1181" t="s">
        <v>428</v>
      </c>
      <c r="F80" s="1413" t="s">
        <v>476</v>
      </c>
      <c r="G80" s="1414"/>
      <c r="H80" s="1414"/>
      <c r="I80" s="1414"/>
      <c r="J80" s="1414"/>
      <c r="K80" s="1414"/>
      <c r="L80" s="1414"/>
      <c r="M80" s="1414"/>
      <c r="N80" s="1414"/>
      <c r="O80" s="1414"/>
      <c r="P80" s="1414"/>
      <c r="Q80" s="1415"/>
    </row>
    <row r="81" spans="2:17" s="488" customFormat="1" ht="13" x14ac:dyDescent="0.3">
      <c r="B81" s="533">
        <v>1</v>
      </c>
      <c r="C81" s="560"/>
      <c r="D81" s="561"/>
      <c r="E81" s="1233"/>
      <c r="F81" s="1486"/>
      <c r="G81" s="1487"/>
      <c r="H81" s="1487"/>
      <c r="I81" s="1487"/>
      <c r="J81" s="1487"/>
      <c r="K81" s="1487"/>
      <c r="L81" s="1487"/>
      <c r="M81" s="1487"/>
      <c r="N81" s="1487"/>
      <c r="O81" s="1487"/>
      <c r="P81" s="1487"/>
      <c r="Q81" s="1488"/>
    </row>
    <row r="82" spans="2:17" s="488" customFormat="1" ht="13" x14ac:dyDescent="0.3">
      <c r="B82" s="533">
        <v>2</v>
      </c>
      <c r="C82" s="560"/>
      <c r="D82" s="562"/>
      <c r="E82" s="1233"/>
      <c r="F82" s="1489"/>
      <c r="G82" s="1490"/>
      <c r="H82" s="1490"/>
      <c r="I82" s="1490"/>
      <c r="J82" s="1490"/>
      <c r="K82" s="1490"/>
      <c r="L82" s="1490"/>
      <c r="M82" s="1490"/>
      <c r="N82" s="1490"/>
      <c r="O82" s="1490"/>
      <c r="P82" s="1490"/>
      <c r="Q82" s="1491"/>
    </row>
    <row r="83" spans="2:17" s="488" customFormat="1" ht="13" x14ac:dyDescent="0.3">
      <c r="B83" s="533">
        <v>3</v>
      </c>
      <c r="C83" s="560"/>
      <c r="D83" s="562"/>
      <c r="E83" s="1233"/>
      <c r="F83" s="1489"/>
      <c r="G83" s="1490"/>
      <c r="H83" s="1490"/>
      <c r="I83" s="1490"/>
      <c r="J83" s="1490"/>
      <c r="K83" s="1490"/>
      <c r="L83" s="1490"/>
      <c r="M83" s="1490"/>
      <c r="N83" s="1490"/>
      <c r="O83" s="1490"/>
      <c r="P83" s="1490"/>
      <c r="Q83" s="1491"/>
    </row>
    <row r="84" spans="2:17" s="488" customFormat="1" ht="13" x14ac:dyDescent="0.3">
      <c r="B84" s="533">
        <v>4</v>
      </c>
      <c r="C84" s="560"/>
      <c r="D84" s="562"/>
      <c r="E84" s="1233"/>
      <c r="F84" s="1489"/>
      <c r="G84" s="1490"/>
      <c r="H84" s="1490"/>
      <c r="I84" s="1490"/>
      <c r="J84" s="1490"/>
      <c r="K84" s="1490"/>
      <c r="L84" s="1490"/>
      <c r="M84" s="1490"/>
      <c r="N84" s="1490"/>
      <c r="O84" s="1490"/>
      <c r="P84" s="1490"/>
      <c r="Q84" s="1491"/>
    </row>
    <row r="85" spans="2:17" s="488" customFormat="1" ht="13" x14ac:dyDescent="0.3">
      <c r="B85" s="533">
        <v>5</v>
      </c>
      <c r="C85" s="560"/>
      <c r="D85" s="562"/>
      <c r="E85" s="1233"/>
      <c r="F85" s="1489"/>
      <c r="G85" s="1490"/>
      <c r="H85" s="1490"/>
      <c r="I85" s="1490"/>
      <c r="J85" s="1490"/>
      <c r="K85" s="1490"/>
      <c r="L85" s="1490"/>
      <c r="M85" s="1490"/>
      <c r="N85" s="1490"/>
      <c r="O85" s="1490"/>
      <c r="P85" s="1490"/>
      <c r="Q85" s="1491"/>
    </row>
    <row r="86" spans="2:17" s="488" customFormat="1" ht="13" x14ac:dyDescent="0.3">
      <c r="B86" s="533">
        <v>6</v>
      </c>
      <c r="C86" s="563"/>
      <c r="D86" s="562"/>
      <c r="E86" s="1233"/>
      <c r="F86" s="1489"/>
      <c r="G86" s="1490"/>
      <c r="H86" s="1490"/>
      <c r="I86" s="1490"/>
      <c r="J86" s="1490"/>
      <c r="K86" s="1490"/>
      <c r="L86" s="1490"/>
      <c r="M86" s="1490"/>
      <c r="N86" s="1490"/>
      <c r="O86" s="1490"/>
      <c r="P86" s="1490"/>
      <c r="Q86" s="1491"/>
    </row>
    <row r="87" spans="2:17" s="488" customFormat="1" ht="13" x14ac:dyDescent="0.3">
      <c r="B87" s="533">
        <v>7</v>
      </c>
      <c r="C87" s="563"/>
      <c r="D87" s="1233"/>
      <c r="E87" s="1233"/>
      <c r="F87" s="1489"/>
      <c r="G87" s="1490"/>
      <c r="H87" s="1490"/>
      <c r="I87" s="1490"/>
      <c r="J87" s="1490"/>
      <c r="K87" s="1490"/>
      <c r="L87" s="1490"/>
      <c r="M87" s="1490"/>
      <c r="N87" s="1490"/>
      <c r="O87" s="1490"/>
      <c r="P87" s="1490"/>
      <c r="Q87" s="1491"/>
    </row>
    <row r="88" spans="2:17" s="488" customFormat="1" ht="13" x14ac:dyDescent="0.3">
      <c r="B88" s="533">
        <v>8</v>
      </c>
      <c r="C88" s="563"/>
      <c r="D88" s="564"/>
      <c r="E88" s="1233"/>
      <c r="F88" s="1489"/>
      <c r="G88" s="1490"/>
      <c r="H88" s="1490"/>
      <c r="I88" s="1490"/>
      <c r="J88" s="1490"/>
      <c r="K88" s="1490"/>
      <c r="L88" s="1490"/>
      <c r="M88" s="1490"/>
      <c r="N88" s="1490"/>
      <c r="O88" s="1490"/>
      <c r="P88" s="1490"/>
      <c r="Q88" s="1491"/>
    </row>
    <row r="89" spans="2:17" s="488" customFormat="1" ht="13" x14ac:dyDescent="0.3">
      <c r="B89" s="533">
        <v>9</v>
      </c>
      <c r="C89" s="563"/>
      <c r="D89" s="1233"/>
      <c r="E89" s="1233"/>
      <c r="F89" s="1489"/>
      <c r="G89" s="1490"/>
      <c r="H89" s="1490"/>
      <c r="I89" s="1490"/>
      <c r="J89" s="1490"/>
      <c r="K89" s="1490"/>
      <c r="L89" s="1490"/>
      <c r="M89" s="1490"/>
      <c r="N89" s="1490"/>
      <c r="O89" s="1490"/>
      <c r="P89" s="1490"/>
      <c r="Q89" s="1491"/>
    </row>
    <row r="90" spans="2:17" s="488" customFormat="1" ht="13" x14ac:dyDescent="0.3">
      <c r="B90" s="533">
        <v>10</v>
      </c>
      <c r="C90" s="563"/>
      <c r="D90" s="564"/>
      <c r="E90" s="1233"/>
      <c r="F90" s="1489"/>
      <c r="G90" s="1490"/>
      <c r="H90" s="1490"/>
      <c r="I90" s="1490"/>
      <c r="J90" s="1490"/>
      <c r="K90" s="1490"/>
      <c r="L90" s="1490"/>
      <c r="M90" s="1490"/>
      <c r="N90" s="1490"/>
      <c r="O90" s="1490"/>
      <c r="P90" s="1490"/>
      <c r="Q90" s="1491"/>
    </row>
    <row r="91" spans="2:17" s="488" customFormat="1" ht="18.75" customHeight="1" x14ac:dyDescent="0.3"/>
    <row r="92" spans="2:17" s="488" customFormat="1" ht="18.75" customHeight="1" x14ac:dyDescent="0.3">
      <c r="B92" s="511" t="s">
        <v>492</v>
      </c>
      <c r="C92" s="512"/>
      <c r="D92" s="512"/>
      <c r="E92" s="512"/>
      <c r="F92" s="512"/>
      <c r="G92" s="512"/>
      <c r="H92" s="513"/>
      <c r="I92" s="513"/>
      <c r="J92" s="513"/>
      <c r="K92" s="513"/>
      <c r="L92" s="513"/>
      <c r="M92" s="513"/>
      <c r="N92" s="513"/>
      <c r="O92" s="513"/>
      <c r="P92" s="513"/>
      <c r="Q92" s="514"/>
    </row>
    <row r="93" spans="2:17" s="488" customFormat="1" ht="18.75" customHeight="1" x14ac:dyDescent="0.3"/>
    <row r="94" spans="2:17" s="488" customFormat="1" ht="18.75" customHeight="1" x14ac:dyDescent="0.3">
      <c r="B94" s="523" t="s">
        <v>493</v>
      </c>
      <c r="E94" s="1402" t="s">
        <v>494</v>
      </c>
      <c r="F94" s="1403"/>
      <c r="G94" s="1403"/>
      <c r="H94" s="1403"/>
      <c r="I94" s="1403"/>
      <c r="J94" s="1403"/>
      <c r="K94" s="1403"/>
      <c r="L94" s="1403"/>
      <c r="M94" s="1403"/>
      <c r="N94" s="1403"/>
      <c r="O94" s="1404" t="s">
        <v>476</v>
      </c>
      <c r="P94" s="1405"/>
      <c r="Q94" s="1406"/>
    </row>
    <row r="95" spans="2:17" s="488" customFormat="1" ht="25.5" customHeight="1" x14ac:dyDescent="0.3">
      <c r="B95" s="1498" t="s">
        <v>568</v>
      </c>
      <c r="C95" s="1499"/>
      <c r="D95" s="1500"/>
      <c r="E95" s="524" t="s">
        <v>495</v>
      </c>
      <c r="F95" s="524" t="s">
        <v>496</v>
      </c>
      <c r="G95" s="524" t="s">
        <v>497</v>
      </c>
      <c r="H95" s="524" t="s">
        <v>498</v>
      </c>
      <c r="I95" s="524" t="s">
        <v>499</v>
      </c>
      <c r="J95" s="524" t="s">
        <v>500</v>
      </c>
      <c r="K95" s="524" t="s">
        <v>501</v>
      </c>
      <c r="L95" s="524" t="s">
        <v>502</v>
      </c>
      <c r="M95" s="524" t="s">
        <v>503</v>
      </c>
      <c r="N95" s="1180" t="s">
        <v>504</v>
      </c>
      <c r="O95" s="1407"/>
      <c r="P95" s="1485"/>
      <c r="Q95" s="1409"/>
    </row>
    <row r="96" spans="2:17" s="488" customFormat="1" ht="25.5" customHeight="1" x14ac:dyDescent="0.3">
      <c r="B96" s="1188" t="s">
        <v>478</v>
      </c>
      <c r="C96" s="1402" t="s">
        <v>505</v>
      </c>
      <c r="D96" s="1431"/>
      <c r="E96" s="565" t="s">
        <v>534</v>
      </c>
      <c r="F96" s="565"/>
      <c r="G96" s="565"/>
      <c r="H96" s="565"/>
      <c r="I96" s="565"/>
      <c r="J96" s="565"/>
      <c r="K96" s="565"/>
      <c r="L96" s="565"/>
      <c r="M96" s="565"/>
      <c r="N96" s="566"/>
      <c r="O96" s="1410"/>
      <c r="P96" s="1411"/>
      <c r="Q96" s="1412"/>
    </row>
    <row r="97" spans="2:17" s="488" customFormat="1" ht="13" x14ac:dyDescent="0.3">
      <c r="B97" s="533">
        <v>1</v>
      </c>
      <c r="C97" s="546" t="s">
        <v>569</v>
      </c>
      <c r="D97" s="546"/>
      <c r="E97" s="567">
        <v>33600</v>
      </c>
      <c r="F97" s="1190"/>
      <c r="G97" s="1190"/>
      <c r="H97" s="1190"/>
      <c r="I97" s="568"/>
      <c r="J97" s="568"/>
      <c r="K97" s="568"/>
      <c r="L97" s="568"/>
      <c r="M97" s="568"/>
      <c r="N97" s="568"/>
      <c r="O97" s="1501"/>
      <c r="P97" s="1502"/>
      <c r="Q97" s="1503"/>
    </row>
    <row r="98" spans="2:17" s="488" customFormat="1" ht="13" x14ac:dyDescent="0.3">
      <c r="B98" s="533">
        <v>2</v>
      </c>
      <c r="C98" s="546" t="s">
        <v>30</v>
      </c>
      <c r="D98" s="546"/>
      <c r="E98" s="567">
        <v>28000</v>
      </c>
      <c r="F98" s="1190"/>
      <c r="G98" s="1190"/>
      <c r="H98" s="1190"/>
      <c r="I98" s="568"/>
      <c r="J98" s="568"/>
      <c r="K98" s="568"/>
      <c r="L98" s="568"/>
      <c r="M98" s="568"/>
      <c r="N98" s="568"/>
      <c r="O98" s="1495"/>
      <c r="P98" s="1496"/>
      <c r="Q98" s="1497"/>
    </row>
    <row r="99" spans="2:17" s="488" customFormat="1" ht="13" x14ac:dyDescent="0.3">
      <c r="B99" s="533">
        <v>3</v>
      </c>
      <c r="C99" s="546" t="s">
        <v>570</v>
      </c>
      <c r="D99" s="546"/>
      <c r="E99" s="567">
        <v>31864</v>
      </c>
      <c r="F99" s="1190"/>
      <c r="G99" s="1190"/>
      <c r="H99" s="1190"/>
      <c r="I99" s="568"/>
      <c r="J99" s="568"/>
      <c r="K99" s="568"/>
      <c r="L99" s="568"/>
      <c r="M99" s="568"/>
      <c r="N99" s="568"/>
      <c r="O99" s="1495"/>
      <c r="P99" s="1496"/>
      <c r="Q99" s="1497"/>
    </row>
    <row r="100" spans="2:17" s="488" customFormat="1" ht="13" x14ac:dyDescent="0.3">
      <c r="B100" s="533">
        <v>4</v>
      </c>
      <c r="C100" s="546"/>
      <c r="D100" s="546"/>
      <c r="E100" s="1190"/>
      <c r="F100" s="1190"/>
      <c r="G100" s="1190"/>
      <c r="H100" s="1190"/>
      <c r="I100" s="568"/>
      <c r="J100" s="568"/>
      <c r="K100" s="568"/>
      <c r="L100" s="568"/>
      <c r="M100" s="568"/>
      <c r="N100" s="568"/>
      <c r="O100" s="1495"/>
      <c r="P100" s="1496"/>
      <c r="Q100" s="1497"/>
    </row>
    <row r="101" spans="2:17" s="488" customFormat="1" ht="13" x14ac:dyDescent="0.3">
      <c r="B101" s="533">
        <v>5</v>
      </c>
      <c r="C101" s="546"/>
      <c r="D101" s="546"/>
      <c r="E101" s="1190"/>
      <c r="F101" s="1190"/>
      <c r="G101" s="1190"/>
      <c r="H101" s="1190"/>
      <c r="I101" s="568"/>
      <c r="J101" s="568"/>
      <c r="K101" s="568"/>
      <c r="L101" s="568"/>
      <c r="M101" s="568"/>
      <c r="N101" s="568"/>
      <c r="O101" s="1495"/>
      <c r="P101" s="1496"/>
      <c r="Q101" s="1497"/>
    </row>
    <row r="102" spans="2:17" s="488" customFormat="1" ht="13" x14ac:dyDescent="0.3">
      <c r="B102" s="533">
        <v>6</v>
      </c>
      <c r="C102" s="546"/>
      <c r="D102" s="546"/>
      <c r="E102" s="1190"/>
      <c r="F102" s="1190"/>
      <c r="G102" s="1190"/>
      <c r="H102" s="1190"/>
      <c r="I102" s="569"/>
      <c r="J102" s="569"/>
      <c r="K102" s="569"/>
      <c r="L102" s="569"/>
      <c r="M102" s="569"/>
      <c r="N102" s="569"/>
      <c r="O102" s="1492"/>
      <c r="P102" s="1493"/>
      <c r="Q102" s="1494"/>
    </row>
    <row r="103" spans="2:17" s="488" customFormat="1" ht="13" x14ac:dyDescent="0.3">
      <c r="B103" s="533">
        <v>7</v>
      </c>
      <c r="C103" s="546"/>
      <c r="D103" s="570"/>
      <c r="E103" s="1190"/>
      <c r="F103" s="1190"/>
      <c r="G103" s="1190"/>
      <c r="H103" s="1190"/>
      <c r="I103" s="569"/>
      <c r="J103" s="569"/>
      <c r="K103" s="569"/>
      <c r="L103" s="569"/>
      <c r="M103" s="569"/>
      <c r="N103" s="569"/>
      <c r="O103" s="1492"/>
      <c r="P103" s="1493"/>
      <c r="Q103" s="1494"/>
    </row>
    <row r="104" spans="2:17" s="488" customFormat="1" ht="13" x14ac:dyDescent="0.3">
      <c r="B104" s="533">
        <v>8</v>
      </c>
      <c r="C104" s="546"/>
      <c r="D104" s="570"/>
      <c r="E104" s="1190"/>
      <c r="F104" s="569"/>
      <c r="G104" s="569"/>
      <c r="H104" s="569"/>
      <c r="I104" s="569"/>
      <c r="J104" s="569"/>
      <c r="K104" s="569"/>
      <c r="L104" s="569"/>
      <c r="M104" s="569"/>
      <c r="N104" s="569"/>
      <c r="O104" s="1492"/>
      <c r="P104" s="1493"/>
      <c r="Q104" s="1494"/>
    </row>
    <row r="105" spans="2:17" s="488" customFormat="1" ht="13" x14ac:dyDescent="0.3">
      <c r="B105" s="533">
        <v>9</v>
      </c>
      <c r="C105" s="546"/>
      <c r="D105" s="570"/>
      <c r="E105" s="1190"/>
      <c r="F105" s="1217"/>
      <c r="G105" s="1217"/>
      <c r="H105" s="1217"/>
      <c r="I105" s="569"/>
      <c r="J105" s="569"/>
      <c r="K105" s="569"/>
      <c r="L105" s="569"/>
      <c r="M105" s="569"/>
      <c r="N105" s="569"/>
      <c r="O105" s="1492"/>
      <c r="P105" s="1493"/>
      <c r="Q105" s="1494"/>
    </row>
    <row r="106" spans="2:17" s="488" customFormat="1" ht="13" x14ac:dyDescent="0.3">
      <c r="B106" s="533">
        <v>10</v>
      </c>
      <c r="C106" s="546"/>
      <c r="D106" s="570"/>
      <c r="E106" s="1217"/>
      <c r="F106" s="1217"/>
      <c r="G106" s="1217"/>
      <c r="H106" s="1217"/>
      <c r="I106" s="569"/>
      <c r="J106" s="569"/>
      <c r="K106" s="569"/>
      <c r="L106" s="569"/>
      <c r="M106" s="569"/>
      <c r="N106" s="569"/>
      <c r="O106" s="1492"/>
      <c r="P106" s="1493"/>
      <c r="Q106" s="1494"/>
    </row>
    <row r="107" spans="2:17" s="488" customFormat="1" ht="13" x14ac:dyDescent="0.3">
      <c r="B107" s="533">
        <v>11</v>
      </c>
      <c r="C107" s="546"/>
      <c r="D107" s="570"/>
      <c r="E107" s="571"/>
      <c r="F107" s="1190"/>
      <c r="G107" s="571"/>
      <c r="H107" s="571"/>
      <c r="I107" s="569"/>
      <c r="J107" s="569"/>
      <c r="K107" s="569"/>
      <c r="L107" s="569"/>
      <c r="M107" s="569"/>
      <c r="N107" s="569"/>
      <c r="O107" s="1492"/>
      <c r="P107" s="1493"/>
      <c r="Q107" s="1494"/>
    </row>
    <row r="108" spans="2:17" s="488" customFormat="1" ht="13" x14ac:dyDescent="0.3">
      <c r="B108" s="533">
        <v>12</v>
      </c>
      <c r="C108" s="546"/>
      <c r="D108" s="570"/>
      <c r="E108" s="1217"/>
      <c r="F108" s="1190"/>
      <c r="G108" s="1217"/>
      <c r="H108" s="1217"/>
      <c r="I108" s="569"/>
      <c r="J108" s="569"/>
      <c r="K108" s="569"/>
      <c r="L108" s="569"/>
      <c r="M108" s="569"/>
      <c r="N108" s="569"/>
      <c r="O108" s="1492"/>
      <c r="P108" s="1493"/>
      <c r="Q108" s="1494"/>
    </row>
    <row r="109" spans="2:17" s="488" customFormat="1" ht="13" x14ac:dyDescent="0.3">
      <c r="B109" s="533">
        <v>13</v>
      </c>
      <c r="C109" s="546"/>
      <c r="D109" s="570"/>
      <c r="E109" s="1217"/>
      <c r="F109" s="1217"/>
      <c r="G109" s="1217"/>
      <c r="H109" s="1217"/>
      <c r="I109" s="569"/>
      <c r="J109" s="569"/>
      <c r="K109" s="569"/>
      <c r="L109" s="569"/>
      <c r="M109" s="569"/>
      <c r="N109" s="569"/>
      <c r="O109" s="1492"/>
      <c r="P109" s="1493"/>
      <c r="Q109" s="1494"/>
    </row>
    <row r="110" spans="2:17" s="488" customFormat="1" ht="13" x14ac:dyDescent="0.3">
      <c r="B110" s="533">
        <v>14</v>
      </c>
      <c r="C110" s="546"/>
      <c r="D110" s="570"/>
      <c r="E110" s="572"/>
      <c r="F110" s="572"/>
      <c r="G110" s="572"/>
      <c r="H110" s="572"/>
      <c r="I110" s="569"/>
      <c r="J110" s="569"/>
      <c r="K110" s="569"/>
      <c r="L110" s="569"/>
      <c r="M110" s="569"/>
      <c r="N110" s="569"/>
      <c r="O110" s="1492"/>
      <c r="P110" s="1493"/>
      <c r="Q110" s="1494"/>
    </row>
    <row r="111" spans="2:17" s="488" customFormat="1" ht="13" x14ac:dyDescent="0.3">
      <c r="B111" s="533">
        <v>15</v>
      </c>
      <c r="C111" s="546"/>
      <c r="D111" s="570"/>
      <c r="E111" s="572"/>
      <c r="F111" s="572"/>
      <c r="G111" s="572"/>
      <c r="H111" s="572"/>
      <c r="I111" s="569"/>
      <c r="J111" s="569"/>
      <c r="K111" s="569"/>
      <c r="L111" s="569"/>
      <c r="M111" s="569"/>
      <c r="N111" s="569"/>
      <c r="O111" s="1492"/>
      <c r="P111" s="1493"/>
      <c r="Q111" s="1494"/>
    </row>
    <row r="112" spans="2:17" s="488" customFormat="1" ht="13" x14ac:dyDescent="0.3">
      <c r="B112" s="533">
        <v>16</v>
      </c>
      <c r="C112" s="546"/>
      <c r="D112" s="570"/>
      <c r="E112" s="572"/>
      <c r="F112" s="572"/>
      <c r="G112" s="572"/>
      <c r="H112" s="572"/>
      <c r="I112" s="569"/>
      <c r="J112" s="569"/>
      <c r="K112" s="569"/>
      <c r="L112" s="569"/>
      <c r="M112" s="569"/>
      <c r="N112" s="569"/>
      <c r="O112" s="1492"/>
      <c r="P112" s="1493"/>
      <c r="Q112" s="1494"/>
    </row>
    <row r="113" spans="2:18" ht="13" x14ac:dyDescent="0.3">
      <c r="B113" s="533">
        <v>17</v>
      </c>
      <c r="C113" s="546"/>
      <c r="D113" s="570"/>
      <c r="E113" s="572"/>
      <c r="F113" s="572"/>
      <c r="G113" s="572"/>
      <c r="H113" s="572"/>
      <c r="I113" s="569"/>
      <c r="J113" s="569"/>
      <c r="K113" s="569"/>
      <c r="L113" s="569"/>
      <c r="M113" s="569"/>
      <c r="N113" s="569"/>
      <c r="O113" s="1492"/>
      <c r="P113" s="1493"/>
      <c r="Q113" s="1494"/>
      <c r="R113" s="488"/>
    </row>
    <row r="114" spans="2:18" ht="13" x14ac:dyDescent="0.3">
      <c r="B114" s="533">
        <v>18</v>
      </c>
      <c r="C114" s="546"/>
      <c r="D114" s="570"/>
      <c r="E114" s="572"/>
      <c r="F114" s="572"/>
      <c r="G114" s="572"/>
      <c r="H114" s="572"/>
      <c r="I114" s="569"/>
      <c r="J114" s="569"/>
      <c r="K114" s="569"/>
      <c r="L114" s="569"/>
      <c r="M114" s="569"/>
      <c r="N114" s="569"/>
      <c r="O114" s="1492"/>
      <c r="P114" s="1493"/>
      <c r="Q114" s="1494"/>
      <c r="R114" s="488"/>
    </row>
    <row r="115" spans="2:18" ht="13" x14ac:dyDescent="0.3">
      <c r="B115" s="533">
        <v>19</v>
      </c>
      <c r="C115" s="546"/>
      <c r="D115" s="570"/>
      <c r="E115" s="572"/>
      <c r="F115" s="572"/>
      <c r="G115" s="572"/>
      <c r="H115" s="572"/>
      <c r="I115" s="569"/>
      <c r="J115" s="569"/>
      <c r="K115" s="569"/>
      <c r="L115" s="569"/>
      <c r="M115" s="569"/>
      <c r="N115" s="569"/>
      <c r="O115" s="1492"/>
      <c r="P115" s="1493"/>
      <c r="Q115" s="1494"/>
      <c r="R115" s="488"/>
    </row>
    <row r="116" spans="2:18" ht="13" x14ac:dyDescent="0.3">
      <c r="B116" s="533">
        <v>20</v>
      </c>
      <c r="C116" s="546"/>
      <c r="D116" s="570"/>
      <c r="E116" s="572"/>
      <c r="F116" s="572"/>
      <c r="G116" s="572"/>
      <c r="H116" s="572"/>
      <c r="I116" s="569"/>
      <c r="J116" s="569"/>
      <c r="K116" s="569"/>
      <c r="L116" s="569"/>
      <c r="M116" s="569"/>
      <c r="N116" s="569"/>
      <c r="O116" s="1492"/>
      <c r="P116" s="1493"/>
      <c r="Q116" s="1494"/>
      <c r="R116" s="488"/>
    </row>
    <row r="118" spans="2:18" ht="18.75" customHeight="1" x14ac:dyDescent="0.3">
      <c r="B118" s="523" t="s">
        <v>493</v>
      </c>
      <c r="E118" s="1402" t="s">
        <v>494</v>
      </c>
      <c r="F118" s="1403"/>
      <c r="G118" s="1403"/>
      <c r="H118" s="1403"/>
      <c r="I118" s="1403"/>
      <c r="J118" s="1403"/>
      <c r="K118" s="1403"/>
      <c r="L118" s="1403"/>
      <c r="M118" s="1403"/>
      <c r="N118" s="1403"/>
      <c r="O118" s="1404" t="s">
        <v>476</v>
      </c>
      <c r="P118" s="1405"/>
      <c r="Q118" s="1406"/>
      <c r="R118" s="488"/>
    </row>
    <row r="119" spans="2:18" ht="18.75" customHeight="1" x14ac:dyDescent="0.3">
      <c r="B119" s="1214" t="s">
        <v>571</v>
      </c>
      <c r="C119" s="1215"/>
      <c r="D119" s="1216"/>
      <c r="E119" s="524" t="s">
        <v>495</v>
      </c>
      <c r="F119" s="524" t="s">
        <v>496</v>
      </c>
      <c r="G119" s="524" t="s">
        <v>497</v>
      </c>
      <c r="H119" s="524" t="s">
        <v>498</v>
      </c>
      <c r="I119" s="524" t="s">
        <v>499</v>
      </c>
      <c r="J119" s="524" t="s">
        <v>500</v>
      </c>
      <c r="K119" s="524" t="s">
        <v>501</v>
      </c>
      <c r="L119" s="524" t="s">
        <v>502</v>
      </c>
      <c r="M119" s="524" t="s">
        <v>503</v>
      </c>
      <c r="N119" s="1180" t="s">
        <v>504</v>
      </c>
      <c r="O119" s="1407"/>
      <c r="P119" s="1485"/>
      <c r="Q119" s="1409"/>
      <c r="R119" s="488"/>
    </row>
    <row r="120" spans="2:18" ht="18.75" customHeight="1" x14ac:dyDescent="0.3">
      <c r="B120" s="1188" t="s">
        <v>478</v>
      </c>
      <c r="C120" s="1402" t="s">
        <v>505</v>
      </c>
      <c r="D120" s="1431"/>
      <c r="E120" s="525" t="s">
        <v>572</v>
      </c>
      <c r="F120" s="525" t="s">
        <v>573</v>
      </c>
      <c r="G120" s="525" t="s">
        <v>434</v>
      </c>
      <c r="H120" s="525"/>
      <c r="I120" s="525"/>
      <c r="J120" s="525"/>
      <c r="K120" s="525"/>
      <c r="L120" s="525"/>
      <c r="M120" s="525"/>
      <c r="N120" s="1214"/>
      <c r="O120" s="1410"/>
      <c r="P120" s="1411"/>
      <c r="Q120" s="1412"/>
      <c r="R120" s="488"/>
    </row>
    <row r="121" spans="2:18" ht="18.75" customHeight="1" x14ac:dyDescent="0.3">
      <c r="B121" s="1240">
        <v>1</v>
      </c>
      <c r="C121" s="515" t="s">
        <v>574</v>
      </c>
      <c r="D121" s="515"/>
      <c r="E121" s="581">
        <v>14</v>
      </c>
      <c r="F121" s="581">
        <f>E121/BTU_per_kWh*1000</f>
        <v>4.1029940000000007</v>
      </c>
      <c r="G121" s="581">
        <v>104</v>
      </c>
      <c r="H121" s="1239"/>
      <c r="I121" s="527"/>
      <c r="J121" s="527"/>
      <c r="K121" s="527"/>
      <c r="L121" s="527"/>
      <c r="M121" s="527"/>
      <c r="N121" s="527"/>
      <c r="O121" s="1432"/>
      <c r="P121" s="1433"/>
      <c r="Q121" s="1434"/>
      <c r="R121" s="488"/>
    </row>
    <row r="122" spans="2:18" ht="18.75" customHeight="1" x14ac:dyDescent="0.3">
      <c r="B122" s="1240">
        <v>2</v>
      </c>
      <c r="C122" s="515" t="s">
        <v>575</v>
      </c>
      <c r="D122" s="515"/>
      <c r="E122" s="581">
        <v>15</v>
      </c>
      <c r="F122" s="581">
        <f>E122/BTU_per_kWh*1000</f>
        <v>4.3960650000000001</v>
      </c>
      <c r="G122" s="581">
        <v>108</v>
      </c>
      <c r="H122" s="1239"/>
      <c r="I122" s="527"/>
      <c r="J122" s="527"/>
      <c r="K122" s="527"/>
      <c r="L122" s="527"/>
      <c r="M122" s="527"/>
      <c r="N122" s="527"/>
      <c r="O122" s="1422"/>
      <c r="P122" s="1423"/>
      <c r="Q122" s="1424"/>
      <c r="R122" s="488"/>
    </row>
    <row r="123" spans="2:18" ht="18.75" customHeight="1" x14ac:dyDescent="0.3">
      <c r="B123" s="1240">
        <v>3</v>
      </c>
      <c r="C123" s="515" t="s">
        <v>576</v>
      </c>
      <c r="D123" s="515"/>
      <c r="E123" s="581">
        <v>16</v>
      </c>
      <c r="F123" s="581">
        <f>E123/BTU_per_kWh*1000</f>
        <v>4.6891360000000004</v>
      </c>
      <c r="G123" s="581">
        <v>221</v>
      </c>
      <c r="H123" s="1239"/>
      <c r="I123" s="527"/>
      <c r="J123" s="527"/>
      <c r="K123" s="527"/>
      <c r="L123" s="527"/>
      <c r="M123" s="527"/>
      <c r="N123" s="527"/>
      <c r="O123" s="1422"/>
      <c r="P123" s="1423"/>
      <c r="Q123" s="1424"/>
      <c r="R123" s="488"/>
    </row>
    <row r="124" spans="2:18" ht="18.75" customHeight="1" x14ac:dyDescent="0.3">
      <c r="B124" s="1240">
        <v>4</v>
      </c>
      <c r="C124" s="515" t="s">
        <v>577</v>
      </c>
      <c r="D124" s="515"/>
      <c r="E124" s="581">
        <v>17</v>
      </c>
      <c r="F124" s="581">
        <f>E124/BTU_per_kWh*1000</f>
        <v>4.9822069999999998</v>
      </c>
      <c r="G124" s="581">
        <v>620</v>
      </c>
      <c r="H124" s="1239"/>
      <c r="I124" s="527"/>
      <c r="J124" s="527"/>
      <c r="K124" s="527"/>
      <c r="L124" s="527"/>
      <c r="M124" s="527"/>
      <c r="N124" s="527"/>
      <c r="O124" s="1422"/>
      <c r="P124" s="1423"/>
      <c r="Q124" s="1424"/>
      <c r="R124" s="488"/>
    </row>
    <row r="125" spans="2:18" ht="18.75" customHeight="1" x14ac:dyDescent="0.3">
      <c r="B125" s="1240">
        <v>5</v>
      </c>
      <c r="C125" s="515" t="s">
        <v>578</v>
      </c>
      <c r="D125" s="515"/>
      <c r="E125" s="581">
        <v>18</v>
      </c>
      <c r="F125" s="581">
        <f>E125/BTU_per_kWh*1000</f>
        <v>5.2752780000000001</v>
      </c>
      <c r="G125" s="581">
        <v>620</v>
      </c>
      <c r="H125" s="1239"/>
      <c r="I125" s="527"/>
      <c r="J125" s="527"/>
      <c r="K125" s="527"/>
      <c r="L125" s="527"/>
      <c r="M125" s="527"/>
      <c r="N125" s="527"/>
      <c r="O125" s="1422"/>
      <c r="P125" s="1423"/>
      <c r="Q125" s="1424"/>
      <c r="R125" s="488"/>
    </row>
    <row r="126" spans="2:18" ht="18.75" customHeight="1" x14ac:dyDescent="0.3">
      <c r="B126" s="1240">
        <v>6</v>
      </c>
      <c r="C126" s="515"/>
      <c r="D126" s="515"/>
      <c r="E126" s="1239"/>
      <c r="F126" s="1239"/>
      <c r="G126" s="1239"/>
      <c r="H126" s="1239"/>
      <c r="I126" s="528"/>
      <c r="J126" s="528"/>
      <c r="K126" s="528"/>
      <c r="L126" s="528"/>
      <c r="M126" s="528"/>
      <c r="N126" s="528"/>
      <c r="O126" s="1425"/>
      <c r="P126" s="1426"/>
      <c r="Q126" s="1427"/>
      <c r="R126" s="488"/>
    </row>
    <row r="127" spans="2:18" ht="18.75" customHeight="1" x14ac:dyDescent="0.3">
      <c r="B127" s="1240">
        <v>7</v>
      </c>
      <c r="C127" s="515"/>
      <c r="D127" s="1189"/>
      <c r="E127" s="1239"/>
      <c r="F127" s="1239"/>
      <c r="G127" s="1239"/>
      <c r="H127" s="1239"/>
      <c r="I127" s="528"/>
      <c r="J127" s="528"/>
      <c r="K127" s="528"/>
      <c r="L127" s="528"/>
      <c r="M127" s="528"/>
      <c r="N127" s="528"/>
      <c r="O127" s="1425"/>
      <c r="P127" s="1426"/>
      <c r="Q127" s="1427"/>
      <c r="R127" s="488"/>
    </row>
    <row r="128" spans="2:18" ht="18.75" customHeight="1" x14ac:dyDescent="0.3">
      <c r="B128" s="1240">
        <v>8</v>
      </c>
      <c r="C128" s="515"/>
      <c r="D128" s="1189"/>
      <c r="E128" s="1239"/>
      <c r="F128" s="528"/>
      <c r="G128" s="528"/>
      <c r="H128" s="528"/>
      <c r="I128" s="528"/>
      <c r="J128" s="528"/>
      <c r="K128" s="528"/>
      <c r="L128" s="528"/>
      <c r="M128" s="528"/>
      <c r="N128" s="528"/>
      <c r="O128" s="1425"/>
      <c r="P128" s="1426"/>
      <c r="Q128" s="1427"/>
      <c r="R128" s="488"/>
    </row>
    <row r="129" spans="2:17" s="488" customFormat="1" ht="18.75" customHeight="1" x14ac:dyDescent="0.3">
      <c r="B129" s="1240">
        <v>9</v>
      </c>
      <c r="C129" s="515"/>
      <c r="D129" s="1189"/>
      <c r="E129" s="1239"/>
      <c r="F129" s="1240"/>
      <c r="G129" s="1240"/>
      <c r="H129" s="1240"/>
      <c r="I129" s="528"/>
      <c r="J129" s="528"/>
      <c r="K129" s="528"/>
      <c r="L129" s="528"/>
      <c r="M129" s="528"/>
      <c r="N129" s="528"/>
      <c r="O129" s="1425"/>
      <c r="P129" s="1426"/>
      <c r="Q129" s="1427"/>
    </row>
    <row r="130" spans="2:17" s="488" customFormat="1" ht="18.75" customHeight="1" x14ac:dyDescent="0.3">
      <c r="B130" s="1240">
        <v>10</v>
      </c>
      <c r="C130" s="515"/>
      <c r="D130" s="1189"/>
      <c r="E130" s="1240"/>
      <c r="F130" s="1240"/>
      <c r="G130" s="1240"/>
      <c r="H130" s="1240"/>
      <c r="I130" s="528"/>
      <c r="J130" s="528"/>
      <c r="K130" s="528"/>
      <c r="L130" s="528"/>
      <c r="M130" s="528"/>
      <c r="N130" s="528"/>
      <c r="O130" s="1425"/>
      <c r="P130" s="1426"/>
      <c r="Q130" s="1427"/>
    </row>
    <row r="131" spans="2:17" s="488" customFormat="1" ht="18.75" customHeight="1" x14ac:dyDescent="0.3">
      <c r="B131" s="1240">
        <v>11</v>
      </c>
      <c r="C131" s="515"/>
      <c r="D131" s="1189"/>
      <c r="E131" s="529"/>
      <c r="F131" s="1239"/>
      <c r="G131" s="529"/>
      <c r="H131" s="529"/>
      <c r="I131" s="528"/>
      <c r="J131" s="528"/>
      <c r="K131" s="528"/>
      <c r="L131" s="528"/>
      <c r="M131" s="528"/>
      <c r="N131" s="528"/>
      <c r="O131" s="1425"/>
      <c r="P131" s="1426"/>
      <c r="Q131" s="1427"/>
    </row>
    <row r="132" spans="2:17" s="488" customFormat="1" ht="18.75" customHeight="1" x14ac:dyDescent="0.3">
      <c r="B132" s="1240">
        <v>12</v>
      </c>
      <c r="C132" s="515"/>
      <c r="D132" s="1189"/>
      <c r="E132" s="1240"/>
      <c r="F132" s="1239"/>
      <c r="G132" s="1240"/>
      <c r="H132" s="1240"/>
      <c r="I132" s="528"/>
      <c r="J132" s="528"/>
      <c r="K132" s="528"/>
      <c r="L132" s="528"/>
      <c r="M132" s="528"/>
      <c r="N132" s="528"/>
      <c r="O132" s="1425"/>
      <c r="P132" s="1426"/>
      <c r="Q132" s="1427"/>
    </row>
    <row r="133" spans="2:17" s="488" customFormat="1" ht="18.75" customHeight="1" x14ac:dyDescent="0.3">
      <c r="B133" s="1240">
        <v>13</v>
      </c>
      <c r="C133" s="515"/>
      <c r="D133" s="1189"/>
      <c r="E133" s="1240"/>
      <c r="F133" s="1240"/>
      <c r="G133" s="1240"/>
      <c r="H133" s="1240"/>
      <c r="I133" s="528"/>
      <c r="J133" s="528"/>
      <c r="K133" s="528"/>
      <c r="L133" s="528"/>
      <c r="M133" s="528"/>
      <c r="N133" s="528"/>
      <c r="O133" s="1425"/>
      <c r="P133" s="1426"/>
      <c r="Q133" s="1427"/>
    </row>
    <row r="134" spans="2:17" s="488" customFormat="1" ht="18.75" customHeight="1" x14ac:dyDescent="0.3">
      <c r="B134" s="1240">
        <v>14</v>
      </c>
      <c r="C134" s="515"/>
      <c r="D134" s="1189"/>
      <c r="E134" s="530"/>
      <c r="F134" s="530"/>
      <c r="G134" s="530"/>
      <c r="H134" s="530"/>
      <c r="I134" s="528"/>
      <c r="J134" s="528"/>
      <c r="K134" s="528"/>
      <c r="L134" s="528"/>
      <c r="M134" s="528"/>
      <c r="N134" s="528"/>
      <c r="O134" s="1425"/>
      <c r="P134" s="1426"/>
      <c r="Q134" s="1427"/>
    </row>
    <row r="135" spans="2:17" s="488" customFormat="1" ht="18.75" customHeight="1" x14ac:dyDescent="0.3">
      <c r="B135" s="1240">
        <v>15</v>
      </c>
      <c r="C135" s="515"/>
      <c r="D135" s="1189"/>
      <c r="E135" s="530"/>
      <c r="F135" s="530"/>
      <c r="G135" s="530"/>
      <c r="H135" s="530"/>
      <c r="I135" s="528"/>
      <c r="J135" s="528"/>
      <c r="K135" s="528"/>
      <c r="L135" s="528"/>
      <c r="M135" s="528"/>
      <c r="N135" s="528"/>
      <c r="O135" s="1425"/>
      <c r="P135" s="1426"/>
      <c r="Q135" s="1427"/>
    </row>
    <row r="136" spans="2:17" s="488" customFormat="1" ht="18.75" customHeight="1" x14ac:dyDescent="0.3">
      <c r="B136" s="1240">
        <v>16</v>
      </c>
      <c r="C136" s="515"/>
      <c r="D136" s="1189"/>
      <c r="E136" s="530"/>
      <c r="F136" s="530"/>
      <c r="G136" s="530"/>
      <c r="H136" s="530"/>
      <c r="I136" s="528"/>
      <c r="J136" s="528"/>
      <c r="K136" s="528"/>
      <c r="L136" s="528"/>
      <c r="M136" s="528"/>
      <c r="N136" s="528"/>
      <c r="O136" s="1425"/>
      <c r="P136" s="1426"/>
      <c r="Q136" s="1427"/>
    </row>
    <row r="137" spans="2:17" s="488" customFormat="1" ht="18.75" customHeight="1" x14ac:dyDescent="0.3">
      <c r="B137" s="1240">
        <v>17</v>
      </c>
      <c r="C137" s="515"/>
      <c r="D137" s="1189"/>
      <c r="E137" s="530"/>
      <c r="F137" s="530"/>
      <c r="G137" s="530"/>
      <c r="H137" s="530"/>
      <c r="I137" s="528"/>
      <c r="J137" s="528"/>
      <c r="K137" s="528"/>
      <c r="L137" s="528"/>
      <c r="M137" s="528"/>
      <c r="N137" s="528"/>
      <c r="O137" s="1425"/>
      <c r="P137" s="1426"/>
      <c r="Q137" s="1427"/>
    </row>
    <row r="138" spans="2:17" s="488" customFormat="1" ht="18.75" customHeight="1" x14ac:dyDescent="0.3">
      <c r="B138" s="1240">
        <v>18</v>
      </c>
      <c r="C138" s="515"/>
      <c r="D138" s="1189"/>
      <c r="E138" s="530"/>
      <c r="F138" s="530"/>
      <c r="G138" s="530"/>
      <c r="H138" s="530"/>
      <c r="I138" s="528"/>
      <c r="J138" s="528"/>
      <c r="K138" s="528"/>
      <c r="L138" s="528"/>
      <c r="M138" s="528"/>
      <c r="N138" s="528"/>
      <c r="O138" s="1425"/>
      <c r="P138" s="1426"/>
      <c r="Q138" s="1427"/>
    </row>
    <row r="139" spans="2:17" s="488" customFormat="1" ht="18.75" customHeight="1" x14ac:dyDescent="0.3">
      <c r="B139" s="1240">
        <v>19</v>
      </c>
      <c r="C139" s="515"/>
      <c r="D139" s="1189"/>
      <c r="E139" s="530"/>
      <c r="F139" s="530"/>
      <c r="G139" s="530"/>
      <c r="H139" s="530"/>
      <c r="I139" s="528"/>
      <c r="J139" s="528"/>
      <c r="K139" s="528"/>
      <c r="L139" s="528"/>
      <c r="M139" s="528"/>
      <c r="N139" s="528"/>
      <c r="O139" s="1425"/>
      <c r="P139" s="1426"/>
      <c r="Q139" s="1427"/>
    </row>
    <row r="140" spans="2:17" s="488" customFormat="1" ht="18.75" customHeight="1" x14ac:dyDescent="0.3">
      <c r="B140" s="1240">
        <v>20</v>
      </c>
      <c r="C140" s="515"/>
      <c r="D140" s="1189"/>
      <c r="E140" s="530"/>
      <c r="F140" s="530"/>
      <c r="G140" s="530"/>
      <c r="H140" s="530"/>
      <c r="I140" s="528"/>
      <c r="J140" s="528"/>
      <c r="K140" s="528"/>
      <c r="L140" s="528"/>
      <c r="M140" s="528"/>
      <c r="N140" s="528"/>
      <c r="O140" s="1425"/>
      <c r="P140" s="1426"/>
      <c r="Q140" s="1427"/>
    </row>
  </sheetData>
  <sheetProtection algorithmName="SHA-512" hashValue="M1YjCVrHA0Nm7lBo5ikltaycQne0ui0m0ocdVZr5ZzbOQgb0GLDGA+v9FhKvF8ItFphkMbgbRD+P7wkufvKamA==" saltValue="6GKVFw26h1Ja3D9p1uLqzw==" spinCount="100000" sheet="1" objects="1" scenarios="1" selectLockedCells="1" selectUnlockedCells="1"/>
  <mergeCells count="144">
    <mergeCell ref="C2:F2"/>
    <mergeCell ref="C3:F3"/>
    <mergeCell ref="C4:F4"/>
    <mergeCell ref="C5:F5"/>
    <mergeCell ref="D7:F7"/>
    <mergeCell ref="D8:F16"/>
    <mergeCell ref="D25:Q25"/>
    <mergeCell ref="D26:Q26"/>
    <mergeCell ref="D27:Q27"/>
    <mergeCell ref="C23:Q23"/>
    <mergeCell ref="C22:Q22"/>
    <mergeCell ref="D28:Q28"/>
    <mergeCell ref="E32:Q32"/>
    <mergeCell ref="E33:Q33"/>
    <mergeCell ref="D17:F17"/>
    <mergeCell ref="D18:F18"/>
    <mergeCell ref="B20:Q20"/>
    <mergeCell ref="D29:Q29"/>
    <mergeCell ref="D30:Q30"/>
    <mergeCell ref="C21:Q21"/>
    <mergeCell ref="C42:M42"/>
    <mergeCell ref="P42:Q42"/>
    <mergeCell ref="C43:M43"/>
    <mergeCell ref="P43:Q43"/>
    <mergeCell ref="C44:M44"/>
    <mergeCell ref="P44:Q44"/>
    <mergeCell ref="E34:Q34"/>
    <mergeCell ref="E35:Q35"/>
    <mergeCell ref="E36:Q36"/>
    <mergeCell ref="E37:Q37"/>
    <mergeCell ref="C41:M41"/>
    <mergeCell ref="P41:Q41"/>
    <mergeCell ref="C49:M49"/>
    <mergeCell ref="P49:Q49"/>
    <mergeCell ref="C50:M50"/>
    <mergeCell ref="P50:Q50"/>
    <mergeCell ref="C51:M51"/>
    <mergeCell ref="P51:Q51"/>
    <mergeCell ref="C45:M45"/>
    <mergeCell ref="P45:Q45"/>
    <mergeCell ref="C47:M47"/>
    <mergeCell ref="P47:Q47"/>
    <mergeCell ref="C48:M48"/>
    <mergeCell ref="P48:Q48"/>
    <mergeCell ref="C56:M56"/>
    <mergeCell ref="P56:Q56"/>
    <mergeCell ref="C57:M57"/>
    <mergeCell ref="P57:Q57"/>
    <mergeCell ref="D61:E61"/>
    <mergeCell ref="J61:Q61"/>
    <mergeCell ref="C53:M53"/>
    <mergeCell ref="P53:Q53"/>
    <mergeCell ref="C54:M54"/>
    <mergeCell ref="P54:Q54"/>
    <mergeCell ref="C55:M55"/>
    <mergeCell ref="P55:Q55"/>
    <mergeCell ref="D62:E62"/>
    <mergeCell ref="J62:Q62"/>
    <mergeCell ref="D72:E72"/>
    <mergeCell ref="J72:Q72"/>
    <mergeCell ref="D73:E73"/>
    <mergeCell ref="J73:Q73"/>
    <mergeCell ref="D69:E69"/>
    <mergeCell ref="J69:Q69"/>
    <mergeCell ref="D68:E68"/>
    <mergeCell ref="J68:Q68"/>
    <mergeCell ref="D66:E66"/>
    <mergeCell ref="J66:Q66"/>
    <mergeCell ref="D67:E67"/>
    <mergeCell ref="J67:Q67"/>
    <mergeCell ref="D63:E63"/>
    <mergeCell ref="J63:Q63"/>
    <mergeCell ref="D64:E64"/>
    <mergeCell ref="J64:Q64"/>
    <mergeCell ref="D65:E65"/>
    <mergeCell ref="D70:E70"/>
    <mergeCell ref="D71:E71"/>
    <mergeCell ref="J65:Q65"/>
    <mergeCell ref="J70:Q70"/>
    <mergeCell ref="J71:Q71"/>
    <mergeCell ref="F80:Q80"/>
    <mergeCell ref="F81:Q81"/>
    <mergeCell ref="F82:Q82"/>
    <mergeCell ref="F83:Q83"/>
    <mergeCell ref="F84:Q84"/>
    <mergeCell ref="F85:Q85"/>
    <mergeCell ref="D74:E74"/>
    <mergeCell ref="J74:Q74"/>
    <mergeCell ref="D75:E75"/>
    <mergeCell ref="J75:Q75"/>
    <mergeCell ref="D76:E76"/>
    <mergeCell ref="J76:Q76"/>
    <mergeCell ref="C96:D96"/>
    <mergeCell ref="O97:Q97"/>
    <mergeCell ref="O98:Q98"/>
    <mergeCell ref="O99:Q99"/>
    <mergeCell ref="O100:Q100"/>
    <mergeCell ref="F86:Q86"/>
    <mergeCell ref="F87:Q87"/>
    <mergeCell ref="F88:Q88"/>
    <mergeCell ref="F89:Q89"/>
    <mergeCell ref="F90:Q90"/>
    <mergeCell ref="E94:N94"/>
    <mergeCell ref="O94:Q96"/>
    <mergeCell ref="B95:D95"/>
    <mergeCell ref="O110:Q110"/>
    <mergeCell ref="O111:Q111"/>
    <mergeCell ref="O112:Q112"/>
    <mergeCell ref="O101:Q101"/>
    <mergeCell ref="O102:Q102"/>
    <mergeCell ref="O103:Q103"/>
    <mergeCell ref="O104:Q104"/>
    <mergeCell ref="O105:Q105"/>
    <mergeCell ref="O106:Q106"/>
    <mergeCell ref="O107:Q107"/>
    <mergeCell ref="O108:Q108"/>
    <mergeCell ref="O109:Q109"/>
    <mergeCell ref="O138:Q138"/>
    <mergeCell ref="O139:Q139"/>
    <mergeCell ref="O140:Q140"/>
    <mergeCell ref="O126:Q126"/>
    <mergeCell ref="O127:Q127"/>
    <mergeCell ref="O128:Q128"/>
    <mergeCell ref="O129:Q129"/>
    <mergeCell ref="O130:Q130"/>
    <mergeCell ref="O131:Q131"/>
    <mergeCell ref="O132:Q132"/>
    <mergeCell ref="O133:Q133"/>
    <mergeCell ref="O134:Q134"/>
    <mergeCell ref="O135:Q135"/>
    <mergeCell ref="O136:Q136"/>
    <mergeCell ref="O137:Q137"/>
    <mergeCell ref="E118:N118"/>
    <mergeCell ref="O118:Q120"/>
    <mergeCell ref="C120:D120"/>
    <mergeCell ref="O121:Q121"/>
    <mergeCell ref="O122:Q122"/>
    <mergeCell ref="O123:Q123"/>
    <mergeCell ref="O124:Q124"/>
    <mergeCell ref="O125:Q125"/>
    <mergeCell ref="O113:Q113"/>
    <mergeCell ref="O114:Q114"/>
    <mergeCell ref="O115:Q115"/>
    <mergeCell ref="O116:Q116"/>
  </mergeCells>
  <conditionalFormatting sqref="G104:G116">
    <cfRule type="expression" dxfId="4283" priority="71">
      <formula>IF(OR(#REF!="L",#REF!="C"),TRUE,FALSE)</formula>
    </cfRule>
  </conditionalFormatting>
  <conditionalFormatting sqref="H64">
    <cfRule type="expression" dxfId="4282" priority="70">
      <formula>IF(OR(#REF!="L",#REF!="C"),TRUE,FALSE)</formula>
    </cfRule>
  </conditionalFormatting>
  <conditionalFormatting sqref="H69">
    <cfRule type="expression" dxfId="4281" priority="64">
      <formula>IF(OR(#REF!="L",#REF!="C"),TRUE,FALSE)</formula>
    </cfRule>
  </conditionalFormatting>
  <conditionalFormatting sqref="F109:F116 H104:H116">
    <cfRule type="expression" dxfId="4280" priority="63">
      <formula>IF(OR(#REF!="L",#REF!="C"),TRUE,FALSE)</formula>
    </cfRule>
  </conditionalFormatting>
  <conditionalFormatting sqref="E110:E116">
    <cfRule type="expression" dxfId="4279" priority="62">
      <formula>IF(OR(#REF!="L",#REF!="C"),TRUE,FALSE)</formula>
    </cfRule>
  </conditionalFormatting>
  <conditionalFormatting sqref="E107">
    <cfRule type="expression" dxfId="4278" priority="61">
      <formula>IF(OR(#REF!="L",#REF!="C"),TRUE,FALSE)</formula>
    </cfRule>
  </conditionalFormatting>
  <conditionalFormatting sqref="E108">
    <cfRule type="expression" dxfId="4277" priority="60">
      <formula>IF(OR(#REF!="L",#REF!="C"),TRUE,FALSE)</formula>
    </cfRule>
  </conditionalFormatting>
  <conditionalFormatting sqref="E109">
    <cfRule type="expression" dxfId="4276" priority="59">
      <formula>IF(OR(#REF!="L",#REF!="C"),TRUE,FALSE)</formula>
    </cfRule>
  </conditionalFormatting>
  <conditionalFormatting sqref="E106">
    <cfRule type="expression" dxfId="4275" priority="58">
      <formula>IF(OR(#REF!="L",#REF!="C"),TRUE,FALSE)</formula>
    </cfRule>
  </conditionalFormatting>
  <conditionalFormatting sqref="E95 G95 I95 K95 M95">
    <cfRule type="duplicateValues" dxfId="4274" priority="57"/>
  </conditionalFormatting>
  <conditionalFormatting sqref="M104:M116 F104:F106">
    <cfRule type="expression" dxfId="4273" priority="47">
      <formula>IF(OR(#REF!="L",#REF!="C"),TRUE,FALSE)</formula>
    </cfRule>
  </conditionalFormatting>
  <conditionalFormatting sqref="I102:I103">
    <cfRule type="expression" dxfId="4272" priority="54">
      <formula>IF(OR(#REF!="L",#REF!="C"),TRUE,FALSE)</formula>
    </cfRule>
  </conditionalFormatting>
  <conditionalFormatting sqref="N102:N103">
    <cfRule type="expression" dxfId="4271" priority="44">
      <formula>IF(OR(#REF!="L",#REF!="C"),TRUE,FALSE)</formula>
    </cfRule>
  </conditionalFormatting>
  <conditionalFormatting sqref="I104:I116">
    <cfRule type="expression" dxfId="4270" priority="55">
      <formula>IF(OR(#REF!="L",#REF!="C"),TRUE,FALSE)</formula>
    </cfRule>
  </conditionalFormatting>
  <conditionalFormatting sqref="J102:J103">
    <cfRule type="expression" dxfId="4269" priority="52">
      <formula>IF(OR(#REF!="L",#REF!="C"),TRUE,FALSE)</formula>
    </cfRule>
  </conditionalFormatting>
  <conditionalFormatting sqref="J104:J116">
    <cfRule type="expression" dxfId="4268" priority="53">
      <formula>IF(OR(#REF!="L",#REF!="C"),TRUE,FALSE)</formula>
    </cfRule>
  </conditionalFormatting>
  <conditionalFormatting sqref="K102:K103">
    <cfRule type="expression" dxfId="4267" priority="50">
      <formula>IF(OR(#REF!="L",#REF!="C"),TRUE,FALSE)</formula>
    </cfRule>
  </conditionalFormatting>
  <conditionalFormatting sqref="K104:K116">
    <cfRule type="expression" dxfId="4266" priority="51">
      <formula>IF(OR(#REF!="L",#REF!="C"),TRUE,FALSE)</formula>
    </cfRule>
  </conditionalFormatting>
  <conditionalFormatting sqref="L102:L103">
    <cfRule type="expression" dxfId="4265" priority="48">
      <formula>IF(OR(#REF!="L",#REF!="C"),TRUE,FALSE)</formula>
    </cfRule>
  </conditionalFormatting>
  <conditionalFormatting sqref="L104:L116">
    <cfRule type="expression" dxfId="4264" priority="49">
      <formula>IF(OR(#REF!="L",#REF!="C"),TRUE,FALSE)</formula>
    </cfRule>
  </conditionalFormatting>
  <conditionalFormatting sqref="M102:M103">
    <cfRule type="expression" dxfId="4263" priority="46">
      <formula>IF(OR(#REF!="L",#REF!="C"),TRUE,FALSE)</formula>
    </cfRule>
  </conditionalFormatting>
  <conditionalFormatting sqref="N104:N116">
    <cfRule type="expression" dxfId="4262" priority="45">
      <formula>IF(OR(#REF!="L",#REF!="C"),TRUE,FALSE)</formula>
    </cfRule>
  </conditionalFormatting>
  <conditionalFormatting sqref="O102:O103">
    <cfRule type="expression" dxfId="4261" priority="41">
      <formula>IF(OR(#REF!="L",#REF!="C"),TRUE,FALSE)</formula>
    </cfRule>
  </conditionalFormatting>
  <conditionalFormatting sqref="O104:O116">
    <cfRule type="expression" dxfId="4260" priority="42">
      <formula>IF(OR(#REF!="L",#REF!="C"),TRUE,FALSE)</formula>
    </cfRule>
  </conditionalFormatting>
  <conditionalFormatting sqref="G96:N96 E96">
    <cfRule type="duplicateValues" dxfId="4259" priority="40"/>
  </conditionalFormatting>
  <conditionalFormatting sqref="H72">
    <cfRule type="expression" dxfId="4258" priority="38">
      <formula>IF(OR(#REF!="L",#REF!="C"),TRUE,FALSE)</formula>
    </cfRule>
  </conditionalFormatting>
  <conditionalFormatting sqref="H73">
    <cfRule type="expression" dxfId="4257" priority="37">
      <formula>IF(OR(#REF!="L",#REF!="C"),TRUE,FALSE)</formula>
    </cfRule>
  </conditionalFormatting>
  <conditionalFormatting sqref="H74">
    <cfRule type="expression" dxfId="4256" priority="36">
      <formula>IF(OR(#REF!="L",#REF!="C"),TRUE,FALSE)</formula>
    </cfRule>
  </conditionalFormatting>
  <conditionalFormatting sqref="H75">
    <cfRule type="expression" dxfId="4255" priority="35">
      <formula>IF(OR(#REF!="L",#REF!="C"),TRUE,FALSE)</formula>
    </cfRule>
  </conditionalFormatting>
  <conditionalFormatting sqref="H76">
    <cfRule type="expression" dxfId="4254" priority="34">
      <formula>IF(OR(#REF!="L",#REF!="C"),TRUE,FALSE)</formula>
    </cfRule>
  </conditionalFormatting>
  <conditionalFormatting sqref="F96">
    <cfRule type="duplicateValues" dxfId="4253" priority="33"/>
  </conditionalFormatting>
  <conditionalFormatting sqref="H65:H68">
    <cfRule type="expression" dxfId="4252" priority="31">
      <formula>IF(OR(#REF!="L",#REF!="C"),TRUE,FALSE)</formula>
    </cfRule>
  </conditionalFormatting>
  <conditionalFormatting sqref="G128:G140">
    <cfRule type="expression" dxfId="4251" priority="30">
      <formula>IF(OR(#REF!="L",#REF!="C"),TRUE,FALSE)</formula>
    </cfRule>
  </conditionalFormatting>
  <conditionalFormatting sqref="F133:F140 H128:H140">
    <cfRule type="expression" dxfId="4250" priority="29">
      <formula>IF(OR(#REF!="L",#REF!="C"),TRUE,FALSE)</formula>
    </cfRule>
  </conditionalFormatting>
  <conditionalFormatting sqref="E134:E140">
    <cfRule type="expression" dxfId="4249" priority="28">
      <formula>IF(OR(#REF!="L",#REF!="C"),TRUE,FALSE)</formula>
    </cfRule>
  </conditionalFormatting>
  <conditionalFormatting sqref="E131">
    <cfRule type="expression" dxfId="4248" priority="27">
      <formula>IF(OR(#REF!="L",#REF!="C"),TRUE,FALSE)</formula>
    </cfRule>
  </conditionalFormatting>
  <conditionalFormatting sqref="E132">
    <cfRule type="expression" dxfId="4247" priority="26">
      <formula>IF(OR(#REF!="L",#REF!="C"),TRUE,FALSE)</formula>
    </cfRule>
  </conditionalFormatting>
  <conditionalFormatting sqref="E133">
    <cfRule type="expression" dxfId="4246" priority="25">
      <formula>IF(OR(#REF!="L",#REF!="C"),TRUE,FALSE)</formula>
    </cfRule>
  </conditionalFormatting>
  <conditionalFormatting sqref="E130">
    <cfRule type="expression" dxfId="4245" priority="24">
      <formula>IF(OR(#REF!="L",#REF!="C"),TRUE,FALSE)</formula>
    </cfRule>
  </conditionalFormatting>
  <conditionalFormatting sqref="E119 G119 I119 K119 M119">
    <cfRule type="duplicateValues" dxfId="4244" priority="23"/>
  </conditionalFormatting>
  <conditionalFormatting sqref="M128:M140 F128:F130">
    <cfRule type="expression" dxfId="4243" priority="14">
      <formula>IF(OR(#REF!="L",#REF!="C"),TRUE,FALSE)</formula>
    </cfRule>
  </conditionalFormatting>
  <conditionalFormatting sqref="I126:I127">
    <cfRule type="expression" dxfId="4242" priority="21">
      <formula>IF(OR(#REF!="L",#REF!="C"),TRUE,FALSE)</formula>
    </cfRule>
  </conditionalFormatting>
  <conditionalFormatting sqref="N126:N127">
    <cfRule type="expression" dxfId="4241" priority="11">
      <formula>IF(OR(#REF!="L",#REF!="C"),TRUE,FALSE)</formula>
    </cfRule>
  </conditionalFormatting>
  <conditionalFormatting sqref="I128:I140">
    <cfRule type="expression" dxfId="4240" priority="22">
      <formula>IF(OR(#REF!="L",#REF!="C"),TRUE,FALSE)</formula>
    </cfRule>
  </conditionalFormatting>
  <conditionalFormatting sqref="J126:J127">
    <cfRule type="expression" dxfId="4239" priority="19">
      <formula>IF(OR(#REF!="L",#REF!="C"),TRUE,FALSE)</formula>
    </cfRule>
  </conditionalFormatting>
  <conditionalFormatting sqref="J128:J140">
    <cfRule type="expression" dxfId="4238" priority="20">
      <formula>IF(OR(#REF!="L",#REF!="C"),TRUE,FALSE)</formula>
    </cfRule>
  </conditionalFormatting>
  <conditionalFormatting sqref="K126:K127">
    <cfRule type="expression" dxfId="4237" priority="17">
      <formula>IF(OR(#REF!="L",#REF!="C"),TRUE,FALSE)</formula>
    </cfRule>
  </conditionalFormatting>
  <conditionalFormatting sqref="K128:K140">
    <cfRule type="expression" dxfId="4236" priority="18">
      <formula>IF(OR(#REF!="L",#REF!="C"),TRUE,FALSE)</formula>
    </cfRule>
  </conditionalFormatting>
  <conditionalFormatting sqref="L126:L127">
    <cfRule type="expression" dxfId="4235" priority="15">
      <formula>IF(OR(#REF!="L",#REF!="C"),TRUE,FALSE)</formula>
    </cfRule>
  </conditionalFormatting>
  <conditionalFormatting sqref="L128:L140">
    <cfRule type="expression" dxfId="4234" priority="16">
      <formula>IF(OR(#REF!="L",#REF!="C"),TRUE,FALSE)</formula>
    </cfRule>
  </conditionalFormatting>
  <conditionalFormatting sqref="M126:M127">
    <cfRule type="expression" dxfId="4233" priority="13">
      <formula>IF(OR(#REF!="L",#REF!="C"),TRUE,FALSE)</formula>
    </cfRule>
  </conditionalFormatting>
  <conditionalFormatting sqref="N128:N140">
    <cfRule type="expression" dxfId="4232" priority="12">
      <formula>IF(OR(#REF!="L",#REF!="C"),TRUE,FALSE)</formula>
    </cfRule>
  </conditionalFormatting>
  <conditionalFormatting sqref="O126:O127">
    <cfRule type="expression" dxfId="4231" priority="9">
      <formula>IF(OR(#REF!="L",#REF!="C"),TRUE,FALSE)</formula>
    </cfRule>
  </conditionalFormatting>
  <conditionalFormatting sqref="O128:O140">
    <cfRule type="expression" dxfId="4230" priority="10">
      <formula>IF(OR(#REF!="L",#REF!="C"),TRUE,FALSE)</formula>
    </cfRule>
  </conditionalFormatting>
  <conditionalFormatting sqref="G120:N120 E120">
    <cfRule type="duplicateValues" dxfId="4229" priority="8"/>
  </conditionalFormatting>
  <conditionalFormatting sqref="F120">
    <cfRule type="duplicateValues" dxfId="4228" priority="7"/>
  </conditionalFormatting>
  <conditionalFormatting sqref="F120">
    <cfRule type="duplicateValues" dxfId="4227" priority="6"/>
  </conditionalFormatting>
  <conditionalFormatting sqref="E120">
    <cfRule type="duplicateValues" dxfId="4226" priority="5"/>
  </conditionalFormatting>
  <conditionalFormatting sqref="H63">
    <cfRule type="expression" dxfId="4225" priority="4">
      <formula>IF(OR(#REF!="L",#REF!="C"),TRUE,FALSE)</formula>
    </cfRule>
  </conditionalFormatting>
  <conditionalFormatting sqref="H62">
    <cfRule type="expression" dxfId="4224" priority="2">
      <formula>IF(OR(#REF!="L",#REF!="C"),TRUE,FALSE)</formula>
    </cfRule>
  </conditionalFormatting>
  <conditionalFormatting sqref="H70:H71">
    <cfRule type="expression" dxfId="4223" priority="1">
      <formula>IF(OR(#REF!="L",#REF!="C"),TRUE,FALSE)</formula>
    </cfRule>
  </conditionalFormatting>
  <dataValidations count="6">
    <dataValidation type="list" allowBlank="1" showInputMessage="1" showErrorMessage="1" sqref="C4" xr:uid="{E45B4AEA-FF1E-42C0-A33F-46F91FC39531}">
      <formula1>"COM,RES"</formula1>
    </dataValidation>
    <dataValidation type="list" allowBlank="1" showInputMessage="1" showErrorMessage="1" sqref="C9" xr:uid="{71F4EF64-09C1-4F2D-8715-9373C2AD389B}">
      <formula1>INDIRECT("MeasureTypeList[Index]")</formula1>
    </dataValidation>
    <dataValidation type="list" allowBlank="1" showInputMessage="1" showErrorMessage="1" sqref="C26" xr:uid="{1CBA9951-58F5-426C-9056-5AFDA4F5A35A}">
      <formula1>INDIRECT("RegionList[Index]")</formula1>
    </dataValidation>
    <dataValidation type="list" allowBlank="1" showInputMessage="1" showErrorMessage="1" sqref="C27" xr:uid="{5C08558D-4D57-4E49-8406-0C018DB25465}">
      <formula1>INDIRECT("ReplacementTypeList[Index]")</formula1>
    </dataValidation>
    <dataValidation type="list" allowBlank="1" showInputMessage="1" showErrorMessage="1" sqref="C28" xr:uid="{91199C3C-80BA-44E8-A8FD-C925D4D3C421}">
      <formula1>INDIRECT("BuildingType[Building]")</formula1>
    </dataValidation>
    <dataValidation type="list" allowBlank="1" showInputMessage="1" showErrorMessage="1" sqref="C29:C30" xr:uid="{6F63A7B0-35EF-4AC8-9CDC-FC8A523EFA2E}">
      <formula1>INDIRECT("FuelTypeList[Index]")</formula1>
    </dataValidation>
  </dataValidations>
  <pageMargins left="0.7" right="0.7" top="0.75" bottom="0.75" header="0.3" footer="0.3"/>
  <pageSetup orientation="portrait" r:id="rId1"/>
  <legacy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171E1-6E80-451B-8130-CA732B512319}">
  <sheetPr codeName="Sheet59">
    <tabColor rgb="FF7030A0"/>
  </sheetPr>
  <dimension ref="A1:H361"/>
  <sheetViews>
    <sheetView workbookViewId="0"/>
  </sheetViews>
  <sheetFormatPr defaultColWidth="9.08984375" defaultRowHeight="14.5" x14ac:dyDescent="0.35"/>
  <cols>
    <col min="1" max="3" width="17" style="123" customWidth="1"/>
    <col min="4" max="4" width="13.26953125" style="123" customWidth="1"/>
    <col min="5" max="5" width="26.81640625" style="123" customWidth="1"/>
    <col min="6" max="6" width="20.7265625" style="123" customWidth="1"/>
    <col min="7" max="8" width="17" style="123" customWidth="1"/>
    <col min="9" max="16384" width="9.08984375" style="123"/>
  </cols>
  <sheetData>
    <row r="1" spans="1:8" x14ac:dyDescent="0.35">
      <c r="A1" s="470" t="s">
        <v>2428</v>
      </c>
      <c r="B1" s="470" t="s">
        <v>5</v>
      </c>
      <c r="C1" s="470" t="s">
        <v>11</v>
      </c>
      <c r="D1" s="470" t="s">
        <v>2239</v>
      </c>
      <c r="E1" s="470" t="s">
        <v>478</v>
      </c>
      <c r="F1" s="470" t="s">
        <v>2245</v>
      </c>
      <c r="G1" s="470" t="s">
        <v>2246</v>
      </c>
      <c r="H1" s="470" t="s">
        <v>2429</v>
      </c>
    </row>
    <row r="2" spans="1:8" x14ac:dyDescent="0.35">
      <c r="A2" s="472" t="s">
        <v>2430</v>
      </c>
      <c r="B2" s="472" t="s">
        <v>2431</v>
      </c>
      <c r="C2" s="472" t="s">
        <v>347</v>
      </c>
      <c r="D2" s="472" t="s">
        <v>2432</v>
      </c>
      <c r="E2" s="472" t="str">
        <f>A2&amp;C2&amp;D2</f>
        <v>2017Residential1</v>
      </c>
      <c r="F2" s="473">
        <v>0.124</v>
      </c>
      <c r="G2" s="474">
        <v>5.24</v>
      </c>
      <c r="H2" s="474">
        <v>20</v>
      </c>
    </row>
    <row r="3" spans="1:8" x14ac:dyDescent="0.35">
      <c r="A3" s="472" t="s">
        <v>2430</v>
      </c>
      <c r="B3" s="472" t="s">
        <v>2431</v>
      </c>
      <c r="C3" s="472" t="s">
        <v>347</v>
      </c>
      <c r="D3" s="472" t="s">
        <v>2433</v>
      </c>
      <c r="E3" s="472" t="str">
        <f t="shared" ref="E3:E66" si="0">A3&amp;C3&amp;D3</f>
        <v>2017Residential2</v>
      </c>
      <c r="F3" s="473">
        <v>0.23056689342403627</v>
      </c>
      <c r="G3" s="474">
        <v>9.7433106575963713</v>
      </c>
      <c r="H3" s="474">
        <v>46.258503401360542</v>
      </c>
    </row>
    <row r="4" spans="1:8" x14ac:dyDescent="0.35">
      <c r="A4" s="472" t="s">
        <v>2430</v>
      </c>
      <c r="B4" s="472" t="s">
        <v>2431</v>
      </c>
      <c r="C4" s="472" t="s">
        <v>347</v>
      </c>
      <c r="D4" s="472" t="s">
        <v>2434</v>
      </c>
      <c r="E4" s="472" t="str">
        <f t="shared" si="0"/>
        <v>2017Residential3</v>
      </c>
      <c r="F4" s="473">
        <v>0.33982507288629737</v>
      </c>
      <c r="G4" s="474">
        <v>14.360349854227406</v>
      </c>
      <c r="H4" s="474">
        <v>72.173631357304814</v>
      </c>
    </row>
    <row r="5" spans="1:8" x14ac:dyDescent="0.35">
      <c r="A5" s="472" t="s">
        <v>2430</v>
      </c>
      <c r="B5" s="472" t="s">
        <v>2431</v>
      </c>
      <c r="C5" s="472" t="s">
        <v>347</v>
      </c>
      <c r="D5" s="472" t="s">
        <v>2435</v>
      </c>
      <c r="E5" s="472" t="str">
        <f t="shared" si="0"/>
        <v>2017Residential4</v>
      </c>
      <c r="F5" s="473">
        <v>0.44596159007820813</v>
      </c>
      <c r="G5" s="474">
        <v>18.845473645240407</v>
      </c>
      <c r="H5" s="474">
        <v>96.854705601061283</v>
      </c>
    </row>
    <row r="6" spans="1:8" x14ac:dyDescent="0.35">
      <c r="A6" s="472" t="s">
        <v>2430</v>
      </c>
      <c r="B6" s="472" t="s">
        <v>2431</v>
      </c>
      <c r="C6" s="472" t="s">
        <v>347</v>
      </c>
      <c r="D6" s="472" t="s">
        <v>2436</v>
      </c>
      <c r="E6" s="472" t="str">
        <f t="shared" si="0"/>
        <v>2017Residential5</v>
      </c>
      <c r="F6" s="473">
        <v>0.54906563535035002</v>
      </c>
      <c r="G6" s="474">
        <v>23.202451042224467</v>
      </c>
      <c r="H6" s="474">
        <v>120.36049059511504</v>
      </c>
    </row>
    <row r="7" spans="1:8" x14ac:dyDescent="0.35">
      <c r="A7" s="472" t="s">
        <v>2430</v>
      </c>
      <c r="B7" s="472" t="s">
        <v>2431</v>
      </c>
      <c r="C7" s="472" t="s">
        <v>347</v>
      </c>
      <c r="D7" s="472" t="s">
        <v>2437</v>
      </c>
      <c r="E7" s="472" t="str">
        <f t="shared" si="0"/>
        <v>2017Residential6</v>
      </c>
      <c r="F7" s="473">
        <v>0.6492238507575735</v>
      </c>
      <c r="G7" s="474">
        <v>27.434943370723271</v>
      </c>
      <c r="H7" s="474">
        <v>150.20910646058013</v>
      </c>
    </row>
    <row r="8" spans="1:8" x14ac:dyDescent="0.35">
      <c r="A8" s="472" t="s">
        <v>2430</v>
      </c>
      <c r="B8" s="472" t="s">
        <v>2431</v>
      </c>
      <c r="C8" s="472" t="s">
        <v>347</v>
      </c>
      <c r="D8" s="472" t="s">
        <v>2438</v>
      </c>
      <c r="E8" s="472" t="str">
        <f t="shared" si="0"/>
        <v>2017Residential7</v>
      </c>
      <c r="F8" s="473">
        <v>0.74652040286744781</v>
      </c>
      <c r="G8" s="474">
        <v>31.546507346979247</v>
      </c>
      <c r="H8" s="474">
        <v>185.74317296708622</v>
      </c>
    </row>
    <row r="9" spans="1:8" x14ac:dyDescent="0.35">
      <c r="A9" s="472" t="s">
        <v>2430</v>
      </c>
      <c r="B9" s="472" t="s">
        <v>2431</v>
      </c>
      <c r="C9" s="472" t="s">
        <v>347</v>
      </c>
      <c r="D9" s="472" t="s">
        <v>2439</v>
      </c>
      <c r="E9" s="472" t="str">
        <f t="shared" si="0"/>
        <v>2017Residential8</v>
      </c>
      <c r="F9" s="473">
        <v>0.84103705348846847</v>
      </c>
      <c r="G9" s="474">
        <v>35.540598066770769</v>
      </c>
      <c r="H9" s="474">
        <v>219.58514106852056</v>
      </c>
    </row>
    <row r="10" spans="1:8" x14ac:dyDescent="0.35">
      <c r="A10" s="472" t="s">
        <v>2430</v>
      </c>
      <c r="B10" s="472" t="s">
        <v>2431</v>
      </c>
      <c r="C10" s="472" t="s">
        <v>347</v>
      </c>
      <c r="D10" s="472" t="s">
        <v>2440</v>
      </c>
      <c r="E10" s="472" t="str">
        <f t="shared" si="0"/>
        <v>2017Residential9</v>
      </c>
      <c r="F10" s="473">
        <v>0.93285322837745999</v>
      </c>
      <c r="G10" s="474">
        <v>39.420571908853965</v>
      </c>
      <c r="H10" s="474">
        <v>251.8155868794104</v>
      </c>
    </row>
    <row r="11" spans="1:8" x14ac:dyDescent="0.35">
      <c r="A11" s="472" t="s">
        <v>2430</v>
      </c>
      <c r="B11" s="472" t="s">
        <v>2431</v>
      </c>
      <c r="C11" s="472" t="s">
        <v>347</v>
      </c>
      <c r="D11" s="472" t="s">
        <v>2441</v>
      </c>
      <c r="E11" s="472" t="str">
        <f t="shared" si="0"/>
        <v>2017Residential10</v>
      </c>
      <c r="F11" s="473">
        <v>1.0220460839839089</v>
      </c>
      <c r="G11" s="474">
        <v>43.189689355449062</v>
      </c>
      <c r="H11" s="474">
        <v>282.51124955644838</v>
      </c>
    </row>
    <row r="12" spans="1:8" x14ac:dyDescent="0.35">
      <c r="A12" s="472" t="s">
        <v>2430</v>
      </c>
      <c r="B12" s="472" t="s">
        <v>2431</v>
      </c>
      <c r="C12" s="472" t="s">
        <v>347</v>
      </c>
      <c r="D12" s="472" t="s">
        <v>2442</v>
      </c>
      <c r="E12" s="472" t="str">
        <f t="shared" si="0"/>
        <v>2017Residential11</v>
      </c>
      <c r="F12" s="473">
        <v>1.1086905722873166</v>
      </c>
      <c r="G12" s="474">
        <v>46.851117732141446</v>
      </c>
      <c r="H12" s="474">
        <v>311.74521401077021</v>
      </c>
    </row>
    <row r="13" spans="1:8" x14ac:dyDescent="0.35">
      <c r="A13" s="472" t="s">
        <v>2430</v>
      </c>
      <c r="B13" s="472" t="s">
        <v>2431</v>
      </c>
      <c r="C13" s="472" t="s">
        <v>347</v>
      </c>
      <c r="D13" s="472" t="s">
        <v>2443</v>
      </c>
      <c r="E13" s="472" t="str">
        <f t="shared" si="0"/>
        <v>2017Residential12</v>
      </c>
      <c r="F13" s="473">
        <v>1.1928595037820553</v>
      </c>
      <c r="G13" s="474">
        <v>50.407933869499757</v>
      </c>
      <c r="H13" s="474">
        <v>339.58708491964819</v>
      </c>
    </row>
    <row r="14" spans="1:8" x14ac:dyDescent="0.35">
      <c r="A14" s="472" t="s">
        <v>2430</v>
      </c>
      <c r="B14" s="472" t="s">
        <v>2431</v>
      </c>
      <c r="C14" s="472" t="s">
        <v>347</v>
      </c>
      <c r="D14" s="472" t="s">
        <v>2444</v>
      </c>
      <c r="E14" s="472" t="str">
        <f t="shared" si="0"/>
        <v>2017Residential13</v>
      </c>
      <c r="F14" s="473">
        <v>1.2746236086626586</v>
      </c>
      <c r="G14" s="474">
        <v>53.863126688647839</v>
      </c>
      <c r="H14" s="474">
        <v>366.10315245191293</v>
      </c>
    </row>
    <row r="15" spans="1:8" x14ac:dyDescent="0.35">
      <c r="A15" s="472" t="s">
        <v>2430</v>
      </c>
      <c r="B15" s="472" t="s">
        <v>2431</v>
      </c>
      <c r="C15" s="472" t="s">
        <v>347</v>
      </c>
      <c r="D15" s="472" t="s">
        <v>2445</v>
      </c>
      <c r="E15" s="472" t="str">
        <f t="shared" si="0"/>
        <v>2017Residential14</v>
      </c>
      <c r="F15" s="473">
        <v>1.3540515962609592</v>
      </c>
      <c r="G15" s="474">
        <v>57.219599712963117</v>
      </c>
      <c r="H15" s="474">
        <v>391.35655010168892</v>
      </c>
    </row>
    <row r="16" spans="1:8" x14ac:dyDescent="0.35">
      <c r="A16" s="472" t="s">
        <v>2430</v>
      </c>
      <c r="B16" s="472" t="s">
        <v>2431</v>
      </c>
      <c r="C16" s="472" t="s">
        <v>347</v>
      </c>
      <c r="D16" s="472" t="s">
        <v>2446</v>
      </c>
      <c r="E16" s="472" t="str">
        <f t="shared" si="0"/>
        <v>2017Residential15</v>
      </c>
      <c r="F16" s="473">
        <v>1.4312102127850224</v>
      </c>
      <c r="G16" s="474">
        <v>60.480173508012236</v>
      </c>
      <c r="H16" s="474">
        <v>415.40740500623741</v>
      </c>
    </row>
    <row r="17" spans="1:8" x14ac:dyDescent="0.35">
      <c r="A17" s="472" t="s">
        <v>2430</v>
      </c>
      <c r="B17" s="472" t="s">
        <v>2431</v>
      </c>
      <c r="C17" s="472" t="s">
        <v>347</v>
      </c>
      <c r="D17" s="472" t="s">
        <v>2447</v>
      </c>
      <c r="E17" s="472" t="str">
        <f t="shared" si="0"/>
        <v>2017Residential16</v>
      </c>
      <c r="F17" s="473">
        <v>1.506164297408398</v>
      </c>
      <c r="G17" s="474">
        <v>63.647588051774243</v>
      </c>
      <c r="H17" s="474">
        <v>438.31298110580741</v>
      </c>
    </row>
    <row r="18" spans="1:8" x14ac:dyDescent="0.35">
      <c r="A18" s="472" t="s">
        <v>2430</v>
      </c>
      <c r="B18" s="472" t="s">
        <v>2431</v>
      </c>
      <c r="C18" s="472" t="s">
        <v>347</v>
      </c>
      <c r="D18" s="472" t="s">
        <v>2448</v>
      </c>
      <c r="E18" s="472" t="str">
        <f t="shared" si="0"/>
        <v>2017Residential17</v>
      </c>
      <c r="F18" s="473">
        <v>1.5789768367568202</v>
      </c>
      <c r="G18" s="474">
        <v>66.724505037143047</v>
      </c>
      <c r="H18" s="474">
        <v>460.12781548635024</v>
      </c>
    </row>
    <row r="19" spans="1:8" x14ac:dyDescent="0.35">
      <c r="A19" s="472" t="s">
        <v>2430</v>
      </c>
      <c r="B19" s="472" t="s">
        <v>2431</v>
      </c>
      <c r="C19" s="472" t="s">
        <v>347</v>
      </c>
      <c r="D19" s="472" t="s">
        <v>2449</v>
      </c>
      <c r="E19" s="472" t="str">
        <f t="shared" si="0"/>
        <v>2017Residential18</v>
      </c>
      <c r="F19" s="473">
        <v>1.6497090178381444</v>
      </c>
      <c r="G19" s="474">
        <v>69.713510108644172</v>
      </c>
      <c r="H19" s="474">
        <v>480.90384822972436</v>
      </c>
    </row>
    <row r="20" spans="1:8" x14ac:dyDescent="0.35">
      <c r="A20" s="472" t="s">
        <v>2430</v>
      </c>
      <c r="B20" s="472" t="s">
        <v>2431</v>
      </c>
      <c r="C20" s="472" t="s">
        <v>347</v>
      </c>
      <c r="D20" s="472" t="s">
        <v>2450</v>
      </c>
      <c r="E20" s="472" t="str">
        <f t="shared" si="0"/>
        <v>2017Residential19</v>
      </c>
      <c r="F20" s="473">
        <v>1.7184202794600023</v>
      </c>
      <c r="G20" s="474">
        <v>72.617115035245263</v>
      </c>
      <c r="H20" s="474">
        <v>500.69054608055694</v>
      </c>
    </row>
    <row r="21" spans="1:8" x14ac:dyDescent="0.35">
      <c r="A21" s="472" t="s">
        <v>2430</v>
      </c>
      <c r="B21" s="472" t="s">
        <v>2431</v>
      </c>
      <c r="C21" s="472" t="s">
        <v>347</v>
      </c>
      <c r="D21" s="472" t="s">
        <v>2451</v>
      </c>
      <c r="E21" s="472" t="str">
        <f t="shared" si="0"/>
        <v>2017Residential20</v>
      </c>
      <c r="F21" s="473">
        <v>1.7851683621783785</v>
      </c>
      <c r="G21" s="474">
        <v>75.437759821086331</v>
      </c>
      <c r="H21" s="474">
        <v>519.53502022420696</v>
      </c>
    </row>
    <row r="22" spans="1:8" x14ac:dyDescent="0.35">
      <c r="A22" s="472" t="s">
        <v>2430</v>
      </c>
      <c r="B22" s="472" t="s">
        <v>2431</v>
      </c>
      <c r="C22" s="472" t="s">
        <v>347</v>
      </c>
      <c r="D22" s="472" t="s">
        <v>2452</v>
      </c>
      <c r="E22" s="472" t="str">
        <f t="shared" si="0"/>
        <v>2017Residential21</v>
      </c>
      <c r="F22" s="473">
        <v>1.850009356819087</v>
      </c>
      <c r="G22" s="474">
        <v>78.177814755903356</v>
      </c>
      <c r="H22" s="474">
        <v>537.48213845625457</v>
      </c>
    </row>
    <row r="23" spans="1:8" x14ac:dyDescent="0.35">
      <c r="A23" s="472" t="s">
        <v>2430</v>
      </c>
      <c r="B23" s="472" t="s">
        <v>2431</v>
      </c>
      <c r="C23" s="472" t="s">
        <v>347</v>
      </c>
      <c r="D23" s="472" t="s">
        <v>2453</v>
      </c>
      <c r="E23" s="472" t="str">
        <f t="shared" si="0"/>
        <v>2017Residential22</v>
      </c>
      <c r="F23" s="473">
        <v>1.9129977516129182</v>
      </c>
      <c r="G23" s="474">
        <v>80.839582406868473</v>
      </c>
      <c r="H23" s="474">
        <v>554.57463201058567</v>
      </c>
    </row>
    <row r="24" spans="1:8" x14ac:dyDescent="0.35">
      <c r="A24" s="472" t="s">
        <v>2430</v>
      </c>
      <c r="B24" s="472" t="s">
        <v>2431</v>
      </c>
      <c r="C24" s="472" t="s">
        <v>347</v>
      </c>
      <c r="D24" s="472" t="s">
        <v>2454</v>
      </c>
      <c r="E24" s="472" t="str">
        <f t="shared" si="0"/>
        <v>2017Residential23</v>
      </c>
      <c r="F24" s="473">
        <v>1.9741864779840683</v>
      </c>
      <c r="G24" s="474">
        <v>83.425299553520304</v>
      </c>
      <c r="H24" s="474">
        <v>570.85319730042477</v>
      </c>
    </row>
    <row r="25" spans="1:8" x14ac:dyDescent="0.35">
      <c r="A25" s="472" t="s">
        <v>2430</v>
      </c>
      <c r="B25" s="472" t="s">
        <v>2431</v>
      </c>
      <c r="C25" s="472" t="s">
        <v>347</v>
      </c>
      <c r="D25" s="472" t="s">
        <v>2455</v>
      </c>
      <c r="E25" s="472" t="str">
        <f t="shared" si="0"/>
        <v>2017Residential24</v>
      </c>
      <c r="F25" s="473">
        <v>2.0336269550303281</v>
      </c>
      <c r="G25" s="474">
        <v>85.937139067410655</v>
      </c>
      <c r="H25" s="474">
        <v>586.3565928145573</v>
      </c>
    </row>
    <row r="26" spans="1:8" x14ac:dyDescent="0.35">
      <c r="A26" s="472" t="s">
        <v>2430</v>
      </c>
      <c r="B26" s="472" t="s">
        <v>2431</v>
      </c>
      <c r="C26" s="472" t="s">
        <v>347</v>
      </c>
      <c r="D26" s="472" t="s">
        <v>2456</v>
      </c>
      <c r="E26" s="472" t="str">
        <f t="shared" si="0"/>
        <v>2017Residential25</v>
      </c>
      <c r="F26" s="473">
        <v>2.0913691327324093</v>
      </c>
      <c r="G26" s="474">
        <v>88.377211738046995</v>
      </c>
      <c r="H26" s="474">
        <v>601.12173139944503</v>
      </c>
    </row>
    <row r="27" spans="1:8" x14ac:dyDescent="0.35">
      <c r="A27" s="472" t="s">
        <v>2430</v>
      </c>
      <c r="B27" s="472" t="s">
        <v>2431</v>
      </c>
      <c r="C27" s="472" t="s">
        <v>347</v>
      </c>
      <c r="D27" s="472" t="s">
        <v>2457</v>
      </c>
      <c r="E27" s="472" t="str">
        <f t="shared" si="0"/>
        <v>2017Residential26</v>
      </c>
      <c r="F27" s="473">
        <v>2.1474615339287171</v>
      </c>
      <c r="G27" s="474">
        <v>90.747568046665151</v>
      </c>
      <c r="H27" s="474">
        <v>615.18376814695785</v>
      </c>
    </row>
    <row r="28" spans="1:8" x14ac:dyDescent="0.35">
      <c r="A28" s="472" t="s">
        <v>2430</v>
      </c>
      <c r="B28" s="472" t="s">
        <v>2431</v>
      </c>
      <c r="C28" s="472" t="s">
        <v>347</v>
      </c>
      <c r="D28" s="472" t="s">
        <v>2458</v>
      </c>
      <c r="E28" s="472" t="str">
        <f t="shared" si="0"/>
        <v>2017Residential27</v>
      </c>
      <c r="F28" s="473">
        <v>2.201951295090844</v>
      </c>
      <c r="G28" s="474">
        <v>93.050199889322784</v>
      </c>
      <c r="H28" s="474">
        <v>628.57618409696966</v>
      </c>
    </row>
    <row r="29" spans="1:8" x14ac:dyDescent="0.35">
      <c r="A29" s="472" t="s">
        <v>2430</v>
      </c>
      <c r="B29" s="472" t="s">
        <v>2431</v>
      </c>
      <c r="C29" s="472" t="s">
        <v>347</v>
      </c>
      <c r="D29" s="472" t="s">
        <v>2459</v>
      </c>
      <c r="E29" s="472" t="str">
        <f t="shared" si="0"/>
        <v>2017Residential28</v>
      </c>
      <c r="F29" s="473">
        <v>2.254884205934053</v>
      </c>
      <c r="G29" s="474">
        <v>95.28704225076163</v>
      </c>
      <c r="H29" s="474">
        <v>641.33086595412396</v>
      </c>
    </row>
    <row r="30" spans="1:8" x14ac:dyDescent="0.35">
      <c r="A30" s="472" t="s">
        <v>2430</v>
      </c>
      <c r="B30" s="472" t="s">
        <v>2431</v>
      </c>
      <c r="C30" s="472" t="s">
        <v>347</v>
      </c>
      <c r="D30" s="472" t="s">
        <v>2460</v>
      </c>
      <c r="E30" s="472" t="str">
        <f t="shared" si="0"/>
        <v>2017Residential29</v>
      </c>
      <c r="F30" s="473">
        <v>2.3063047478960281</v>
      </c>
      <c r="G30" s="474">
        <v>97.459974830445091</v>
      </c>
      <c r="H30" s="474">
        <v>653.47818200855647</v>
      </c>
    </row>
    <row r="31" spans="1:8" x14ac:dyDescent="0.35">
      <c r="A31" s="472" t="s">
        <v>2430</v>
      </c>
      <c r="B31" s="472" t="s">
        <v>2431</v>
      </c>
      <c r="C31" s="472" t="s">
        <v>347</v>
      </c>
      <c r="D31" s="472" t="s">
        <v>2461</v>
      </c>
      <c r="E31" s="472" t="str">
        <f t="shared" si="0"/>
        <v>2017Residential30</v>
      </c>
      <c r="F31" s="473">
        <v>2.3562561315162323</v>
      </c>
      <c r="G31" s="474">
        <v>99.570823622137581</v>
      </c>
      <c r="H31" s="474">
        <v>665.04705444134936</v>
      </c>
    </row>
    <row r="32" spans="1:8" x14ac:dyDescent="0.35">
      <c r="A32" s="472" t="s">
        <v>2430</v>
      </c>
      <c r="B32" s="472" t="s">
        <v>2431</v>
      </c>
      <c r="C32" s="472" t="s">
        <v>2254</v>
      </c>
      <c r="D32" s="472" t="s">
        <v>2432</v>
      </c>
      <c r="E32" s="472" t="str">
        <f t="shared" si="0"/>
        <v>2017Industrial1</v>
      </c>
      <c r="F32" s="473">
        <v>4.258E-2</v>
      </c>
      <c r="G32" s="474">
        <v>3.22</v>
      </c>
      <c r="H32" s="474">
        <v>20</v>
      </c>
    </row>
    <row r="33" spans="1:8" x14ac:dyDescent="0.35">
      <c r="A33" s="472" t="s">
        <v>2430</v>
      </c>
      <c r="B33" s="472" t="s">
        <v>2431</v>
      </c>
      <c r="C33" s="472" t="s">
        <v>2254</v>
      </c>
      <c r="D33" s="472" t="s">
        <v>2433</v>
      </c>
      <c r="E33" s="472" t="str">
        <f t="shared" si="0"/>
        <v>2017Industrial2</v>
      </c>
      <c r="F33" s="473">
        <v>7.917369614512472E-2</v>
      </c>
      <c r="G33" s="474">
        <v>5.9873015873015873</v>
      </c>
      <c r="H33" s="474">
        <v>46.258503401360542</v>
      </c>
    </row>
    <row r="34" spans="1:8" x14ac:dyDescent="0.35">
      <c r="A34" s="472" t="s">
        <v>2430</v>
      </c>
      <c r="B34" s="472" t="s">
        <v>2431</v>
      </c>
      <c r="C34" s="472" t="s">
        <v>2254</v>
      </c>
      <c r="D34" s="472" t="s">
        <v>2434</v>
      </c>
      <c r="E34" s="472" t="str">
        <f t="shared" si="0"/>
        <v>2017Industrial3</v>
      </c>
      <c r="F34" s="473">
        <v>0.11669154518950436</v>
      </c>
      <c r="G34" s="474">
        <v>8.8244897959183657</v>
      </c>
      <c r="H34" s="474">
        <v>72.173631357304814</v>
      </c>
    </row>
    <row r="35" spans="1:8" x14ac:dyDescent="0.35">
      <c r="A35" s="472" t="s">
        <v>2430</v>
      </c>
      <c r="B35" s="472" t="s">
        <v>2431</v>
      </c>
      <c r="C35" s="472" t="s">
        <v>2254</v>
      </c>
      <c r="D35" s="472" t="s">
        <v>2435</v>
      </c>
      <c r="E35" s="472" t="str">
        <f t="shared" si="0"/>
        <v>2017Industrial4</v>
      </c>
      <c r="F35" s="473">
        <v>0.15313745568975889</v>
      </c>
      <c r="G35" s="474">
        <v>11.580615484288952</v>
      </c>
      <c r="H35" s="474">
        <v>96.854705601061283</v>
      </c>
    </row>
    <row r="36" spans="1:8" x14ac:dyDescent="0.35">
      <c r="A36" s="472" t="s">
        <v>2430</v>
      </c>
      <c r="B36" s="472" t="s">
        <v>2431</v>
      </c>
      <c r="C36" s="472" t="s">
        <v>2254</v>
      </c>
      <c r="D36" s="472" t="s">
        <v>2436</v>
      </c>
      <c r="E36" s="472" t="str">
        <f t="shared" si="0"/>
        <v>2017Industrial5</v>
      </c>
      <c r="F36" s="473">
        <v>0.18854205446143474</v>
      </c>
      <c r="G36" s="474">
        <v>14.257994724420378</v>
      </c>
      <c r="H36" s="474">
        <v>120.36049059511504</v>
      </c>
    </row>
    <row r="37" spans="1:8" x14ac:dyDescent="0.35">
      <c r="A37" s="472" t="s">
        <v>2430</v>
      </c>
      <c r="B37" s="472" t="s">
        <v>2431</v>
      </c>
      <c r="C37" s="472" t="s">
        <v>2254</v>
      </c>
      <c r="D37" s="472" t="s">
        <v>2437</v>
      </c>
      <c r="E37" s="472" t="str">
        <f t="shared" si="0"/>
        <v>2017Industrial6</v>
      </c>
      <c r="F37" s="473">
        <v>0.22293509326820551</v>
      </c>
      <c r="G37" s="474">
        <v>16.858877414833763</v>
      </c>
      <c r="H37" s="474">
        <v>150.20910646058013</v>
      </c>
    </row>
    <row r="38" spans="1:8" x14ac:dyDescent="0.35">
      <c r="A38" s="472" t="s">
        <v>2430</v>
      </c>
      <c r="B38" s="472" t="s">
        <v>2431</v>
      </c>
      <c r="C38" s="472" t="s">
        <v>2254</v>
      </c>
      <c r="D38" s="472" t="s">
        <v>2438</v>
      </c>
      <c r="E38" s="472" t="str">
        <f t="shared" si="0"/>
        <v>2017Industrial7</v>
      </c>
      <c r="F38" s="473">
        <v>0.25634547382335426</v>
      </c>
      <c r="G38" s="474">
        <v>19.385449171235337</v>
      </c>
      <c r="H38" s="474">
        <v>185.74317296708622</v>
      </c>
    </row>
    <row r="39" spans="1:8" x14ac:dyDescent="0.35">
      <c r="A39" s="472" t="s">
        <v>2430</v>
      </c>
      <c r="B39" s="472" t="s">
        <v>2431</v>
      </c>
      <c r="C39" s="472" t="s">
        <v>2254</v>
      </c>
      <c r="D39" s="472" t="s">
        <v>2439</v>
      </c>
      <c r="E39" s="472" t="str">
        <f t="shared" si="0"/>
        <v>2017Industrial8</v>
      </c>
      <c r="F39" s="473">
        <v>0.28880127207692741</v>
      </c>
      <c r="G39" s="474">
        <v>21.839833163168294</v>
      </c>
      <c r="H39" s="474">
        <v>219.58514106852056</v>
      </c>
    </row>
    <row r="40" spans="1:8" x14ac:dyDescent="0.35">
      <c r="A40" s="472" t="s">
        <v>2430</v>
      </c>
      <c r="B40" s="472" t="s">
        <v>2431</v>
      </c>
      <c r="C40" s="472" t="s">
        <v>2254</v>
      </c>
      <c r="D40" s="472" t="s">
        <v>2440</v>
      </c>
      <c r="E40" s="472" t="str">
        <f t="shared" si="0"/>
        <v>2017Industrial9</v>
      </c>
      <c r="F40" s="473">
        <v>0.32032976180896983</v>
      </c>
      <c r="G40" s="474">
        <v>24.224091898188881</v>
      </c>
      <c r="H40" s="474">
        <v>251.8155868794104</v>
      </c>
    </row>
    <row r="41" spans="1:8" x14ac:dyDescent="0.35">
      <c r="A41" s="472" t="s">
        <v>2430</v>
      </c>
      <c r="B41" s="472" t="s">
        <v>2431</v>
      </c>
      <c r="C41" s="472" t="s">
        <v>2254</v>
      </c>
      <c r="D41" s="472" t="s">
        <v>2441</v>
      </c>
      <c r="E41" s="472" t="str">
        <f t="shared" si="0"/>
        <v>2017Industrial10</v>
      </c>
      <c r="F41" s="473">
        <v>0.35095743754866815</v>
      </c>
      <c r="G41" s="474">
        <v>26.540228955066024</v>
      </c>
      <c r="H41" s="474">
        <v>282.51124955644838</v>
      </c>
    </row>
    <row r="42" spans="1:8" x14ac:dyDescent="0.35">
      <c r="A42" s="472" t="s">
        <v>2430</v>
      </c>
      <c r="B42" s="472" t="s">
        <v>2431</v>
      </c>
      <c r="C42" s="472" t="s">
        <v>2254</v>
      </c>
      <c r="D42" s="472" t="s">
        <v>2442</v>
      </c>
      <c r="E42" s="472" t="str">
        <f t="shared" si="0"/>
        <v>2017Industrial11</v>
      </c>
      <c r="F42" s="473">
        <v>0.38071003683866089</v>
      </c>
      <c r="G42" s="474">
        <v>28.790190667460966</v>
      </c>
      <c r="H42" s="474">
        <v>311.74521401077021</v>
      </c>
    </row>
    <row r="43" spans="1:8" x14ac:dyDescent="0.35">
      <c r="A43" s="472" t="s">
        <v>2430</v>
      </c>
      <c r="B43" s="472" t="s">
        <v>2431</v>
      </c>
      <c r="C43" s="472" t="s">
        <v>2254</v>
      </c>
      <c r="D43" s="472" t="s">
        <v>2443</v>
      </c>
      <c r="E43" s="472" t="str">
        <f t="shared" si="0"/>
        <v>2017Industrial12</v>
      </c>
      <c r="F43" s="473">
        <v>0.4096125618632252</v>
      </c>
      <c r="G43" s="474">
        <v>30.97586775950176</v>
      </c>
      <c r="H43" s="474">
        <v>339.58708491964819</v>
      </c>
    </row>
    <row r="44" spans="1:8" x14ac:dyDescent="0.35">
      <c r="A44" s="472" t="s">
        <v>2430</v>
      </c>
      <c r="B44" s="472" t="s">
        <v>2431</v>
      </c>
      <c r="C44" s="472" t="s">
        <v>2254</v>
      </c>
      <c r="D44" s="472" t="s">
        <v>2444</v>
      </c>
      <c r="E44" s="472" t="str">
        <f t="shared" si="0"/>
        <v>2017Industrial13</v>
      </c>
      <c r="F44" s="473">
        <v>0.43768930045851623</v>
      </c>
      <c r="G44" s="474">
        <v>33.099096934627106</v>
      </c>
      <c r="H44" s="474">
        <v>366.10315245191293</v>
      </c>
    </row>
    <row r="45" spans="1:8" x14ac:dyDescent="0.35">
      <c r="A45" s="472" t="s">
        <v>2430</v>
      </c>
      <c r="B45" s="472" t="s">
        <v>2431</v>
      </c>
      <c r="C45" s="472" t="s">
        <v>2254</v>
      </c>
      <c r="D45" s="472" t="s">
        <v>2445</v>
      </c>
      <c r="E45" s="472" t="str">
        <f t="shared" si="0"/>
        <v>2017Industrial14</v>
      </c>
      <c r="F45" s="473">
        <v>0.46496384652251327</v>
      </c>
      <c r="G45" s="474">
        <v>35.161662419034585</v>
      </c>
      <c r="H45" s="474">
        <v>391.35655010168892</v>
      </c>
    </row>
    <row r="46" spans="1:8" x14ac:dyDescent="0.35">
      <c r="A46" s="472" t="s">
        <v>2430</v>
      </c>
      <c r="B46" s="472" t="s">
        <v>2431</v>
      </c>
      <c r="C46" s="472" t="s">
        <v>2254</v>
      </c>
      <c r="D46" s="472" t="s">
        <v>2446</v>
      </c>
      <c r="E46" s="472" t="str">
        <f t="shared" si="0"/>
        <v>2017Industrial15</v>
      </c>
      <c r="F46" s="473">
        <v>0.49145911984182461</v>
      </c>
      <c r="G46" s="474">
        <v>37.16529746103042</v>
      </c>
      <c r="H46" s="474">
        <v>415.40740500623741</v>
      </c>
    </row>
    <row r="47" spans="1:8" x14ac:dyDescent="0.35">
      <c r="A47" s="472" t="s">
        <v>2430</v>
      </c>
      <c r="B47" s="472" t="s">
        <v>2431</v>
      </c>
      <c r="C47" s="472" t="s">
        <v>2254</v>
      </c>
      <c r="D47" s="472" t="s">
        <v>2447</v>
      </c>
      <c r="E47" s="472" t="str">
        <f t="shared" si="0"/>
        <v>2017Industrial16</v>
      </c>
      <c r="F47" s="473">
        <v>0.51719738535201287</v>
      </c>
      <c r="G47" s="474">
        <v>39.111685787540658</v>
      </c>
      <c r="H47" s="474">
        <v>438.31298110580741</v>
      </c>
    </row>
    <row r="48" spans="1:8" x14ac:dyDescent="0.35">
      <c r="A48" s="472" t="s">
        <v>2430</v>
      </c>
      <c r="B48" s="472" t="s">
        <v>2431</v>
      </c>
      <c r="C48" s="472" t="s">
        <v>2254</v>
      </c>
      <c r="D48" s="472" t="s">
        <v>2448</v>
      </c>
      <c r="E48" s="472" t="str">
        <f t="shared" si="0"/>
        <v>2017Industrial17</v>
      </c>
      <c r="F48" s="473">
        <v>0.54220027184762432</v>
      </c>
      <c r="G48" s="474">
        <v>41.002463019007749</v>
      </c>
      <c r="H48" s="474">
        <v>460.12781548635024</v>
      </c>
    </row>
    <row r="49" spans="1:8" x14ac:dyDescent="0.35">
      <c r="A49" s="472" t="s">
        <v>2430</v>
      </c>
      <c r="B49" s="472" t="s">
        <v>2431</v>
      </c>
      <c r="C49" s="472" t="s">
        <v>2254</v>
      </c>
      <c r="D49" s="472" t="s">
        <v>2449</v>
      </c>
      <c r="E49" s="472" t="str">
        <f t="shared" si="0"/>
        <v>2017Industrial18</v>
      </c>
      <c r="F49" s="473">
        <v>0.56648879015764686</v>
      </c>
      <c r="G49" s="474">
        <v>42.839218043861493</v>
      </c>
      <c r="H49" s="474">
        <v>480.90384822972436</v>
      </c>
    </row>
    <row r="50" spans="1:8" x14ac:dyDescent="0.35">
      <c r="A50" s="472" t="s">
        <v>2430</v>
      </c>
      <c r="B50" s="472" t="s">
        <v>2431</v>
      </c>
      <c r="C50" s="472" t="s">
        <v>2254</v>
      </c>
      <c r="D50" s="472" t="s">
        <v>2450</v>
      </c>
      <c r="E50" s="472" t="str">
        <f t="shared" si="0"/>
        <v>2017Industrial19</v>
      </c>
      <c r="F50" s="473">
        <v>0.59008335080166874</v>
      </c>
      <c r="G50" s="474">
        <v>44.623494353719416</v>
      </c>
      <c r="H50" s="474">
        <v>500.69054608055694</v>
      </c>
    </row>
    <row r="51" spans="1:8" x14ac:dyDescent="0.35">
      <c r="A51" s="472" t="s">
        <v>2430</v>
      </c>
      <c r="B51" s="472" t="s">
        <v>2431</v>
      </c>
      <c r="C51" s="472" t="s">
        <v>2254</v>
      </c>
      <c r="D51" s="472" t="s">
        <v>2451</v>
      </c>
      <c r="E51" s="472" t="str">
        <f t="shared" si="0"/>
        <v>2017Industrial20</v>
      </c>
      <c r="F51" s="473">
        <v>0.61300378114157561</v>
      </c>
      <c r="G51" s="474">
        <v>46.356791340438548</v>
      </c>
      <c r="H51" s="474">
        <v>519.53502022420696</v>
      </c>
    </row>
    <row r="52" spans="1:8" x14ac:dyDescent="0.35">
      <c r="A52" s="472" t="s">
        <v>2430</v>
      </c>
      <c r="B52" s="472" t="s">
        <v>2431</v>
      </c>
      <c r="C52" s="472" t="s">
        <v>2254</v>
      </c>
      <c r="D52" s="472" t="s">
        <v>2452</v>
      </c>
      <c r="E52" s="472" t="str">
        <f t="shared" si="0"/>
        <v>2017Industrial21</v>
      </c>
      <c r="F52" s="473">
        <v>0.63526934204319951</v>
      </c>
      <c r="G52" s="474">
        <v>48.040565556108554</v>
      </c>
      <c r="H52" s="474">
        <v>537.48213845625457</v>
      </c>
    </row>
    <row r="53" spans="1:8" x14ac:dyDescent="0.35">
      <c r="A53" s="472" t="s">
        <v>2430</v>
      </c>
      <c r="B53" s="472" t="s">
        <v>2431</v>
      </c>
      <c r="C53" s="472" t="s">
        <v>2254</v>
      </c>
      <c r="D53" s="472" t="s">
        <v>2453</v>
      </c>
      <c r="E53" s="472" t="str">
        <f t="shared" si="0"/>
        <v>2017Industrial22</v>
      </c>
      <c r="F53" s="473">
        <v>0.65689874406191995</v>
      </c>
      <c r="G53" s="474">
        <v>49.676231937045138</v>
      </c>
      <c r="H53" s="474">
        <v>554.57463201058567</v>
      </c>
    </row>
    <row r="54" spans="1:8" x14ac:dyDescent="0.35">
      <c r="A54" s="472" t="s">
        <v>2430</v>
      </c>
      <c r="B54" s="472" t="s">
        <v>2431</v>
      </c>
      <c r="C54" s="472" t="s">
        <v>2254</v>
      </c>
      <c r="D54" s="472" t="s">
        <v>2454</v>
      </c>
      <c r="E54" s="472" t="str">
        <f t="shared" si="0"/>
        <v>2017Industrial23</v>
      </c>
      <c r="F54" s="473">
        <v>0.67791016316581976</v>
      </c>
      <c r="G54" s="474">
        <v>51.265164992812103</v>
      </c>
      <c r="H54" s="474">
        <v>570.85319730042477</v>
      </c>
    </row>
    <row r="55" spans="1:8" x14ac:dyDescent="0.35">
      <c r="A55" s="472" t="s">
        <v>2430</v>
      </c>
      <c r="B55" s="472" t="s">
        <v>2431</v>
      </c>
      <c r="C55" s="472" t="s">
        <v>2254</v>
      </c>
      <c r="D55" s="472" t="s">
        <v>2455</v>
      </c>
      <c r="E55" s="472" t="str">
        <f t="shared" si="0"/>
        <v>2017Industrial24</v>
      </c>
      <c r="F55" s="473">
        <v>0.69832125600960815</v>
      </c>
      <c r="G55" s="474">
        <v>52.808699961271437</v>
      </c>
      <c r="H55" s="474">
        <v>586.3565928145573</v>
      </c>
    </row>
    <row r="56" spans="1:8" x14ac:dyDescent="0.35">
      <c r="A56" s="472" t="s">
        <v>2430</v>
      </c>
      <c r="B56" s="472" t="s">
        <v>2431</v>
      </c>
      <c r="C56" s="472" t="s">
        <v>2254</v>
      </c>
      <c r="D56" s="472" t="s">
        <v>2456</v>
      </c>
      <c r="E56" s="472" t="str">
        <f t="shared" si="0"/>
        <v>2017Industrial25</v>
      </c>
      <c r="F56" s="473">
        <v>0.71814917477214535</v>
      </c>
      <c r="G56" s="474">
        <v>54.308133930631932</v>
      </c>
      <c r="H56" s="474">
        <v>601.12173139944537</v>
      </c>
    </row>
    <row r="57" spans="1:8" x14ac:dyDescent="0.35">
      <c r="A57" s="472" t="s">
        <v>2430</v>
      </c>
      <c r="B57" s="472" t="s">
        <v>2431</v>
      </c>
      <c r="C57" s="472" t="s">
        <v>2254</v>
      </c>
      <c r="D57" s="472" t="s">
        <v>2457</v>
      </c>
      <c r="E57" s="472" t="str">
        <f t="shared" si="0"/>
        <v>2017Industrial26</v>
      </c>
      <c r="F57" s="473">
        <v>0.73741058157003869</v>
      </c>
      <c r="G57" s="474">
        <v>55.76472692943927</v>
      </c>
      <c r="H57" s="474">
        <v>615.18376814695785</v>
      </c>
    </row>
    <row r="58" spans="1:8" x14ac:dyDescent="0.35">
      <c r="A58" s="472" t="s">
        <v>2430</v>
      </c>
      <c r="B58" s="472" t="s">
        <v>2431</v>
      </c>
      <c r="C58" s="472" t="s">
        <v>2254</v>
      </c>
      <c r="D58" s="472" t="s">
        <v>2458</v>
      </c>
      <c r="E58" s="472" t="str">
        <f t="shared" si="0"/>
        <v>2017Industrial27</v>
      </c>
      <c r="F58" s="473">
        <v>0.75612166245942081</v>
      </c>
      <c r="G58" s="474">
        <v>57.179702985423546</v>
      </c>
      <c r="H58" s="474">
        <v>628.57618409696966</v>
      </c>
    </row>
    <row r="59" spans="1:8" x14ac:dyDescent="0.35">
      <c r="A59" s="472" t="s">
        <v>2430</v>
      </c>
      <c r="B59" s="472" t="s">
        <v>2431</v>
      </c>
      <c r="C59" s="472" t="s">
        <v>2254</v>
      </c>
      <c r="D59" s="472" t="s">
        <v>2459</v>
      </c>
      <c r="E59" s="472" t="str">
        <f t="shared" si="0"/>
        <v>2017Industrial28</v>
      </c>
      <c r="F59" s="473">
        <v>0.77429814103767769</v>
      </c>
      <c r="G59" s="474">
        <v>58.554251154093983</v>
      </c>
      <c r="H59" s="474">
        <v>641.33086595412396</v>
      </c>
    </row>
    <row r="60" spans="1:8" x14ac:dyDescent="0.35">
      <c r="A60" s="472" t="s">
        <v>2430</v>
      </c>
      <c r="B60" s="472" t="s">
        <v>2431</v>
      </c>
      <c r="C60" s="472" t="s">
        <v>2254</v>
      </c>
      <c r="D60" s="472" t="s">
        <v>2460</v>
      </c>
      <c r="E60" s="472" t="str">
        <f t="shared" si="0"/>
        <v>2017Industrial29</v>
      </c>
      <c r="F60" s="473">
        <v>0.79195529165655587</v>
      </c>
      <c r="G60" s="474">
        <v>59.889526517945264</v>
      </c>
      <c r="H60" s="474">
        <v>653.47818200855647</v>
      </c>
    </row>
    <row r="61" spans="1:8" x14ac:dyDescent="0.35">
      <c r="A61" s="472" t="s">
        <v>2430</v>
      </c>
      <c r="B61" s="472" t="s">
        <v>2431</v>
      </c>
      <c r="C61" s="472" t="s">
        <v>2254</v>
      </c>
      <c r="D61" s="472" t="s">
        <v>2461</v>
      </c>
      <c r="E61" s="472" t="str">
        <f t="shared" si="0"/>
        <v>2017Industrial30</v>
      </c>
      <c r="F61" s="473">
        <v>0.80910795225775178</v>
      </c>
      <c r="G61" s="474">
        <v>61.18665115711508</v>
      </c>
      <c r="H61" s="474">
        <v>665.04705444134936</v>
      </c>
    </row>
    <row r="62" spans="1:8" x14ac:dyDescent="0.35">
      <c r="A62" s="472" t="s">
        <v>2430</v>
      </c>
      <c r="B62" s="472" t="s">
        <v>2431</v>
      </c>
      <c r="C62" s="472" t="s">
        <v>12</v>
      </c>
      <c r="D62" s="472" t="s">
        <v>2432</v>
      </c>
      <c r="E62" s="472" t="str">
        <f t="shared" si="0"/>
        <v>2017Commercial1</v>
      </c>
      <c r="F62" s="473">
        <v>0.124</v>
      </c>
      <c r="G62" s="474">
        <v>5.24</v>
      </c>
      <c r="H62" s="474">
        <v>20</v>
      </c>
    </row>
    <row r="63" spans="1:8" x14ac:dyDescent="0.35">
      <c r="A63" s="472" t="s">
        <v>2430</v>
      </c>
      <c r="B63" s="472" t="s">
        <v>2431</v>
      </c>
      <c r="C63" s="472" t="s">
        <v>12</v>
      </c>
      <c r="D63" s="472" t="s">
        <v>2433</v>
      </c>
      <c r="E63" s="472" t="str">
        <f t="shared" si="0"/>
        <v>2017Commercial2</v>
      </c>
      <c r="F63" s="473">
        <v>0.23056689342403627</v>
      </c>
      <c r="G63" s="474">
        <v>9.7433106575963713</v>
      </c>
      <c r="H63" s="474">
        <v>46.258503401360542</v>
      </c>
    </row>
    <row r="64" spans="1:8" x14ac:dyDescent="0.35">
      <c r="A64" s="472" t="s">
        <v>2430</v>
      </c>
      <c r="B64" s="472" t="s">
        <v>2431</v>
      </c>
      <c r="C64" s="472" t="s">
        <v>12</v>
      </c>
      <c r="D64" s="472" t="s">
        <v>2434</v>
      </c>
      <c r="E64" s="472" t="str">
        <f t="shared" si="0"/>
        <v>2017Commercial3</v>
      </c>
      <c r="F64" s="473">
        <v>0.33982507288629737</v>
      </c>
      <c r="G64" s="474">
        <v>14.360349854227406</v>
      </c>
      <c r="H64" s="474">
        <v>72.173631357304814</v>
      </c>
    </row>
    <row r="65" spans="1:8" x14ac:dyDescent="0.35">
      <c r="A65" s="472" t="s">
        <v>2430</v>
      </c>
      <c r="B65" s="472" t="s">
        <v>2431</v>
      </c>
      <c r="C65" s="472" t="s">
        <v>12</v>
      </c>
      <c r="D65" s="472" t="s">
        <v>2435</v>
      </c>
      <c r="E65" s="472" t="str">
        <f t="shared" si="0"/>
        <v>2017Commercial4</v>
      </c>
      <c r="F65" s="473">
        <v>0.44596159007820813</v>
      </c>
      <c r="G65" s="474">
        <v>18.845473645240407</v>
      </c>
      <c r="H65" s="474">
        <v>96.854705601061283</v>
      </c>
    </row>
    <row r="66" spans="1:8" x14ac:dyDescent="0.35">
      <c r="A66" s="472" t="s">
        <v>2430</v>
      </c>
      <c r="B66" s="472" t="s">
        <v>2431</v>
      </c>
      <c r="C66" s="472" t="s">
        <v>12</v>
      </c>
      <c r="D66" s="472" t="s">
        <v>2436</v>
      </c>
      <c r="E66" s="472" t="str">
        <f t="shared" si="0"/>
        <v>2017Commercial5</v>
      </c>
      <c r="F66" s="473">
        <v>0.54906563535035002</v>
      </c>
      <c r="G66" s="474">
        <v>23.202451042224467</v>
      </c>
      <c r="H66" s="474">
        <v>120.36049059511504</v>
      </c>
    </row>
    <row r="67" spans="1:8" x14ac:dyDescent="0.35">
      <c r="A67" s="472" t="s">
        <v>2430</v>
      </c>
      <c r="B67" s="472" t="s">
        <v>2431</v>
      </c>
      <c r="C67" s="472" t="s">
        <v>12</v>
      </c>
      <c r="D67" s="472" t="s">
        <v>2437</v>
      </c>
      <c r="E67" s="472" t="str">
        <f t="shared" ref="E67:E130" si="1">A67&amp;C67&amp;D67</f>
        <v>2017Commercial6</v>
      </c>
      <c r="F67" s="473">
        <v>0.6492238507575735</v>
      </c>
      <c r="G67" s="474">
        <v>27.434943370723271</v>
      </c>
      <c r="H67" s="474">
        <v>150.20910646058013</v>
      </c>
    </row>
    <row r="68" spans="1:8" x14ac:dyDescent="0.35">
      <c r="A68" s="472" t="s">
        <v>2430</v>
      </c>
      <c r="B68" s="472" t="s">
        <v>2431</v>
      </c>
      <c r="C68" s="472" t="s">
        <v>12</v>
      </c>
      <c r="D68" s="472" t="s">
        <v>2438</v>
      </c>
      <c r="E68" s="472" t="str">
        <f t="shared" si="1"/>
        <v>2017Commercial7</v>
      </c>
      <c r="F68" s="473">
        <v>0.74652040286744781</v>
      </c>
      <c r="G68" s="474">
        <v>31.546507346979247</v>
      </c>
      <c r="H68" s="474">
        <v>185.74317296708622</v>
      </c>
    </row>
    <row r="69" spans="1:8" x14ac:dyDescent="0.35">
      <c r="A69" s="472" t="s">
        <v>2430</v>
      </c>
      <c r="B69" s="472" t="s">
        <v>2431</v>
      </c>
      <c r="C69" s="472" t="s">
        <v>12</v>
      </c>
      <c r="D69" s="472" t="s">
        <v>2439</v>
      </c>
      <c r="E69" s="472" t="str">
        <f t="shared" si="1"/>
        <v>2017Commercial8</v>
      </c>
      <c r="F69" s="473">
        <v>0.84103705348846847</v>
      </c>
      <c r="G69" s="474">
        <v>35.540598066770769</v>
      </c>
      <c r="H69" s="474">
        <v>219.58514106852056</v>
      </c>
    </row>
    <row r="70" spans="1:8" x14ac:dyDescent="0.35">
      <c r="A70" s="472" t="s">
        <v>2430</v>
      </c>
      <c r="B70" s="472" t="s">
        <v>2431</v>
      </c>
      <c r="C70" s="472" t="s">
        <v>12</v>
      </c>
      <c r="D70" s="472" t="s">
        <v>2440</v>
      </c>
      <c r="E70" s="472" t="str">
        <f t="shared" si="1"/>
        <v>2017Commercial9</v>
      </c>
      <c r="F70" s="473">
        <v>0.93285322837745999</v>
      </c>
      <c r="G70" s="474">
        <v>39.420571908853965</v>
      </c>
      <c r="H70" s="474">
        <v>251.8155868794104</v>
      </c>
    </row>
    <row r="71" spans="1:8" x14ac:dyDescent="0.35">
      <c r="A71" s="472" t="s">
        <v>2430</v>
      </c>
      <c r="B71" s="472" t="s">
        <v>2431</v>
      </c>
      <c r="C71" s="472" t="s">
        <v>12</v>
      </c>
      <c r="D71" s="472" t="s">
        <v>2441</v>
      </c>
      <c r="E71" s="472" t="str">
        <f t="shared" si="1"/>
        <v>2017Commercial10</v>
      </c>
      <c r="F71" s="473">
        <v>1.0220460839839089</v>
      </c>
      <c r="G71" s="474">
        <v>43.189689355449062</v>
      </c>
      <c r="H71" s="474">
        <v>282.51124955644838</v>
      </c>
    </row>
    <row r="72" spans="1:8" x14ac:dyDescent="0.35">
      <c r="A72" s="472" t="s">
        <v>2430</v>
      </c>
      <c r="B72" s="472" t="s">
        <v>2431</v>
      </c>
      <c r="C72" s="472" t="s">
        <v>12</v>
      </c>
      <c r="D72" s="472" t="s">
        <v>2442</v>
      </c>
      <c r="E72" s="472" t="str">
        <f t="shared" si="1"/>
        <v>2017Commercial11</v>
      </c>
      <c r="F72" s="473">
        <v>1.1086905722873166</v>
      </c>
      <c r="G72" s="474">
        <v>46.851117732141446</v>
      </c>
      <c r="H72" s="474">
        <v>311.74521401077021</v>
      </c>
    </row>
    <row r="73" spans="1:8" x14ac:dyDescent="0.35">
      <c r="A73" s="472" t="s">
        <v>2430</v>
      </c>
      <c r="B73" s="472" t="s">
        <v>2431</v>
      </c>
      <c r="C73" s="472" t="s">
        <v>12</v>
      </c>
      <c r="D73" s="472" t="s">
        <v>2443</v>
      </c>
      <c r="E73" s="472" t="str">
        <f t="shared" si="1"/>
        <v>2017Commercial12</v>
      </c>
      <c r="F73" s="473">
        <v>1.1928595037820553</v>
      </c>
      <c r="G73" s="474">
        <v>50.407933869499757</v>
      </c>
      <c r="H73" s="474">
        <v>339.58708491964819</v>
      </c>
    </row>
    <row r="74" spans="1:8" x14ac:dyDescent="0.35">
      <c r="A74" s="472" t="s">
        <v>2430</v>
      </c>
      <c r="B74" s="472" t="s">
        <v>2431</v>
      </c>
      <c r="C74" s="472" t="s">
        <v>12</v>
      </c>
      <c r="D74" s="472" t="s">
        <v>2444</v>
      </c>
      <c r="E74" s="472" t="str">
        <f t="shared" si="1"/>
        <v>2017Commercial13</v>
      </c>
      <c r="F74" s="473">
        <v>1.2746236086626586</v>
      </c>
      <c r="G74" s="474">
        <v>53.863126688647839</v>
      </c>
      <c r="H74" s="474">
        <v>366.10315245191293</v>
      </c>
    </row>
    <row r="75" spans="1:8" x14ac:dyDescent="0.35">
      <c r="A75" s="472" t="s">
        <v>2430</v>
      </c>
      <c r="B75" s="472" t="s">
        <v>2431</v>
      </c>
      <c r="C75" s="472" t="s">
        <v>12</v>
      </c>
      <c r="D75" s="472" t="s">
        <v>2445</v>
      </c>
      <c r="E75" s="472" t="str">
        <f t="shared" si="1"/>
        <v>2017Commercial14</v>
      </c>
      <c r="F75" s="473">
        <v>1.3540515962609592</v>
      </c>
      <c r="G75" s="474">
        <v>57.219599712963117</v>
      </c>
      <c r="H75" s="474">
        <v>391.35655010168892</v>
      </c>
    </row>
    <row r="76" spans="1:8" x14ac:dyDescent="0.35">
      <c r="A76" s="472" t="s">
        <v>2430</v>
      </c>
      <c r="B76" s="472" t="s">
        <v>2431</v>
      </c>
      <c r="C76" s="472" t="s">
        <v>12</v>
      </c>
      <c r="D76" s="472" t="s">
        <v>2446</v>
      </c>
      <c r="E76" s="472" t="str">
        <f t="shared" si="1"/>
        <v>2017Commercial15</v>
      </c>
      <c r="F76" s="473">
        <v>1.4312102127850224</v>
      </c>
      <c r="G76" s="474">
        <v>60.480173508012236</v>
      </c>
      <c r="H76" s="474">
        <v>415.40740500623741</v>
      </c>
    </row>
    <row r="77" spans="1:8" x14ac:dyDescent="0.35">
      <c r="A77" s="472" t="s">
        <v>2430</v>
      </c>
      <c r="B77" s="472" t="s">
        <v>2431</v>
      </c>
      <c r="C77" s="472" t="s">
        <v>12</v>
      </c>
      <c r="D77" s="472" t="s">
        <v>2447</v>
      </c>
      <c r="E77" s="472" t="str">
        <f t="shared" si="1"/>
        <v>2017Commercial16</v>
      </c>
      <c r="F77" s="473">
        <v>1.506164297408398</v>
      </c>
      <c r="G77" s="474">
        <v>63.647588051774243</v>
      </c>
      <c r="H77" s="474">
        <v>438.31298110580741</v>
      </c>
    </row>
    <row r="78" spans="1:8" x14ac:dyDescent="0.35">
      <c r="A78" s="472" t="s">
        <v>2430</v>
      </c>
      <c r="B78" s="472" t="s">
        <v>2431</v>
      </c>
      <c r="C78" s="472" t="s">
        <v>12</v>
      </c>
      <c r="D78" s="472" t="s">
        <v>2448</v>
      </c>
      <c r="E78" s="472" t="str">
        <f t="shared" si="1"/>
        <v>2017Commercial17</v>
      </c>
      <c r="F78" s="473">
        <v>1.5789768367568202</v>
      </c>
      <c r="G78" s="474">
        <v>66.724505037143047</v>
      </c>
      <c r="H78" s="474">
        <v>460.12781548635024</v>
      </c>
    </row>
    <row r="79" spans="1:8" x14ac:dyDescent="0.35">
      <c r="A79" s="472" t="s">
        <v>2430</v>
      </c>
      <c r="B79" s="472" t="s">
        <v>2431</v>
      </c>
      <c r="C79" s="472" t="s">
        <v>12</v>
      </c>
      <c r="D79" s="472" t="s">
        <v>2449</v>
      </c>
      <c r="E79" s="472" t="str">
        <f t="shared" si="1"/>
        <v>2017Commercial18</v>
      </c>
      <c r="F79" s="473">
        <v>1.6497090178381444</v>
      </c>
      <c r="G79" s="474">
        <v>69.713510108644172</v>
      </c>
      <c r="H79" s="474">
        <v>480.90384822972436</v>
      </c>
    </row>
    <row r="80" spans="1:8" x14ac:dyDescent="0.35">
      <c r="A80" s="472" t="s">
        <v>2430</v>
      </c>
      <c r="B80" s="472" t="s">
        <v>2431</v>
      </c>
      <c r="C80" s="472" t="s">
        <v>12</v>
      </c>
      <c r="D80" s="472" t="s">
        <v>2450</v>
      </c>
      <c r="E80" s="472" t="str">
        <f t="shared" si="1"/>
        <v>2017Commercial19</v>
      </c>
      <c r="F80" s="473">
        <v>1.7184202794600023</v>
      </c>
      <c r="G80" s="474">
        <v>72.617115035245263</v>
      </c>
      <c r="H80" s="474">
        <v>500.69054608055694</v>
      </c>
    </row>
    <row r="81" spans="1:8" x14ac:dyDescent="0.35">
      <c r="A81" s="472" t="s">
        <v>2430</v>
      </c>
      <c r="B81" s="472" t="s">
        <v>2431</v>
      </c>
      <c r="C81" s="472" t="s">
        <v>12</v>
      </c>
      <c r="D81" s="472" t="s">
        <v>2451</v>
      </c>
      <c r="E81" s="472" t="str">
        <f t="shared" si="1"/>
        <v>2017Commercial20</v>
      </c>
      <c r="F81" s="473">
        <v>1.7851683621783785</v>
      </c>
      <c r="G81" s="474">
        <v>75.437759821086331</v>
      </c>
      <c r="H81" s="474">
        <v>519.53502022420696</v>
      </c>
    </row>
    <row r="82" spans="1:8" x14ac:dyDescent="0.35">
      <c r="A82" s="472" t="s">
        <v>2430</v>
      </c>
      <c r="B82" s="472" t="s">
        <v>2431</v>
      </c>
      <c r="C82" s="472" t="s">
        <v>12</v>
      </c>
      <c r="D82" s="472" t="s">
        <v>2452</v>
      </c>
      <c r="E82" s="472" t="str">
        <f t="shared" si="1"/>
        <v>2017Commercial21</v>
      </c>
      <c r="F82" s="473">
        <v>1.850009356819087</v>
      </c>
      <c r="G82" s="474">
        <v>78.177814755903356</v>
      </c>
      <c r="H82" s="474">
        <v>537.48213845625457</v>
      </c>
    </row>
    <row r="83" spans="1:8" x14ac:dyDescent="0.35">
      <c r="A83" s="472" t="s">
        <v>2430</v>
      </c>
      <c r="B83" s="472" t="s">
        <v>2431</v>
      </c>
      <c r="C83" s="472" t="s">
        <v>12</v>
      </c>
      <c r="D83" s="472" t="s">
        <v>2453</v>
      </c>
      <c r="E83" s="472" t="str">
        <f t="shared" si="1"/>
        <v>2017Commercial22</v>
      </c>
      <c r="F83" s="473">
        <v>1.9129977516129182</v>
      </c>
      <c r="G83" s="474">
        <v>80.839582406868473</v>
      </c>
      <c r="H83" s="474">
        <v>554.57463201058567</v>
      </c>
    </row>
    <row r="84" spans="1:8" x14ac:dyDescent="0.35">
      <c r="A84" s="472" t="s">
        <v>2430</v>
      </c>
      <c r="B84" s="472" t="s">
        <v>2431</v>
      </c>
      <c r="C84" s="472" t="s">
        <v>12</v>
      </c>
      <c r="D84" s="472" t="s">
        <v>2454</v>
      </c>
      <c r="E84" s="472" t="str">
        <f t="shared" si="1"/>
        <v>2017Commercial23</v>
      </c>
      <c r="F84" s="473">
        <v>1.9741864779840683</v>
      </c>
      <c r="G84" s="474">
        <v>83.425299553520304</v>
      </c>
      <c r="H84" s="474">
        <v>570.85319730042477</v>
      </c>
    </row>
    <row r="85" spans="1:8" x14ac:dyDescent="0.35">
      <c r="A85" s="472" t="s">
        <v>2430</v>
      </c>
      <c r="B85" s="472" t="s">
        <v>2431</v>
      </c>
      <c r="C85" s="472" t="s">
        <v>12</v>
      </c>
      <c r="D85" s="472" t="s">
        <v>2455</v>
      </c>
      <c r="E85" s="472" t="str">
        <f t="shared" si="1"/>
        <v>2017Commercial24</v>
      </c>
      <c r="F85" s="473">
        <v>2.0336269550303281</v>
      </c>
      <c r="G85" s="474">
        <v>85.937139067410655</v>
      </c>
      <c r="H85" s="474">
        <v>586.3565928145573</v>
      </c>
    </row>
    <row r="86" spans="1:8" x14ac:dyDescent="0.35">
      <c r="A86" s="472" t="s">
        <v>2430</v>
      </c>
      <c r="B86" s="472" t="s">
        <v>2431</v>
      </c>
      <c r="C86" s="472" t="s">
        <v>12</v>
      </c>
      <c r="D86" s="472" t="s">
        <v>2456</v>
      </c>
      <c r="E86" s="472" t="str">
        <f t="shared" si="1"/>
        <v>2017Commercial25</v>
      </c>
      <c r="F86" s="473">
        <v>2.0913691327324093</v>
      </c>
      <c r="G86" s="474">
        <v>88.377211738046995</v>
      </c>
      <c r="H86" s="474">
        <v>601.12173139944537</v>
      </c>
    </row>
    <row r="87" spans="1:8" x14ac:dyDescent="0.35">
      <c r="A87" s="472" t="s">
        <v>2430</v>
      </c>
      <c r="B87" s="472" t="s">
        <v>2431</v>
      </c>
      <c r="C87" s="472" t="s">
        <v>12</v>
      </c>
      <c r="D87" s="472" t="s">
        <v>2457</v>
      </c>
      <c r="E87" s="472" t="str">
        <f t="shared" si="1"/>
        <v>2017Commercial26</v>
      </c>
      <c r="F87" s="473">
        <v>2.1474615339287171</v>
      </c>
      <c r="G87" s="474">
        <v>90.747568046665151</v>
      </c>
      <c r="H87" s="474">
        <v>615.18376814695785</v>
      </c>
    </row>
    <row r="88" spans="1:8" x14ac:dyDescent="0.35">
      <c r="A88" s="472" t="s">
        <v>2430</v>
      </c>
      <c r="B88" s="472" t="s">
        <v>2431</v>
      </c>
      <c r="C88" s="472" t="s">
        <v>12</v>
      </c>
      <c r="D88" s="472" t="s">
        <v>2458</v>
      </c>
      <c r="E88" s="472" t="str">
        <f t="shared" si="1"/>
        <v>2017Commercial27</v>
      </c>
      <c r="F88" s="473">
        <v>2.201951295090844</v>
      </c>
      <c r="G88" s="474">
        <v>93.050199889322784</v>
      </c>
      <c r="H88" s="474">
        <v>628.57618409696966</v>
      </c>
    </row>
    <row r="89" spans="1:8" x14ac:dyDescent="0.35">
      <c r="A89" s="472" t="s">
        <v>2430</v>
      </c>
      <c r="B89" s="472" t="s">
        <v>2431</v>
      </c>
      <c r="C89" s="472" t="s">
        <v>12</v>
      </c>
      <c r="D89" s="472" t="s">
        <v>2459</v>
      </c>
      <c r="E89" s="472" t="str">
        <f t="shared" si="1"/>
        <v>2017Commercial28</v>
      </c>
      <c r="F89" s="473">
        <v>2.254884205934053</v>
      </c>
      <c r="G89" s="474">
        <v>95.28704225076163</v>
      </c>
      <c r="H89" s="474">
        <v>641.33086595412396</v>
      </c>
    </row>
    <row r="90" spans="1:8" x14ac:dyDescent="0.35">
      <c r="A90" s="472" t="s">
        <v>2430</v>
      </c>
      <c r="B90" s="472" t="s">
        <v>2431</v>
      </c>
      <c r="C90" s="472" t="s">
        <v>12</v>
      </c>
      <c r="D90" s="472" t="s">
        <v>2460</v>
      </c>
      <c r="E90" s="472" t="str">
        <f t="shared" si="1"/>
        <v>2017Commercial29</v>
      </c>
      <c r="F90" s="473">
        <v>2.3063047478960281</v>
      </c>
      <c r="G90" s="474">
        <v>97.459974830445091</v>
      </c>
      <c r="H90" s="474">
        <v>653.47818200855647</v>
      </c>
    </row>
    <row r="91" spans="1:8" x14ac:dyDescent="0.35">
      <c r="A91" s="472" t="s">
        <v>2430</v>
      </c>
      <c r="B91" s="472" t="s">
        <v>2431</v>
      </c>
      <c r="C91" s="472" t="s">
        <v>12</v>
      </c>
      <c r="D91" s="472" t="s">
        <v>2461</v>
      </c>
      <c r="E91" s="472" t="str">
        <f t="shared" si="1"/>
        <v>2017Commercial30</v>
      </c>
      <c r="F91" s="473">
        <v>2.3562561315162323</v>
      </c>
      <c r="G91" s="474">
        <v>99.570823622137581</v>
      </c>
      <c r="H91" s="474">
        <v>665.04705444134936</v>
      </c>
    </row>
    <row r="92" spans="1:8" x14ac:dyDescent="0.35">
      <c r="A92" s="472" t="s">
        <v>2462</v>
      </c>
      <c r="B92" s="472" t="s">
        <v>2463</v>
      </c>
      <c r="C92" s="472" t="s">
        <v>347</v>
      </c>
      <c r="D92" s="472" t="s">
        <v>2432</v>
      </c>
      <c r="E92" s="472" t="str">
        <f t="shared" si="1"/>
        <v>2018Residential1</v>
      </c>
      <c r="F92" s="473">
        <v>0.124</v>
      </c>
      <c r="G92" s="474">
        <v>5.24</v>
      </c>
      <c r="H92" s="474">
        <v>30</v>
      </c>
    </row>
    <row r="93" spans="1:8" x14ac:dyDescent="0.35">
      <c r="A93" s="472" t="s">
        <v>2462</v>
      </c>
      <c r="B93" s="472" t="s">
        <v>2463</v>
      </c>
      <c r="C93" s="472" t="s">
        <v>347</v>
      </c>
      <c r="D93" s="472" t="s">
        <v>2433</v>
      </c>
      <c r="E93" s="472" t="str">
        <f t="shared" si="1"/>
        <v>2018Residential2</v>
      </c>
      <c r="F93" s="473">
        <v>0.23281632653061224</v>
      </c>
      <c r="G93" s="474">
        <v>9.8383673469387762</v>
      </c>
      <c r="H93" s="474">
        <v>55.782312925170061</v>
      </c>
    </row>
    <row r="94" spans="1:8" x14ac:dyDescent="0.35">
      <c r="A94" s="472" t="s">
        <v>2462</v>
      </c>
      <c r="B94" s="472" t="s">
        <v>2463</v>
      </c>
      <c r="C94" s="472" t="s">
        <v>347</v>
      </c>
      <c r="D94" s="472" t="s">
        <v>2434</v>
      </c>
      <c r="E94" s="472" t="str">
        <f t="shared" si="1"/>
        <v>2018Residential3</v>
      </c>
      <c r="F94" s="473">
        <v>0.34425966958211857</v>
      </c>
      <c r="G94" s="474">
        <v>14.547747327502428</v>
      </c>
      <c r="H94" s="474">
        <v>81.697440881114346</v>
      </c>
    </row>
    <row r="95" spans="1:8" x14ac:dyDescent="0.35">
      <c r="A95" s="472" t="s">
        <v>2462</v>
      </c>
      <c r="B95" s="472" t="s">
        <v>2463</v>
      </c>
      <c r="C95" s="472" t="s">
        <v>347</v>
      </c>
      <c r="D95" s="472" t="s">
        <v>2435</v>
      </c>
      <c r="E95" s="472" t="str">
        <f t="shared" si="1"/>
        <v>2018Residential4</v>
      </c>
      <c r="F95" s="473">
        <v>0.45251891711786757</v>
      </c>
      <c r="G95" s="474">
        <v>19.122573594335694</v>
      </c>
      <c r="H95" s="474">
        <v>106.3785151248708</v>
      </c>
    </row>
    <row r="96" spans="1:8" x14ac:dyDescent="0.35">
      <c r="A96" s="472" t="s">
        <v>2462</v>
      </c>
      <c r="B96" s="472" t="s">
        <v>2463</v>
      </c>
      <c r="C96" s="472" t="s">
        <v>347</v>
      </c>
      <c r="D96" s="472" t="s">
        <v>2436</v>
      </c>
      <c r="E96" s="472" t="str">
        <f t="shared" si="1"/>
        <v>2018Residential5</v>
      </c>
      <c r="F96" s="473">
        <v>0.55768504329545232</v>
      </c>
      <c r="G96" s="474">
        <v>23.566690539259433</v>
      </c>
      <c r="H96" s="474">
        <v>137.71956178360915</v>
      </c>
    </row>
    <row r="97" spans="1:8" x14ac:dyDescent="0.35">
      <c r="A97" s="472" t="s">
        <v>2462</v>
      </c>
      <c r="B97" s="472" t="s">
        <v>2463</v>
      </c>
      <c r="C97" s="472" t="s">
        <v>347</v>
      </c>
      <c r="D97" s="472" t="s">
        <v>2437</v>
      </c>
      <c r="E97" s="472" t="str">
        <f t="shared" si="1"/>
        <v>2018Residential6</v>
      </c>
      <c r="F97" s="473">
        <v>0.6598464230108203</v>
      </c>
      <c r="G97" s="474">
        <v>27.883832714328214</v>
      </c>
      <c r="H97" s="474">
        <v>175.03033161544053</v>
      </c>
    </row>
    <row r="98" spans="1:8" x14ac:dyDescent="0.35">
      <c r="A98" s="472" t="s">
        <v>2462</v>
      </c>
      <c r="B98" s="472" t="s">
        <v>2463</v>
      </c>
      <c r="C98" s="472" t="s">
        <v>347</v>
      </c>
      <c r="D98" s="472" t="s">
        <v>2438</v>
      </c>
      <c r="E98" s="472" t="str">
        <f t="shared" si="1"/>
        <v>2018Residential7</v>
      </c>
      <c r="F98" s="473">
        <v>0.75908890616289215</v>
      </c>
      <c r="G98" s="474">
        <v>32.077627970109312</v>
      </c>
      <c r="H98" s="474">
        <v>210.5643981219466</v>
      </c>
    </row>
    <row r="99" spans="1:8" x14ac:dyDescent="0.35">
      <c r="A99" s="472" t="s">
        <v>2462</v>
      </c>
      <c r="B99" s="472" t="s">
        <v>2463</v>
      </c>
      <c r="C99" s="472" t="s">
        <v>347</v>
      </c>
      <c r="D99" s="472" t="s">
        <v>2439</v>
      </c>
      <c r="E99" s="472" t="str">
        <f t="shared" si="1"/>
        <v>2018Residential8</v>
      </c>
      <c r="F99" s="473">
        <v>0.85549588979633329</v>
      </c>
      <c r="G99" s="474">
        <v>36.15160050429666</v>
      </c>
      <c r="H99" s="474">
        <v>244.40636622338096</v>
      </c>
    </row>
    <row r="100" spans="1:8" x14ac:dyDescent="0.35">
      <c r="A100" s="472" t="s">
        <v>2462</v>
      </c>
      <c r="B100" s="472" t="s">
        <v>2463</v>
      </c>
      <c r="C100" s="472" t="s">
        <v>347</v>
      </c>
      <c r="D100" s="472" t="s">
        <v>2440</v>
      </c>
      <c r="E100" s="472" t="str">
        <f t="shared" si="1"/>
        <v>2018Residential9</v>
      </c>
      <c r="F100" s="473">
        <v>0.94914838818310465</v>
      </c>
      <c r="G100" s="474">
        <v>40.109173823221518</v>
      </c>
      <c r="H100" s="474">
        <v>276.6368120342708</v>
      </c>
    </row>
    <row r="101" spans="1:8" x14ac:dyDescent="0.35">
      <c r="A101" s="472" t="s">
        <v>2462</v>
      </c>
      <c r="B101" s="472" t="s">
        <v>2463</v>
      </c>
      <c r="C101" s="472" t="s">
        <v>347</v>
      </c>
      <c r="D101" s="472" t="s">
        <v>2441</v>
      </c>
      <c r="E101" s="472" t="str">
        <f t="shared" si="1"/>
        <v>2018Residential10</v>
      </c>
      <c r="F101" s="473">
        <v>1.0401251009016825</v>
      </c>
      <c r="G101" s="474">
        <v>43.95367361874851</v>
      </c>
      <c r="H101" s="474">
        <v>307.33247471130881</v>
      </c>
    </row>
    <row r="102" spans="1:8" x14ac:dyDescent="0.35">
      <c r="A102" s="472" t="s">
        <v>2462</v>
      </c>
      <c r="B102" s="472" t="s">
        <v>2463</v>
      </c>
      <c r="C102" s="472" t="s">
        <v>347</v>
      </c>
      <c r="D102" s="472" t="s">
        <v>2442</v>
      </c>
      <c r="E102" s="472" t="str">
        <f t="shared" si="1"/>
        <v>2018Residential11</v>
      </c>
      <c r="F102" s="473">
        <v>1.1285024789711582</v>
      </c>
      <c r="G102" s="474">
        <v>47.688330562974741</v>
      </c>
      <c r="H102" s="474">
        <v>336.56643916563064</v>
      </c>
    </row>
    <row r="103" spans="1:8" x14ac:dyDescent="0.35">
      <c r="A103" s="472" t="s">
        <v>2462</v>
      </c>
      <c r="B103" s="472" t="s">
        <v>2463</v>
      </c>
      <c r="C103" s="472" t="s">
        <v>347</v>
      </c>
      <c r="D103" s="472" t="s">
        <v>2443</v>
      </c>
      <c r="E103" s="472" t="str">
        <f t="shared" si="1"/>
        <v>2018Residential12</v>
      </c>
      <c r="F103" s="473">
        <v>1.2143547890957918</v>
      </c>
      <c r="G103" s="474">
        <v>51.316283023080224</v>
      </c>
      <c r="H103" s="474">
        <v>364.40831007450856</v>
      </c>
    </row>
    <row r="104" spans="1:8" x14ac:dyDescent="0.35">
      <c r="A104" s="472" t="s">
        <v>2462</v>
      </c>
      <c r="B104" s="472" t="s">
        <v>2463</v>
      </c>
      <c r="C104" s="472" t="s">
        <v>347</v>
      </c>
      <c r="D104" s="472" t="s">
        <v>2444</v>
      </c>
      <c r="E104" s="472" t="str">
        <f t="shared" si="1"/>
        <v>2018Residential13</v>
      </c>
      <c r="F104" s="473">
        <v>1.2977541760740074</v>
      </c>
      <c r="G104" s="474">
        <v>54.840579698611265</v>
      </c>
      <c r="H104" s="474">
        <v>390.92437760677331</v>
      </c>
    </row>
    <row r="105" spans="1:8" x14ac:dyDescent="0.35">
      <c r="A105" s="472" t="s">
        <v>2462</v>
      </c>
      <c r="B105" s="472" t="s">
        <v>2463</v>
      </c>
      <c r="C105" s="472" t="s">
        <v>347</v>
      </c>
      <c r="D105" s="472" t="s">
        <v>2445</v>
      </c>
      <c r="E105" s="472" t="str">
        <f t="shared" si="1"/>
        <v>2018Residential14</v>
      </c>
      <c r="F105" s="473">
        <v>1.3787707234242736</v>
      </c>
      <c r="G105" s="474">
        <v>58.264182183412842</v>
      </c>
      <c r="H105" s="474">
        <v>416.17777525654924</v>
      </c>
    </row>
    <row r="106" spans="1:8" x14ac:dyDescent="0.35">
      <c r="A106" s="472" t="s">
        <v>2462</v>
      </c>
      <c r="B106" s="472" t="s">
        <v>2463</v>
      </c>
      <c r="C106" s="472" t="s">
        <v>347</v>
      </c>
      <c r="D106" s="472" t="s">
        <v>2446</v>
      </c>
      <c r="E106" s="472" t="str">
        <f t="shared" si="1"/>
        <v>2018Residential15</v>
      </c>
      <c r="F106" s="473">
        <v>1.4574725122788181</v>
      </c>
      <c r="G106" s="474">
        <v>61.589967454362949</v>
      </c>
      <c r="H106" s="474">
        <v>440.22863016109778</v>
      </c>
    </row>
    <row r="107" spans="1:8" x14ac:dyDescent="0.35">
      <c r="A107" s="472" t="s">
        <v>2462</v>
      </c>
      <c r="B107" s="472" t="s">
        <v>2463</v>
      </c>
      <c r="C107" s="472" t="s">
        <v>347</v>
      </c>
      <c r="D107" s="472" t="s">
        <v>2447</v>
      </c>
      <c r="E107" s="472" t="str">
        <f t="shared" si="1"/>
        <v>2018Residential16</v>
      </c>
      <c r="F107" s="473">
        <v>1.5339256785946613</v>
      </c>
      <c r="G107" s="474">
        <v>64.820730289000196</v>
      </c>
      <c r="H107" s="474">
        <v>463.13420626066778</v>
      </c>
    </row>
    <row r="108" spans="1:8" x14ac:dyDescent="0.35">
      <c r="A108" s="472" t="s">
        <v>2462</v>
      </c>
      <c r="B108" s="472" t="s">
        <v>2463</v>
      </c>
      <c r="C108" s="472" t="s">
        <v>347</v>
      </c>
      <c r="D108" s="472" t="s">
        <v>2448</v>
      </c>
      <c r="E108" s="472" t="str">
        <f t="shared" si="1"/>
        <v>2018Residential17</v>
      </c>
      <c r="F108" s="473">
        <v>1.608194468730052</v>
      </c>
      <c r="G108" s="474">
        <v>67.959185614076389</v>
      </c>
      <c r="H108" s="474">
        <v>484.94904064121062</v>
      </c>
    </row>
    <row r="109" spans="1:8" x14ac:dyDescent="0.35">
      <c r="A109" s="472" t="s">
        <v>2462</v>
      </c>
      <c r="B109" s="472" t="s">
        <v>2463</v>
      </c>
      <c r="C109" s="472" t="s">
        <v>347</v>
      </c>
      <c r="D109" s="472" t="s">
        <v>2449</v>
      </c>
      <c r="E109" s="472" t="str">
        <f t="shared" si="1"/>
        <v>2018Residential18</v>
      </c>
      <c r="F109" s="473">
        <v>1.6803412934330029</v>
      </c>
      <c r="G109" s="474">
        <v>71.007970787007523</v>
      </c>
      <c r="H109" s="474">
        <v>505.72507338458479</v>
      </c>
    </row>
    <row r="110" spans="1:8" x14ac:dyDescent="0.35">
      <c r="A110" s="472" t="s">
        <v>2462</v>
      </c>
      <c r="B110" s="472" t="s">
        <v>2463</v>
      </c>
      <c r="C110" s="472" t="s">
        <v>347</v>
      </c>
      <c r="D110" s="472" t="s">
        <v>2450</v>
      </c>
      <c r="E110" s="472" t="str">
        <f t="shared" si="1"/>
        <v>2018Residential19</v>
      </c>
      <c r="F110" s="473">
        <v>1.7504267802872979</v>
      </c>
      <c r="G110" s="474">
        <v>73.969647812140636</v>
      </c>
      <c r="H110" s="474">
        <v>525.51177123541731</v>
      </c>
    </row>
    <row r="111" spans="1:8" x14ac:dyDescent="0.35">
      <c r="A111" s="472" t="s">
        <v>2462</v>
      </c>
      <c r="B111" s="472" t="s">
        <v>2463</v>
      </c>
      <c r="C111" s="472" t="s">
        <v>347</v>
      </c>
      <c r="D111" s="472" t="s">
        <v>2451</v>
      </c>
      <c r="E111" s="472" t="str">
        <f t="shared" si="1"/>
        <v>2018Residential20</v>
      </c>
      <c r="F111" s="473">
        <v>1.8185098246600417</v>
      </c>
      <c r="G111" s="474">
        <v>76.846705493698522</v>
      </c>
      <c r="H111" s="474">
        <v>544.35624537906733</v>
      </c>
    </row>
    <row r="112" spans="1:8" x14ac:dyDescent="0.35">
      <c r="A112" s="472" t="s">
        <v>2462</v>
      </c>
      <c r="B112" s="472" t="s">
        <v>2463</v>
      </c>
      <c r="C112" s="472" t="s">
        <v>347</v>
      </c>
      <c r="D112" s="472" t="s">
        <v>2452</v>
      </c>
      <c r="E112" s="472" t="str">
        <f t="shared" si="1"/>
        <v>2018Residential21</v>
      </c>
      <c r="F112" s="473">
        <v>1.8846476391935645</v>
      </c>
      <c r="G112" s="474">
        <v>79.641561527211891</v>
      </c>
      <c r="H112" s="474">
        <v>562.30336361111495</v>
      </c>
    </row>
    <row r="113" spans="1:8" x14ac:dyDescent="0.35">
      <c r="A113" s="472" t="s">
        <v>2462</v>
      </c>
      <c r="B113" s="472" t="s">
        <v>2463</v>
      </c>
      <c r="C113" s="472" t="s">
        <v>347</v>
      </c>
      <c r="D113" s="472" t="s">
        <v>2453</v>
      </c>
      <c r="E113" s="472" t="str">
        <f t="shared" si="1"/>
        <v>2018Residential22</v>
      </c>
      <c r="F113" s="473">
        <v>1.948895801883272</v>
      </c>
      <c r="G113" s="474">
        <v>82.356564531196298</v>
      </c>
      <c r="H113" s="474">
        <v>579.39585716544605</v>
      </c>
    </row>
    <row r="114" spans="1:8" x14ac:dyDescent="0.35">
      <c r="A114" s="472" t="s">
        <v>2462</v>
      </c>
      <c r="B114" s="472" t="s">
        <v>2463</v>
      </c>
      <c r="C114" s="472" t="s">
        <v>347</v>
      </c>
      <c r="D114" s="472" t="s">
        <v>2454</v>
      </c>
      <c r="E114" s="472" t="str">
        <f t="shared" si="1"/>
        <v>2018Residential23</v>
      </c>
      <c r="F114" s="473">
        <v>2.011308302781845</v>
      </c>
      <c r="G114" s="474">
        <v>84.993996020781168</v>
      </c>
      <c r="H114" s="474">
        <v>595.67442245528514</v>
      </c>
    </row>
    <row r="115" spans="1:8" x14ac:dyDescent="0.35">
      <c r="A115" s="472" t="s">
        <v>2462</v>
      </c>
      <c r="B115" s="472" t="s">
        <v>2463</v>
      </c>
      <c r="C115" s="472" t="s">
        <v>347</v>
      </c>
      <c r="D115" s="472" t="s">
        <v>2455</v>
      </c>
      <c r="E115" s="472" t="str">
        <f t="shared" si="1"/>
        <v>2018Residential24</v>
      </c>
      <c r="F115" s="473">
        <v>2.0719375893690306</v>
      </c>
      <c r="G115" s="474">
        <v>87.556072324949312</v>
      </c>
      <c r="H115" s="474">
        <v>611.17781796941756</v>
      </c>
    </row>
    <row r="116" spans="1:8" x14ac:dyDescent="0.35">
      <c r="A116" s="472" t="s">
        <v>2462</v>
      </c>
      <c r="B116" s="472" t="s">
        <v>2463</v>
      </c>
      <c r="C116" s="472" t="s">
        <v>347</v>
      </c>
      <c r="D116" s="472" t="s">
        <v>2456</v>
      </c>
      <c r="E116" s="472" t="str">
        <f t="shared" si="1"/>
        <v>2018Residential25</v>
      </c>
      <c r="F116" s="473">
        <v>2.1308346106251532</v>
      </c>
      <c r="G116" s="474">
        <v>90.044946448998388</v>
      </c>
      <c r="H116" s="474">
        <v>625.94295655430574</v>
      </c>
    </row>
    <row r="117" spans="1:8" x14ac:dyDescent="0.35">
      <c r="A117" s="472" t="s">
        <v>2462</v>
      </c>
      <c r="B117" s="472" t="s">
        <v>2463</v>
      </c>
      <c r="C117" s="472" t="s">
        <v>347</v>
      </c>
      <c r="D117" s="472" t="s">
        <v>2457</v>
      </c>
      <c r="E117" s="472" t="str">
        <f t="shared" si="1"/>
        <v>2018Residential26</v>
      </c>
      <c r="F117" s="473">
        <v>2.1880488598453871</v>
      </c>
      <c r="G117" s="474">
        <v>92.462709883788889</v>
      </c>
      <c r="H117" s="474">
        <v>640.00499330181822</v>
      </c>
    </row>
    <row r="118" spans="1:8" x14ac:dyDescent="0.35">
      <c r="A118" s="472" t="s">
        <v>2462</v>
      </c>
      <c r="B118" s="472" t="s">
        <v>2463</v>
      </c>
      <c r="C118" s="472" t="s">
        <v>347</v>
      </c>
      <c r="D118" s="472" t="s">
        <v>2458</v>
      </c>
      <c r="E118" s="472" t="str">
        <f t="shared" si="1"/>
        <v>2018Residential27</v>
      </c>
      <c r="F118" s="473">
        <v>2.2436284162307567</v>
      </c>
      <c r="G118" s="474">
        <v>94.811394363299684</v>
      </c>
      <c r="H118" s="474">
        <v>653.39740925183003</v>
      </c>
    </row>
    <row r="119" spans="1:8" x14ac:dyDescent="0.35">
      <c r="A119" s="472" t="s">
        <v>2462</v>
      </c>
      <c r="B119" s="472" t="s">
        <v>2463</v>
      </c>
      <c r="C119" s="472" t="s">
        <v>347</v>
      </c>
      <c r="D119" s="472" t="s">
        <v>2459</v>
      </c>
      <c r="E119" s="472" t="str">
        <f t="shared" si="1"/>
        <v>2018Residential28</v>
      </c>
      <c r="F119" s="473">
        <v>2.2976199852908303</v>
      </c>
      <c r="G119" s="474">
        <v>97.09297357196732</v>
      </c>
      <c r="H119" s="474">
        <v>666.15209110898434</v>
      </c>
    </row>
    <row r="120" spans="1:8" x14ac:dyDescent="0.35">
      <c r="A120" s="472" t="s">
        <v>2462</v>
      </c>
      <c r="B120" s="472" t="s">
        <v>2463</v>
      </c>
      <c r="C120" s="472" t="s">
        <v>347</v>
      </c>
      <c r="D120" s="472" t="s">
        <v>2460</v>
      </c>
      <c r="E120" s="472" t="str">
        <f t="shared" si="1"/>
        <v>2018Residential29</v>
      </c>
      <c r="F120" s="473">
        <v>2.3500689380920448</v>
      </c>
      <c r="G120" s="474">
        <v>99.309364803244435</v>
      </c>
      <c r="H120" s="474">
        <v>678.29940716341684</v>
      </c>
    </row>
    <row r="121" spans="1:8" x14ac:dyDescent="0.35">
      <c r="A121" s="472" t="s">
        <v>2462</v>
      </c>
      <c r="B121" s="472" t="s">
        <v>2463</v>
      </c>
      <c r="C121" s="472" t="s">
        <v>347</v>
      </c>
      <c r="D121" s="472" t="s">
        <v>2461</v>
      </c>
      <c r="E121" s="472" t="str">
        <f t="shared" si="1"/>
        <v>2018Residential30</v>
      </c>
      <c r="F121" s="473">
        <v>2.401019349384653</v>
      </c>
      <c r="G121" s="474">
        <v>101.46243057077078</v>
      </c>
      <c r="H121" s="474">
        <v>689.86827959620973</v>
      </c>
    </row>
    <row r="122" spans="1:8" x14ac:dyDescent="0.35">
      <c r="A122" s="472" t="s">
        <v>2462</v>
      </c>
      <c r="B122" s="472" t="s">
        <v>2463</v>
      </c>
      <c r="C122" s="472" t="s">
        <v>2254</v>
      </c>
      <c r="D122" s="472" t="s">
        <v>2432</v>
      </c>
      <c r="E122" s="472" t="str">
        <f t="shared" si="1"/>
        <v>2018Industrial1</v>
      </c>
      <c r="F122" s="473">
        <v>4.258E-2</v>
      </c>
      <c r="G122" s="474">
        <v>3.22</v>
      </c>
      <c r="H122" s="474">
        <v>30</v>
      </c>
    </row>
    <row r="123" spans="1:8" x14ac:dyDescent="0.35">
      <c r="A123" s="472" t="s">
        <v>2462</v>
      </c>
      <c r="B123" s="472" t="s">
        <v>2463</v>
      </c>
      <c r="C123" s="472" t="s">
        <v>2254</v>
      </c>
      <c r="D123" s="472" t="s">
        <v>2433</v>
      </c>
      <c r="E123" s="472" t="str">
        <f t="shared" si="1"/>
        <v>2018Industrial2</v>
      </c>
      <c r="F123" s="473">
        <v>7.9946122448979584E-2</v>
      </c>
      <c r="G123" s="474">
        <v>6.0457142857142863</v>
      </c>
      <c r="H123" s="474">
        <v>55.782312925170061</v>
      </c>
    </row>
    <row r="124" spans="1:8" x14ac:dyDescent="0.35">
      <c r="A124" s="472" t="s">
        <v>2462</v>
      </c>
      <c r="B124" s="472" t="s">
        <v>2463</v>
      </c>
      <c r="C124" s="472" t="s">
        <v>2254</v>
      </c>
      <c r="D124" s="472" t="s">
        <v>2434</v>
      </c>
      <c r="E124" s="472" t="str">
        <f t="shared" si="1"/>
        <v>2018Industrial3</v>
      </c>
      <c r="F124" s="473">
        <v>0.11821432847424683</v>
      </c>
      <c r="G124" s="474">
        <v>8.9396462585034016</v>
      </c>
      <c r="H124" s="474">
        <v>81.697440881114346</v>
      </c>
    </row>
    <row r="125" spans="1:8" x14ac:dyDescent="0.35">
      <c r="A125" s="472" t="s">
        <v>2462</v>
      </c>
      <c r="B125" s="472" t="s">
        <v>2463</v>
      </c>
      <c r="C125" s="472" t="s">
        <v>2254</v>
      </c>
      <c r="D125" s="472" t="s">
        <v>2435</v>
      </c>
      <c r="E125" s="472" t="str">
        <f t="shared" si="1"/>
        <v>2018Industrial4</v>
      </c>
      <c r="F125" s="473">
        <v>0.15538915718450644</v>
      </c>
      <c r="G125" s="474">
        <v>11.750894460641399</v>
      </c>
      <c r="H125" s="474">
        <v>106.3785151248708</v>
      </c>
    </row>
    <row r="126" spans="1:8" x14ac:dyDescent="0.35">
      <c r="A126" s="472" t="s">
        <v>2462</v>
      </c>
      <c r="B126" s="472" t="s">
        <v>2463</v>
      </c>
      <c r="C126" s="472" t="s">
        <v>2254</v>
      </c>
      <c r="D126" s="472" t="s">
        <v>2436</v>
      </c>
      <c r="E126" s="472" t="str">
        <f t="shared" si="1"/>
        <v>2018Industrial5</v>
      </c>
      <c r="F126" s="473">
        <v>0.19150184793161576</v>
      </c>
      <c r="G126" s="474">
        <v>14.481821285575455</v>
      </c>
      <c r="H126" s="474">
        <v>137.71956178360915</v>
      </c>
    </row>
    <row r="127" spans="1:8" x14ac:dyDescent="0.35">
      <c r="A127" s="472" t="s">
        <v>2462</v>
      </c>
      <c r="B127" s="472" t="s">
        <v>2463</v>
      </c>
      <c r="C127" s="472" t="s">
        <v>2254</v>
      </c>
      <c r="D127" s="472" t="s">
        <v>2437</v>
      </c>
      <c r="E127" s="472" t="str">
        <f t="shared" si="1"/>
        <v>2018Industrial6</v>
      </c>
      <c r="F127" s="473">
        <v>0.22658274751452198</v>
      </c>
      <c r="G127" s="474">
        <v>17.134721629797109</v>
      </c>
      <c r="H127" s="474">
        <v>175.03033161544053</v>
      </c>
    </row>
    <row r="128" spans="1:8" x14ac:dyDescent="0.35">
      <c r="A128" s="472" t="s">
        <v>2462</v>
      </c>
      <c r="B128" s="472" t="s">
        <v>2463</v>
      </c>
      <c r="C128" s="472" t="s">
        <v>2254</v>
      </c>
      <c r="D128" s="472" t="s">
        <v>2438</v>
      </c>
      <c r="E128" s="472" t="str">
        <f t="shared" si="1"/>
        <v>2018Industrial7</v>
      </c>
      <c r="F128" s="473">
        <v>0.26066133568077371</v>
      </c>
      <c r="G128" s="474">
        <v>19.711824821326715</v>
      </c>
      <c r="H128" s="474">
        <v>210.5643981219466</v>
      </c>
    </row>
    <row r="129" spans="1:8" x14ac:dyDescent="0.35">
      <c r="A129" s="472" t="s">
        <v>2462</v>
      </c>
      <c r="B129" s="472" t="s">
        <v>2463</v>
      </c>
      <c r="C129" s="472" t="s">
        <v>2254</v>
      </c>
      <c r="D129" s="472" t="s">
        <v>2439</v>
      </c>
      <c r="E129" s="472" t="str">
        <f t="shared" si="1"/>
        <v>2018Industrial8</v>
      </c>
      <c r="F129" s="473">
        <v>0.29376624989941824</v>
      </c>
      <c r="G129" s="474">
        <v>22.215296493098332</v>
      </c>
      <c r="H129" s="474">
        <v>244.40636622338096</v>
      </c>
    </row>
    <row r="130" spans="1:8" x14ac:dyDescent="0.35">
      <c r="A130" s="472" t="s">
        <v>2462</v>
      </c>
      <c r="B130" s="472" t="s">
        <v>2463</v>
      </c>
      <c r="C130" s="472" t="s">
        <v>2254</v>
      </c>
      <c r="D130" s="472" t="s">
        <v>2440</v>
      </c>
      <c r="E130" s="472" t="str">
        <f t="shared" si="1"/>
        <v>2018Industrial9</v>
      </c>
      <c r="F130" s="473">
        <v>0.32592530942610154</v>
      </c>
      <c r="G130" s="474">
        <v>24.647240402819332</v>
      </c>
      <c r="H130" s="474">
        <v>276.6368120342708</v>
      </c>
    </row>
    <row r="131" spans="1:8" x14ac:dyDescent="0.35">
      <c r="A131" s="472" t="s">
        <v>2462</v>
      </c>
      <c r="B131" s="472" t="s">
        <v>2463</v>
      </c>
      <c r="C131" s="472" t="s">
        <v>2254</v>
      </c>
      <c r="D131" s="472" t="s">
        <v>2441</v>
      </c>
      <c r="E131" s="472" t="str">
        <f t="shared" ref="E131:E194" si="2">A131&amp;C131&amp;D131</f>
        <v>2018Industrial10</v>
      </c>
      <c r="F131" s="473">
        <v>0.35716553868059386</v>
      </c>
      <c r="G131" s="474">
        <v>27.009700200834018</v>
      </c>
      <c r="H131" s="474">
        <v>307.33247471130881</v>
      </c>
    </row>
    <row r="132" spans="1:8" x14ac:dyDescent="0.35">
      <c r="A132" s="472" t="s">
        <v>2462</v>
      </c>
      <c r="B132" s="472" t="s">
        <v>2463</v>
      </c>
      <c r="C132" s="472" t="s">
        <v>2254</v>
      </c>
      <c r="D132" s="472" t="s">
        <v>2442</v>
      </c>
      <c r="E132" s="472" t="str">
        <f t="shared" si="2"/>
        <v>2018Industrial11</v>
      </c>
      <c r="F132" s="473">
        <v>0.38751318995638639</v>
      </c>
      <c r="G132" s="474">
        <v>29.304661147476857</v>
      </c>
      <c r="H132" s="474">
        <v>336.56643916563064</v>
      </c>
    </row>
    <row r="133" spans="1:8" x14ac:dyDescent="0.35">
      <c r="A133" s="472" t="s">
        <v>2462</v>
      </c>
      <c r="B133" s="472" t="s">
        <v>2463</v>
      </c>
      <c r="C133" s="472" t="s">
        <v>2254</v>
      </c>
      <c r="D133" s="472" t="s">
        <v>2443</v>
      </c>
      <c r="E133" s="472" t="str">
        <f t="shared" si="2"/>
        <v>2018Industrial12</v>
      </c>
      <c r="F133" s="473">
        <v>0.41699376548144201</v>
      </c>
      <c r="G133" s="474">
        <v>31.534051781358468</v>
      </c>
      <c r="H133" s="474">
        <v>364.40831007450856</v>
      </c>
    </row>
    <row r="134" spans="1:8" x14ac:dyDescent="0.35">
      <c r="A134" s="472" t="s">
        <v>2462</v>
      </c>
      <c r="B134" s="472" t="s">
        <v>2463</v>
      </c>
      <c r="C134" s="472" t="s">
        <v>2254</v>
      </c>
      <c r="D134" s="472" t="s">
        <v>2444</v>
      </c>
      <c r="E134" s="472" t="str">
        <f t="shared" si="2"/>
        <v>2018Industrial13</v>
      </c>
      <c r="F134" s="473">
        <v>0.44563203884863894</v>
      </c>
      <c r="G134" s="474">
        <v>33.699745539986324</v>
      </c>
      <c r="H134" s="474">
        <v>390.92437760677331</v>
      </c>
    </row>
    <row r="135" spans="1:8" x14ac:dyDescent="0.35">
      <c r="A135" s="472" t="s">
        <v>2462</v>
      </c>
      <c r="B135" s="472" t="s">
        <v>2463</v>
      </c>
      <c r="C135" s="472" t="s">
        <v>2254</v>
      </c>
      <c r="D135" s="472" t="s">
        <v>2445</v>
      </c>
      <c r="E135" s="472" t="str">
        <f t="shared" si="2"/>
        <v>2018Industrial14</v>
      </c>
      <c r="F135" s="473">
        <v>0.47345207583391585</v>
      </c>
      <c r="G135" s="474">
        <v>35.803562334081953</v>
      </c>
      <c r="H135" s="474">
        <v>416.17777525654924</v>
      </c>
    </row>
    <row r="136" spans="1:8" x14ac:dyDescent="0.35">
      <c r="A136" s="472" t="s">
        <v>2462</v>
      </c>
      <c r="B136" s="472" t="s">
        <v>2463</v>
      </c>
      <c r="C136" s="472" t="s">
        <v>2254</v>
      </c>
      <c r="D136" s="472" t="s">
        <v>2446</v>
      </c>
      <c r="E136" s="472" t="str">
        <f t="shared" si="2"/>
        <v>2018Industrial15</v>
      </c>
      <c r="F136" s="473">
        <v>0.50047725461961357</v>
      </c>
      <c r="G136" s="474">
        <v>37.84727007691771</v>
      </c>
      <c r="H136" s="474">
        <v>440.22863016109778</v>
      </c>
    </row>
    <row r="137" spans="1:8" x14ac:dyDescent="0.35">
      <c r="A137" s="472" t="s">
        <v>2462</v>
      </c>
      <c r="B137" s="472" t="s">
        <v>2463</v>
      </c>
      <c r="C137" s="472" t="s">
        <v>2254</v>
      </c>
      <c r="D137" s="472" t="s">
        <v>2447</v>
      </c>
      <c r="E137" s="472" t="str">
        <f t="shared" si="2"/>
        <v>2018Industrial16</v>
      </c>
      <c r="F137" s="473">
        <v>0.52673028544000544</v>
      </c>
      <c r="G137" s="474">
        <v>39.832586169958155</v>
      </c>
      <c r="H137" s="474">
        <v>463.13420626066778</v>
      </c>
    </row>
    <row r="138" spans="1:8" x14ac:dyDescent="0.35">
      <c r="A138" s="472" t="s">
        <v>2462</v>
      </c>
      <c r="B138" s="472" t="s">
        <v>2463</v>
      </c>
      <c r="C138" s="472" t="s">
        <v>2254</v>
      </c>
      <c r="D138" s="472" t="s">
        <v>2448</v>
      </c>
      <c r="E138" s="472" t="str">
        <f t="shared" si="2"/>
        <v>2018Industrial17</v>
      </c>
      <c r="F138" s="473">
        <v>0.55223322966552912</v>
      </c>
      <c r="G138" s="474">
        <v>41.761178946054578</v>
      </c>
      <c r="H138" s="474">
        <v>484.94904064121062</v>
      </c>
    </row>
    <row r="139" spans="1:8" x14ac:dyDescent="0.35">
      <c r="A139" s="472" t="s">
        <v>2462</v>
      </c>
      <c r="B139" s="472" t="s">
        <v>2463</v>
      </c>
      <c r="C139" s="472" t="s">
        <v>2254</v>
      </c>
      <c r="D139" s="472" t="s">
        <v>2449</v>
      </c>
      <c r="E139" s="472" t="str">
        <f t="shared" si="2"/>
        <v>2018Industrial18</v>
      </c>
      <c r="F139" s="473">
        <v>0.57700751834175201</v>
      </c>
      <c r="G139" s="474">
        <v>43.634669071405398</v>
      </c>
      <c r="H139" s="474">
        <v>505.72507338458479</v>
      </c>
    </row>
    <row r="140" spans="1:8" x14ac:dyDescent="0.35">
      <c r="A140" s="472" t="s">
        <v>2462</v>
      </c>
      <c r="B140" s="472" t="s">
        <v>2463</v>
      </c>
      <c r="C140" s="472" t="s">
        <v>2254</v>
      </c>
      <c r="D140" s="472" t="s">
        <v>2450</v>
      </c>
      <c r="E140" s="472" t="str">
        <f t="shared" si="2"/>
        <v>2018Industrial19</v>
      </c>
      <c r="F140" s="473">
        <v>0.60107397019865427</v>
      </c>
      <c r="G140" s="474">
        <v>45.454630907460484</v>
      </c>
      <c r="H140" s="474">
        <v>525.51177123541731</v>
      </c>
    </row>
    <row r="141" spans="1:8" x14ac:dyDescent="0.35">
      <c r="A141" s="472" t="s">
        <v>2462</v>
      </c>
      <c r="B141" s="472" t="s">
        <v>2463</v>
      </c>
      <c r="C141" s="472" t="s">
        <v>2254</v>
      </c>
      <c r="D141" s="472" t="s">
        <v>2451</v>
      </c>
      <c r="E141" s="472" t="str">
        <f t="shared" si="2"/>
        <v>2018Industrial20</v>
      </c>
      <c r="F141" s="473">
        <v>0.62445280914535939</v>
      </c>
      <c r="G141" s="474">
        <v>47.22259383391399</v>
      </c>
      <c r="H141" s="474">
        <v>544.35624537906733</v>
      </c>
    </row>
    <row r="142" spans="1:8" x14ac:dyDescent="0.35">
      <c r="A142" s="472" t="s">
        <v>2462</v>
      </c>
      <c r="B142" s="472" t="s">
        <v>2463</v>
      </c>
      <c r="C142" s="472" t="s">
        <v>2254</v>
      </c>
      <c r="D142" s="472" t="s">
        <v>2452</v>
      </c>
      <c r="E142" s="472" t="str">
        <f t="shared" si="2"/>
        <v>2018Industrial21</v>
      </c>
      <c r="F142" s="473">
        <v>0.64716368126501567</v>
      </c>
      <c r="G142" s="474">
        <v>48.940043533897395</v>
      </c>
      <c r="H142" s="474">
        <v>562.30336361111495</v>
      </c>
    </row>
    <row r="143" spans="1:8" x14ac:dyDescent="0.35">
      <c r="A143" s="472" t="s">
        <v>2462</v>
      </c>
      <c r="B143" s="472" t="s">
        <v>2463</v>
      </c>
      <c r="C143" s="472" t="s">
        <v>2254</v>
      </c>
      <c r="D143" s="472" t="s">
        <v>2453</v>
      </c>
      <c r="E143" s="472" t="str">
        <f t="shared" si="2"/>
        <v>2018Industrial22</v>
      </c>
      <c r="F143" s="473">
        <v>0.66922567132411048</v>
      </c>
      <c r="G143" s="474">
        <v>50.608423242452709</v>
      </c>
      <c r="H143" s="474">
        <v>579.39585716544605</v>
      </c>
    </row>
    <row r="144" spans="1:8" x14ac:dyDescent="0.35">
      <c r="A144" s="472" t="s">
        <v>2462</v>
      </c>
      <c r="B144" s="472" t="s">
        <v>2463</v>
      </c>
      <c r="C144" s="472" t="s">
        <v>2254</v>
      </c>
      <c r="D144" s="472" t="s">
        <v>2454</v>
      </c>
      <c r="E144" s="472" t="str">
        <f t="shared" si="2"/>
        <v>2018Industrial23</v>
      </c>
      <c r="F144" s="473">
        <v>0.69065731881008829</v>
      </c>
      <c r="G144" s="474">
        <v>52.229134959335006</v>
      </c>
      <c r="H144" s="474">
        <v>595.67442245528514</v>
      </c>
    </row>
    <row r="145" spans="1:8" x14ac:dyDescent="0.35">
      <c r="A145" s="472" t="s">
        <v>2462</v>
      </c>
      <c r="B145" s="472" t="s">
        <v>2463</v>
      </c>
      <c r="C145" s="472" t="s">
        <v>2254</v>
      </c>
      <c r="D145" s="472" t="s">
        <v>2455</v>
      </c>
      <c r="E145" s="472" t="str">
        <f t="shared" si="2"/>
        <v>2018Industrial24</v>
      </c>
      <c r="F145" s="473">
        <v>0.71147663351075241</v>
      </c>
      <c r="G145" s="474">
        <v>53.803540627163528</v>
      </c>
      <c r="H145" s="474">
        <v>611.17781796941756</v>
      </c>
    </row>
    <row r="146" spans="1:8" x14ac:dyDescent="0.35">
      <c r="A146" s="472" t="s">
        <v>2462</v>
      </c>
      <c r="B146" s="472" t="s">
        <v>2463</v>
      </c>
      <c r="C146" s="472" t="s">
        <v>2254</v>
      </c>
      <c r="D146" s="472" t="s">
        <v>2456</v>
      </c>
      <c r="E146" s="472" t="str">
        <f t="shared" si="2"/>
        <v>2018Industrial25</v>
      </c>
      <c r="F146" s="473">
        <v>0.73170111064854038</v>
      </c>
      <c r="G146" s="474">
        <v>55.33296327591124</v>
      </c>
      <c r="H146" s="474">
        <v>625.94295655430574</v>
      </c>
    </row>
    <row r="147" spans="1:8" x14ac:dyDescent="0.35">
      <c r="A147" s="472" t="s">
        <v>2462</v>
      </c>
      <c r="B147" s="472" t="s">
        <v>2463</v>
      </c>
      <c r="C147" s="472" t="s">
        <v>2254</v>
      </c>
      <c r="D147" s="472" t="s">
        <v>2457</v>
      </c>
      <c r="E147" s="472" t="str">
        <f t="shared" si="2"/>
        <v>2018Industrial26</v>
      </c>
      <c r="F147" s="473">
        <v>0.75134774558239159</v>
      </c>
      <c r="G147" s="474">
        <v>56.818688134694732</v>
      </c>
      <c r="H147" s="474">
        <v>640.00499330181822</v>
      </c>
    </row>
    <row r="148" spans="1:8" x14ac:dyDescent="0.35">
      <c r="A148" s="472" t="s">
        <v>2462</v>
      </c>
      <c r="B148" s="472" t="s">
        <v>2463</v>
      </c>
      <c r="C148" s="472" t="s">
        <v>2254</v>
      </c>
      <c r="D148" s="472" t="s">
        <v>2458</v>
      </c>
      <c r="E148" s="472" t="str">
        <f t="shared" si="2"/>
        <v>2018Industrial27</v>
      </c>
      <c r="F148" s="473">
        <v>0.77043304808956126</v>
      </c>
      <c r="G148" s="474">
        <v>58.261963711798693</v>
      </c>
      <c r="H148" s="474">
        <v>653.39740925183003</v>
      </c>
    </row>
    <row r="149" spans="1:8" x14ac:dyDescent="0.35">
      <c r="A149" s="472" t="s">
        <v>2462</v>
      </c>
      <c r="B149" s="472" t="s">
        <v>2463</v>
      </c>
      <c r="C149" s="472" t="s">
        <v>2254</v>
      </c>
      <c r="D149" s="472" t="s">
        <v>2459</v>
      </c>
      <c r="E149" s="472" t="str">
        <f t="shared" si="2"/>
        <v>2018Industrial28</v>
      </c>
      <c r="F149" s="473">
        <v>0.7889730562393833</v>
      </c>
      <c r="G149" s="474">
        <v>59.664002843842539</v>
      </c>
      <c r="H149" s="474">
        <v>666.15209110898434</v>
      </c>
    </row>
    <row r="150" spans="1:8" x14ac:dyDescent="0.35">
      <c r="A150" s="472" t="s">
        <v>2462</v>
      </c>
      <c r="B150" s="472" t="s">
        <v>2463</v>
      </c>
      <c r="C150" s="472" t="s">
        <v>2254</v>
      </c>
      <c r="D150" s="472" t="s">
        <v>2460</v>
      </c>
      <c r="E150" s="472" t="str">
        <f t="shared" si="2"/>
        <v>2018Industrial29</v>
      </c>
      <c r="F150" s="473">
        <v>0.80698334987063891</v>
      </c>
      <c r="G150" s="474">
        <v>61.025983714970849</v>
      </c>
      <c r="H150" s="474">
        <v>678.29940716341684</v>
      </c>
    </row>
    <row r="151" spans="1:8" x14ac:dyDescent="0.35">
      <c r="A151" s="472" t="s">
        <v>2462</v>
      </c>
      <c r="B151" s="472" t="s">
        <v>2463</v>
      </c>
      <c r="C151" s="472" t="s">
        <v>2254</v>
      </c>
      <c r="D151" s="472" t="s">
        <v>2461</v>
      </c>
      <c r="E151" s="472" t="str">
        <f t="shared" si="2"/>
        <v>2018Industrial30</v>
      </c>
      <c r="F151" s="473">
        <v>0.8244790636838587</v>
      </c>
      <c r="G151" s="474">
        <v>62.349050846924065</v>
      </c>
      <c r="H151" s="474">
        <v>689.86827959620973</v>
      </c>
    </row>
    <row r="152" spans="1:8" x14ac:dyDescent="0.35">
      <c r="A152" s="472" t="s">
        <v>2462</v>
      </c>
      <c r="B152" s="472" t="s">
        <v>2463</v>
      </c>
      <c r="C152" s="472" t="s">
        <v>12</v>
      </c>
      <c r="D152" s="472" t="s">
        <v>2432</v>
      </c>
      <c r="E152" s="472" t="str">
        <f t="shared" si="2"/>
        <v>2018Commercial1</v>
      </c>
      <c r="F152" s="473">
        <v>0.124</v>
      </c>
      <c r="G152" s="474">
        <v>5.24</v>
      </c>
      <c r="H152" s="474">
        <v>30</v>
      </c>
    </row>
    <row r="153" spans="1:8" x14ac:dyDescent="0.35">
      <c r="A153" s="472" t="s">
        <v>2462</v>
      </c>
      <c r="B153" s="472" t="s">
        <v>2463</v>
      </c>
      <c r="C153" s="472" t="s">
        <v>12</v>
      </c>
      <c r="D153" s="472" t="s">
        <v>2433</v>
      </c>
      <c r="E153" s="472" t="str">
        <f t="shared" si="2"/>
        <v>2018Commercial2</v>
      </c>
      <c r="F153" s="473">
        <v>0.23281632653061224</v>
      </c>
      <c r="G153" s="474">
        <v>9.8383673469387762</v>
      </c>
      <c r="H153" s="474">
        <v>55.782312925170061</v>
      </c>
    </row>
    <row r="154" spans="1:8" x14ac:dyDescent="0.35">
      <c r="A154" s="472" t="s">
        <v>2462</v>
      </c>
      <c r="B154" s="472" t="s">
        <v>2463</v>
      </c>
      <c r="C154" s="472" t="s">
        <v>12</v>
      </c>
      <c r="D154" s="472" t="s">
        <v>2434</v>
      </c>
      <c r="E154" s="472" t="str">
        <f t="shared" si="2"/>
        <v>2018Commercial3</v>
      </c>
      <c r="F154" s="473">
        <v>0.34425966958211857</v>
      </c>
      <c r="G154" s="474">
        <v>14.547747327502428</v>
      </c>
      <c r="H154" s="474">
        <v>81.697440881114346</v>
      </c>
    </row>
    <row r="155" spans="1:8" x14ac:dyDescent="0.35">
      <c r="A155" s="472" t="s">
        <v>2462</v>
      </c>
      <c r="B155" s="472" t="s">
        <v>2463</v>
      </c>
      <c r="C155" s="472" t="s">
        <v>12</v>
      </c>
      <c r="D155" s="472" t="s">
        <v>2435</v>
      </c>
      <c r="E155" s="472" t="str">
        <f t="shared" si="2"/>
        <v>2018Commercial4</v>
      </c>
      <c r="F155" s="473">
        <v>0.45251891711786757</v>
      </c>
      <c r="G155" s="474">
        <v>19.122573594335694</v>
      </c>
      <c r="H155" s="474">
        <v>106.3785151248708</v>
      </c>
    </row>
    <row r="156" spans="1:8" x14ac:dyDescent="0.35">
      <c r="A156" s="472" t="s">
        <v>2462</v>
      </c>
      <c r="B156" s="472" t="s">
        <v>2463</v>
      </c>
      <c r="C156" s="472" t="s">
        <v>12</v>
      </c>
      <c r="D156" s="472" t="s">
        <v>2436</v>
      </c>
      <c r="E156" s="472" t="str">
        <f t="shared" si="2"/>
        <v>2018Commercial5</v>
      </c>
      <c r="F156" s="473">
        <v>0.55768504329545232</v>
      </c>
      <c r="G156" s="474">
        <v>23.566690539259433</v>
      </c>
      <c r="H156" s="474">
        <v>137.71956178360915</v>
      </c>
    </row>
    <row r="157" spans="1:8" x14ac:dyDescent="0.35">
      <c r="A157" s="472" t="s">
        <v>2462</v>
      </c>
      <c r="B157" s="472" t="s">
        <v>2463</v>
      </c>
      <c r="C157" s="472" t="s">
        <v>12</v>
      </c>
      <c r="D157" s="472" t="s">
        <v>2437</v>
      </c>
      <c r="E157" s="472" t="str">
        <f t="shared" si="2"/>
        <v>2018Commercial6</v>
      </c>
      <c r="F157" s="473">
        <v>0.6598464230108203</v>
      </c>
      <c r="G157" s="474">
        <v>27.883832714328214</v>
      </c>
      <c r="H157" s="474">
        <v>175.03033161544053</v>
      </c>
    </row>
    <row r="158" spans="1:8" x14ac:dyDescent="0.35">
      <c r="A158" s="472" t="s">
        <v>2462</v>
      </c>
      <c r="B158" s="472" t="s">
        <v>2463</v>
      </c>
      <c r="C158" s="472" t="s">
        <v>12</v>
      </c>
      <c r="D158" s="472" t="s">
        <v>2438</v>
      </c>
      <c r="E158" s="472" t="str">
        <f t="shared" si="2"/>
        <v>2018Commercial7</v>
      </c>
      <c r="F158" s="473">
        <v>0.75908890616289215</v>
      </c>
      <c r="G158" s="474">
        <v>32.077627970109312</v>
      </c>
      <c r="H158" s="474">
        <v>210.5643981219466</v>
      </c>
    </row>
    <row r="159" spans="1:8" x14ac:dyDescent="0.35">
      <c r="A159" s="472" t="s">
        <v>2462</v>
      </c>
      <c r="B159" s="472" t="s">
        <v>2463</v>
      </c>
      <c r="C159" s="472" t="s">
        <v>12</v>
      </c>
      <c r="D159" s="472" t="s">
        <v>2439</v>
      </c>
      <c r="E159" s="472" t="str">
        <f t="shared" si="2"/>
        <v>2018Commercial8</v>
      </c>
      <c r="F159" s="473">
        <v>0.85549588979633329</v>
      </c>
      <c r="G159" s="474">
        <v>36.15160050429666</v>
      </c>
      <c r="H159" s="474">
        <v>244.40636622338096</v>
      </c>
    </row>
    <row r="160" spans="1:8" x14ac:dyDescent="0.35">
      <c r="A160" s="472" t="s">
        <v>2462</v>
      </c>
      <c r="B160" s="472" t="s">
        <v>2463</v>
      </c>
      <c r="C160" s="472" t="s">
        <v>12</v>
      </c>
      <c r="D160" s="472" t="s">
        <v>2440</v>
      </c>
      <c r="E160" s="472" t="str">
        <f t="shared" si="2"/>
        <v>2018Commercial9</v>
      </c>
      <c r="F160" s="473">
        <v>0.94914838818310465</v>
      </c>
      <c r="G160" s="474">
        <v>40.109173823221518</v>
      </c>
      <c r="H160" s="474">
        <v>276.6368120342708</v>
      </c>
    </row>
    <row r="161" spans="1:8" x14ac:dyDescent="0.35">
      <c r="A161" s="472" t="s">
        <v>2462</v>
      </c>
      <c r="B161" s="472" t="s">
        <v>2463</v>
      </c>
      <c r="C161" s="472" t="s">
        <v>12</v>
      </c>
      <c r="D161" s="472" t="s">
        <v>2441</v>
      </c>
      <c r="E161" s="472" t="str">
        <f t="shared" si="2"/>
        <v>2018Commercial10</v>
      </c>
      <c r="F161" s="473">
        <v>1.0401251009016825</v>
      </c>
      <c r="G161" s="474">
        <v>43.95367361874851</v>
      </c>
      <c r="H161" s="474">
        <v>307.33247471130881</v>
      </c>
    </row>
    <row r="162" spans="1:8" x14ac:dyDescent="0.35">
      <c r="A162" s="472" t="s">
        <v>2462</v>
      </c>
      <c r="B162" s="472" t="s">
        <v>2463</v>
      </c>
      <c r="C162" s="472" t="s">
        <v>12</v>
      </c>
      <c r="D162" s="472" t="s">
        <v>2442</v>
      </c>
      <c r="E162" s="472" t="str">
        <f t="shared" si="2"/>
        <v>2018Commercial11</v>
      </c>
      <c r="F162" s="473">
        <v>1.1285024789711582</v>
      </c>
      <c r="G162" s="474">
        <v>47.688330562974741</v>
      </c>
      <c r="H162" s="474">
        <v>336.56643916563064</v>
      </c>
    </row>
    <row r="163" spans="1:8" x14ac:dyDescent="0.35">
      <c r="A163" s="472" t="s">
        <v>2462</v>
      </c>
      <c r="B163" s="472" t="s">
        <v>2463</v>
      </c>
      <c r="C163" s="472" t="s">
        <v>12</v>
      </c>
      <c r="D163" s="472" t="s">
        <v>2443</v>
      </c>
      <c r="E163" s="472" t="str">
        <f t="shared" si="2"/>
        <v>2018Commercial12</v>
      </c>
      <c r="F163" s="473">
        <v>1.2143547890957918</v>
      </c>
      <c r="G163" s="474">
        <v>51.316283023080224</v>
      </c>
      <c r="H163" s="474">
        <v>364.40831007450856</v>
      </c>
    </row>
    <row r="164" spans="1:8" x14ac:dyDescent="0.35">
      <c r="A164" s="472" t="s">
        <v>2462</v>
      </c>
      <c r="B164" s="472" t="s">
        <v>2463</v>
      </c>
      <c r="C164" s="472" t="s">
        <v>12</v>
      </c>
      <c r="D164" s="472" t="s">
        <v>2444</v>
      </c>
      <c r="E164" s="472" t="str">
        <f t="shared" si="2"/>
        <v>2018Commercial13</v>
      </c>
      <c r="F164" s="473">
        <v>1.2977541760740074</v>
      </c>
      <c r="G164" s="474">
        <v>54.840579698611265</v>
      </c>
      <c r="H164" s="474">
        <v>390.92437760677331</v>
      </c>
    </row>
    <row r="165" spans="1:8" x14ac:dyDescent="0.35">
      <c r="A165" s="472" t="s">
        <v>2462</v>
      </c>
      <c r="B165" s="472" t="s">
        <v>2463</v>
      </c>
      <c r="C165" s="472" t="s">
        <v>12</v>
      </c>
      <c r="D165" s="472" t="s">
        <v>2445</v>
      </c>
      <c r="E165" s="472" t="str">
        <f t="shared" si="2"/>
        <v>2018Commercial14</v>
      </c>
      <c r="F165" s="473">
        <v>1.3787707234242736</v>
      </c>
      <c r="G165" s="474">
        <v>58.264182183412842</v>
      </c>
      <c r="H165" s="474">
        <v>416.17777525654924</v>
      </c>
    </row>
    <row r="166" spans="1:8" x14ac:dyDescent="0.35">
      <c r="A166" s="472" t="s">
        <v>2462</v>
      </c>
      <c r="B166" s="472" t="s">
        <v>2463</v>
      </c>
      <c r="C166" s="472" t="s">
        <v>12</v>
      </c>
      <c r="D166" s="472" t="s">
        <v>2446</v>
      </c>
      <c r="E166" s="472" t="str">
        <f t="shared" si="2"/>
        <v>2018Commercial15</v>
      </c>
      <c r="F166" s="473">
        <v>1.4574725122788181</v>
      </c>
      <c r="G166" s="474">
        <v>61.589967454362949</v>
      </c>
      <c r="H166" s="474">
        <v>440.22863016109778</v>
      </c>
    </row>
    <row r="167" spans="1:8" x14ac:dyDescent="0.35">
      <c r="A167" s="472" t="s">
        <v>2462</v>
      </c>
      <c r="B167" s="472" t="s">
        <v>2463</v>
      </c>
      <c r="C167" s="472" t="s">
        <v>12</v>
      </c>
      <c r="D167" s="472" t="s">
        <v>2447</v>
      </c>
      <c r="E167" s="472" t="str">
        <f t="shared" si="2"/>
        <v>2018Commercial16</v>
      </c>
      <c r="F167" s="473">
        <v>1.5339256785946613</v>
      </c>
      <c r="G167" s="474">
        <v>64.820730289000196</v>
      </c>
      <c r="H167" s="474">
        <v>463.13420626066778</v>
      </c>
    </row>
    <row r="168" spans="1:8" x14ac:dyDescent="0.35">
      <c r="A168" s="472" t="s">
        <v>2462</v>
      </c>
      <c r="B168" s="472" t="s">
        <v>2463</v>
      </c>
      <c r="C168" s="472" t="s">
        <v>12</v>
      </c>
      <c r="D168" s="472" t="s">
        <v>2448</v>
      </c>
      <c r="E168" s="472" t="str">
        <f t="shared" si="2"/>
        <v>2018Commercial17</v>
      </c>
      <c r="F168" s="473">
        <v>1.608194468730052</v>
      </c>
      <c r="G168" s="474">
        <v>67.959185614076389</v>
      </c>
      <c r="H168" s="474">
        <v>484.94904064121062</v>
      </c>
    </row>
    <row r="169" spans="1:8" x14ac:dyDescent="0.35">
      <c r="A169" s="472" t="s">
        <v>2462</v>
      </c>
      <c r="B169" s="472" t="s">
        <v>2463</v>
      </c>
      <c r="C169" s="472" t="s">
        <v>12</v>
      </c>
      <c r="D169" s="472" t="s">
        <v>2449</v>
      </c>
      <c r="E169" s="472" t="str">
        <f t="shared" si="2"/>
        <v>2018Commercial18</v>
      </c>
      <c r="F169" s="473">
        <v>1.6803412934330029</v>
      </c>
      <c r="G169" s="474">
        <v>71.007970787007523</v>
      </c>
      <c r="H169" s="474">
        <v>505.72507338458479</v>
      </c>
    </row>
    <row r="170" spans="1:8" x14ac:dyDescent="0.35">
      <c r="A170" s="472" t="s">
        <v>2462</v>
      </c>
      <c r="B170" s="472" t="s">
        <v>2463</v>
      </c>
      <c r="C170" s="472" t="s">
        <v>12</v>
      </c>
      <c r="D170" s="472" t="s">
        <v>2450</v>
      </c>
      <c r="E170" s="472" t="str">
        <f t="shared" si="2"/>
        <v>2018Commercial19</v>
      </c>
      <c r="F170" s="473">
        <v>1.7504267802872979</v>
      </c>
      <c r="G170" s="474">
        <v>73.969647812140636</v>
      </c>
      <c r="H170" s="474">
        <v>525.51177123541731</v>
      </c>
    </row>
    <row r="171" spans="1:8" x14ac:dyDescent="0.35">
      <c r="A171" s="472" t="s">
        <v>2462</v>
      </c>
      <c r="B171" s="472" t="s">
        <v>2463</v>
      </c>
      <c r="C171" s="472" t="s">
        <v>12</v>
      </c>
      <c r="D171" s="472" t="s">
        <v>2451</v>
      </c>
      <c r="E171" s="472" t="str">
        <f t="shared" si="2"/>
        <v>2018Commercial20</v>
      </c>
      <c r="F171" s="473">
        <v>1.8185098246600417</v>
      </c>
      <c r="G171" s="474">
        <v>76.846705493698522</v>
      </c>
      <c r="H171" s="474">
        <v>544.35624537906733</v>
      </c>
    </row>
    <row r="172" spans="1:8" x14ac:dyDescent="0.35">
      <c r="A172" s="472" t="s">
        <v>2462</v>
      </c>
      <c r="B172" s="472" t="s">
        <v>2463</v>
      </c>
      <c r="C172" s="472" t="s">
        <v>12</v>
      </c>
      <c r="D172" s="472" t="s">
        <v>2452</v>
      </c>
      <c r="E172" s="472" t="str">
        <f t="shared" si="2"/>
        <v>2018Commercial21</v>
      </c>
      <c r="F172" s="473">
        <v>1.8846476391935645</v>
      </c>
      <c r="G172" s="474">
        <v>79.641561527211891</v>
      </c>
      <c r="H172" s="474">
        <v>562.30336361111495</v>
      </c>
    </row>
    <row r="173" spans="1:8" x14ac:dyDescent="0.35">
      <c r="A173" s="472" t="s">
        <v>2462</v>
      </c>
      <c r="B173" s="472" t="s">
        <v>2463</v>
      </c>
      <c r="C173" s="472" t="s">
        <v>12</v>
      </c>
      <c r="D173" s="472" t="s">
        <v>2453</v>
      </c>
      <c r="E173" s="472" t="str">
        <f t="shared" si="2"/>
        <v>2018Commercial22</v>
      </c>
      <c r="F173" s="473">
        <v>1.948895801883272</v>
      </c>
      <c r="G173" s="474">
        <v>82.356564531196298</v>
      </c>
      <c r="H173" s="474">
        <v>579.39585716544605</v>
      </c>
    </row>
    <row r="174" spans="1:8" x14ac:dyDescent="0.35">
      <c r="A174" s="472" t="s">
        <v>2462</v>
      </c>
      <c r="B174" s="472" t="s">
        <v>2463</v>
      </c>
      <c r="C174" s="472" t="s">
        <v>12</v>
      </c>
      <c r="D174" s="472" t="s">
        <v>2454</v>
      </c>
      <c r="E174" s="472" t="str">
        <f t="shared" si="2"/>
        <v>2018Commercial23</v>
      </c>
      <c r="F174" s="473">
        <v>2.011308302781845</v>
      </c>
      <c r="G174" s="474">
        <v>84.993996020781168</v>
      </c>
      <c r="H174" s="474">
        <v>595.67442245528514</v>
      </c>
    </row>
    <row r="175" spans="1:8" x14ac:dyDescent="0.35">
      <c r="A175" s="472" t="s">
        <v>2462</v>
      </c>
      <c r="B175" s="472" t="s">
        <v>2463</v>
      </c>
      <c r="C175" s="472" t="s">
        <v>12</v>
      </c>
      <c r="D175" s="472" t="s">
        <v>2455</v>
      </c>
      <c r="E175" s="472" t="str">
        <f t="shared" si="2"/>
        <v>2018Commercial24</v>
      </c>
      <c r="F175" s="473">
        <v>2.0719375893690306</v>
      </c>
      <c r="G175" s="474">
        <v>87.556072324949312</v>
      </c>
      <c r="H175" s="474">
        <v>611.17781796941756</v>
      </c>
    </row>
    <row r="176" spans="1:8" x14ac:dyDescent="0.35">
      <c r="A176" s="472" t="s">
        <v>2462</v>
      </c>
      <c r="B176" s="472" t="s">
        <v>2463</v>
      </c>
      <c r="C176" s="472" t="s">
        <v>12</v>
      </c>
      <c r="D176" s="472" t="s">
        <v>2456</v>
      </c>
      <c r="E176" s="472" t="str">
        <f t="shared" si="2"/>
        <v>2018Commercial25</v>
      </c>
      <c r="F176" s="473">
        <v>2.1308346106251532</v>
      </c>
      <c r="G176" s="474">
        <v>90.044946448998388</v>
      </c>
      <c r="H176" s="474">
        <v>625.94295655430574</v>
      </c>
    </row>
    <row r="177" spans="1:8" x14ac:dyDescent="0.35">
      <c r="A177" s="472" t="s">
        <v>2462</v>
      </c>
      <c r="B177" s="472" t="s">
        <v>2463</v>
      </c>
      <c r="C177" s="472" t="s">
        <v>12</v>
      </c>
      <c r="D177" s="472" t="s">
        <v>2457</v>
      </c>
      <c r="E177" s="472" t="str">
        <f t="shared" si="2"/>
        <v>2018Commercial26</v>
      </c>
      <c r="F177" s="473">
        <v>2.1880488598453871</v>
      </c>
      <c r="G177" s="474">
        <v>92.462709883788889</v>
      </c>
      <c r="H177" s="474">
        <v>640.00499330181822</v>
      </c>
    </row>
    <row r="178" spans="1:8" x14ac:dyDescent="0.35">
      <c r="A178" s="472" t="s">
        <v>2462</v>
      </c>
      <c r="B178" s="472" t="s">
        <v>2463</v>
      </c>
      <c r="C178" s="472" t="s">
        <v>12</v>
      </c>
      <c r="D178" s="472" t="s">
        <v>2458</v>
      </c>
      <c r="E178" s="472" t="str">
        <f t="shared" si="2"/>
        <v>2018Commercial27</v>
      </c>
      <c r="F178" s="473">
        <v>2.2436284162307567</v>
      </c>
      <c r="G178" s="474">
        <v>94.811394363299684</v>
      </c>
      <c r="H178" s="474">
        <v>653.39740925183003</v>
      </c>
    </row>
    <row r="179" spans="1:8" x14ac:dyDescent="0.35">
      <c r="A179" s="472" t="s">
        <v>2462</v>
      </c>
      <c r="B179" s="472" t="s">
        <v>2463</v>
      </c>
      <c r="C179" s="472" t="s">
        <v>12</v>
      </c>
      <c r="D179" s="472" t="s">
        <v>2459</v>
      </c>
      <c r="E179" s="472" t="str">
        <f t="shared" si="2"/>
        <v>2018Commercial28</v>
      </c>
      <c r="F179" s="473">
        <v>2.2976199852908303</v>
      </c>
      <c r="G179" s="474">
        <v>97.09297357196732</v>
      </c>
      <c r="H179" s="474">
        <v>666.15209110898434</v>
      </c>
    </row>
    <row r="180" spans="1:8" x14ac:dyDescent="0.35">
      <c r="A180" s="472" t="s">
        <v>2462</v>
      </c>
      <c r="B180" s="472" t="s">
        <v>2463</v>
      </c>
      <c r="C180" s="472" t="s">
        <v>12</v>
      </c>
      <c r="D180" s="472" t="s">
        <v>2460</v>
      </c>
      <c r="E180" s="472" t="str">
        <f t="shared" si="2"/>
        <v>2018Commercial29</v>
      </c>
      <c r="F180" s="473">
        <v>2.3500689380920448</v>
      </c>
      <c r="G180" s="474">
        <v>99.309364803244435</v>
      </c>
      <c r="H180" s="474">
        <v>678.29940716341684</v>
      </c>
    </row>
    <row r="181" spans="1:8" x14ac:dyDescent="0.35">
      <c r="A181" s="472" t="s">
        <v>2462</v>
      </c>
      <c r="B181" s="472" t="s">
        <v>2463</v>
      </c>
      <c r="C181" s="472" t="s">
        <v>12</v>
      </c>
      <c r="D181" s="472" t="s">
        <v>2461</v>
      </c>
      <c r="E181" s="472" t="str">
        <f t="shared" si="2"/>
        <v>2018Commercial30</v>
      </c>
      <c r="F181" s="473">
        <v>2.401019349384653</v>
      </c>
      <c r="G181" s="474">
        <v>101.46243057077078</v>
      </c>
      <c r="H181" s="474">
        <v>689.86827959620973</v>
      </c>
    </row>
    <row r="182" spans="1:8" x14ac:dyDescent="0.35">
      <c r="A182" s="472" t="s">
        <v>2464</v>
      </c>
      <c r="B182" s="472" t="s">
        <v>2465</v>
      </c>
      <c r="C182" s="472" t="s">
        <v>347</v>
      </c>
      <c r="D182" s="472" t="s">
        <v>2432</v>
      </c>
      <c r="E182" s="472" t="str">
        <f t="shared" si="2"/>
        <v>2019Residential1</v>
      </c>
      <c r="F182" s="473">
        <v>0.12648000000000001</v>
      </c>
      <c r="G182" s="474">
        <v>5.3448000000000002</v>
      </c>
      <c r="H182" s="474">
        <v>30</v>
      </c>
    </row>
    <row r="183" spans="1:8" x14ac:dyDescent="0.35">
      <c r="A183" s="472" t="s">
        <v>2464</v>
      </c>
      <c r="B183" s="472" t="s">
        <v>2465</v>
      </c>
      <c r="C183" s="472" t="s">
        <v>347</v>
      </c>
      <c r="D183" s="472" t="s">
        <v>2433</v>
      </c>
      <c r="E183" s="472" t="str">
        <f t="shared" si="2"/>
        <v>2019Residential2</v>
      </c>
      <c r="F183" s="473">
        <v>0.23747265306122448</v>
      </c>
      <c r="G183" s="474">
        <v>10.035134693877552</v>
      </c>
      <c r="H183" s="474">
        <v>55.782312925170061</v>
      </c>
    </row>
    <row r="184" spans="1:8" x14ac:dyDescent="0.35">
      <c r="A184" s="472" t="s">
        <v>2464</v>
      </c>
      <c r="B184" s="472" t="s">
        <v>2465</v>
      </c>
      <c r="C184" s="472" t="s">
        <v>347</v>
      </c>
      <c r="D184" s="472" t="s">
        <v>2434</v>
      </c>
      <c r="E184" s="472" t="str">
        <f t="shared" si="2"/>
        <v>2019Residential3</v>
      </c>
      <c r="F184" s="473">
        <v>0.35114486297376091</v>
      </c>
      <c r="G184" s="474">
        <v>14.83870227405248</v>
      </c>
      <c r="H184" s="474">
        <v>81.697440881114346</v>
      </c>
    </row>
    <row r="185" spans="1:8" x14ac:dyDescent="0.35">
      <c r="A185" s="472" t="s">
        <v>2464</v>
      </c>
      <c r="B185" s="472" t="s">
        <v>2465</v>
      </c>
      <c r="C185" s="472" t="s">
        <v>347</v>
      </c>
      <c r="D185" s="472" t="s">
        <v>2435</v>
      </c>
      <c r="E185" s="472" t="str">
        <f t="shared" si="2"/>
        <v>2019Residential4</v>
      </c>
      <c r="F185" s="473">
        <v>0.46156929546022485</v>
      </c>
      <c r="G185" s="474">
        <v>19.505025066222409</v>
      </c>
      <c r="H185" s="474">
        <v>114.60553987278961</v>
      </c>
    </row>
    <row r="186" spans="1:8" x14ac:dyDescent="0.35">
      <c r="A186" s="472" t="s">
        <v>2464</v>
      </c>
      <c r="B186" s="472" t="s">
        <v>2465</v>
      </c>
      <c r="C186" s="472" t="s">
        <v>347</v>
      </c>
      <c r="D186" s="472" t="s">
        <v>2436</v>
      </c>
      <c r="E186" s="472" t="str">
        <f t="shared" si="2"/>
        <v>2019Residential5</v>
      </c>
      <c r="F186" s="473">
        <v>0.56883874416136126</v>
      </c>
      <c r="G186" s="474">
        <v>24.038024350044623</v>
      </c>
      <c r="H186" s="474">
        <v>153.78184819621256</v>
      </c>
    </row>
    <row r="187" spans="1:8" x14ac:dyDescent="0.35">
      <c r="A187" s="472" t="s">
        <v>2464</v>
      </c>
      <c r="B187" s="472" t="s">
        <v>2465</v>
      </c>
      <c r="C187" s="472" t="s">
        <v>347</v>
      </c>
      <c r="D187" s="472" t="s">
        <v>2437</v>
      </c>
      <c r="E187" s="472" t="str">
        <f t="shared" si="2"/>
        <v>2019Residential6</v>
      </c>
      <c r="F187" s="473">
        <v>0.67304335147103667</v>
      </c>
      <c r="G187" s="474">
        <v>28.441509368614774</v>
      </c>
      <c r="H187" s="474">
        <v>191.09261802804394</v>
      </c>
    </row>
    <row r="188" spans="1:8" x14ac:dyDescent="0.35">
      <c r="A188" s="472" t="s">
        <v>2464</v>
      </c>
      <c r="B188" s="472" t="s">
        <v>2465</v>
      </c>
      <c r="C188" s="472" t="s">
        <v>347</v>
      </c>
      <c r="D188" s="472" t="s">
        <v>2438</v>
      </c>
      <c r="E188" s="472" t="str">
        <f t="shared" si="2"/>
        <v>2019Residential7</v>
      </c>
      <c r="F188" s="473">
        <v>0.77427068428614976</v>
      </c>
      <c r="G188" s="474">
        <v>32.719180529511497</v>
      </c>
      <c r="H188" s="474">
        <v>226.62668453455001</v>
      </c>
    </row>
    <row r="189" spans="1:8" x14ac:dyDescent="0.35">
      <c r="A189" s="472" t="s">
        <v>2464</v>
      </c>
      <c r="B189" s="472" t="s">
        <v>2465</v>
      </c>
      <c r="C189" s="472" t="s">
        <v>347</v>
      </c>
      <c r="D189" s="472" t="s">
        <v>2439</v>
      </c>
      <c r="E189" s="472" t="str">
        <f t="shared" si="2"/>
        <v>2019Residential8</v>
      </c>
      <c r="F189" s="473">
        <v>0.8726058075922597</v>
      </c>
      <c r="G189" s="474">
        <v>36.874632514382597</v>
      </c>
      <c r="H189" s="474">
        <v>260.46865263598437</v>
      </c>
    </row>
    <row r="190" spans="1:8" x14ac:dyDescent="0.35">
      <c r="A190" s="472" t="s">
        <v>2464</v>
      </c>
      <c r="B190" s="472" t="s">
        <v>2465</v>
      </c>
      <c r="C190" s="472" t="s">
        <v>347</v>
      </c>
      <c r="D190" s="472" t="s">
        <v>2440</v>
      </c>
      <c r="E190" s="472" t="str">
        <f t="shared" si="2"/>
        <v>2019Residential9</v>
      </c>
      <c r="F190" s="473">
        <v>0.96813135594676658</v>
      </c>
      <c r="G190" s="474">
        <v>40.911357299685946</v>
      </c>
      <c r="H190" s="474">
        <v>292.69909844687419</v>
      </c>
    </row>
    <row r="191" spans="1:8" x14ac:dyDescent="0.35">
      <c r="A191" s="472" t="s">
        <v>2464</v>
      </c>
      <c r="B191" s="472" t="s">
        <v>2465</v>
      </c>
      <c r="C191" s="472" t="s">
        <v>347</v>
      </c>
      <c r="D191" s="472" t="s">
        <v>2441</v>
      </c>
      <c r="E191" s="472" t="str">
        <f t="shared" si="2"/>
        <v>2019Residential10</v>
      </c>
      <c r="F191" s="473">
        <v>1.0609276029197161</v>
      </c>
      <c r="G191" s="474">
        <v>44.832747091123494</v>
      </c>
      <c r="H191" s="474">
        <v>323.39476112391219</v>
      </c>
    </row>
    <row r="192" spans="1:8" x14ac:dyDescent="0.35">
      <c r="A192" s="472" t="s">
        <v>2464</v>
      </c>
      <c r="B192" s="472" t="s">
        <v>2465</v>
      </c>
      <c r="C192" s="472" t="s">
        <v>347</v>
      </c>
      <c r="D192" s="472" t="s">
        <v>2442</v>
      </c>
      <c r="E192" s="472" t="str">
        <f t="shared" si="2"/>
        <v>2019Residential11</v>
      </c>
      <c r="F192" s="473">
        <v>1.1510725285505814</v>
      </c>
      <c r="G192" s="474">
        <v>48.642097174234245</v>
      </c>
      <c r="H192" s="474">
        <v>352.62872557823403</v>
      </c>
    </row>
    <row r="193" spans="1:8" x14ac:dyDescent="0.35">
      <c r="A193" s="472" t="s">
        <v>2464</v>
      </c>
      <c r="B193" s="472" t="s">
        <v>2465</v>
      </c>
      <c r="C193" s="472" t="s">
        <v>347</v>
      </c>
      <c r="D193" s="472" t="s">
        <v>2443</v>
      </c>
      <c r="E193" s="472" t="str">
        <f t="shared" si="2"/>
        <v>2019Residential12</v>
      </c>
      <c r="F193" s="473">
        <v>1.2386418848777077</v>
      </c>
      <c r="G193" s="474">
        <v>52.34260868354184</v>
      </c>
      <c r="H193" s="474">
        <v>380.47059648711206</v>
      </c>
    </row>
    <row r="194" spans="1:8" x14ac:dyDescent="0.35">
      <c r="A194" s="472" t="s">
        <v>2464</v>
      </c>
      <c r="B194" s="472" t="s">
        <v>2465</v>
      </c>
      <c r="C194" s="472" t="s">
        <v>347</v>
      </c>
      <c r="D194" s="472" t="s">
        <v>2444</v>
      </c>
      <c r="E194" s="472" t="str">
        <f t="shared" si="2"/>
        <v>2019Residential13</v>
      </c>
      <c r="F194" s="473">
        <v>1.3237092595954874</v>
      </c>
      <c r="G194" s="474">
        <v>55.937391292583499</v>
      </c>
      <c r="H194" s="474">
        <v>406.9866640193768</v>
      </c>
    </row>
    <row r="195" spans="1:8" x14ac:dyDescent="0.35">
      <c r="A195" s="472" t="s">
        <v>2464</v>
      </c>
      <c r="B195" s="472" t="s">
        <v>2465</v>
      </c>
      <c r="C195" s="472" t="s">
        <v>347</v>
      </c>
      <c r="D195" s="472" t="s">
        <v>2445</v>
      </c>
      <c r="E195" s="472" t="str">
        <f t="shared" ref="E195:E258" si="3">A195&amp;C195&amp;D195</f>
        <v>2019Residential14</v>
      </c>
      <c r="F195" s="473">
        <v>1.4063461378927591</v>
      </c>
      <c r="G195" s="474">
        <v>59.42946582708111</v>
      </c>
      <c r="H195" s="474">
        <v>432.24006166915274</v>
      </c>
    </row>
    <row r="196" spans="1:8" x14ac:dyDescent="0.35">
      <c r="A196" s="472" t="s">
        <v>2464</v>
      </c>
      <c r="B196" s="472" t="s">
        <v>2465</v>
      </c>
      <c r="C196" s="472" t="s">
        <v>347</v>
      </c>
      <c r="D196" s="472" t="s">
        <v>2446</v>
      </c>
      <c r="E196" s="472" t="str">
        <f t="shared" si="3"/>
        <v>2019Residential15</v>
      </c>
      <c r="F196" s="473">
        <v>1.4866219625243946</v>
      </c>
      <c r="G196" s="474">
        <v>62.821766803450217</v>
      </c>
      <c r="H196" s="474">
        <v>456.29091657370122</v>
      </c>
    </row>
    <row r="197" spans="1:8" x14ac:dyDescent="0.35">
      <c r="A197" s="472" t="s">
        <v>2464</v>
      </c>
      <c r="B197" s="472" t="s">
        <v>2465</v>
      </c>
      <c r="C197" s="472" t="s">
        <v>347</v>
      </c>
      <c r="D197" s="472" t="s">
        <v>2447</v>
      </c>
      <c r="E197" s="472" t="str">
        <f t="shared" si="3"/>
        <v>2019Residential16</v>
      </c>
      <c r="F197" s="473">
        <v>1.5646041921665546</v>
      </c>
      <c r="G197" s="474">
        <v>66.117144894780211</v>
      </c>
      <c r="H197" s="474">
        <v>479.19649267327122</v>
      </c>
    </row>
    <row r="198" spans="1:8" x14ac:dyDescent="0.35">
      <c r="A198" s="472" t="s">
        <v>2464</v>
      </c>
      <c r="B198" s="472" t="s">
        <v>2465</v>
      </c>
      <c r="C198" s="472" t="s">
        <v>347</v>
      </c>
      <c r="D198" s="472" t="s">
        <v>2448</v>
      </c>
      <c r="E198" s="472" t="str">
        <f t="shared" si="3"/>
        <v>2019Residential17</v>
      </c>
      <c r="F198" s="473">
        <v>1.640358358104653</v>
      </c>
      <c r="G198" s="474">
        <v>69.31836932635791</v>
      </c>
      <c r="H198" s="474">
        <v>501.01132705381411</v>
      </c>
    </row>
    <row r="199" spans="1:8" x14ac:dyDescent="0.35">
      <c r="A199" s="472" t="s">
        <v>2464</v>
      </c>
      <c r="B199" s="472" t="s">
        <v>2465</v>
      </c>
      <c r="C199" s="472" t="s">
        <v>347</v>
      </c>
      <c r="D199" s="472" t="s">
        <v>2449</v>
      </c>
      <c r="E199" s="472" t="str">
        <f t="shared" si="3"/>
        <v>2019Residential18</v>
      </c>
      <c r="F199" s="473">
        <v>1.7139481193016628</v>
      </c>
      <c r="G199" s="474">
        <v>72.428130202747681</v>
      </c>
      <c r="H199" s="474">
        <v>521.78735979718829</v>
      </c>
    </row>
    <row r="200" spans="1:8" x14ac:dyDescent="0.35">
      <c r="A200" s="472" t="s">
        <v>2464</v>
      </c>
      <c r="B200" s="472" t="s">
        <v>2465</v>
      </c>
      <c r="C200" s="472" t="s">
        <v>347</v>
      </c>
      <c r="D200" s="472" t="s">
        <v>2450</v>
      </c>
      <c r="E200" s="472" t="str">
        <f t="shared" si="3"/>
        <v>2019Residential19</v>
      </c>
      <c r="F200" s="473">
        <v>1.7854353158930438</v>
      </c>
      <c r="G200" s="474">
        <v>75.449040768383469</v>
      </c>
      <c r="H200" s="474">
        <v>541.5740576480207</v>
      </c>
    </row>
    <row r="201" spans="1:8" x14ac:dyDescent="0.35">
      <c r="A201" s="472" t="s">
        <v>2464</v>
      </c>
      <c r="B201" s="472" t="s">
        <v>2465</v>
      </c>
      <c r="C201" s="472" t="s">
        <v>347</v>
      </c>
      <c r="D201" s="472" t="s">
        <v>2451</v>
      </c>
      <c r="E201" s="472" t="str">
        <f t="shared" si="3"/>
        <v>2019Residential20</v>
      </c>
      <c r="F201" s="473">
        <v>1.8548800211532426</v>
      </c>
      <c r="G201" s="474">
        <v>78.383639603572504</v>
      </c>
      <c r="H201" s="474">
        <v>560.41853179167072</v>
      </c>
    </row>
    <row r="202" spans="1:8" x14ac:dyDescent="0.35">
      <c r="A202" s="472" t="s">
        <v>2464</v>
      </c>
      <c r="B202" s="472" t="s">
        <v>2465</v>
      </c>
      <c r="C202" s="472" t="s">
        <v>347</v>
      </c>
      <c r="D202" s="472" t="s">
        <v>2452</v>
      </c>
      <c r="E202" s="472" t="str">
        <f t="shared" si="3"/>
        <v>2019Residential21</v>
      </c>
      <c r="F202" s="473">
        <v>1.9223405919774357</v>
      </c>
      <c r="G202" s="474">
        <v>81.234392757756154</v>
      </c>
      <c r="H202" s="474">
        <v>578.36565002371844</v>
      </c>
    </row>
    <row r="203" spans="1:8" x14ac:dyDescent="0.35">
      <c r="A203" s="472" t="s">
        <v>2464</v>
      </c>
      <c r="B203" s="472" t="s">
        <v>2465</v>
      </c>
      <c r="C203" s="472" t="s">
        <v>347</v>
      </c>
      <c r="D203" s="472" t="s">
        <v>2453</v>
      </c>
      <c r="E203" s="472" t="str">
        <f t="shared" si="3"/>
        <v>2019Residential22</v>
      </c>
      <c r="F203" s="473">
        <v>1.9878737179209376</v>
      </c>
      <c r="G203" s="474">
        <v>84.003695821820259</v>
      </c>
      <c r="H203" s="474">
        <v>595.45814357804943</v>
      </c>
    </row>
    <row r="204" spans="1:8" x14ac:dyDescent="0.35">
      <c r="A204" s="472" t="s">
        <v>2464</v>
      </c>
      <c r="B204" s="472" t="s">
        <v>2465</v>
      </c>
      <c r="C204" s="472" t="s">
        <v>347</v>
      </c>
      <c r="D204" s="472" t="s">
        <v>2454</v>
      </c>
      <c r="E204" s="472" t="str">
        <f t="shared" si="3"/>
        <v>2019Residential23</v>
      </c>
      <c r="F204" s="473">
        <v>2.0515344688374819</v>
      </c>
      <c r="G204" s="474">
        <v>86.693875941196822</v>
      </c>
      <c r="H204" s="474">
        <v>611.73670886788864</v>
      </c>
    </row>
    <row r="205" spans="1:8" x14ac:dyDescent="0.35">
      <c r="A205" s="472" t="s">
        <v>2464</v>
      </c>
      <c r="B205" s="472" t="s">
        <v>2465</v>
      </c>
      <c r="C205" s="472" t="s">
        <v>347</v>
      </c>
      <c r="D205" s="472" t="s">
        <v>2455</v>
      </c>
      <c r="E205" s="472" t="str">
        <f t="shared" si="3"/>
        <v>2019Residential24</v>
      </c>
      <c r="F205" s="473">
        <v>2.1133763411564113</v>
      </c>
      <c r="G205" s="474">
        <v>89.30719377144834</v>
      </c>
      <c r="H205" s="474">
        <v>627.24010438202106</v>
      </c>
    </row>
    <row r="206" spans="1:8" x14ac:dyDescent="0.35">
      <c r="A206" s="472" t="s">
        <v>2464</v>
      </c>
      <c r="B206" s="472" t="s">
        <v>2465</v>
      </c>
      <c r="C206" s="472" t="s">
        <v>347</v>
      </c>
      <c r="D206" s="472" t="s">
        <v>2456</v>
      </c>
      <c r="E206" s="472" t="str">
        <f t="shared" si="3"/>
        <v>2019Residential25</v>
      </c>
      <c r="F206" s="473">
        <v>2.1734513028376563</v>
      </c>
      <c r="G206" s="474">
        <v>91.845845377978378</v>
      </c>
      <c r="H206" s="474">
        <v>642.00524296690924</v>
      </c>
    </row>
    <row r="207" spans="1:8" x14ac:dyDescent="0.35">
      <c r="A207" s="472" t="s">
        <v>2464</v>
      </c>
      <c r="B207" s="472" t="s">
        <v>2465</v>
      </c>
      <c r="C207" s="472" t="s">
        <v>347</v>
      </c>
      <c r="D207" s="472" t="s">
        <v>2457</v>
      </c>
      <c r="E207" s="472" t="str">
        <f t="shared" si="3"/>
        <v>2019Residential26</v>
      </c>
      <c r="F207" s="473">
        <v>2.2318098370422947</v>
      </c>
      <c r="G207" s="474">
        <v>94.311964081464708</v>
      </c>
      <c r="H207" s="474">
        <v>656.0672797144216</v>
      </c>
    </row>
    <row r="208" spans="1:8" x14ac:dyDescent="0.35">
      <c r="A208" s="472" t="s">
        <v>2464</v>
      </c>
      <c r="B208" s="472" t="s">
        <v>2465</v>
      </c>
      <c r="C208" s="472" t="s">
        <v>347</v>
      </c>
      <c r="D208" s="472" t="s">
        <v>2458</v>
      </c>
      <c r="E208" s="472" t="str">
        <f t="shared" si="3"/>
        <v>2019Residential27</v>
      </c>
      <c r="F208" s="473">
        <v>2.2885009845553719</v>
      </c>
      <c r="G208" s="474">
        <v>96.70762225056572</v>
      </c>
      <c r="H208" s="474">
        <v>669.45969566443353</v>
      </c>
    </row>
    <row r="209" spans="1:8" x14ac:dyDescent="0.35">
      <c r="A209" s="472" t="s">
        <v>2464</v>
      </c>
      <c r="B209" s="472" t="s">
        <v>2465</v>
      </c>
      <c r="C209" s="472" t="s">
        <v>347</v>
      </c>
      <c r="D209" s="472" t="s">
        <v>2459</v>
      </c>
      <c r="E209" s="472" t="str">
        <f t="shared" si="3"/>
        <v>2019Residential28</v>
      </c>
      <c r="F209" s="473">
        <v>2.343572384996647</v>
      </c>
      <c r="G209" s="474">
        <v>99.034833043406707</v>
      </c>
      <c r="H209" s="474">
        <v>682.21437752158772</v>
      </c>
    </row>
    <row r="210" spans="1:8" x14ac:dyDescent="0.35">
      <c r="A210" s="472" t="s">
        <v>2464</v>
      </c>
      <c r="B210" s="472" t="s">
        <v>2465</v>
      </c>
      <c r="C210" s="472" t="s">
        <v>347</v>
      </c>
      <c r="D210" s="472" t="s">
        <v>2460</v>
      </c>
      <c r="E210" s="472" t="str">
        <f t="shared" si="3"/>
        <v>2019Residential29</v>
      </c>
      <c r="F210" s="473">
        <v>2.3970703168538856</v>
      </c>
      <c r="G210" s="474">
        <v>101.29555209930938</v>
      </c>
      <c r="H210" s="474">
        <v>694.36169357602034</v>
      </c>
    </row>
    <row r="211" spans="1:8" x14ac:dyDescent="0.35">
      <c r="A211" s="472" t="s">
        <v>2464</v>
      </c>
      <c r="B211" s="472" t="s">
        <v>2465</v>
      </c>
      <c r="C211" s="472" t="s">
        <v>347</v>
      </c>
      <c r="D211" s="472" t="s">
        <v>2461</v>
      </c>
      <c r="E211" s="472" t="str">
        <f t="shared" si="3"/>
        <v>2019Residential30</v>
      </c>
      <c r="F211" s="473">
        <v>2.4490397363723457</v>
      </c>
      <c r="G211" s="474">
        <v>103.49167918218625</v>
      </c>
      <c r="H211" s="474">
        <v>705.93056600881312</v>
      </c>
    </row>
    <row r="212" spans="1:8" x14ac:dyDescent="0.35">
      <c r="A212" s="472" t="s">
        <v>2464</v>
      </c>
      <c r="B212" s="472" t="s">
        <v>2465</v>
      </c>
      <c r="C212" s="472" t="s">
        <v>2254</v>
      </c>
      <c r="D212" s="472" t="s">
        <v>2432</v>
      </c>
      <c r="E212" s="472" t="str">
        <f t="shared" si="3"/>
        <v>2019Industrial1</v>
      </c>
      <c r="F212" s="473">
        <v>4.3431600000000001E-2</v>
      </c>
      <c r="G212" s="474">
        <v>3.2844000000000002</v>
      </c>
      <c r="H212" s="474">
        <v>30</v>
      </c>
    </row>
    <row r="213" spans="1:8" x14ac:dyDescent="0.35">
      <c r="A213" s="472" t="s">
        <v>2464</v>
      </c>
      <c r="B213" s="472" t="s">
        <v>2465</v>
      </c>
      <c r="C213" s="472" t="s">
        <v>2254</v>
      </c>
      <c r="D213" s="472" t="s">
        <v>2433</v>
      </c>
      <c r="E213" s="472" t="str">
        <f t="shared" si="3"/>
        <v>2019Industrial2</v>
      </c>
      <c r="F213" s="473">
        <v>8.1545044897959176E-2</v>
      </c>
      <c r="G213" s="474">
        <v>6.1666285714285713</v>
      </c>
      <c r="H213" s="474">
        <v>55.782312925170061</v>
      </c>
    </row>
    <row r="214" spans="1:8" x14ac:dyDescent="0.35">
      <c r="A214" s="472" t="s">
        <v>2464</v>
      </c>
      <c r="B214" s="472" t="s">
        <v>2465</v>
      </c>
      <c r="C214" s="472" t="s">
        <v>2254</v>
      </c>
      <c r="D214" s="472" t="s">
        <v>2434</v>
      </c>
      <c r="E214" s="472" t="str">
        <f t="shared" si="3"/>
        <v>2019Industrial3</v>
      </c>
      <c r="F214" s="473">
        <v>0.12057861504373178</v>
      </c>
      <c r="G214" s="474">
        <v>9.118439183673468</v>
      </c>
      <c r="H214" s="474">
        <v>81.697440881114346</v>
      </c>
    </row>
    <row r="215" spans="1:8" x14ac:dyDescent="0.35">
      <c r="A215" s="472" t="s">
        <v>2464</v>
      </c>
      <c r="B215" s="472" t="s">
        <v>2465</v>
      </c>
      <c r="C215" s="472" t="s">
        <v>2254</v>
      </c>
      <c r="D215" s="472" t="s">
        <v>2435</v>
      </c>
      <c r="E215" s="472" t="str">
        <f t="shared" si="3"/>
        <v>2019Industrial4</v>
      </c>
      <c r="F215" s="473">
        <v>0.15849694032819658</v>
      </c>
      <c r="G215" s="474">
        <v>11.985912349854226</v>
      </c>
      <c r="H215" s="474">
        <v>114.60553987278961</v>
      </c>
    </row>
    <row r="216" spans="1:8" x14ac:dyDescent="0.35">
      <c r="A216" s="472" t="s">
        <v>2464</v>
      </c>
      <c r="B216" s="472" t="s">
        <v>2465</v>
      </c>
      <c r="C216" s="472" t="s">
        <v>2254</v>
      </c>
      <c r="D216" s="472" t="s">
        <v>2436</v>
      </c>
      <c r="E216" s="472" t="str">
        <f t="shared" si="3"/>
        <v>2019Industrial5</v>
      </c>
      <c r="F216" s="473">
        <v>0.19533188489024811</v>
      </c>
      <c r="G216" s="474">
        <v>14.771457711286963</v>
      </c>
      <c r="H216" s="474">
        <v>153.78184819621256</v>
      </c>
    </row>
    <row r="217" spans="1:8" x14ac:dyDescent="0.35">
      <c r="A217" s="472" t="s">
        <v>2464</v>
      </c>
      <c r="B217" s="472" t="s">
        <v>2465</v>
      </c>
      <c r="C217" s="472" t="s">
        <v>2254</v>
      </c>
      <c r="D217" s="472" t="s">
        <v>2437</v>
      </c>
      <c r="E217" s="472" t="str">
        <f t="shared" si="3"/>
        <v>2019Industrial6</v>
      </c>
      <c r="F217" s="473">
        <v>0.23111440246481244</v>
      </c>
      <c r="G217" s="474">
        <v>17.477416062393047</v>
      </c>
      <c r="H217" s="474">
        <v>191.09261802804394</v>
      </c>
    </row>
    <row r="218" spans="1:8" x14ac:dyDescent="0.35">
      <c r="A218" s="472" t="s">
        <v>2464</v>
      </c>
      <c r="B218" s="472" t="s">
        <v>2465</v>
      </c>
      <c r="C218" s="472" t="s">
        <v>2254</v>
      </c>
      <c r="D218" s="472" t="s">
        <v>2438</v>
      </c>
      <c r="E218" s="472" t="str">
        <f t="shared" si="3"/>
        <v>2019Industrial7</v>
      </c>
      <c r="F218" s="473">
        <v>0.26587456239438922</v>
      </c>
      <c r="G218" s="474">
        <v>20.106061317753248</v>
      </c>
      <c r="H218" s="474">
        <v>226.62668453455001</v>
      </c>
    </row>
    <row r="219" spans="1:8" x14ac:dyDescent="0.35">
      <c r="A219" s="472" t="s">
        <v>2464</v>
      </c>
      <c r="B219" s="472" t="s">
        <v>2465</v>
      </c>
      <c r="C219" s="472" t="s">
        <v>2254</v>
      </c>
      <c r="D219" s="472" t="s">
        <v>2439</v>
      </c>
      <c r="E219" s="472" t="str">
        <f t="shared" si="3"/>
        <v>2019Industrial8</v>
      </c>
      <c r="F219" s="473">
        <v>0.29964157489740667</v>
      </c>
      <c r="G219" s="474">
        <v>22.659602422960297</v>
      </c>
      <c r="H219" s="474">
        <v>260.46865263598437</v>
      </c>
    </row>
    <row r="220" spans="1:8" x14ac:dyDescent="0.35">
      <c r="A220" s="472" t="s">
        <v>2464</v>
      </c>
      <c r="B220" s="472" t="s">
        <v>2465</v>
      </c>
      <c r="C220" s="472" t="s">
        <v>2254</v>
      </c>
      <c r="D220" s="472" t="s">
        <v>2440</v>
      </c>
      <c r="E220" s="472" t="str">
        <f t="shared" si="3"/>
        <v>2019Industrial9</v>
      </c>
      <c r="F220" s="473">
        <v>0.33244381561462361</v>
      </c>
      <c r="G220" s="474">
        <v>25.140185210875718</v>
      </c>
      <c r="H220" s="474">
        <v>292.69909844687419</v>
      </c>
    </row>
    <row r="221" spans="1:8" x14ac:dyDescent="0.35">
      <c r="A221" s="472" t="s">
        <v>2464</v>
      </c>
      <c r="B221" s="472" t="s">
        <v>2465</v>
      </c>
      <c r="C221" s="472" t="s">
        <v>2254</v>
      </c>
      <c r="D221" s="472" t="s">
        <v>2441</v>
      </c>
      <c r="E221" s="472" t="str">
        <f t="shared" si="3"/>
        <v>2019Industrial10</v>
      </c>
      <c r="F221" s="473">
        <v>0.36430884945420577</v>
      </c>
      <c r="G221" s="474">
        <v>27.549894204850695</v>
      </c>
      <c r="H221" s="474">
        <v>323.39476112391219</v>
      </c>
    </row>
    <row r="222" spans="1:8" x14ac:dyDescent="0.35">
      <c r="A222" s="472" t="s">
        <v>2464</v>
      </c>
      <c r="B222" s="472" t="s">
        <v>2465</v>
      </c>
      <c r="C222" s="472" t="s">
        <v>2254</v>
      </c>
      <c r="D222" s="472" t="s">
        <v>2442</v>
      </c>
      <c r="E222" s="472" t="str">
        <f t="shared" si="3"/>
        <v>2019Industrial11</v>
      </c>
      <c r="F222" s="473">
        <v>0.39526345375551414</v>
      </c>
      <c r="G222" s="474">
        <v>29.890754370426389</v>
      </c>
      <c r="H222" s="474">
        <v>352.62872557823403</v>
      </c>
    </row>
    <row r="223" spans="1:8" x14ac:dyDescent="0.35">
      <c r="A223" s="472" t="s">
        <v>2464</v>
      </c>
      <c r="B223" s="472" t="s">
        <v>2465</v>
      </c>
      <c r="C223" s="472" t="s">
        <v>2254</v>
      </c>
      <c r="D223" s="472" t="s">
        <v>2443</v>
      </c>
      <c r="E223" s="472" t="str">
        <f t="shared" si="3"/>
        <v>2019Industrial12</v>
      </c>
      <c r="F223" s="473">
        <v>0.42533364079107089</v>
      </c>
      <c r="G223" s="474">
        <v>32.164732816985634</v>
      </c>
      <c r="H223" s="474">
        <v>380.47059648711206</v>
      </c>
    </row>
    <row r="224" spans="1:8" x14ac:dyDescent="0.35">
      <c r="A224" s="472" t="s">
        <v>2464</v>
      </c>
      <c r="B224" s="472" t="s">
        <v>2465</v>
      </c>
      <c r="C224" s="472" t="s">
        <v>2254</v>
      </c>
      <c r="D224" s="472" t="s">
        <v>2444</v>
      </c>
      <c r="E224" s="472" t="str">
        <f t="shared" si="3"/>
        <v>2019Industrial13</v>
      </c>
      <c r="F224" s="473">
        <v>0.45454467962561168</v>
      </c>
      <c r="G224" s="474">
        <v>34.373740450786045</v>
      </c>
      <c r="H224" s="474">
        <v>406.9866640193768</v>
      </c>
    </row>
    <row r="225" spans="1:8" x14ac:dyDescent="0.35">
      <c r="A225" s="472" t="s">
        <v>2464</v>
      </c>
      <c r="B225" s="472" t="s">
        <v>2465</v>
      </c>
      <c r="C225" s="472" t="s">
        <v>2254</v>
      </c>
      <c r="D225" s="472" t="s">
        <v>2445</v>
      </c>
      <c r="E225" s="472" t="str">
        <f t="shared" si="3"/>
        <v>2019Industrial14</v>
      </c>
      <c r="F225" s="473">
        <v>0.48292111735059418</v>
      </c>
      <c r="G225" s="474">
        <v>36.519633580763589</v>
      </c>
      <c r="H225" s="474">
        <v>432.24006166915274</v>
      </c>
    </row>
    <row r="226" spans="1:8" x14ac:dyDescent="0.35">
      <c r="A226" s="472" t="s">
        <v>2464</v>
      </c>
      <c r="B226" s="472" t="s">
        <v>2465</v>
      </c>
      <c r="C226" s="472" t="s">
        <v>2254</v>
      </c>
      <c r="D226" s="472" t="s">
        <v>2446</v>
      </c>
      <c r="E226" s="472" t="str">
        <f t="shared" si="3"/>
        <v>2019Industrial15</v>
      </c>
      <c r="F226" s="473">
        <v>0.51048679971200572</v>
      </c>
      <c r="G226" s="474">
        <v>38.604215478456055</v>
      </c>
      <c r="H226" s="474">
        <v>456.29091657370122</v>
      </c>
    </row>
    <row r="227" spans="1:8" x14ac:dyDescent="0.35">
      <c r="A227" s="472" t="s">
        <v>2464</v>
      </c>
      <c r="B227" s="472" t="s">
        <v>2465</v>
      </c>
      <c r="C227" s="472" t="s">
        <v>2254</v>
      </c>
      <c r="D227" s="472" t="s">
        <v>2447</v>
      </c>
      <c r="E227" s="472" t="str">
        <f t="shared" si="3"/>
        <v>2019Industrial16</v>
      </c>
      <c r="F227" s="473">
        <v>0.5372648911488056</v>
      </c>
      <c r="G227" s="474">
        <v>40.629237893357306</v>
      </c>
      <c r="H227" s="474">
        <v>479.19649267327122</v>
      </c>
    </row>
    <row r="228" spans="1:8" x14ac:dyDescent="0.35">
      <c r="A228" s="472" t="s">
        <v>2464</v>
      </c>
      <c r="B228" s="472" t="s">
        <v>2465</v>
      </c>
      <c r="C228" s="472" t="s">
        <v>2254</v>
      </c>
      <c r="D228" s="472" t="s">
        <v>2448</v>
      </c>
      <c r="E228" s="472" t="str">
        <f t="shared" si="3"/>
        <v>2019Industrial17</v>
      </c>
      <c r="F228" s="473">
        <v>0.56327789425883967</v>
      </c>
      <c r="G228" s="474">
        <v>42.596402524975666</v>
      </c>
      <c r="H228" s="474">
        <v>501.01132705381411</v>
      </c>
    </row>
    <row r="229" spans="1:8" x14ac:dyDescent="0.35">
      <c r="A229" s="472" t="s">
        <v>2464</v>
      </c>
      <c r="B229" s="472" t="s">
        <v>2465</v>
      </c>
      <c r="C229" s="472" t="s">
        <v>2254</v>
      </c>
      <c r="D229" s="472" t="s">
        <v>2449</v>
      </c>
      <c r="E229" s="472" t="str">
        <f t="shared" si="3"/>
        <v>2019Industrial18</v>
      </c>
      <c r="F229" s="473">
        <v>0.5885476687085871</v>
      </c>
      <c r="G229" s="474">
        <v>44.507362452833505</v>
      </c>
      <c r="H229" s="474">
        <v>521.78735979718829</v>
      </c>
    </row>
    <row r="230" spans="1:8" x14ac:dyDescent="0.35">
      <c r="A230" s="472" t="s">
        <v>2464</v>
      </c>
      <c r="B230" s="472" t="s">
        <v>2465</v>
      </c>
      <c r="C230" s="472" t="s">
        <v>2254</v>
      </c>
      <c r="D230" s="472" t="s">
        <v>2450</v>
      </c>
      <c r="E230" s="472" t="str">
        <f t="shared" si="3"/>
        <v>2019Industrial19</v>
      </c>
      <c r="F230" s="473">
        <v>0.61309544960262752</v>
      </c>
      <c r="G230" s="474">
        <v>46.363723525609693</v>
      </c>
      <c r="H230" s="474">
        <v>541.5740576480207</v>
      </c>
    </row>
    <row r="231" spans="1:8" x14ac:dyDescent="0.35">
      <c r="A231" s="472" t="s">
        <v>2464</v>
      </c>
      <c r="B231" s="472" t="s">
        <v>2465</v>
      </c>
      <c r="C231" s="472" t="s">
        <v>2254</v>
      </c>
      <c r="D231" s="472" t="s">
        <v>2451</v>
      </c>
      <c r="E231" s="472" t="str">
        <f t="shared" si="3"/>
        <v>2019Industrial20</v>
      </c>
      <c r="F231" s="473">
        <v>0.63694186532826669</v>
      </c>
      <c r="G231" s="474">
        <v>48.167045710592269</v>
      </c>
      <c r="H231" s="474">
        <v>560.41853179167072</v>
      </c>
    </row>
    <row r="232" spans="1:8" x14ac:dyDescent="0.35">
      <c r="A232" s="472" t="s">
        <v>2464</v>
      </c>
      <c r="B232" s="472" t="s">
        <v>2465</v>
      </c>
      <c r="C232" s="472" t="s">
        <v>2254</v>
      </c>
      <c r="D232" s="472" t="s">
        <v>2452</v>
      </c>
      <c r="E232" s="472" t="str">
        <f t="shared" si="3"/>
        <v>2019Industrial21</v>
      </c>
      <c r="F232" s="473">
        <v>0.66010695489031623</v>
      </c>
      <c r="G232" s="474">
        <v>49.918844404575346</v>
      </c>
      <c r="H232" s="474">
        <v>578.36565002371844</v>
      </c>
    </row>
    <row r="233" spans="1:8" x14ac:dyDescent="0.35">
      <c r="A233" s="472" t="s">
        <v>2464</v>
      </c>
      <c r="B233" s="472" t="s">
        <v>2465</v>
      </c>
      <c r="C233" s="472" t="s">
        <v>2254</v>
      </c>
      <c r="D233" s="472" t="s">
        <v>2453</v>
      </c>
      <c r="E233" s="472" t="str">
        <f t="shared" si="3"/>
        <v>2019Industrial22</v>
      </c>
      <c r="F233" s="473">
        <v>0.68261018475059287</v>
      </c>
      <c r="G233" s="474">
        <v>51.62059170730177</v>
      </c>
      <c r="H233" s="474">
        <v>595.45814357804943</v>
      </c>
    </row>
    <row r="234" spans="1:8" x14ac:dyDescent="0.35">
      <c r="A234" s="472" t="s">
        <v>2464</v>
      </c>
      <c r="B234" s="472" t="s">
        <v>2465</v>
      </c>
      <c r="C234" s="472" t="s">
        <v>2254</v>
      </c>
      <c r="D234" s="472" t="s">
        <v>2454</v>
      </c>
      <c r="E234" s="472" t="str">
        <f t="shared" si="3"/>
        <v>2019Industrial23</v>
      </c>
      <c r="F234" s="473">
        <v>0.7044704651862902</v>
      </c>
      <c r="G234" s="474">
        <v>53.273717658521711</v>
      </c>
      <c r="H234" s="474">
        <v>611.73670886788864</v>
      </c>
    </row>
    <row r="235" spans="1:8" x14ac:dyDescent="0.35">
      <c r="A235" s="472" t="s">
        <v>2464</v>
      </c>
      <c r="B235" s="472" t="s">
        <v>2465</v>
      </c>
      <c r="C235" s="472" t="s">
        <v>2254</v>
      </c>
      <c r="D235" s="472" t="s">
        <v>2455</v>
      </c>
      <c r="E235" s="472" t="str">
        <f t="shared" si="3"/>
        <v>2019Industrial24</v>
      </c>
      <c r="F235" s="473">
        <v>0.72570616618096762</v>
      </c>
      <c r="G235" s="474">
        <v>54.879611439706807</v>
      </c>
      <c r="H235" s="474">
        <v>627.24010438202106</v>
      </c>
    </row>
    <row r="236" spans="1:8" x14ac:dyDescent="0.35">
      <c r="A236" s="472" t="s">
        <v>2464</v>
      </c>
      <c r="B236" s="472" t="s">
        <v>2465</v>
      </c>
      <c r="C236" s="472" t="s">
        <v>2254</v>
      </c>
      <c r="D236" s="472" t="s">
        <v>2456</v>
      </c>
      <c r="E236" s="472" t="str">
        <f t="shared" si="3"/>
        <v>2019Industrial25</v>
      </c>
      <c r="F236" s="473">
        <v>0.74633513286151132</v>
      </c>
      <c r="G236" s="474">
        <v>56.439622541429465</v>
      </c>
      <c r="H236" s="474">
        <v>642.00524296690924</v>
      </c>
    </row>
    <row r="237" spans="1:8" x14ac:dyDescent="0.35">
      <c r="A237" s="472" t="s">
        <v>2464</v>
      </c>
      <c r="B237" s="472" t="s">
        <v>2465</v>
      </c>
      <c r="C237" s="472" t="s">
        <v>2254</v>
      </c>
      <c r="D237" s="472" t="s">
        <v>2457</v>
      </c>
      <c r="E237" s="472" t="str">
        <f t="shared" si="3"/>
        <v>2019Industrial26</v>
      </c>
      <c r="F237" s="473">
        <v>0.76637470049403955</v>
      </c>
      <c r="G237" s="474">
        <v>57.955061897388617</v>
      </c>
      <c r="H237" s="474">
        <v>656.0672797144216</v>
      </c>
    </row>
    <row r="238" spans="1:8" x14ac:dyDescent="0.35">
      <c r="A238" s="472" t="s">
        <v>2464</v>
      </c>
      <c r="B238" s="472" t="s">
        <v>2465</v>
      </c>
      <c r="C238" s="472" t="s">
        <v>2254</v>
      </c>
      <c r="D238" s="472" t="s">
        <v>2458</v>
      </c>
      <c r="E238" s="472" t="str">
        <f t="shared" si="3"/>
        <v>2019Industrial27</v>
      </c>
      <c r="F238" s="473">
        <v>0.78584170905135275</v>
      </c>
      <c r="G238" s="474">
        <v>59.427202986034658</v>
      </c>
      <c r="H238" s="474">
        <v>669.45969566443353</v>
      </c>
    </row>
    <row r="239" spans="1:8" x14ac:dyDescent="0.35">
      <c r="A239" s="472" t="s">
        <v>2464</v>
      </c>
      <c r="B239" s="472" t="s">
        <v>2465</v>
      </c>
      <c r="C239" s="472" t="s">
        <v>2254</v>
      </c>
      <c r="D239" s="472" t="s">
        <v>2459</v>
      </c>
      <c r="E239" s="472" t="str">
        <f t="shared" si="3"/>
        <v>2019Industrial28</v>
      </c>
      <c r="F239" s="473">
        <v>0.8047525173641713</v>
      </c>
      <c r="G239" s="474">
        <v>60.857282900719383</v>
      </c>
      <c r="H239" s="474">
        <v>682.21437752158772</v>
      </c>
    </row>
    <row r="240" spans="1:8" x14ac:dyDescent="0.35">
      <c r="A240" s="472" t="s">
        <v>2464</v>
      </c>
      <c r="B240" s="472" t="s">
        <v>2465</v>
      </c>
      <c r="C240" s="472" t="s">
        <v>2254</v>
      </c>
      <c r="D240" s="472" t="s">
        <v>2460</v>
      </c>
      <c r="E240" s="472" t="str">
        <f t="shared" si="3"/>
        <v>2019Industrial29</v>
      </c>
      <c r="F240" s="473">
        <v>0.82312301686805212</v>
      </c>
      <c r="G240" s="474">
        <v>62.246503389270259</v>
      </c>
      <c r="H240" s="474">
        <v>694.36169357602034</v>
      </c>
    </row>
    <row r="241" spans="1:8" x14ac:dyDescent="0.35">
      <c r="A241" s="472" t="s">
        <v>2464</v>
      </c>
      <c r="B241" s="472" t="s">
        <v>2465</v>
      </c>
      <c r="C241" s="472" t="s">
        <v>2254</v>
      </c>
      <c r="D241" s="472" t="s">
        <v>2461</v>
      </c>
      <c r="E241" s="472" t="str">
        <f t="shared" si="3"/>
        <v>2019Industrial30</v>
      </c>
      <c r="F241" s="473">
        <v>0.84096864495753632</v>
      </c>
      <c r="G241" s="474">
        <v>63.596031863862535</v>
      </c>
      <c r="H241" s="474">
        <v>705.93056600881312</v>
      </c>
    </row>
    <row r="242" spans="1:8" x14ac:dyDescent="0.35">
      <c r="A242" s="472" t="s">
        <v>2464</v>
      </c>
      <c r="B242" s="472" t="s">
        <v>2465</v>
      </c>
      <c r="C242" s="472" t="s">
        <v>12</v>
      </c>
      <c r="D242" s="472" t="s">
        <v>2432</v>
      </c>
      <c r="E242" s="472" t="str">
        <f t="shared" si="3"/>
        <v>2019Commercial1</v>
      </c>
      <c r="F242" s="473">
        <v>0.12648000000000001</v>
      </c>
      <c r="G242" s="474">
        <v>5.3448000000000002</v>
      </c>
      <c r="H242" s="474">
        <v>30</v>
      </c>
    </row>
    <row r="243" spans="1:8" x14ac:dyDescent="0.35">
      <c r="A243" s="472" t="s">
        <v>2464</v>
      </c>
      <c r="B243" s="472" t="s">
        <v>2465</v>
      </c>
      <c r="C243" s="472" t="s">
        <v>12</v>
      </c>
      <c r="D243" s="472" t="s">
        <v>2433</v>
      </c>
      <c r="E243" s="472" t="str">
        <f t="shared" si="3"/>
        <v>2019Commercial2</v>
      </c>
      <c r="F243" s="473">
        <v>0.23747265306122448</v>
      </c>
      <c r="G243" s="474">
        <v>10.035134693877552</v>
      </c>
      <c r="H243" s="474">
        <v>55.782312925170061</v>
      </c>
    </row>
    <row r="244" spans="1:8" x14ac:dyDescent="0.35">
      <c r="A244" s="472" t="s">
        <v>2464</v>
      </c>
      <c r="B244" s="472" t="s">
        <v>2465</v>
      </c>
      <c r="C244" s="472" t="s">
        <v>12</v>
      </c>
      <c r="D244" s="472" t="s">
        <v>2434</v>
      </c>
      <c r="E244" s="472" t="str">
        <f t="shared" si="3"/>
        <v>2019Commercial3</v>
      </c>
      <c r="F244" s="473">
        <v>0.35114486297376091</v>
      </c>
      <c r="G244" s="474">
        <v>14.83870227405248</v>
      </c>
      <c r="H244" s="474">
        <v>81.697440881114346</v>
      </c>
    </row>
    <row r="245" spans="1:8" x14ac:dyDescent="0.35">
      <c r="A245" s="472" t="s">
        <v>2464</v>
      </c>
      <c r="B245" s="472" t="s">
        <v>2465</v>
      </c>
      <c r="C245" s="472" t="s">
        <v>12</v>
      </c>
      <c r="D245" s="472" t="s">
        <v>2435</v>
      </c>
      <c r="E245" s="472" t="str">
        <f t="shared" si="3"/>
        <v>2019Commercial4</v>
      </c>
      <c r="F245" s="473">
        <v>0.46156929546022485</v>
      </c>
      <c r="G245" s="474">
        <v>19.505025066222409</v>
      </c>
      <c r="H245" s="474">
        <v>114.60553987278961</v>
      </c>
    </row>
    <row r="246" spans="1:8" x14ac:dyDescent="0.35">
      <c r="A246" s="472" t="s">
        <v>2464</v>
      </c>
      <c r="B246" s="472" t="s">
        <v>2465</v>
      </c>
      <c r="C246" s="472" t="s">
        <v>12</v>
      </c>
      <c r="D246" s="472" t="s">
        <v>2436</v>
      </c>
      <c r="E246" s="472" t="str">
        <f t="shared" si="3"/>
        <v>2019Commercial5</v>
      </c>
      <c r="F246" s="473">
        <v>0.56883874416136126</v>
      </c>
      <c r="G246" s="474">
        <v>24.038024350044623</v>
      </c>
      <c r="H246" s="474">
        <v>153.78184819621256</v>
      </c>
    </row>
    <row r="247" spans="1:8" x14ac:dyDescent="0.35">
      <c r="A247" s="472" t="s">
        <v>2464</v>
      </c>
      <c r="B247" s="472" t="s">
        <v>2465</v>
      </c>
      <c r="C247" s="472" t="s">
        <v>12</v>
      </c>
      <c r="D247" s="472" t="s">
        <v>2437</v>
      </c>
      <c r="E247" s="472" t="str">
        <f t="shared" si="3"/>
        <v>2019Commercial6</v>
      </c>
      <c r="F247" s="473">
        <v>0.67304335147103667</v>
      </c>
      <c r="G247" s="474">
        <v>28.441509368614774</v>
      </c>
      <c r="H247" s="474">
        <v>191.09261802804394</v>
      </c>
    </row>
    <row r="248" spans="1:8" x14ac:dyDescent="0.35">
      <c r="A248" s="472" t="s">
        <v>2464</v>
      </c>
      <c r="B248" s="472" t="s">
        <v>2465</v>
      </c>
      <c r="C248" s="472" t="s">
        <v>12</v>
      </c>
      <c r="D248" s="472" t="s">
        <v>2438</v>
      </c>
      <c r="E248" s="472" t="str">
        <f t="shared" si="3"/>
        <v>2019Commercial7</v>
      </c>
      <c r="F248" s="473">
        <v>0.77427068428614976</v>
      </c>
      <c r="G248" s="474">
        <v>32.719180529511497</v>
      </c>
      <c r="H248" s="474">
        <v>226.62668453455001</v>
      </c>
    </row>
    <row r="249" spans="1:8" x14ac:dyDescent="0.35">
      <c r="A249" s="472" t="s">
        <v>2464</v>
      </c>
      <c r="B249" s="472" t="s">
        <v>2465</v>
      </c>
      <c r="C249" s="472" t="s">
        <v>12</v>
      </c>
      <c r="D249" s="472" t="s">
        <v>2439</v>
      </c>
      <c r="E249" s="472" t="str">
        <f t="shared" si="3"/>
        <v>2019Commercial8</v>
      </c>
      <c r="F249" s="473">
        <v>0.8726058075922597</v>
      </c>
      <c r="G249" s="474">
        <v>36.874632514382597</v>
      </c>
      <c r="H249" s="474">
        <v>260.46865263598437</v>
      </c>
    </row>
    <row r="250" spans="1:8" x14ac:dyDescent="0.35">
      <c r="A250" s="472" t="s">
        <v>2464</v>
      </c>
      <c r="B250" s="472" t="s">
        <v>2465</v>
      </c>
      <c r="C250" s="472" t="s">
        <v>12</v>
      </c>
      <c r="D250" s="472" t="s">
        <v>2440</v>
      </c>
      <c r="E250" s="472" t="str">
        <f t="shared" si="3"/>
        <v>2019Commercial9</v>
      </c>
      <c r="F250" s="473">
        <v>0.96813135594676658</v>
      </c>
      <c r="G250" s="474">
        <v>40.911357299685946</v>
      </c>
      <c r="H250" s="474">
        <v>292.69909844687419</v>
      </c>
    </row>
    <row r="251" spans="1:8" x14ac:dyDescent="0.35">
      <c r="A251" s="472" t="s">
        <v>2464</v>
      </c>
      <c r="B251" s="472" t="s">
        <v>2465</v>
      </c>
      <c r="C251" s="472" t="s">
        <v>12</v>
      </c>
      <c r="D251" s="472" t="s">
        <v>2441</v>
      </c>
      <c r="E251" s="472" t="str">
        <f t="shared" si="3"/>
        <v>2019Commercial10</v>
      </c>
      <c r="F251" s="473">
        <v>1.0609276029197161</v>
      </c>
      <c r="G251" s="474">
        <v>44.832747091123494</v>
      </c>
      <c r="H251" s="474">
        <v>323.39476112391219</v>
      </c>
    </row>
    <row r="252" spans="1:8" x14ac:dyDescent="0.35">
      <c r="A252" s="472" t="s">
        <v>2464</v>
      </c>
      <c r="B252" s="472" t="s">
        <v>2465</v>
      </c>
      <c r="C252" s="472" t="s">
        <v>12</v>
      </c>
      <c r="D252" s="472" t="s">
        <v>2442</v>
      </c>
      <c r="E252" s="472" t="str">
        <f t="shared" si="3"/>
        <v>2019Commercial11</v>
      </c>
      <c r="F252" s="473">
        <v>1.1510725285505814</v>
      </c>
      <c r="G252" s="474">
        <v>48.642097174234245</v>
      </c>
      <c r="H252" s="474">
        <v>352.62872557823403</v>
      </c>
    </row>
    <row r="253" spans="1:8" x14ac:dyDescent="0.35">
      <c r="A253" s="472" t="s">
        <v>2464</v>
      </c>
      <c r="B253" s="472" t="s">
        <v>2465</v>
      </c>
      <c r="C253" s="472" t="s">
        <v>12</v>
      </c>
      <c r="D253" s="472" t="s">
        <v>2443</v>
      </c>
      <c r="E253" s="472" t="str">
        <f t="shared" si="3"/>
        <v>2019Commercial12</v>
      </c>
      <c r="F253" s="473">
        <v>1.2386418848777077</v>
      </c>
      <c r="G253" s="474">
        <v>52.34260868354184</v>
      </c>
      <c r="H253" s="474">
        <v>380.47059648711206</v>
      </c>
    </row>
    <row r="254" spans="1:8" x14ac:dyDescent="0.35">
      <c r="A254" s="472" t="s">
        <v>2464</v>
      </c>
      <c r="B254" s="472" t="s">
        <v>2465</v>
      </c>
      <c r="C254" s="472" t="s">
        <v>12</v>
      </c>
      <c r="D254" s="472" t="s">
        <v>2444</v>
      </c>
      <c r="E254" s="472" t="str">
        <f t="shared" si="3"/>
        <v>2019Commercial13</v>
      </c>
      <c r="F254" s="473">
        <v>1.3237092595954874</v>
      </c>
      <c r="G254" s="474">
        <v>55.937391292583499</v>
      </c>
      <c r="H254" s="474">
        <v>406.9866640193768</v>
      </c>
    </row>
    <row r="255" spans="1:8" x14ac:dyDescent="0.35">
      <c r="A255" s="472" t="s">
        <v>2464</v>
      </c>
      <c r="B255" s="472" t="s">
        <v>2465</v>
      </c>
      <c r="C255" s="472" t="s">
        <v>12</v>
      </c>
      <c r="D255" s="472" t="s">
        <v>2445</v>
      </c>
      <c r="E255" s="472" t="str">
        <f t="shared" si="3"/>
        <v>2019Commercial14</v>
      </c>
      <c r="F255" s="473">
        <v>1.4063461378927591</v>
      </c>
      <c r="G255" s="474">
        <v>59.42946582708111</v>
      </c>
      <c r="H255" s="474">
        <v>432.24006166915274</v>
      </c>
    </row>
    <row r="256" spans="1:8" x14ac:dyDescent="0.35">
      <c r="A256" s="472" t="s">
        <v>2464</v>
      </c>
      <c r="B256" s="472" t="s">
        <v>2465</v>
      </c>
      <c r="C256" s="472" t="s">
        <v>12</v>
      </c>
      <c r="D256" s="472" t="s">
        <v>2446</v>
      </c>
      <c r="E256" s="472" t="str">
        <f t="shared" si="3"/>
        <v>2019Commercial15</v>
      </c>
      <c r="F256" s="473">
        <v>1.4866219625243946</v>
      </c>
      <c r="G256" s="474">
        <v>62.821766803450217</v>
      </c>
      <c r="H256" s="474">
        <v>456.29091657370122</v>
      </c>
    </row>
    <row r="257" spans="1:8" x14ac:dyDescent="0.35">
      <c r="A257" s="472" t="s">
        <v>2464</v>
      </c>
      <c r="B257" s="472" t="s">
        <v>2465</v>
      </c>
      <c r="C257" s="472" t="s">
        <v>12</v>
      </c>
      <c r="D257" s="472" t="s">
        <v>2447</v>
      </c>
      <c r="E257" s="472" t="str">
        <f t="shared" si="3"/>
        <v>2019Commercial16</v>
      </c>
      <c r="F257" s="473">
        <v>1.5646041921665546</v>
      </c>
      <c r="G257" s="474">
        <v>66.117144894780211</v>
      </c>
      <c r="H257" s="474">
        <v>479.19649267327122</v>
      </c>
    </row>
    <row r="258" spans="1:8" x14ac:dyDescent="0.35">
      <c r="A258" s="472" t="s">
        <v>2464</v>
      </c>
      <c r="B258" s="472" t="s">
        <v>2465</v>
      </c>
      <c r="C258" s="472" t="s">
        <v>12</v>
      </c>
      <c r="D258" s="472" t="s">
        <v>2448</v>
      </c>
      <c r="E258" s="472" t="str">
        <f t="shared" si="3"/>
        <v>2019Commercial17</v>
      </c>
      <c r="F258" s="473">
        <v>1.640358358104653</v>
      </c>
      <c r="G258" s="474">
        <v>69.31836932635791</v>
      </c>
      <c r="H258" s="474">
        <v>501.01132705381411</v>
      </c>
    </row>
    <row r="259" spans="1:8" x14ac:dyDescent="0.35">
      <c r="A259" s="472" t="s">
        <v>2464</v>
      </c>
      <c r="B259" s="472" t="s">
        <v>2465</v>
      </c>
      <c r="C259" s="472" t="s">
        <v>12</v>
      </c>
      <c r="D259" s="472" t="s">
        <v>2449</v>
      </c>
      <c r="E259" s="472" t="str">
        <f t="shared" ref="E259:E322" si="4">A259&amp;C259&amp;D259</f>
        <v>2019Commercial18</v>
      </c>
      <c r="F259" s="473">
        <v>1.7139481193016628</v>
      </c>
      <c r="G259" s="474">
        <v>72.428130202747681</v>
      </c>
      <c r="H259" s="474">
        <v>521.78735979718829</v>
      </c>
    </row>
    <row r="260" spans="1:8" x14ac:dyDescent="0.35">
      <c r="A260" s="472" t="s">
        <v>2464</v>
      </c>
      <c r="B260" s="472" t="s">
        <v>2465</v>
      </c>
      <c r="C260" s="472" t="s">
        <v>12</v>
      </c>
      <c r="D260" s="472" t="s">
        <v>2450</v>
      </c>
      <c r="E260" s="472" t="str">
        <f t="shared" si="4"/>
        <v>2019Commercial19</v>
      </c>
      <c r="F260" s="473">
        <v>1.7854353158930438</v>
      </c>
      <c r="G260" s="474">
        <v>75.449040768383469</v>
      </c>
      <c r="H260" s="474">
        <v>541.5740576480207</v>
      </c>
    </row>
    <row r="261" spans="1:8" x14ac:dyDescent="0.35">
      <c r="A261" s="472" t="s">
        <v>2464</v>
      </c>
      <c r="B261" s="472" t="s">
        <v>2465</v>
      </c>
      <c r="C261" s="472" t="s">
        <v>12</v>
      </c>
      <c r="D261" s="472" t="s">
        <v>2451</v>
      </c>
      <c r="E261" s="472" t="str">
        <f t="shared" si="4"/>
        <v>2019Commercial20</v>
      </c>
      <c r="F261" s="473">
        <v>1.8548800211532426</v>
      </c>
      <c r="G261" s="474">
        <v>78.383639603572504</v>
      </c>
      <c r="H261" s="474">
        <v>560.41853179167072</v>
      </c>
    </row>
    <row r="262" spans="1:8" x14ac:dyDescent="0.35">
      <c r="A262" s="472" t="s">
        <v>2464</v>
      </c>
      <c r="B262" s="472" t="s">
        <v>2465</v>
      </c>
      <c r="C262" s="472" t="s">
        <v>12</v>
      </c>
      <c r="D262" s="472" t="s">
        <v>2452</v>
      </c>
      <c r="E262" s="472" t="str">
        <f t="shared" si="4"/>
        <v>2019Commercial21</v>
      </c>
      <c r="F262" s="473">
        <v>1.9223405919774357</v>
      </c>
      <c r="G262" s="474">
        <v>81.234392757756154</v>
      </c>
      <c r="H262" s="474">
        <v>578.36565002371844</v>
      </c>
    </row>
    <row r="263" spans="1:8" x14ac:dyDescent="0.35">
      <c r="A263" s="472" t="s">
        <v>2464</v>
      </c>
      <c r="B263" s="472" t="s">
        <v>2465</v>
      </c>
      <c r="C263" s="472" t="s">
        <v>12</v>
      </c>
      <c r="D263" s="472" t="s">
        <v>2453</v>
      </c>
      <c r="E263" s="472" t="str">
        <f t="shared" si="4"/>
        <v>2019Commercial22</v>
      </c>
      <c r="F263" s="473">
        <v>1.9878737179209376</v>
      </c>
      <c r="G263" s="474">
        <v>84.003695821820259</v>
      </c>
      <c r="H263" s="474">
        <v>595.45814357804943</v>
      </c>
    </row>
    <row r="264" spans="1:8" x14ac:dyDescent="0.35">
      <c r="A264" s="472" t="s">
        <v>2464</v>
      </c>
      <c r="B264" s="472" t="s">
        <v>2465</v>
      </c>
      <c r="C264" s="472" t="s">
        <v>12</v>
      </c>
      <c r="D264" s="472" t="s">
        <v>2454</v>
      </c>
      <c r="E264" s="472" t="str">
        <f t="shared" si="4"/>
        <v>2019Commercial23</v>
      </c>
      <c r="F264" s="473">
        <v>2.0515344688374819</v>
      </c>
      <c r="G264" s="474">
        <v>86.693875941196822</v>
      </c>
      <c r="H264" s="474">
        <v>611.73670886788864</v>
      </c>
    </row>
    <row r="265" spans="1:8" x14ac:dyDescent="0.35">
      <c r="A265" s="472" t="s">
        <v>2464</v>
      </c>
      <c r="B265" s="472" t="s">
        <v>2465</v>
      </c>
      <c r="C265" s="472" t="s">
        <v>12</v>
      </c>
      <c r="D265" s="472" t="s">
        <v>2455</v>
      </c>
      <c r="E265" s="472" t="str">
        <f t="shared" si="4"/>
        <v>2019Commercial24</v>
      </c>
      <c r="F265" s="473">
        <v>2.1133763411564113</v>
      </c>
      <c r="G265" s="474">
        <v>89.30719377144834</v>
      </c>
      <c r="H265" s="474">
        <v>627.24010438202106</v>
      </c>
    </row>
    <row r="266" spans="1:8" x14ac:dyDescent="0.35">
      <c r="A266" s="472" t="s">
        <v>2464</v>
      </c>
      <c r="B266" s="472" t="s">
        <v>2465</v>
      </c>
      <c r="C266" s="472" t="s">
        <v>12</v>
      </c>
      <c r="D266" s="472" t="s">
        <v>2456</v>
      </c>
      <c r="E266" s="472" t="str">
        <f t="shared" si="4"/>
        <v>2019Commercial25</v>
      </c>
      <c r="F266" s="473">
        <v>2.1734513028376563</v>
      </c>
      <c r="G266" s="474">
        <v>91.845845377978378</v>
      </c>
      <c r="H266" s="474">
        <v>642.00524296690924</v>
      </c>
    </row>
    <row r="267" spans="1:8" x14ac:dyDescent="0.35">
      <c r="A267" s="472" t="s">
        <v>2464</v>
      </c>
      <c r="B267" s="472" t="s">
        <v>2465</v>
      </c>
      <c r="C267" s="472" t="s">
        <v>12</v>
      </c>
      <c r="D267" s="472" t="s">
        <v>2457</v>
      </c>
      <c r="E267" s="472" t="str">
        <f t="shared" si="4"/>
        <v>2019Commercial26</v>
      </c>
      <c r="F267" s="473">
        <v>2.2318098370422947</v>
      </c>
      <c r="G267" s="474">
        <v>94.311964081464708</v>
      </c>
      <c r="H267" s="474">
        <v>656.0672797144216</v>
      </c>
    </row>
    <row r="268" spans="1:8" x14ac:dyDescent="0.35">
      <c r="A268" s="472" t="s">
        <v>2464</v>
      </c>
      <c r="B268" s="472" t="s">
        <v>2465</v>
      </c>
      <c r="C268" s="472" t="s">
        <v>12</v>
      </c>
      <c r="D268" s="472" t="s">
        <v>2458</v>
      </c>
      <c r="E268" s="472" t="str">
        <f t="shared" si="4"/>
        <v>2019Commercial27</v>
      </c>
      <c r="F268" s="473">
        <v>2.2885009845553719</v>
      </c>
      <c r="G268" s="474">
        <v>96.70762225056572</v>
      </c>
      <c r="H268" s="474">
        <v>669.45969566443353</v>
      </c>
    </row>
    <row r="269" spans="1:8" x14ac:dyDescent="0.35">
      <c r="A269" s="472" t="s">
        <v>2464</v>
      </c>
      <c r="B269" s="472" t="s">
        <v>2465</v>
      </c>
      <c r="C269" s="472" t="s">
        <v>12</v>
      </c>
      <c r="D269" s="472" t="s">
        <v>2459</v>
      </c>
      <c r="E269" s="472" t="str">
        <f t="shared" si="4"/>
        <v>2019Commercial28</v>
      </c>
      <c r="F269" s="473">
        <v>2.343572384996647</v>
      </c>
      <c r="G269" s="474">
        <v>99.034833043406707</v>
      </c>
      <c r="H269" s="474">
        <v>682.21437752158772</v>
      </c>
    </row>
    <row r="270" spans="1:8" x14ac:dyDescent="0.35">
      <c r="A270" s="472" t="s">
        <v>2464</v>
      </c>
      <c r="B270" s="472" t="s">
        <v>2465</v>
      </c>
      <c r="C270" s="472" t="s">
        <v>12</v>
      </c>
      <c r="D270" s="472" t="s">
        <v>2460</v>
      </c>
      <c r="E270" s="472" t="str">
        <f t="shared" si="4"/>
        <v>2019Commercial29</v>
      </c>
      <c r="F270" s="473">
        <v>2.3970703168538856</v>
      </c>
      <c r="G270" s="474">
        <v>101.29555209930938</v>
      </c>
      <c r="H270" s="474">
        <v>694.36169357602034</v>
      </c>
    </row>
    <row r="271" spans="1:8" x14ac:dyDescent="0.35">
      <c r="A271" s="472" t="s">
        <v>2464</v>
      </c>
      <c r="B271" s="472" t="s">
        <v>2465</v>
      </c>
      <c r="C271" s="472" t="s">
        <v>12</v>
      </c>
      <c r="D271" s="472" t="s">
        <v>2461</v>
      </c>
      <c r="E271" s="472" t="str">
        <f t="shared" si="4"/>
        <v>2019Commercial30</v>
      </c>
      <c r="F271" s="473">
        <v>2.4490397363723457</v>
      </c>
      <c r="G271" s="474">
        <v>103.49167918218625</v>
      </c>
      <c r="H271" s="474">
        <v>705.93056600881312</v>
      </c>
    </row>
    <row r="272" spans="1:8" x14ac:dyDescent="0.35">
      <c r="A272" s="472" t="s">
        <v>2466</v>
      </c>
      <c r="B272" s="472" t="s">
        <v>2467</v>
      </c>
      <c r="C272" s="472" t="s">
        <v>347</v>
      </c>
      <c r="D272" s="472" t="s">
        <v>2432</v>
      </c>
      <c r="E272" s="472" t="str">
        <f t="shared" si="4"/>
        <v>2020Residential1</v>
      </c>
      <c r="F272" s="473">
        <v>0.1290096</v>
      </c>
      <c r="G272" s="474">
        <v>5.4516960000000001</v>
      </c>
      <c r="H272" s="474">
        <v>30</v>
      </c>
    </row>
    <row r="273" spans="1:8" x14ac:dyDescent="0.35">
      <c r="A273" s="472" t="s">
        <v>2466</v>
      </c>
      <c r="B273" s="472" t="s">
        <v>2467</v>
      </c>
      <c r="C273" s="472" t="s">
        <v>347</v>
      </c>
      <c r="D273" s="472" t="s">
        <v>2433</v>
      </c>
      <c r="E273" s="472" t="str">
        <f t="shared" si="4"/>
        <v>2020Residential2</v>
      </c>
      <c r="F273" s="473">
        <v>0.24222210612244899</v>
      </c>
      <c r="G273" s="474">
        <v>10.235837387755103</v>
      </c>
      <c r="H273" s="474">
        <v>55.782312925170061</v>
      </c>
    </row>
    <row r="274" spans="1:8" x14ac:dyDescent="0.35">
      <c r="A274" s="472" t="s">
        <v>2466</v>
      </c>
      <c r="B274" s="472" t="s">
        <v>2467</v>
      </c>
      <c r="C274" s="472" t="s">
        <v>347</v>
      </c>
      <c r="D274" s="472" t="s">
        <v>2434</v>
      </c>
      <c r="E274" s="472" t="str">
        <f t="shared" si="4"/>
        <v>2020Residential3</v>
      </c>
      <c r="F274" s="473">
        <v>0.35816776023323615</v>
      </c>
      <c r="G274" s="474">
        <v>15.135476319533527</v>
      </c>
      <c r="H274" s="474">
        <v>90.335816866429113</v>
      </c>
    </row>
    <row r="275" spans="1:8" x14ac:dyDescent="0.35">
      <c r="A275" s="472" t="s">
        <v>2466</v>
      </c>
      <c r="B275" s="472" t="s">
        <v>2467</v>
      </c>
      <c r="C275" s="472" t="s">
        <v>347</v>
      </c>
      <c r="D275" s="472" t="s">
        <v>2435</v>
      </c>
      <c r="E275" s="472" t="str">
        <f t="shared" si="4"/>
        <v>2020Residential4</v>
      </c>
      <c r="F275" s="473">
        <v>0.47080068136942943</v>
      </c>
      <c r="G275" s="474">
        <v>19.895125567546852</v>
      </c>
      <c r="H275" s="474">
        <v>131.47094060602319</v>
      </c>
    </row>
    <row r="276" spans="1:8" x14ac:dyDescent="0.35">
      <c r="A276" s="472" t="s">
        <v>2466</v>
      </c>
      <c r="B276" s="472" t="s">
        <v>2467</v>
      </c>
      <c r="C276" s="472" t="s">
        <v>347</v>
      </c>
      <c r="D276" s="472" t="s">
        <v>2436</v>
      </c>
      <c r="E276" s="472" t="str">
        <f t="shared" si="4"/>
        <v>2020Residential5</v>
      </c>
      <c r="F276" s="473">
        <v>0.58021551904458857</v>
      </c>
      <c r="G276" s="474">
        <v>24.518784837045512</v>
      </c>
      <c r="H276" s="474">
        <v>170.64724892944614</v>
      </c>
    </row>
    <row r="277" spans="1:8" x14ac:dyDescent="0.35">
      <c r="A277" s="472" t="s">
        <v>2466</v>
      </c>
      <c r="B277" s="472" t="s">
        <v>2467</v>
      </c>
      <c r="C277" s="472" t="s">
        <v>347</v>
      </c>
      <c r="D277" s="472" t="s">
        <v>2437</v>
      </c>
      <c r="E277" s="472" t="str">
        <f t="shared" si="4"/>
        <v>2020Residential6</v>
      </c>
      <c r="F277" s="473">
        <v>0.6865042185004574</v>
      </c>
      <c r="G277" s="474">
        <v>29.01033955598707</v>
      </c>
      <c r="H277" s="474">
        <v>207.95801876127751</v>
      </c>
    </row>
    <row r="278" spans="1:8" x14ac:dyDescent="0.35">
      <c r="A278" s="472" t="s">
        <v>2466</v>
      </c>
      <c r="B278" s="472" t="s">
        <v>2467</v>
      </c>
      <c r="C278" s="472" t="s">
        <v>347</v>
      </c>
      <c r="D278" s="472" t="s">
        <v>2438</v>
      </c>
      <c r="E278" s="472" t="str">
        <f t="shared" si="4"/>
        <v>2020Residential7</v>
      </c>
      <c r="F278" s="473">
        <v>0.78975609797187285</v>
      </c>
      <c r="G278" s="474">
        <v>33.37356414010172</v>
      </c>
      <c r="H278" s="474">
        <v>243.49208526778358</v>
      </c>
    </row>
    <row r="279" spans="1:8" x14ac:dyDescent="0.35">
      <c r="A279" s="472" t="s">
        <v>2466</v>
      </c>
      <c r="B279" s="472" t="s">
        <v>2467</v>
      </c>
      <c r="C279" s="472" t="s">
        <v>347</v>
      </c>
      <c r="D279" s="472" t="s">
        <v>2439</v>
      </c>
      <c r="E279" s="472" t="str">
        <f t="shared" si="4"/>
        <v>2020Residential8</v>
      </c>
      <c r="F279" s="473">
        <v>0.89005792374410508</v>
      </c>
      <c r="G279" s="474">
        <v>37.612125164670239</v>
      </c>
      <c r="H279" s="474">
        <v>277.33405336921794</v>
      </c>
    </row>
    <row r="280" spans="1:8" x14ac:dyDescent="0.35">
      <c r="A280" s="472" t="s">
        <v>2466</v>
      </c>
      <c r="B280" s="472" t="s">
        <v>2467</v>
      </c>
      <c r="C280" s="472" t="s">
        <v>347</v>
      </c>
      <c r="D280" s="472" t="s">
        <v>2440</v>
      </c>
      <c r="E280" s="472" t="str">
        <f t="shared" si="4"/>
        <v>2020Residential9</v>
      </c>
      <c r="F280" s="473">
        <v>0.98749398306570202</v>
      </c>
      <c r="G280" s="474">
        <v>41.729584445679663</v>
      </c>
      <c r="H280" s="474">
        <v>309.56449918010782</v>
      </c>
    </row>
    <row r="281" spans="1:8" x14ac:dyDescent="0.35">
      <c r="A281" s="472" t="s">
        <v>2466</v>
      </c>
      <c r="B281" s="472" t="s">
        <v>2467</v>
      </c>
      <c r="C281" s="472" t="s">
        <v>347</v>
      </c>
      <c r="D281" s="472" t="s">
        <v>2441</v>
      </c>
      <c r="E281" s="472" t="str">
        <f t="shared" si="4"/>
        <v>2020Residential10</v>
      </c>
      <c r="F281" s="473">
        <v>1.0821461549781106</v>
      </c>
      <c r="G281" s="474">
        <v>45.729402032945956</v>
      </c>
      <c r="H281" s="474">
        <v>340.26016185714576</v>
      </c>
    </row>
    <row r="282" spans="1:8" x14ac:dyDescent="0.35">
      <c r="A282" s="472" t="s">
        <v>2466</v>
      </c>
      <c r="B282" s="472" t="s">
        <v>2467</v>
      </c>
      <c r="C282" s="472" t="s">
        <v>347</v>
      </c>
      <c r="D282" s="472" t="s">
        <v>2442</v>
      </c>
      <c r="E282" s="472" t="str">
        <f t="shared" si="4"/>
        <v>2020Residential11</v>
      </c>
      <c r="F282" s="473">
        <v>1.1740939791215932</v>
      </c>
      <c r="G282" s="474">
        <v>49.614939117718926</v>
      </c>
      <c r="H282" s="474">
        <v>369.49412631146765</v>
      </c>
    </row>
    <row r="283" spans="1:8" x14ac:dyDescent="0.35">
      <c r="A283" s="472" t="s">
        <v>2466</v>
      </c>
      <c r="B283" s="472" t="s">
        <v>2467</v>
      </c>
      <c r="C283" s="472" t="s">
        <v>347</v>
      </c>
      <c r="D283" s="472" t="s">
        <v>2443</v>
      </c>
      <c r="E283" s="472" t="str">
        <f t="shared" si="4"/>
        <v>2020Residential12</v>
      </c>
      <c r="F283" s="473">
        <v>1.2634147225752619</v>
      </c>
      <c r="G283" s="474">
        <v>53.389460857212669</v>
      </c>
      <c r="H283" s="474">
        <v>397.33599722034558</v>
      </c>
    </row>
    <row r="284" spans="1:8" x14ac:dyDescent="0.35">
      <c r="A284" s="472" t="s">
        <v>2466</v>
      </c>
      <c r="B284" s="472" t="s">
        <v>2467</v>
      </c>
      <c r="C284" s="472" t="s">
        <v>347</v>
      </c>
      <c r="D284" s="472" t="s">
        <v>2444</v>
      </c>
      <c r="E284" s="472" t="str">
        <f t="shared" si="4"/>
        <v>2020Residential13</v>
      </c>
      <c r="F284" s="473">
        <v>1.3501834447873973</v>
      </c>
      <c r="G284" s="474">
        <v>57.056139118435162</v>
      </c>
      <c r="H284" s="474">
        <v>423.85206475261032</v>
      </c>
    </row>
    <row r="285" spans="1:8" x14ac:dyDescent="0.35">
      <c r="A285" s="472" t="s">
        <v>2466</v>
      </c>
      <c r="B285" s="472" t="s">
        <v>2467</v>
      </c>
      <c r="C285" s="472" t="s">
        <v>347</v>
      </c>
      <c r="D285" s="472" t="s">
        <v>2445</v>
      </c>
      <c r="E285" s="472" t="str">
        <f t="shared" si="4"/>
        <v>2020Residential14</v>
      </c>
      <c r="F285" s="473">
        <v>1.4344730606506144</v>
      </c>
      <c r="G285" s="474">
        <v>60.618055143622733</v>
      </c>
      <c r="H285" s="474">
        <v>449.10546240238625</v>
      </c>
    </row>
    <row r="286" spans="1:8" x14ac:dyDescent="0.35">
      <c r="A286" s="472" t="s">
        <v>2466</v>
      </c>
      <c r="B286" s="472" t="s">
        <v>2467</v>
      </c>
      <c r="C286" s="472" t="s">
        <v>347</v>
      </c>
      <c r="D286" s="472" t="s">
        <v>2446</v>
      </c>
      <c r="E286" s="472" t="str">
        <f t="shared" si="4"/>
        <v>2020Residential15</v>
      </c>
      <c r="F286" s="473">
        <v>1.5163544017748825</v>
      </c>
      <c r="G286" s="474">
        <v>64.07820213951922</v>
      </c>
      <c r="H286" s="474">
        <v>473.15631730693474</v>
      </c>
    </row>
    <row r="287" spans="1:8" x14ac:dyDescent="0.35">
      <c r="A287" s="472" t="s">
        <v>2466</v>
      </c>
      <c r="B287" s="472" t="s">
        <v>2467</v>
      </c>
      <c r="C287" s="472" t="s">
        <v>347</v>
      </c>
      <c r="D287" s="472" t="s">
        <v>2447</v>
      </c>
      <c r="E287" s="472" t="str">
        <f t="shared" si="4"/>
        <v>2020Residential16</v>
      </c>
      <c r="F287" s="473">
        <v>1.5958962760098858</v>
      </c>
      <c r="G287" s="474">
        <v>67.43948779267582</v>
      </c>
      <c r="H287" s="474">
        <v>496.06189340650479</v>
      </c>
    </row>
    <row r="288" spans="1:8" x14ac:dyDescent="0.35">
      <c r="A288" s="472" t="s">
        <v>2466</v>
      </c>
      <c r="B288" s="472" t="s">
        <v>2467</v>
      </c>
      <c r="C288" s="472" t="s">
        <v>347</v>
      </c>
      <c r="D288" s="472" t="s">
        <v>2448</v>
      </c>
      <c r="E288" s="472" t="str">
        <f t="shared" si="4"/>
        <v>2020Residential17</v>
      </c>
      <c r="F288" s="473">
        <v>1.6731655252667461</v>
      </c>
      <c r="G288" s="474">
        <v>70.704736712885079</v>
      </c>
      <c r="H288" s="474">
        <v>517.87672778704768</v>
      </c>
    </row>
    <row r="289" spans="1:8" x14ac:dyDescent="0.35">
      <c r="A289" s="472" t="s">
        <v>2466</v>
      </c>
      <c r="B289" s="472" t="s">
        <v>2467</v>
      </c>
      <c r="C289" s="472" t="s">
        <v>347</v>
      </c>
      <c r="D289" s="472" t="s">
        <v>2449</v>
      </c>
      <c r="E289" s="472" t="str">
        <f t="shared" si="4"/>
        <v>2020Residential18</v>
      </c>
      <c r="F289" s="473">
        <v>1.7482270816876961</v>
      </c>
      <c r="G289" s="474">
        <v>73.876692806802637</v>
      </c>
      <c r="H289" s="474">
        <v>538.6527605304218</v>
      </c>
    </row>
    <row r="290" spans="1:8" x14ac:dyDescent="0.35">
      <c r="A290" s="472" t="s">
        <v>2466</v>
      </c>
      <c r="B290" s="472" t="s">
        <v>2467</v>
      </c>
      <c r="C290" s="472" t="s">
        <v>347</v>
      </c>
      <c r="D290" s="472" t="s">
        <v>2450</v>
      </c>
      <c r="E290" s="472" t="str">
        <f t="shared" si="4"/>
        <v>2020Residential19</v>
      </c>
      <c r="F290" s="473">
        <v>1.8211440222109048</v>
      </c>
      <c r="G290" s="474">
        <v>76.958021583751133</v>
      </c>
      <c r="H290" s="474">
        <v>558.43945838125433</v>
      </c>
    </row>
    <row r="291" spans="1:8" x14ac:dyDescent="0.35">
      <c r="A291" s="472" t="s">
        <v>2466</v>
      </c>
      <c r="B291" s="472" t="s">
        <v>2467</v>
      </c>
      <c r="C291" s="472" t="s">
        <v>347</v>
      </c>
      <c r="D291" s="472" t="s">
        <v>2451</v>
      </c>
      <c r="E291" s="472" t="str">
        <f t="shared" si="4"/>
        <v>2020Residential20</v>
      </c>
      <c r="F291" s="473">
        <v>1.8919776215763073</v>
      </c>
      <c r="G291" s="474">
        <v>79.951312395643953</v>
      </c>
      <c r="H291" s="474">
        <v>577.28393252490434</v>
      </c>
    </row>
    <row r="292" spans="1:8" x14ac:dyDescent="0.35">
      <c r="A292" s="472" t="s">
        <v>2466</v>
      </c>
      <c r="B292" s="472" t="s">
        <v>2467</v>
      </c>
      <c r="C292" s="472" t="s">
        <v>347</v>
      </c>
      <c r="D292" s="472" t="s">
        <v>2452</v>
      </c>
      <c r="E292" s="472" t="str">
        <f t="shared" si="4"/>
        <v>2020Residential21</v>
      </c>
      <c r="F292" s="473">
        <v>1.9607874038169844</v>
      </c>
      <c r="G292" s="474">
        <v>82.859080612911271</v>
      </c>
      <c r="H292" s="474">
        <v>595.23105075695196</v>
      </c>
    </row>
    <row r="293" spans="1:8" x14ac:dyDescent="0.35">
      <c r="A293" s="472" t="s">
        <v>2466</v>
      </c>
      <c r="B293" s="472" t="s">
        <v>2467</v>
      </c>
      <c r="C293" s="472" t="s">
        <v>347</v>
      </c>
      <c r="D293" s="472" t="s">
        <v>2453</v>
      </c>
      <c r="E293" s="472" t="str">
        <f t="shared" si="4"/>
        <v>2020Residential22</v>
      </c>
      <c r="F293" s="473">
        <v>2.027631192279356</v>
      </c>
      <c r="G293" s="474">
        <v>85.683769738256657</v>
      </c>
      <c r="H293" s="474">
        <v>612.32354431128294</v>
      </c>
    </row>
    <row r="294" spans="1:8" x14ac:dyDescent="0.35">
      <c r="A294" s="472" t="s">
        <v>2466</v>
      </c>
      <c r="B294" s="472" t="s">
        <v>2467</v>
      </c>
      <c r="C294" s="472" t="s">
        <v>347</v>
      </c>
      <c r="D294" s="472" t="s">
        <v>2454</v>
      </c>
      <c r="E294" s="472" t="str">
        <f t="shared" si="4"/>
        <v>2020Residential23</v>
      </c>
      <c r="F294" s="473">
        <v>2.0925651582142315</v>
      </c>
      <c r="G294" s="474">
        <v>88.427753460020753</v>
      </c>
      <c r="H294" s="474">
        <v>628.60210960112215</v>
      </c>
    </row>
    <row r="295" spans="1:8" x14ac:dyDescent="0.35">
      <c r="A295" s="472" t="s">
        <v>2466</v>
      </c>
      <c r="B295" s="472" t="s">
        <v>2467</v>
      </c>
      <c r="C295" s="472" t="s">
        <v>347</v>
      </c>
      <c r="D295" s="472" t="s">
        <v>2455</v>
      </c>
      <c r="E295" s="472" t="str">
        <f t="shared" si="4"/>
        <v>2020Residential24</v>
      </c>
      <c r="F295" s="473">
        <v>2.1556438679795393</v>
      </c>
      <c r="G295" s="474">
        <v>91.093337646877302</v>
      </c>
      <c r="H295" s="474">
        <v>644.10550511525457</v>
      </c>
    </row>
    <row r="296" spans="1:8" x14ac:dyDescent="0.35">
      <c r="A296" s="472" t="s">
        <v>2466</v>
      </c>
      <c r="B296" s="472" t="s">
        <v>2467</v>
      </c>
      <c r="C296" s="472" t="s">
        <v>347</v>
      </c>
      <c r="D296" s="472" t="s">
        <v>2456</v>
      </c>
      <c r="E296" s="472" t="str">
        <f t="shared" si="4"/>
        <v>2020Residential25</v>
      </c>
      <c r="F296" s="473">
        <v>2.2169203288944095</v>
      </c>
      <c r="G296" s="474">
        <v>93.682762285537947</v>
      </c>
      <c r="H296" s="474">
        <v>658.87064370014275</v>
      </c>
    </row>
    <row r="297" spans="1:8" x14ac:dyDescent="0.35">
      <c r="A297" s="472" t="s">
        <v>2466</v>
      </c>
      <c r="B297" s="472" t="s">
        <v>2467</v>
      </c>
      <c r="C297" s="472" t="s">
        <v>347</v>
      </c>
      <c r="D297" s="472" t="s">
        <v>2457</v>
      </c>
      <c r="E297" s="472" t="str">
        <f t="shared" si="4"/>
        <v>2020Residential26</v>
      </c>
      <c r="F297" s="473">
        <v>2.2764460337831407</v>
      </c>
      <c r="G297" s="474">
        <v>96.198203363094009</v>
      </c>
      <c r="H297" s="474">
        <v>672.93268044765512</v>
      </c>
    </row>
    <row r="298" spans="1:8" x14ac:dyDescent="0.35">
      <c r="A298" s="472" t="s">
        <v>2466</v>
      </c>
      <c r="B298" s="472" t="s">
        <v>2467</v>
      </c>
      <c r="C298" s="472" t="s">
        <v>347</v>
      </c>
      <c r="D298" s="472" t="s">
        <v>2458</v>
      </c>
      <c r="E298" s="472" t="str">
        <f t="shared" si="4"/>
        <v>2020Residential27</v>
      </c>
      <c r="F298" s="473">
        <v>2.3342710042464794</v>
      </c>
      <c r="G298" s="474">
        <v>98.641774695577027</v>
      </c>
      <c r="H298" s="474">
        <v>686.32509639766704</v>
      </c>
    </row>
    <row r="299" spans="1:8" x14ac:dyDescent="0.35">
      <c r="A299" s="472" t="s">
        <v>2466</v>
      </c>
      <c r="B299" s="472" t="s">
        <v>2467</v>
      </c>
      <c r="C299" s="472" t="s">
        <v>347</v>
      </c>
      <c r="D299" s="472" t="s">
        <v>2459</v>
      </c>
      <c r="E299" s="472" t="str">
        <f t="shared" si="4"/>
        <v>2020Residential28</v>
      </c>
      <c r="F299" s="473">
        <v>2.3904438326965796</v>
      </c>
      <c r="G299" s="474">
        <v>101.01552970427483</v>
      </c>
      <c r="H299" s="474">
        <v>699.07977825482124</v>
      </c>
    </row>
    <row r="300" spans="1:8" x14ac:dyDescent="0.35">
      <c r="A300" s="472" t="s">
        <v>2466</v>
      </c>
      <c r="B300" s="472" t="s">
        <v>2467</v>
      </c>
      <c r="C300" s="472" t="s">
        <v>347</v>
      </c>
      <c r="D300" s="472" t="s">
        <v>2460</v>
      </c>
      <c r="E300" s="472" t="str">
        <f t="shared" si="4"/>
        <v>2020Residential29</v>
      </c>
      <c r="F300" s="473">
        <v>2.4450117231909632</v>
      </c>
      <c r="G300" s="474">
        <v>103.32146314129554</v>
      </c>
      <c r="H300" s="474">
        <v>711.22709430925386</v>
      </c>
    </row>
    <row r="301" spans="1:8" x14ac:dyDescent="0.35">
      <c r="A301" s="472" t="s">
        <v>2466</v>
      </c>
      <c r="B301" s="472" t="s">
        <v>2467</v>
      </c>
      <c r="C301" s="472" t="s">
        <v>347</v>
      </c>
      <c r="D301" s="472" t="s">
        <v>2461</v>
      </c>
      <c r="E301" s="472" t="str">
        <f t="shared" si="4"/>
        <v>2020Residential30</v>
      </c>
      <c r="F301" s="473">
        <v>2.4980205310997925</v>
      </c>
      <c r="G301" s="474">
        <v>105.56151276582996</v>
      </c>
      <c r="H301" s="474">
        <v>722.79596674204674</v>
      </c>
    </row>
    <row r="302" spans="1:8" x14ac:dyDescent="0.35">
      <c r="A302" s="472" t="s">
        <v>2466</v>
      </c>
      <c r="B302" s="472" t="s">
        <v>2467</v>
      </c>
      <c r="C302" s="472" t="s">
        <v>2254</v>
      </c>
      <c r="D302" s="472" t="s">
        <v>2432</v>
      </c>
      <c r="E302" s="472" t="str">
        <f t="shared" si="4"/>
        <v>2020Industrial1</v>
      </c>
      <c r="F302" s="473">
        <v>4.4300232000000002E-2</v>
      </c>
      <c r="G302" s="474">
        <v>3.3500880000000004</v>
      </c>
      <c r="H302" s="474">
        <v>30</v>
      </c>
    </row>
    <row r="303" spans="1:8" x14ac:dyDescent="0.35">
      <c r="A303" s="472" t="s">
        <v>2466</v>
      </c>
      <c r="B303" s="472" t="s">
        <v>2467</v>
      </c>
      <c r="C303" s="472" t="s">
        <v>2254</v>
      </c>
      <c r="D303" s="472" t="s">
        <v>2433</v>
      </c>
      <c r="E303" s="472" t="str">
        <f t="shared" si="4"/>
        <v>2020Industrial2</v>
      </c>
      <c r="F303" s="473">
        <v>8.3175945795918374E-2</v>
      </c>
      <c r="G303" s="474">
        <v>6.2899611428571438</v>
      </c>
      <c r="H303" s="474">
        <v>55.782312925170061</v>
      </c>
    </row>
    <row r="304" spans="1:8" x14ac:dyDescent="0.35">
      <c r="A304" s="472" t="s">
        <v>2466</v>
      </c>
      <c r="B304" s="472" t="s">
        <v>2467</v>
      </c>
      <c r="C304" s="472" t="s">
        <v>2254</v>
      </c>
      <c r="D304" s="472" t="s">
        <v>2434</v>
      </c>
      <c r="E304" s="472" t="str">
        <f t="shared" si="4"/>
        <v>2020Industrial3</v>
      </c>
      <c r="F304" s="473">
        <v>0.1229901873446064</v>
      </c>
      <c r="G304" s="474">
        <v>9.3008079673469393</v>
      </c>
      <c r="H304" s="474">
        <v>90.335816866429113</v>
      </c>
    </row>
    <row r="305" spans="1:8" x14ac:dyDescent="0.35">
      <c r="A305" s="472" t="s">
        <v>2466</v>
      </c>
      <c r="B305" s="472" t="s">
        <v>2467</v>
      </c>
      <c r="C305" s="472" t="s">
        <v>2254</v>
      </c>
      <c r="D305" s="472" t="s">
        <v>2435</v>
      </c>
      <c r="E305" s="472" t="str">
        <f t="shared" si="4"/>
        <v>2020Industrial4</v>
      </c>
      <c r="F305" s="473">
        <v>0.16166687913476049</v>
      </c>
      <c r="G305" s="474">
        <v>12.225630596851314</v>
      </c>
      <c r="H305" s="474">
        <v>131.47094060602319</v>
      </c>
    </row>
    <row r="306" spans="1:8" x14ac:dyDescent="0.35">
      <c r="A306" s="472" t="s">
        <v>2466</v>
      </c>
      <c r="B306" s="472" t="s">
        <v>2467</v>
      </c>
      <c r="C306" s="472" t="s">
        <v>2254</v>
      </c>
      <c r="D306" s="472" t="s">
        <v>2436</v>
      </c>
      <c r="E306" s="472" t="str">
        <f t="shared" si="4"/>
        <v>2020Industrial5</v>
      </c>
      <c r="F306" s="473">
        <v>0.19923852258805305</v>
      </c>
      <c r="G306" s="474">
        <v>15.066886865512705</v>
      </c>
      <c r="H306" s="474">
        <v>170.64724892944614</v>
      </c>
    </row>
    <row r="307" spans="1:8" x14ac:dyDescent="0.35">
      <c r="A307" s="472" t="s">
        <v>2466</v>
      </c>
      <c r="B307" s="472" t="s">
        <v>2467</v>
      </c>
      <c r="C307" s="472" t="s">
        <v>2254</v>
      </c>
      <c r="D307" s="472" t="s">
        <v>2437</v>
      </c>
      <c r="E307" s="472" t="str">
        <f t="shared" si="4"/>
        <v>2020Industrial6</v>
      </c>
      <c r="F307" s="473">
        <v>0.23573669051410867</v>
      </c>
      <c r="G307" s="474">
        <v>17.826964383640913</v>
      </c>
      <c r="H307" s="474">
        <v>207.95801876127751</v>
      </c>
    </row>
    <row r="308" spans="1:8" x14ac:dyDescent="0.35">
      <c r="A308" s="472" t="s">
        <v>2466</v>
      </c>
      <c r="B308" s="472" t="s">
        <v>2467</v>
      </c>
      <c r="C308" s="472" t="s">
        <v>2254</v>
      </c>
      <c r="D308" s="472" t="s">
        <v>2438</v>
      </c>
      <c r="E308" s="472" t="str">
        <f t="shared" si="4"/>
        <v>2020Industrial7</v>
      </c>
      <c r="F308" s="473">
        <v>0.271192053642277</v>
      </c>
      <c r="G308" s="474">
        <v>20.508182544108312</v>
      </c>
      <c r="H308" s="474">
        <v>243.49208526778358</v>
      </c>
    </row>
    <row r="309" spans="1:8" x14ac:dyDescent="0.35">
      <c r="A309" s="472" t="s">
        <v>2466</v>
      </c>
      <c r="B309" s="472" t="s">
        <v>2467</v>
      </c>
      <c r="C309" s="472" t="s">
        <v>2254</v>
      </c>
      <c r="D309" s="472" t="s">
        <v>2439</v>
      </c>
      <c r="E309" s="472" t="str">
        <f t="shared" si="4"/>
        <v>2020Industrial8</v>
      </c>
      <c r="F309" s="473">
        <v>0.30563440639535477</v>
      </c>
      <c r="G309" s="474">
        <v>23.112794471419505</v>
      </c>
      <c r="H309" s="474">
        <v>277.33405336921794</v>
      </c>
    </row>
    <row r="310" spans="1:8" x14ac:dyDescent="0.35">
      <c r="A310" s="472" t="s">
        <v>2466</v>
      </c>
      <c r="B310" s="472" t="s">
        <v>2467</v>
      </c>
      <c r="C310" s="472" t="s">
        <v>2254</v>
      </c>
      <c r="D310" s="472" t="s">
        <v>2440</v>
      </c>
      <c r="E310" s="472" t="str">
        <f t="shared" si="4"/>
        <v>2020Industrial9</v>
      </c>
      <c r="F310" s="473">
        <v>0.33909269192691605</v>
      </c>
      <c r="G310" s="474">
        <v>25.642988915093234</v>
      </c>
      <c r="H310" s="474">
        <v>309.56449918010782</v>
      </c>
    </row>
    <row r="311" spans="1:8" x14ac:dyDescent="0.35">
      <c r="A311" s="472" t="s">
        <v>2466</v>
      </c>
      <c r="B311" s="472" t="s">
        <v>2467</v>
      </c>
      <c r="C311" s="472" t="s">
        <v>2254</v>
      </c>
      <c r="D311" s="472" t="s">
        <v>2441</v>
      </c>
      <c r="E311" s="472" t="str">
        <f t="shared" si="4"/>
        <v>2020Industrial10</v>
      </c>
      <c r="F311" s="473">
        <v>0.3715950264432899</v>
      </c>
      <c r="G311" s="474">
        <v>28.100892088947713</v>
      </c>
      <c r="H311" s="474">
        <v>340.26016185714576</v>
      </c>
    </row>
    <row r="312" spans="1:8" x14ac:dyDescent="0.35">
      <c r="A312" s="472" t="s">
        <v>2466</v>
      </c>
      <c r="B312" s="472" t="s">
        <v>2467</v>
      </c>
      <c r="C312" s="472" t="s">
        <v>2254</v>
      </c>
      <c r="D312" s="472" t="s">
        <v>2442</v>
      </c>
      <c r="E312" s="472" t="str">
        <f t="shared" si="4"/>
        <v>2020Industrial11</v>
      </c>
      <c r="F312" s="473">
        <v>0.40316872283062444</v>
      </c>
      <c r="G312" s="474">
        <v>30.48856945783492</v>
      </c>
      <c r="H312" s="474">
        <v>369.49412631146765</v>
      </c>
    </row>
    <row r="313" spans="1:8" x14ac:dyDescent="0.35">
      <c r="A313" s="472" t="s">
        <v>2466</v>
      </c>
      <c r="B313" s="472" t="s">
        <v>2467</v>
      </c>
      <c r="C313" s="472" t="s">
        <v>2254</v>
      </c>
      <c r="D313" s="472" t="s">
        <v>2443</v>
      </c>
      <c r="E313" s="472" t="str">
        <f t="shared" si="4"/>
        <v>2020Industrial12</v>
      </c>
      <c r="F313" s="473">
        <v>0.43384031360689229</v>
      </c>
      <c r="G313" s="474">
        <v>32.808027473325346</v>
      </c>
      <c r="H313" s="474">
        <v>397.33599722034558</v>
      </c>
    </row>
    <row r="314" spans="1:8" x14ac:dyDescent="0.35">
      <c r="A314" s="472" t="s">
        <v>2466</v>
      </c>
      <c r="B314" s="472" t="s">
        <v>2467</v>
      </c>
      <c r="C314" s="472" t="s">
        <v>2254</v>
      </c>
      <c r="D314" s="472" t="s">
        <v>2444</v>
      </c>
      <c r="E314" s="472" t="str">
        <f t="shared" si="4"/>
        <v>2020Industrial13</v>
      </c>
      <c r="F314" s="473">
        <v>0.46363557321812393</v>
      </c>
      <c r="G314" s="474">
        <v>35.06121525980177</v>
      </c>
      <c r="H314" s="474">
        <v>423.85206475261032</v>
      </c>
    </row>
    <row r="315" spans="1:8" x14ac:dyDescent="0.35">
      <c r="A315" s="472" t="s">
        <v>2466</v>
      </c>
      <c r="B315" s="472" t="s">
        <v>2467</v>
      </c>
      <c r="C315" s="472" t="s">
        <v>2254</v>
      </c>
      <c r="D315" s="472" t="s">
        <v>2445</v>
      </c>
      <c r="E315" s="472" t="str">
        <f t="shared" si="4"/>
        <v>2020Industrial14</v>
      </c>
      <c r="F315" s="473">
        <v>0.49257953969760604</v>
      </c>
      <c r="G315" s="474">
        <v>37.250026252378859</v>
      </c>
      <c r="H315" s="474">
        <v>449.10546240238625</v>
      </c>
    </row>
    <row r="316" spans="1:8" x14ac:dyDescent="0.35">
      <c r="A316" s="472" t="s">
        <v>2466</v>
      </c>
      <c r="B316" s="472" t="s">
        <v>2467</v>
      </c>
      <c r="C316" s="472" t="s">
        <v>2254</v>
      </c>
      <c r="D316" s="472" t="s">
        <v>2446</v>
      </c>
      <c r="E316" s="472" t="str">
        <f t="shared" si="4"/>
        <v>2020Industrial15</v>
      </c>
      <c r="F316" s="473">
        <v>0.52069653570624586</v>
      </c>
      <c r="G316" s="474">
        <v>39.376299788025179</v>
      </c>
      <c r="H316" s="474">
        <v>473.15631730693474</v>
      </c>
    </row>
    <row r="317" spans="1:8" x14ac:dyDescent="0.35">
      <c r="A317" s="472" t="s">
        <v>2466</v>
      </c>
      <c r="B317" s="472" t="s">
        <v>2467</v>
      </c>
      <c r="C317" s="472" t="s">
        <v>2254</v>
      </c>
      <c r="D317" s="472" t="s">
        <v>2447</v>
      </c>
      <c r="E317" s="472" t="str">
        <f t="shared" si="4"/>
        <v>2020Industrial16</v>
      </c>
      <c r="F317" s="473">
        <v>0.54801018897178166</v>
      </c>
      <c r="G317" s="474">
        <v>41.441822651224456</v>
      </c>
      <c r="H317" s="474">
        <v>496.06189340650479</v>
      </c>
    </row>
    <row r="318" spans="1:8" x14ac:dyDescent="0.35">
      <c r="A318" s="472" t="s">
        <v>2466</v>
      </c>
      <c r="B318" s="472" t="s">
        <v>2467</v>
      </c>
      <c r="C318" s="472" t="s">
        <v>2254</v>
      </c>
      <c r="D318" s="472" t="s">
        <v>2448</v>
      </c>
      <c r="E318" s="472" t="str">
        <f t="shared" si="4"/>
        <v>2020Industrial17</v>
      </c>
      <c r="F318" s="473">
        <v>0.57454345214401648</v>
      </c>
      <c r="G318" s="474">
        <v>43.44833057547519</v>
      </c>
      <c r="H318" s="474">
        <v>517.87672778704768</v>
      </c>
    </row>
    <row r="319" spans="1:8" x14ac:dyDescent="0.35">
      <c r="A319" s="472" t="s">
        <v>2466</v>
      </c>
      <c r="B319" s="472" t="s">
        <v>2467</v>
      </c>
      <c r="C319" s="472" t="s">
        <v>2254</v>
      </c>
      <c r="D319" s="472" t="s">
        <v>2449</v>
      </c>
      <c r="E319" s="472" t="str">
        <f t="shared" si="4"/>
        <v>2020Industrial18</v>
      </c>
      <c r="F319" s="473">
        <v>0.60031862208275888</v>
      </c>
      <c r="G319" s="474">
        <v>45.397509701890179</v>
      </c>
      <c r="H319" s="474">
        <v>538.6527605304218</v>
      </c>
    </row>
    <row r="320" spans="1:8" x14ac:dyDescent="0.35">
      <c r="A320" s="472" t="s">
        <v>2466</v>
      </c>
      <c r="B320" s="472" t="s">
        <v>2467</v>
      </c>
      <c r="C320" s="472" t="s">
        <v>2254</v>
      </c>
      <c r="D320" s="472" t="s">
        <v>2450</v>
      </c>
      <c r="E320" s="472" t="str">
        <f t="shared" si="4"/>
        <v>2020Industrial19</v>
      </c>
      <c r="F320" s="473">
        <v>0.62535735859468</v>
      </c>
      <c r="G320" s="474">
        <v>47.290997996121888</v>
      </c>
      <c r="H320" s="474">
        <v>558.43945838125433</v>
      </c>
    </row>
    <row r="321" spans="1:8" x14ac:dyDescent="0.35">
      <c r="A321" s="472" t="s">
        <v>2466</v>
      </c>
      <c r="B321" s="472" t="s">
        <v>2467</v>
      </c>
      <c r="C321" s="472" t="s">
        <v>2254</v>
      </c>
      <c r="D321" s="472" t="s">
        <v>2451</v>
      </c>
      <c r="E321" s="472" t="str">
        <f t="shared" si="4"/>
        <v>2020Industrial20</v>
      </c>
      <c r="F321" s="473">
        <v>0.64968070263483202</v>
      </c>
      <c r="G321" s="474">
        <v>49.130386624804117</v>
      </c>
      <c r="H321" s="474">
        <v>577.28393252490434</v>
      </c>
    </row>
    <row r="322" spans="1:8" x14ac:dyDescent="0.35">
      <c r="A322" s="472" t="s">
        <v>2466</v>
      </c>
      <c r="B322" s="472" t="s">
        <v>2467</v>
      </c>
      <c r="C322" s="472" t="s">
        <v>2254</v>
      </c>
      <c r="D322" s="472" t="s">
        <v>2452</v>
      </c>
      <c r="E322" s="472" t="str">
        <f t="shared" si="4"/>
        <v>2020Industrial21</v>
      </c>
      <c r="F322" s="473">
        <v>0.67330909398812244</v>
      </c>
      <c r="G322" s="474">
        <v>50.917221292666859</v>
      </c>
      <c r="H322" s="474">
        <v>595.23105075695196</v>
      </c>
    </row>
    <row r="323" spans="1:8" x14ac:dyDescent="0.35">
      <c r="A323" s="472" t="s">
        <v>2466</v>
      </c>
      <c r="B323" s="472" t="s">
        <v>2467</v>
      </c>
      <c r="C323" s="472" t="s">
        <v>2254</v>
      </c>
      <c r="D323" s="472" t="s">
        <v>2453</v>
      </c>
      <c r="E323" s="472" t="str">
        <f t="shared" ref="E323:E361" si="5">A323&amp;C323&amp;D323</f>
        <v>2020Industrial22</v>
      </c>
      <c r="F323" s="473">
        <v>0.69626238844560462</v>
      </c>
      <c r="G323" s="474">
        <v>52.653003541447802</v>
      </c>
      <c r="H323" s="474">
        <v>612.32354431128294</v>
      </c>
    </row>
    <row r="324" spans="1:8" x14ac:dyDescent="0.35">
      <c r="A324" s="472" t="s">
        <v>2466</v>
      </c>
      <c r="B324" s="472" t="s">
        <v>2467</v>
      </c>
      <c r="C324" s="472" t="s">
        <v>2254</v>
      </c>
      <c r="D324" s="472" t="s">
        <v>2454</v>
      </c>
      <c r="E324" s="472" t="str">
        <f t="shared" si="5"/>
        <v>2020Industrial23</v>
      </c>
      <c r="F324" s="473">
        <v>0.7185598744900159</v>
      </c>
      <c r="G324" s="474">
        <v>54.339192011692148</v>
      </c>
      <c r="H324" s="474">
        <v>628.60210960112215</v>
      </c>
    </row>
    <row r="325" spans="1:8" x14ac:dyDescent="0.35">
      <c r="A325" s="472" t="s">
        <v>2466</v>
      </c>
      <c r="B325" s="472" t="s">
        <v>2467</v>
      </c>
      <c r="C325" s="472" t="s">
        <v>2254</v>
      </c>
      <c r="D325" s="472" t="s">
        <v>2455</v>
      </c>
      <c r="E325" s="472" t="str">
        <f t="shared" si="5"/>
        <v>2020Industrial24</v>
      </c>
      <c r="F325" s="473">
        <v>0.74022028950458685</v>
      </c>
      <c r="G325" s="474">
        <v>55.977203668500941</v>
      </c>
      <c r="H325" s="474">
        <v>644.10550511525457</v>
      </c>
    </row>
    <row r="326" spans="1:8" x14ac:dyDescent="0.35">
      <c r="A326" s="472" t="s">
        <v>2466</v>
      </c>
      <c r="B326" s="472" t="s">
        <v>2467</v>
      </c>
      <c r="C326" s="472" t="s">
        <v>2254</v>
      </c>
      <c r="D326" s="472" t="s">
        <v>2456</v>
      </c>
      <c r="E326" s="472" t="str">
        <f t="shared" si="5"/>
        <v>2020Industrial25</v>
      </c>
      <c r="F326" s="473">
        <v>0.76126183551874149</v>
      </c>
      <c r="G326" s="474">
        <v>57.568414992258056</v>
      </c>
      <c r="H326" s="474">
        <v>658.87064370014275</v>
      </c>
    </row>
    <row r="327" spans="1:8" x14ac:dyDescent="0.35">
      <c r="A327" s="472" t="s">
        <v>2466</v>
      </c>
      <c r="B327" s="472" t="s">
        <v>2467</v>
      </c>
      <c r="C327" s="472" t="s">
        <v>2254</v>
      </c>
      <c r="D327" s="472" t="s">
        <v>2457</v>
      </c>
      <c r="E327" s="472" t="str">
        <f t="shared" si="5"/>
        <v>2020Industrial26</v>
      </c>
      <c r="F327" s="473">
        <v>0.78170219450392031</v>
      </c>
      <c r="G327" s="474">
        <v>59.114163135336398</v>
      </c>
      <c r="H327" s="474">
        <v>672.93268044765512</v>
      </c>
    </row>
    <row r="328" spans="1:8" x14ac:dyDescent="0.35">
      <c r="A328" s="472" t="s">
        <v>2466</v>
      </c>
      <c r="B328" s="472" t="s">
        <v>2467</v>
      </c>
      <c r="C328" s="472" t="s">
        <v>2254</v>
      </c>
      <c r="D328" s="472" t="s">
        <v>2458</v>
      </c>
      <c r="E328" s="472" t="str">
        <f t="shared" si="5"/>
        <v>2020Industrial27</v>
      </c>
      <c r="F328" s="473">
        <v>0.80155854323237974</v>
      </c>
      <c r="G328" s="474">
        <v>60.615747045755356</v>
      </c>
      <c r="H328" s="474">
        <v>686.32509639766704</v>
      </c>
    </row>
    <row r="329" spans="1:8" x14ac:dyDescent="0.35">
      <c r="A329" s="472" t="s">
        <v>2466</v>
      </c>
      <c r="B329" s="472" t="s">
        <v>2467</v>
      </c>
      <c r="C329" s="472" t="s">
        <v>2254</v>
      </c>
      <c r="D329" s="472" t="s">
        <v>2459</v>
      </c>
      <c r="E329" s="472" t="str">
        <f t="shared" si="5"/>
        <v>2020Industrial28</v>
      </c>
      <c r="F329" s="473">
        <v>0.82084756771145462</v>
      </c>
      <c r="G329" s="474">
        <v>62.074428558733771</v>
      </c>
      <c r="H329" s="474">
        <v>699.07977825482124</v>
      </c>
    </row>
    <row r="330" spans="1:8" x14ac:dyDescent="0.35">
      <c r="A330" s="472" t="s">
        <v>2466</v>
      </c>
      <c r="B330" s="472" t="s">
        <v>2467</v>
      </c>
      <c r="C330" s="472" t="s">
        <v>2254</v>
      </c>
      <c r="D330" s="472" t="s">
        <v>2460</v>
      </c>
      <c r="E330" s="472" t="str">
        <f t="shared" si="5"/>
        <v>2020Industrial29</v>
      </c>
      <c r="F330" s="473">
        <v>0.8395854772054131</v>
      </c>
      <c r="G330" s="474">
        <v>63.491433457055656</v>
      </c>
      <c r="H330" s="474">
        <v>711.22709430925386</v>
      </c>
    </row>
    <row r="331" spans="1:8" x14ac:dyDescent="0.35">
      <c r="A331" s="472" t="s">
        <v>2466</v>
      </c>
      <c r="B331" s="472" t="s">
        <v>2467</v>
      </c>
      <c r="C331" s="472" t="s">
        <v>2254</v>
      </c>
      <c r="D331" s="472" t="s">
        <v>2461</v>
      </c>
      <c r="E331" s="472" t="str">
        <f t="shared" si="5"/>
        <v>2020Industrial30</v>
      </c>
      <c r="F331" s="473">
        <v>0.8577880178566869</v>
      </c>
      <c r="G331" s="474">
        <v>64.867952501139783</v>
      </c>
      <c r="H331" s="474">
        <v>722.79596674204674</v>
      </c>
    </row>
    <row r="332" spans="1:8" x14ac:dyDescent="0.35">
      <c r="A332" s="472" t="s">
        <v>2466</v>
      </c>
      <c r="B332" s="472" t="s">
        <v>2467</v>
      </c>
      <c r="C332" s="472" t="s">
        <v>12</v>
      </c>
      <c r="D332" s="472" t="s">
        <v>2432</v>
      </c>
      <c r="E332" s="472" t="str">
        <f t="shared" si="5"/>
        <v>2020Commercial1</v>
      </c>
      <c r="F332" s="473">
        <v>0.1290096</v>
      </c>
      <c r="G332" s="474">
        <v>5.4516960000000001</v>
      </c>
      <c r="H332" s="474">
        <v>30</v>
      </c>
    </row>
    <row r="333" spans="1:8" x14ac:dyDescent="0.35">
      <c r="A333" s="472" t="s">
        <v>2466</v>
      </c>
      <c r="B333" s="472" t="s">
        <v>2467</v>
      </c>
      <c r="C333" s="472" t="s">
        <v>12</v>
      </c>
      <c r="D333" s="472" t="s">
        <v>2433</v>
      </c>
      <c r="E333" s="472" t="str">
        <f t="shared" si="5"/>
        <v>2020Commercial2</v>
      </c>
      <c r="F333" s="473">
        <v>0.24222210612244899</v>
      </c>
      <c r="G333" s="474">
        <v>10.235837387755103</v>
      </c>
      <c r="H333" s="474">
        <v>55.782312925170061</v>
      </c>
    </row>
    <row r="334" spans="1:8" x14ac:dyDescent="0.35">
      <c r="A334" s="472" t="s">
        <v>2466</v>
      </c>
      <c r="B334" s="472" t="s">
        <v>2467</v>
      </c>
      <c r="C334" s="472" t="s">
        <v>12</v>
      </c>
      <c r="D334" s="472" t="s">
        <v>2434</v>
      </c>
      <c r="E334" s="472" t="str">
        <f t="shared" si="5"/>
        <v>2020Commercial3</v>
      </c>
      <c r="F334" s="473">
        <v>0.35816776023323615</v>
      </c>
      <c r="G334" s="474">
        <v>15.135476319533527</v>
      </c>
      <c r="H334" s="474">
        <v>90.335816866429113</v>
      </c>
    </row>
    <row r="335" spans="1:8" x14ac:dyDescent="0.35">
      <c r="A335" s="472" t="s">
        <v>2466</v>
      </c>
      <c r="B335" s="472" t="s">
        <v>2467</v>
      </c>
      <c r="C335" s="472" t="s">
        <v>12</v>
      </c>
      <c r="D335" s="472" t="s">
        <v>2435</v>
      </c>
      <c r="E335" s="472" t="str">
        <f t="shared" si="5"/>
        <v>2020Commercial4</v>
      </c>
      <c r="F335" s="473">
        <v>0.47080068136942943</v>
      </c>
      <c r="G335" s="474">
        <v>19.895125567546852</v>
      </c>
      <c r="H335" s="474">
        <v>131.47094060602319</v>
      </c>
    </row>
    <row r="336" spans="1:8" x14ac:dyDescent="0.35">
      <c r="A336" s="472" t="s">
        <v>2466</v>
      </c>
      <c r="B336" s="472" t="s">
        <v>2467</v>
      </c>
      <c r="C336" s="472" t="s">
        <v>12</v>
      </c>
      <c r="D336" s="472" t="s">
        <v>2436</v>
      </c>
      <c r="E336" s="472" t="str">
        <f t="shared" si="5"/>
        <v>2020Commercial5</v>
      </c>
      <c r="F336" s="473">
        <v>0.58021551904458857</v>
      </c>
      <c r="G336" s="474">
        <v>24.518784837045512</v>
      </c>
      <c r="H336" s="474">
        <v>170.64724892944614</v>
      </c>
    </row>
    <row r="337" spans="1:8" x14ac:dyDescent="0.35">
      <c r="A337" s="472" t="s">
        <v>2466</v>
      </c>
      <c r="B337" s="472" t="s">
        <v>2467</v>
      </c>
      <c r="C337" s="472" t="s">
        <v>12</v>
      </c>
      <c r="D337" s="472" t="s">
        <v>2437</v>
      </c>
      <c r="E337" s="472" t="str">
        <f t="shared" si="5"/>
        <v>2020Commercial6</v>
      </c>
      <c r="F337" s="473">
        <v>0.6865042185004574</v>
      </c>
      <c r="G337" s="474">
        <v>29.01033955598707</v>
      </c>
      <c r="H337" s="474">
        <v>207.95801876127751</v>
      </c>
    </row>
    <row r="338" spans="1:8" x14ac:dyDescent="0.35">
      <c r="A338" s="472" t="s">
        <v>2466</v>
      </c>
      <c r="B338" s="472" t="s">
        <v>2467</v>
      </c>
      <c r="C338" s="472" t="s">
        <v>12</v>
      </c>
      <c r="D338" s="472" t="s">
        <v>2438</v>
      </c>
      <c r="E338" s="472" t="str">
        <f t="shared" si="5"/>
        <v>2020Commercial7</v>
      </c>
      <c r="F338" s="473">
        <v>0.78975609797187285</v>
      </c>
      <c r="G338" s="474">
        <v>33.37356414010172</v>
      </c>
      <c r="H338" s="474">
        <v>243.49208526778358</v>
      </c>
    </row>
    <row r="339" spans="1:8" x14ac:dyDescent="0.35">
      <c r="A339" s="472" t="s">
        <v>2466</v>
      </c>
      <c r="B339" s="472" t="s">
        <v>2467</v>
      </c>
      <c r="C339" s="472" t="s">
        <v>12</v>
      </c>
      <c r="D339" s="472" t="s">
        <v>2439</v>
      </c>
      <c r="E339" s="472" t="str">
        <f t="shared" si="5"/>
        <v>2020Commercial8</v>
      </c>
      <c r="F339" s="473">
        <v>0.89005792374410508</v>
      </c>
      <c r="G339" s="474">
        <v>37.612125164670239</v>
      </c>
      <c r="H339" s="474">
        <v>277.33405336921794</v>
      </c>
    </row>
    <row r="340" spans="1:8" x14ac:dyDescent="0.35">
      <c r="A340" s="472" t="s">
        <v>2466</v>
      </c>
      <c r="B340" s="472" t="s">
        <v>2467</v>
      </c>
      <c r="C340" s="472" t="s">
        <v>12</v>
      </c>
      <c r="D340" s="472" t="s">
        <v>2440</v>
      </c>
      <c r="E340" s="472" t="str">
        <f t="shared" si="5"/>
        <v>2020Commercial9</v>
      </c>
      <c r="F340" s="473">
        <v>0.98749398306570202</v>
      </c>
      <c r="G340" s="474">
        <v>41.729584445679663</v>
      </c>
      <c r="H340" s="474">
        <v>309.56449918010782</v>
      </c>
    </row>
    <row r="341" spans="1:8" x14ac:dyDescent="0.35">
      <c r="A341" s="472" t="s">
        <v>2466</v>
      </c>
      <c r="B341" s="472" t="s">
        <v>2467</v>
      </c>
      <c r="C341" s="472" t="s">
        <v>12</v>
      </c>
      <c r="D341" s="472" t="s">
        <v>2441</v>
      </c>
      <c r="E341" s="472" t="str">
        <f t="shared" si="5"/>
        <v>2020Commercial10</v>
      </c>
      <c r="F341" s="473">
        <v>1.0821461549781106</v>
      </c>
      <c r="G341" s="474">
        <v>45.729402032945956</v>
      </c>
      <c r="H341" s="474">
        <v>340.26016185714576</v>
      </c>
    </row>
    <row r="342" spans="1:8" x14ac:dyDescent="0.35">
      <c r="A342" s="472" t="s">
        <v>2466</v>
      </c>
      <c r="B342" s="472" t="s">
        <v>2467</v>
      </c>
      <c r="C342" s="472" t="s">
        <v>12</v>
      </c>
      <c r="D342" s="472" t="s">
        <v>2442</v>
      </c>
      <c r="E342" s="472" t="str">
        <f t="shared" si="5"/>
        <v>2020Commercial11</v>
      </c>
      <c r="F342" s="473">
        <v>1.1740939791215932</v>
      </c>
      <c r="G342" s="474">
        <v>49.614939117718926</v>
      </c>
      <c r="H342" s="474">
        <v>369.49412631146765</v>
      </c>
    </row>
    <row r="343" spans="1:8" x14ac:dyDescent="0.35">
      <c r="A343" s="472" t="s">
        <v>2466</v>
      </c>
      <c r="B343" s="472" t="s">
        <v>2467</v>
      </c>
      <c r="C343" s="472" t="s">
        <v>12</v>
      </c>
      <c r="D343" s="472" t="s">
        <v>2443</v>
      </c>
      <c r="E343" s="472" t="str">
        <f t="shared" si="5"/>
        <v>2020Commercial12</v>
      </c>
      <c r="F343" s="473">
        <v>1.2634147225752619</v>
      </c>
      <c r="G343" s="474">
        <v>53.389460857212669</v>
      </c>
      <c r="H343" s="474">
        <v>397.33599722034558</v>
      </c>
    </row>
    <row r="344" spans="1:8" x14ac:dyDescent="0.35">
      <c r="A344" s="472" t="s">
        <v>2466</v>
      </c>
      <c r="B344" s="472" t="s">
        <v>2467</v>
      </c>
      <c r="C344" s="472" t="s">
        <v>12</v>
      </c>
      <c r="D344" s="472" t="s">
        <v>2444</v>
      </c>
      <c r="E344" s="472" t="str">
        <f t="shared" si="5"/>
        <v>2020Commercial13</v>
      </c>
      <c r="F344" s="473">
        <v>1.3501834447873973</v>
      </c>
      <c r="G344" s="474">
        <v>57.056139118435162</v>
      </c>
      <c r="H344" s="474">
        <v>423.85206475261032</v>
      </c>
    </row>
    <row r="345" spans="1:8" x14ac:dyDescent="0.35">
      <c r="A345" s="472" t="s">
        <v>2466</v>
      </c>
      <c r="B345" s="472" t="s">
        <v>2467</v>
      </c>
      <c r="C345" s="472" t="s">
        <v>12</v>
      </c>
      <c r="D345" s="472" t="s">
        <v>2445</v>
      </c>
      <c r="E345" s="472" t="str">
        <f t="shared" si="5"/>
        <v>2020Commercial14</v>
      </c>
      <c r="F345" s="473">
        <v>1.4344730606506144</v>
      </c>
      <c r="G345" s="474">
        <v>60.618055143622733</v>
      </c>
      <c r="H345" s="474">
        <v>449.10546240238625</v>
      </c>
    </row>
    <row r="346" spans="1:8" x14ac:dyDescent="0.35">
      <c r="A346" s="472" t="s">
        <v>2466</v>
      </c>
      <c r="B346" s="472" t="s">
        <v>2467</v>
      </c>
      <c r="C346" s="472" t="s">
        <v>12</v>
      </c>
      <c r="D346" s="472" t="s">
        <v>2446</v>
      </c>
      <c r="E346" s="472" t="str">
        <f t="shared" si="5"/>
        <v>2020Commercial15</v>
      </c>
      <c r="F346" s="473">
        <v>1.5163544017748825</v>
      </c>
      <c r="G346" s="474">
        <v>64.07820213951922</v>
      </c>
      <c r="H346" s="474">
        <v>473.15631730693474</v>
      </c>
    </row>
    <row r="347" spans="1:8" x14ac:dyDescent="0.35">
      <c r="A347" s="472" t="s">
        <v>2466</v>
      </c>
      <c r="B347" s="472" t="s">
        <v>2467</v>
      </c>
      <c r="C347" s="472" t="s">
        <v>12</v>
      </c>
      <c r="D347" s="472" t="s">
        <v>2447</v>
      </c>
      <c r="E347" s="472" t="str">
        <f t="shared" si="5"/>
        <v>2020Commercial16</v>
      </c>
      <c r="F347" s="473">
        <v>1.5958962760098858</v>
      </c>
      <c r="G347" s="474">
        <v>67.43948779267582</v>
      </c>
      <c r="H347" s="474">
        <v>496.06189340650479</v>
      </c>
    </row>
    <row r="348" spans="1:8" x14ac:dyDescent="0.35">
      <c r="A348" s="472" t="s">
        <v>2466</v>
      </c>
      <c r="B348" s="472" t="s">
        <v>2467</v>
      </c>
      <c r="C348" s="472" t="s">
        <v>12</v>
      </c>
      <c r="D348" s="472" t="s">
        <v>2448</v>
      </c>
      <c r="E348" s="472" t="str">
        <f t="shared" si="5"/>
        <v>2020Commercial17</v>
      </c>
      <c r="F348" s="473">
        <v>1.6731655252667461</v>
      </c>
      <c r="G348" s="474">
        <v>70.704736712885079</v>
      </c>
      <c r="H348" s="474">
        <v>517.87672778704768</v>
      </c>
    </row>
    <row r="349" spans="1:8" x14ac:dyDescent="0.35">
      <c r="A349" s="472" t="s">
        <v>2466</v>
      </c>
      <c r="B349" s="472" t="s">
        <v>2467</v>
      </c>
      <c r="C349" s="472" t="s">
        <v>12</v>
      </c>
      <c r="D349" s="472" t="s">
        <v>2449</v>
      </c>
      <c r="E349" s="472" t="str">
        <f t="shared" si="5"/>
        <v>2020Commercial18</v>
      </c>
      <c r="F349" s="473">
        <v>1.7482270816876961</v>
      </c>
      <c r="G349" s="474">
        <v>73.876692806802637</v>
      </c>
      <c r="H349" s="474">
        <v>538.6527605304218</v>
      </c>
    </row>
    <row r="350" spans="1:8" x14ac:dyDescent="0.35">
      <c r="A350" s="472" t="s">
        <v>2466</v>
      </c>
      <c r="B350" s="472" t="s">
        <v>2467</v>
      </c>
      <c r="C350" s="472" t="s">
        <v>12</v>
      </c>
      <c r="D350" s="472" t="s">
        <v>2450</v>
      </c>
      <c r="E350" s="472" t="str">
        <f t="shared" si="5"/>
        <v>2020Commercial19</v>
      </c>
      <c r="F350" s="473">
        <v>1.8211440222109048</v>
      </c>
      <c r="G350" s="474">
        <v>76.958021583751133</v>
      </c>
      <c r="H350" s="474">
        <v>558.43945838125433</v>
      </c>
    </row>
    <row r="351" spans="1:8" x14ac:dyDescent="0.35">
      <c r="A351" s="472" t="s">
        <v>2466</v>
      </c>
      <c r="B351" s="472" t="s">
        <v>2467</v>
      </c>
      <c r="C351" s="472" t="s">
        <v>12</v>
      </c>
      <c r="D351" s="472" t="s">
        <v>2451</v>
      </c>
      <c r="E351" s="472" t="str">
        <f t="shared" si="5"/>
        <v>2020Commercial20</v>
      </c>
      <c r="F351" s="473">
        <v>1.8919776215763073</v>
      </c>
      <c r="G351" s="474">
        <v>79.951312395643953</v>
      </c>
      <c r="H351" s="474">
        <v>577.28393252490434</v>
      </c>
    </row>
    <row r="352" spans="1:8" x14ac:dyDescent="0.35">
      <c r="A352" s="472" t="s">
        <v>2466</v>
      </c>
      <c r="B352" s="472" t="s">
        <v>2467</v>
      </c>
      <c r="C352" s="472" t="s">
        <v>12</v>
      </c>
      <c r="D352" s="472" t="s">
        <v>2452</v>
      </c>
      <c r="E352" s="472" t="str">
        <f t="shared" si="5"/>
        <v>2020Commercial21</v>
      </c>
      <c r="F352" s="473">
        <v>1.9607874038169844</v>
      </c>
      <c r="G352" s="474">
        <v>82.859080612911271</v>
      </c>
      <c r="H352" s="474">
        <v>595.23105075695196</v>
      </c>
    </row>
    <row r="353" spans="1:8" x14ac:dyDescent="0.35">
      <c r="A353" s="472" t="s">
        <v>2466</v>
      </c>
      <c r="B353" s="472" t="s">
        <v>2467</v>
      </c>
      <c r="C353" s="472" t="s">
        <v>12</v>
      </c>
      <c r="D353" s="472" t="s">
        <v>2453</v>
      </c>
      <c r="E353" s="472" t="str">
        <f t="shared" si="5"/>
        <v>2020Commercial22</v>
      </c>
      <c r="F353" s="473">
        <v>2.027631192279356</v>
      </c>
      <c r="G353" s="474">
        <v>85.683769738256657</v>
      </c>
      <c r="H353" s="474">
        <v>612.32354431128294</v>
      </c>
    </row>
    <row r="354" spans="1:8" x14ac:dyDescent="0.35">
      <c r="A354" s="472" t="s">
        <v>2466</v>
      </c>
      <c r="B354" s="472" t="s">
        <v>2467</v>
      </c>
      <c r="C354" s="472" t="s">
        <v>12</v>
      </c>
      <c r="D354" s="472" t="s">
        <v>2454</v>
      </c>
      <c r="E354" s="472" t="str">
        <f t="shared" si="5"/>
        <v>2020Commercial23</v>
      </c>
      <c r="F354" s="473">
        <v>2.0925651582142315</v>
      </c>
      <c r="G354" s="474">
        <v>88.427753460020753</v>
      </c>
      <c r="H354" s="474">
        <v>628.60210960112215</v>
      </c>
    </row>
    <row r="355" spans="1:8" x14ac:dyDescent="0.35">
      <c r="A355" s="472" t="s">
        <v>2466</v>
      </c>
      <c r="B355" s="472" t="s">
        <v>2467</v>
      </c>
      <c r="C355" s="472" t="s">
        <v>12</v>
      </c>
      <c r="D355" s="472" t="s">
        <v>2455</v>
      </c>
      <c r="E355" s="472" t="str">
        <f t="shared" si="5"/>
        <v>2020Commercial24</v>
      </c>
      <c r="F355" s="473">
        <v>2.1556438679795393</v>
      </c>
      <c r="G355" s="474">
        <v>91.093337646877302</v>
      </c>
      <c r="H355" s="474">
        <v>644.10550511525457</v>
      </c>
    </row>
    <row r="356" spans="1:8" x14ac:dyDescent="0.35">
      <c r="A356" s="472" t="s">
        <v>2466</v>
      </c>
      <c r="B356" s="472" t="s">
        <v>2467</v>
      </c>
      <c r="C356" s="472" t="s">
        <v>12</v>
      </c>
      <c r="D356" s="472" t="s">
        <v>2456</v>
      </c>
      <c r="E356" s="472" t="str">
        <f t="shared" si="5"/>
        <v>2020Commercial25</v>
      </c>
      <c r="F356" s="473">
        <v>2.2169203288944095</v>
      </c>
      <c r="G356" s="474">
        <v>93.682762285537947</v>
      </c>
      <c r="H356" s="474">
        <v>658.87064370014275</v>
      </c>
    </row>
    <row r="357" spans="1:8" x14ac:dyDescent="0.35">
      <c r="A357" s="472" t="s">
        <v>2466</v>
      </c>
      <c r="B357" s="472" t="s">
        <v>2467</v>
      </c>
      <c r="C357" s="472" t="s">
        <v>12</v>
      </c>
      <c r="D357" s="472" t="s">
        <v>2457</v>
      </c>
      <c r="E357" s="472" t="str">
        <f t="shared" si="5"/>
        <v>2020Commercial26</v>
      </c>
      <c r="F357" s="473">
        <v>2.2764460337831407</v>
      </c>
      <c r="G357" s="474">
        <v>96.198203363094009</v>
      </c>
      <c r="H357" s="474">
        <v>672.93268044765512</v>
      </c>
    </row>
    <row r="358" spans="1:8" x14ac:dyDescent="0.35">
      <c r="A358" s="472" t="s">
        <v>2466</v>
      </c>
      <c r="B358" s="472" t="s">
        <v>2467</v>
      </c>
      <c r="C358" s="472" t="s">
        <v>12</v>
      </c>
      <c r="D358" s="472" t="s">
        <v>2458</v>
      </c>
      <c r="E358" s="472" t="str">
        <f t="shared" si="5"/>
        <v>2020Commercial27</v>
      </c>
      <c r="F358" s="473">
        <v>2.3342710042464794</v>
      </c>
      <c r="G358" s="474">
        <v>98.641774695577027</v>
      </c>
      <c r="H358" s="474">
        <v>686.32509639766704</v>
      </c>
    </row>
    <row r="359" spans="1:8" x14ac:dyDescent="0.35">
      <c r="A359" s="472" t="s">
        <v>2466</v>
      </c>
      <c r="B359" s="472" t="s">
        <v>2467</v>
      </c>
      <c r="C359" s="472" t="s">
        <v>12</v>
      </c>
      <c r="D359" s="472" t="s">
        <v>2459</v>
      </c>
      <c r="E359" s="472" t="str">
        <f t="shared" si="5"/>
        <v>2020Commercial28</v>
      </c>
      <c r="F359" s="473">
        <v>2.3904438326965796</v>
      </c>
      <c r="G359" s="474">
        <v>101.01552970427483</v>
      </c>
      <c r="H359" s="474">
        <v>699.07977825482124</v>
      </c>
    </row>
    <row r="360" spans="1:8" x14ac:dyDescent="0.35">
      <c r="A360" s="472" t="s">
        <v>2466</v>
      </c>
      <c r="B360" s="472" t="s">
        <v>2467</v>
      </c>
      <c r="C360" s="472" t="s">
        <v>12</v>
      </c>
      <c r="D360" s="472" t="s">
        <v>2460</v>
      </c>
      <c r="E360" s="472" t="str">
        <f t="shared" si="5"/>
        <v>2020Commercial29</v>
      </c>
      <c r="F360" s="473">
        <v>2.4450117231909632</v>
      </c>
      <c r="G360" s="474">
        <v>103.32146314129554</v>
      </c>
      <c r="H360" s="474">
        <v>711.22709430925386</v>
      </c>
    </row>
    <row r="361" spans="1:8" x14ac:dyDescent="0.35">
      <c r="A361" s="472" t="s">
        <v>2466</v>
      </c>
      <c r="B361" s="472" t="s">
        <v>2467</v>
      </c>
      <c r="C361" s="472" t="s">
        <v>12</v>
      </c>
      <c r="D361" s="472" t="s">
        <v>2461</v>
      </c>
      <c r="E361" s="472" t="str">
        <f t="shared" si="5"/>
        <v>2020Commercial30</v>
      </c>
      <c r="F361" s="473">
        <v>2.4980205310997925</v>
      </c>
      <c r="G361" s="474">
        <v>105.56151276582996</v>
      </c>
      <c r="H361" s="474">
        <v>722.79596674204674</v>
      </c>
    </row>
  </sheetData>
  <sheetProtection algorithmName="SHA-512" hashValue="Jd7SZdnWrtFlNcrRkbrMjPOOpdtie/GoPgYCOL/67TIS6HNjldOdXJnkzjGj8h3tbXZgrEDYQ9+FxHhddf6irA==" saltValue="qo/eYwfbYiX3FSFCvU2neg==" spinCount="100000" sheet="1" objects="1" scenarios="1" selectLockedCells="1" selectUnlockedCells="1"/>
  <autoFilter ref="A1:H361" xr:uid="{C08AE024-07F1-4C87-A206-C6060595719D}"/>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A3768-2A42-4B60-BD3A-2D2B7A70B0C5}">
  <sheetPr codeName="Sheet21">
    <tabColor rgb="FF7030A0"/>
  </sheetPr>
  <dimension ref="B2:K45"/>
  <sheetViews>
    <sheetView workbookViewId="0"/>
  </sheetViews>
  <sheetFormatPr defaultRowHeight="14.5" x14ac:dyDescent="0.35"/>
  <sheetData>
    <row r="2" spans="2:11" x14ac:dyDescent="0.35">
      <c r="B2" s="123"/>
      <c r="C2" s="118" t="s">
        <v>2468</v>
      </c>
      <c r="D2" s="118"/>
      <c r="E2" s="118"/>
      <c r="F2" s="118"/>
      <c r="G2" s="144"/>
      <c r="H2" s="258" t="s">
        <v>2469</v>
      </c>
      <c r="I2" s="347"/>
      <c r="J2" s="347"/>
      <c r="K2" s="118"/>
    </row>
    <row r="3" spans="2:11" ht="91" x14ac:dyDescent="0.35">
      <c r="B3" s="123"/>
      <c r="C3" s="248" t="s">
        <v>2470</v>
      </c>
      <c r="D3" s="249" t="s">
        <v>2471</v>
      </c>
      <c r="E3" s="249" t="s">
        <v>2472</v>
      </c>
      <c r="F3" s="249" t="s">
        <v>2473</v>
      </c>
      <c r="G3" s="144"/>
      <c r="H3" s="257" t="s">
        <v>54</v>
      </c>
      <c r="I3" s="256" t="s">
        <v>2474</v>
      </c>
      <c r="J3" s="256" t="s">
        <v>519</v>
      </c>
      <c r="K3" s="249" t="s">
        <v>2471</v>
      </c>
    </row>
    <row r="4" spans="2:11" x14ac:dyDescent="0.35">
      <c r="B4" s="123"/>
      <c r="C4" s="252" t="s">
        <v>1576</v>
      </c>
      <c r="D4" s="250"/>
      <c r="E4" s="251"/>
      <c r="F4" s="239"/>
      <c r="G4" s="144"/>
      <c r="H4" s="255" t="s">
        <v>2475</v>
      </c>
      <c r="I4" s="256"/>
      <c r="J4" s="256"/>
      <c r="K4" s="261">
        <f>SUMPRODUCT(J5:J35,K5:K35)</f>
        <v>-1.3911683532658694E-2</v>
      </c>
    </row>
    <row r="5" spans="2:11" x14ac:dyDescent="0.35">
      <c r="B5" s="123"/>
      <c r="C5" s="252" t="s">
        <v>2367</v>
      </c>
      <c r="D5" s="118">
        <v>-3.5000000000000003E-2</v>
      </c>
      <c r="E5" s="118">
        <v>-0.82299999999999995</v>
      </c>
      <c r="F5" s="118">
        <v>-0.35799999999999998</v>
      </c>
      <c r="G5" s="144"/>
      <c r="H5" s="254" t="s">
        <v>2476</v>
      </c>
      <c r="I5" s="348">
        <v>318</v>
      </c>
      <c r="J5" s="349">
        <v>7.3137074517019313E-2</v>
      </c>
      <c r="K5" s="260">
        <f>D39</f>
        <v>-1.4999999999999999E-2</v>
      </c>
    </row>
    <row r="6" spans="2:11" x14ac:dyDescent="0.35">
      <c r="B6" s="123"/>
      <c r="C6" s="252" t="s">
        <v>2477</v>
      </c>
      <c r="D6" s="118">
        <v>-1.2999999999999999E-2</v>
      </c>
      <c r="E6" s="118">
        <v>-0.315</v>
      </c>
      <c r="F6" s="118">
        <v>-0.13700000000000001</v>
      </c>
      <c r="G6" s="144"/>
      <c r="H6" s="254" t="s">
        <v>2269</v>
      </c>
      <c r="I6" s="348">
        <v>45</v>
      </c>
      <c r="J6" s="349">
        <v>1.0349586016559338E-2</v>
      </c>
      <c r="K6" s="260">
        <f>D34</f>
        <v>-1.4999999999999999E-2</v>
      </c>
    </row>
    <row r="7" spans="2:11" x14ac:dyDescent="0.35">
      <c r="B7" s="123"/>
      <c r="C7" s="252" t="s">
        <v>2478</v>
      </c>
      <c r="D7" s="118">
        <v>-1.7999999999999999E-2</v>
      </c>
      <c r="E7" s="118">
        <v>-0.42</v>
      </c>
      <c r="F7" s="118">
        <v>-0.183</v>
      </c>
      <c r="G7" s="144"/>
      <c r="H7" s="254" t="s">
        <v>2367</v>
      </c>
      <c r="I7" s="348">
        <v>38</v>
      </c>
      <c r="J7" s="349">
        <v>8.7396504139834411E-3</v>
      </c>
      <c r="K7" s="259">
        <f t="shared" ref="K7:K13" si="0">VLOOKUP(H7,$C$5:$D$45,2,FALSE)</f>
        <v>-3.5000000000000003E-2</v>
      </c>
    </row>
    <row r="8" spans="2:11" x14ac:dyDescent="0.35">
      <c r="B8" s="123"/>
      <c r="C8" s="254" t="s">
        <v>2404</v>
      </c>
      <c r="D8" s="118">
        <v>-2.3E-2</v>
      </c>
      <c r="E8" s="118">
        <v>-0.54800000000000004</v>
      </c>
      <c r="F8" s="118">
        <v>-0.23799999999999999</v>
      </c>
      <c r="G8" s="144"/>
      <c r="H8" s="254" t="s">
        <v>1756</v>
      </c>
      <c r="I8" s="348">
        <v>119</v>
      </c>
      <c r="J8" s="349">
        <v>2.7368905243790247E-2</v>
      </c>
      <c r="K8" s="259">
        <f t="shared" si="0"/>
        <v>-3.5000000000000003E-2</v>
      </c>
    </row>
    <row r="9" spans="2:11" x14ac:dyDescent="0.35">
      <c r="B9" s="123"/>
      <c r="C9" s="252" t="s">
        <v>1756</v>
      </c>
      <c r="D9" s="118">
        <v>-3.5000000000000003E-2</v>
      </c>
      <c r="E9" s="118">
        <v>-0.82799999999999996</v>
      </c>
      <c r="F9" s="118">
        <v>-0.36</v>
      </c>
      <c r="G9" s="144"/>
      <c r="H9" s="254" t="s">
        <v>2400</v>
      </c>
      <c r="I9" s="348">
        <v>133</v>
      </c>
      <c r="J9" s="349">
        <v>3.0588776448942041E-2</v>
      </c>
      <c r="K9" s="259">
        <f t="shared" si="0"/>
        <v>-1.9E-2</v>
      </c>
    </row>
    <row r="10" spans="2:11" x14ac:dyDescent="0.35">
      <c r="B10" s="123"/>
      <c r="C10" s="252" t="s">
        <v>2479</v>
      </c>
      <c r="D10" s="118">
        <v>-1.7000000000000001E-2</v>
      </c>
      <c r="E10" s="118">
        <v>-0.39400000000000002</v>
      </c>
      <c r="F10" s="118">
        <v>-0.17100000000000001</v>
      </c>
      <c r="G10" s="144"/>
      <c r="H10" s="254" t="s">
        <v>2271</v>
      </c>
      <c r="I10" s="348">
        <v>407</v>
      </c>
      <c r="J10" s="349">
        <v>9.3606255749770009E-2</v>
      </c>
      <c r="K10" s="259">
        <f t="shared" si="0"/>
        <v>0</v>
      </c>
    </row>
    <row r="11" spans="2:11" x14ac:dyDescent="0.35">
      <c r="B11" s="123"/>
      <c r="C11" s="252" t="s">
        <v>2400</v>
      </c>
      <c r="D11" s="118">
        <v>-1.9E-2</v>
      </c>
      <c r="E11" s="118">
        <v>-0.45500000000000002</v>
      </c>
      <c r="F11" s="118">
        <v>-0.19800000000000001</v>
      </c>
      <c r="G11" s="144"/>
      <c r="H11" s="254" t="s">
        <v>2396</v>
      </c>
      <c r="I11" s="348">
        <v>80</v>
      </c>
      <c r="J11" s="349">
        <v>1.8399264029438821E-2</v>
      </c>
      <c r="K11" s="259">
        <f t="shared" si="0"/>
        <v>0</v>
      </c>
    </row>
    <row r="12" spans="2:11" x14ac:dyDescent="0.35">
      <c r="B12" s="123"/>
      <c r="C12" s="252" t="s">
        <v>2271</v>
      </c>
      <c r="D12" s="118">
        <v>0</v>
      </c>
      <c r="E12" s="118">
        <v>0</v>
      </c>
      <c r="F12" s="118">
        <v>0</v>
      </c>
      <c r="G12" s="144"/>
      <c r="H12" s="254" t="s">
        <v>2371</v>
      </c>
      <c r="I12" s="348">
        <v>35</v>
      </c>
      <c r="J12" s="349">
        <v>8.049678012879485E-3</v>
      </c>
      <c r="K12" s="259">
        <f t="shared" si="0"/>
        <v>-0.02</v>
      </c>
    </row>
    <row r="13" spans="2:11" x14ac:dyDescent="0.35">
      <c r="B13" s="123"/>
      <c r="C13" s="252" t="s">
        <v>2480</v>
      </c>
      <c r="D13" s="118">
        <v>0</v>
      </c>
      <c r="E13" s="118">
        <v>0</v>
      </c>
      <c r="F13" s="118">
        <v>0</v>
      </c>
      <c r="G13" s="144"/>
      <c r="H13" s="254" t="s">
        <v>2402</v>
      </c>
      <c r="I13" s="348">
        <v>64</v>
      </c>
      <c r="J13" s="349">
        <v>1.4719411223551058E-2</v>
      </c>
      <c r="K13" s="259">
        <f t="shared" si="0"/>
        <v>-1.0999999999999999E-2</v>
      </c>
    </row>
    <row r="14" spans="2:11" x14ac:dyDescent="0.35">
      <c r="B14" s="123"/>
      <c r="C14" s="252" t="s">
        <v>2396</v>
      </c>
      <c r="D14" s="118">
        <v>0</v>
      </c>
      <c r="E14" s="118">
        <v>0</v>
      </c>
      <c r="F14" s="118">
        <v>0</v>
      </c>
      <c r="G14" s="144"/>
      <c r="H14" s="254" t="s">
        <v>1368</v>
      </c>
      <c r="I14" s="348">
        <v>11</v>
      </c>
      <c r="J14" s="349">
        <v>2.5298988040478379E-3</v>
      </c>
      <c r="K14" s="260">
        <f>D17</f>
        <v>-8.9999999999999993E-3</v>
      </c>
    </row>
    <row r="15" spans="2:11" x14ac:dyDescent="0.35">
      <c r="B15" s="123"/>
      <c r="C15" s="252" t="s">
        <v>2371</v>
      </c>
      <c r="D15" s="118">
        <v>-0.02</v>
      </c>
      <c r="E15" s="118">
        <v>-0.46300000000000002</v>
      </c>
      <c r="F15" s="118">
        <v>-0.20100000000000001</v>
      </c>
      <c r="G15" s="144"/>
      <c r="H15" s="254" t="s">
        <v>2351</v>
      </c>
      <c r="I15" s="348">
        <v>126</v>
      </c>
      <c r="J15" s="349">
        <v>2.8978840846366146E-2</v>
      </c>
      <c r="K15" s="260">
        <f>D24</f>
        <v>-0.02</v>
      </c>
    </row>
    <row r="16" spans="2:11" x14ac:dyDescent="0.35">
      <c r="B16" s="123"/>
      <c r="C16" s="252" t="s">
        <v>2402</v>
      </c>
      <c r="D16" s="118">
        <v>-1.0999999999999999E-2</v>
      </c>
      <c r="E16" s="118">
        <v>-0.249</v>
      </c>
      <c r="F16" s="118">
        <v>-0.108</v>
      </c>
      <c r="G16" s="144"/>
      <c r="H16" s="254" t="s">
        <v>2380</v>
      </c>
      <c r="I16" s="348">
        <v>389</v>
      </c>
      <c r="J16" s="349">
        <v>8.946642134314628E-2</v>
      </c>
      <c r="K16" s="259">
        <f>VLOOKUP(H16,$C$5:$D$45,2,FALSE)</f>
        <v>-1.2E-2</v>
      </c>
    </row>
    <row r="17" spans="2:11" x14ac:dyDescent="0.35">
      <c r="B17" s="123"/>
      <c r="C17" s="252" t="s">
        <v>2481</v>
      </c>
      <c r="D17" s="118">
        <v>-8.9999999999999993E-3</v>
      </c>
      <c r="E17" s="118">
        <v>-0.21099999999999999</v>
      </c>
      <c r="F17" s="118">
        <v>-9.1999999999999998E-2</v>
      </c>
      <c r="G17" s="144"/>
      <c r="H17" s="254" t="s">
        <v>2482</v>
      </c>
      <c r="I17" s="348">
        <v>1</v>
      </c>
      <c r="J17" s="349">
        <v>2.2999080036798528E-4</v>
      </c>
      <c r="K17" s="260">
        <f>K16</f>
        <v>-1.2E-2</v>
      </c>
    </row>
    <row r="18" spans="2:11" x14ac:dyDescent="0.35">
      <c r="B18" s="123"/>
      <c r="C18" s="252" t="s">
        <v>2483</v>
      </c>
      <c r="D18" s="118">
        <v>-8.9999999999999993E-3</v>
      </c>
      <c r="E18" s="118">
        <v>-0.20499999999999999</v>
      </c>
      <c r="F18" s="118">
        <v>-8.8999999999999996E-2</v>
      </c>
      <c r="G18" s="144"/>
      <c r="H18" s="254" t="s">
        <v>2484</v>
      </c>
      <c r="I18" s="348">
        <v>37</v>
      </c>
      <c r="J18" s="349">
        <v>8.5096596136154546E-3</v>
      </c>
      <c r="K18" s="260">
        <f>K16</f>
        <v>-1.2E-2</v>
      </c>
    </row>
    <row r="19" spans="2:11" x14ac:dyDescent="0.35">
      <c r="B19" s="123"/>
      <c r="C19" s="252" t="s">
        <v>2485</v>
      </c>
      <c r="D19" s="118">
        <v>-6.0000000000000001E-3</v>
      </c>
      <c r="E19" s="118">
        <v>-0.14799999999999999</v>
      </c>
      <c r="F19" s="118">
        <v>-6.4000000000000001E-2</v>
      </c>
      <c r="G19" s="144"/>
      <c r="H19" s="254" t="s">
        <v>2382</v>
      </c>
      <c r="I19" s="348">
        <v>2</v>
      </c>
      <c r="J19" s="349">
        <v>4.5998160073597056E-4</v>
      </c>
      <c r="K19" s="259">
        <f>VLOOKUP(H19,$C$5:$D$45,2,FALSE)</f>
        <v>-2.9000000000000001E-2</v>
      </c>
    </row>
    <row r="20" spans="2:11" x14ac:dyDescent="0.35">
      <c r="B20" s="123"/>
      <c r="C20" s="252" t="s">
        <v>2486</v>
      </c>
      <c r="D20" s="118">
        <v>0</v>
      </c>
      <c r="E20" s="118">
        <v>0</v>
      </c>
      <c r="F20" s="118">
        <v>0</v>
      </c>
      <c r="G20" s="144"/>
      <c r="H20" s="254" t="s">
        <v>2359</v>
      </c>
      <c r="I20" s="348">
        <v>53</v>
      </c>
      <c r="J20" s="349">
        <v>1.218951241950322E-2</v>
      </c>
      <c r="K20" s="260">
        <f>D22</f>
        <v>-5.0000000000000001E-3</v>
      </c>
    </row>
    <row r="21" spans="2:11" x14ac:dyDescent="0.35">
      <c r="B21" s="123"/>
      <c r="C21" s="252" t="s">
        <v>2380</v>
      </c>
      <c r="D21" s="118">
        <v>-1.2E-2</v>
      </c>
      <c r="E21" s="118">
        <v>-0.27</v>
      </c>
      <c r="F21" s="118">
        <v>-0.11700000000000001</v>
      </c>
      <c r="G21" s="144"/>
      <c r="H21" s="254" t="s">
        <v>2361</v>
      </c>
      <c r="I21" s="348">
        <v>186</v>
      </c>
      <c r="J21" s="349">
        <v>4.2778288868445265E-2</v>
      </c>
      <c r="K21" s="260">
        <f>D23</f>
        <v>-2.1000000000000001E-2</v>
      </c>
    </row>
    <row r="22" spans="2:11" x14ac:dyDescent="0.35">
      <c r="B22" s="123"/>
      <c r="C22" s="253" t="s">
        <v>2487</v>
      </c>
      <c r="D22" s="118">
        <v>-5.0000000000000001E-3</v>
      </c>
      <c r="E22" s="118">
        <v>-0.109</v>
      </c>
      <c r="F22" s="118">
        <v>-4.7E-2</v>
      </c>
      <c r="G22" s="144"/>
      <c r="H22" s="254" t="s">
        <v>2385</v>
      </c>
      <c r="I22" s="348">
        <v>57</v>
      </c>
      <c r="J22" s="349">
        <v>1.3109475620975161E-2</v>
      </c>
      <c r="K22" s="260">
        <f>D27</f>
        <v>-6.0000000000000001E-3</v>
      </c>
    </row>
    <row r="23" spans="2:11" x14ac:dyDescent="0.35">
      <c r="B23" s="123"/>
      <c r="C23" s="253" t="s">
        <v>2488</v>
      </c>
      <c r="D23" s="118">
        <v>-2.1000000000000001E-2</v>
      </c>
      <c r="E23" s="118">
        <v>-0.48399999999999999</v>
      </c>
      <c r="F23" s="118">
        <v>-0.21099999999999999</v>
      </c>
      <c r="G23" s="144"/>
      <c r="H23" s="254" t="s">
        <v>2387</v>
      </c>
      <c r="I23" s="348">
        <v>343</v>
      </c>
      <c r="J23" s="349">
        <v>7.8886844526218955E-2</v>
      </c>
      <c r="K23" s="259">
        <f>VLOOKUP(H23,$C$5:$D$45,2,FALSE)</f>
        <v>-0.01</v>
      </c>
    </row>
    <row r="24" spans="2:11" x14ac:dyDescent="0.35">
      <c r="B24" s="123"/>
      <c r="C24" s="252" t="s">
        <v>2489</v>
      </c>
      <c r="D24" s="118">
        <v>-0.02</v>
      </c>
      <c r="E24" s="118">
        <v>-0.46800000000000003</v>
      </c>
      <c r="F24" s="118">
        <v>-0.20399999999999999</v>
      </c>
      <c r="G24" s="144"/>
      <c r="H24" s="254" t="s">
        <v>2389</v>
      </c>
      <c r="I24" s="348">
        <v>89</v>
      </c>
      <c r="J24" s="349">
        <v>2.046918123275069E-2</v>
      </c>
      <c r="K24" s="259">
        <f>VLOOKUP(H24,$C$5:$D$45,2,FALSE)</f>
        <v>-1.6E-2</v>
      </c>
    </row>
    <row r="25" spans="2:11" x14ac:dyDescent="0.35">
      <c r="B25" s="123"/>
      <c r="C25" s="253" t="s">
        <v>2490</v>
      </c>
      <c r="D25" s="118">
        <v>-1.7000000000000001E-2</v>
      </c>
      <c r="E25" s="118">
        <v>-0.40600000000000003</v>
      </c>
      <c r="F25" s="118">
        <v>-0.17599999999999999</v>
      </c>
      <c r="G25" s="144"/>
      <c r="H25" s="254" t="s">
        <v>2391</v>
      </c>
      <c r="I25" s="348">
        <v>115</v>
      </c>
      <c r="J25" s="349">
        <v>2.6448942042318308E-2</v>
      </c>
      <c r="K25" s="259">
        <f>VLOOKUP(H25,$C$5:$D$45,2,FALSE)</f>
        <v>-1.4999999999999999E-2</v>
      </c>
    </row>
    <row r="26" spans="2:11" x14ac:dyDescent="0.35">
      <c r="B26" s="123"/>
      <c r="C26" s="252" t="s">
        <v>2382</v>
      </c>
      <c r="D26" s="118">
        <v>-2.9000000000000001E-2</v>
      </c>
      <c r="E26" s="118">
        <v>-0.67300000000000004</v>
      </c>
      <c r="F26" s="118">
        <v>-0.29299999999999998</v>
      </c>
      <c r="G26" s="144"/>
      <c r="H26" s="254" t="s">
        <v>2392</v>
      </c>
      <c r="I26" s="348">
        <v>8</v>
      </c>
      <c r="J26" s="349">
        <v>1.8399264029438822E-3</v>
      </c>
      <c r="K26" s="260">
        <f>D39</f>
        <v>-1.4999999999999999E-2</v>
      </c>
    </row>
    <row r="27" spans="2:11" x14ac:dyDescent="0.35">
      <c r="B27" s="123"/>
      <c r="C27" s="253" t="s">
        <v>2491</v>
      </c>
      <c r="D27" s="118">
        <v>-6.0000000000000001E-3</v>
      </c>
      <c r="E27" s="118">
        <v>-0.14899999999999999</v>
      </c>
      <c r="F27" s="118">
        <v>-6.5000000000000002E-2</v>
      </c>
      <c r="G27" s="144"/>
      <c r="H27" s="254" t="s">
        <v>1666</v>
      </c>
      <c r="I27" s="348">
        <v>42</v>
      </c>
      <c r="J27" s="349">
        <v>9.659613615455382E-3</v>
      </c>
      <c r="K27" s="259">
        <f>VLOOKUP(H27,$C$5:$D$45,2,FALSE)</f>
        <v>-8.9999999999999993E-3</v>
      </c>
    </row>
    <row r="28" spans="2:11" x14ac:dyDescent="0.35">
      <c r="B28" s="123"/>
      <c r="C28" s="253" t="s">
        <v>2492</v>
      </c>
      <c r="D28" s="118">
        <v>-3.9E-2</v>
      </c>
      <c r="E28" s="118">
        <v>-0.90500000000000003</v>
      </c>
      <c r="F28" s="118">
        <v>-0.39400000000000002</v>
      </c>
      <c r="G28" s="144"/>
      <c r="H28" s="254" t="s">
        <v>2395</v>
      </c>
      <c r="I28" s="348">
        <v>277</v>
      </c>
      <c r="J28" s="349">
        <v>6.3707451701931928E-2</v>
      </c>
      <c r="K28" s="259">
        <f>VLOOKUP(H28,$C$5:$D$45,2,FALSE)</f>
        <v>-1.4999999999999999E-2</v>
      </c>
    </row>
    <row r="29" spans="2:11" x14ac:dyDescent="0.35">
      <c r="B29" s="123"/>
      <c r="C29" s="253" t="s">
        <v>2493</v>
      </c>
      <c r="D29" s="118">
        <v>-1.4999999999999999E-2</v>
      </c>
      <c r="E29" s="118">
        <v>-0.34499999999999997</v>
      </c>
      <c r="F29" s="118">
        <v>-0.15</v>
      </c>
      <c r="G29" s="144"/>
      <c r="H29" s="254" t="s">
        <v>2398</v>
      </c>
      <c r="I29" s="348">
        <v>343</v>
      </c>
      <c r="J29" s="349">
        <v>7.8886844526218955E-2</v>
      </c>
      <c r="K29" s="259">
        <f>VLOOKUP(H29,$C$5:$D$45,2,FALSE)</f>
        <v>-1.9E-2</v>
      </c>
    </row>
    <row r="30" spans="2:11" x14ac:dyDescent="0.35">
      <c r="B30" s="123"/>
      <c r="C30" s="253" t="s">
        <v>2494</v>
      </c>
      <c r="D30" s="118">
        <v>-7.0000000000000001E-3</v>
      </c>
      <c r="E30" s="118">
        <v>-0.153</v>
      </c>
      <c r="F30" s="118">
        <v>-6.7000000000000004E-2</v>
      </c>
      <c r="G30" s="144"/>
      <c r="H30" s="254" t="s">
        <v>2404</v>
      </c>
      <c r="I30" s="348">
        <v>5</v>
      </c>
      <c r="J30" s="349">
        <v>1.1499540018399263E-3</v>
      </c>
      <c r="K30" s="259">
        <f>VLOOKUP(H30,$C$5:$D$45,2,FALSE)</f>
        <v>-2.3E-2</v>
      </c>
    </row>
    <row r="31" spans="2:11" x14ac:dyDescent="0.35">
      <c r="B31" s="123"/>
      <c r="C31" s="252" t="s">
        <v>2387</v>
      </c>
      <c r="D31" s="118">
        <v>-0.01</v>
      </c>
      <c r="E31" s="118">
        <v>-0.23100000000000001</v>
      </c>
      <c r="F31" s="118">
        <v>-0.1</v>
      </c>
      <c r="G31" s="144"/>
      <c r="H31" s="254" t="s">
        <v>887</v>
      </c>
      <c r="I31" s="348">
        <v>373</v>
      </c>
      <c r="J31" s="349">
        <v>8.5786568537258509E-2</v>
      </c>
      <c r="K31" s="259">
        <f>VLOOKUP(H31,$C$5:$D$45,2,FALSE)</f>
        <v>-1.4999999999999999E-2</v>
      </c>
    </row>
    <row r="32" spans="2:11" x14ac:dyDescent="0.35">
      <c r="B32" s="123"/>
      <c r="C32" s="252" t="s">
        <v>2389</v>
      </c>
      <c r="D32" s="118">
        <v>-1.6E-2</v>
      </c>
      <c r="E32" s="118">
        <v>-0.378</v>
      </c>
      <c r="F32" s="118">
        <v>-0.16400000000000001</v>
      </c>
      <c r="G32" s="144"/>
      <c r="H32" s="254" t="s">
        <v>2405</v>
      </c>
      <c r="I32" s="348">
        <v>5</v>
      </c>
      <c r="J32" s="349">
        <v>1.1499540018399263E-3</v>
      </c>
      <c r="K32" s="260">
        <f>D39</f>
        <v>-1.4999999999999999E-2</v>
      </c>
    </row>
    <row r="33" spans="2:11" x14ac:dyDescent="0.35">
      <c r="B33" s="123"/>
      <c r="C33" s="252" t="s">
        <v>2495</v>
      </c>
      <c r="D33" s="118">
        <v>-1E-3</v>
      </c>
      <c r="E33" s="118">
        <v>-1.4E-2</v>
      </c>
      <c r="F33" s="118">
        <v>-6.0000000000000001E-3</v>
      </c>
      <c r="G33" s="144"/>
      <c r="H33" s="254" t="s">
        <v>1757</v>
      </c>
      <c r="I33" s="348">
        <v>594</v>
      </c>
      <c r="J33" s="349">
        <v>0.13661453541858326</v>
      </c>
      <c r="K33" s="259">
        <f>VLOOKUP(H33,$C$5:$D$45,2,FALSE)</f>
        <v>-1.6E-2</v>
      </c>
    </row>
    <row r="34" spans="2:11" x14ac:dyDescent="0.35">
      <c r="B34" s="123"/>
      <c r="C34" s="252" t="s">
        <v>2391</v>
      </c>
      <c r="D34" s="118">
        <v>-1.4999999999999999E-2</v>
      </c>
      <c r="E34" s="118">
        <v>-0.35599999999999998</v>
      </c>
      <c r="F34" s="118">
        <v>-0.155</v>
      </c>
      <c r="G34" s="144"/>
      <c r="H34" s="254" t="s">
        <v>2407</v>
      </c>
      <c r="I34" s="348">
        <v>7</v>
      </c>
      <c r="J34" s="349">
        <v>1.609935602575897E-3</v>
      </c>
      <c r="K34" s="260">
        <f>D39</f>
        <v>-1.4999999999999999E-2</v>
      </c>
    </row>
    <row r="35" spans="2:11" x14ac:dyDescent="0.35">
      <c r="B35" s="123"/>
      <c r="C35" s="252" t="s">
        <v>1666</v>
      </c>
      <c r="D35" s="118">
        <v>-8.9999999999999993E-3</v>
      </c>
      <c r="E35" s="118">
        <v>-0.20799999999999999</v>
      </c>
      <c r="F35" s="118">
        <v>-0.09</v>
      </c>
      <c r="G35" s="144"/>
      <c r="H35" s="254" t="s">
        <v>2408</v>
      </c>
      <c r="I35" s="348">
        <v>10</v>
      </c>
      <c r="J35" s="349">
        <v>2.2999080036798527E-3</v>
      </c>
      <c r="K35" s="260">
        <f>D38</f>
        <v>-1.6E-2</v>
      </c>
    </row>
    <row r="36" spans="2:11" x14ac:dyDescent="0.35">
      <c r="B36" s="123"/>
      <c r="C36" s="253" t="s">
        <v>2395</v>
      </c>
      <c r="D36" s="118">
        <v>-1.4999999999999999E-2</v>
      </c>
      <c r="E36" s="118">
        <v>-0.34599999999999997</v>
      </c>
      <c r="F36" s="118">
        <v>-0.15</v>
      </c>
      <c r="G36" s="144"/>
      <c r="H36" s="144"/>
      <c r="I36" s="346"/>
      <c r="J36" s="346"/>
      <c r="K36" s="144"/>
    </row>
    <row r="37" spans="2:11" x14ac:dyDescent="0.35">
      <c r="B37" s="123"/>
      <c r="C37" s="252" t="s">
        <v>2398</v>
      </c>
      <c r="D37" s="118">
        <v>-1.9E-2</v>
      </c>
      <c r="E37" s="118">
        <v>-0.45</v>
      </c>
      <c r="F37" s="118">
        <v>-0.19600000000000001</v>
      </c>
      <c r="G37" s="144"/>
      <c r="H37" s="144"/>
      <c r="I37" s="346"/>
      <c r="J37" s="346"/>
      <c r="K37" s="144"/>
    </row>
    <row r="38" spans="2:11" x14ac:dyDescent="0.35">
      <c r="B38" s="123"/>
      <c r="C38" s="252" t="s">
        <v>1757</v>
      </c>
      <c r="D38" s="118">
        <v>-1.6E-2</v>
      </c>
      <c r="E38" s="118">
        <v>-0.378</v>
      </c>
      <c r="F38" s="118">
        <v>-0.16400000000000001</v>
      </c>
      <c r="G38" s="144"/>
      <c r="H38" s="144"/>
      <c r="I38" s="346"/>
      <c r="J38" s="346"/>
      <c r="K38" s="144"/>
    </row>
    <row r="39" spans="2:11" x14ac:dyDescent="0.35">
      <c r="B39" s="123"/>
      <c r="C39" s="252" t="s">
        <v>887</v>
      </c>
      <c r="D39" s="118">
        <v>-1.4999999999999999E-2</v>
      </c>
      <c r="E39" s="118">
        <v>-0.35399999999999998</v>
      </c>
      <c r="F39" s="118">
        <v>-0.154</v>
      </c>
      <c r="G39" s="144"/>
      <c r="H39" s="144"/>
      <c r="I39" s="346"/>
      <c r="J39" s="346"/>
      <c r="K39" s="144"/>
    </row>
    <row r="40" spans="2:11" x14ac:dyDescent="0.35">
      <c r="B40" s="123"/>
      <c r="C40" s="253" t="s">
        <v>2496</v>
      </c>
      <c r="D40" s="118">
        <v>0</v>
      </c>
      <c r="E40" s="118">
        <v>0</v>
      </c>
      <c r="F40" s="118">
        <v>0</v>
      </c>
      <c r="G40" s="144"/>
      <c r="H40" s="144"/>
      <c r="I40" s="346"/>
      <c r="J40" s="346"/>
      <c r="K40" s="144"/>
    </row>
    <row r="41" spans="2:11" x14ac:dyDescent="0.35">
      <c r="B41" s="123"/>
      <c r="C41" s="253" t="s">
        <v>2497</v>
      </c>
      <c r="D41" s="118">
        <v>0</v>
      </c>
      <c r="E41" s="118">
        <v>0</v>
      </c>
      <c r="F41" s="118">
        <v>0</v>
      </c>
      <c r="G41" s="144"/>
      <c r="H41" s="144"/>
      <c r="I41" s="346"/>
      <c r="J41" s="346"/>
      <c r="K41" s="144"/>
    </row>
    <row r="42" spans="2:11" x14ac:dyDescent="0.35">
      <c r="B42" s="123"/>
      <c r="C42" s="253" t="s">
        <v>2498</v>
      </c>
      <c r="D42" s="118">
        <v>-2.3E-2</v>
      </c>
      <c r="E42" s="118">
        <v>-0.52400000000000002</v>
      </c>
      <c r="F42" s="118">
        <v>-0.26200000000000001</v>
      </c>
      <c r="G42" s="144"/>
      <c r="H42" s="144"/>
      <c r="I42" s="346"/>
      <c r="J42" s="346"/>
      <c r="K42" s="144"/>
    </row>
    <row r="43" spans="2:11" x14ac:dyDescent="0.35">
      <c r="B43" s="123"/>
      <c r="C43" s="252" t="s">
        <v>2499</v>
      </c>
      <c r="D43" s="118">
        <v>-1.4E-2</v>
      </c>
      <c r="E43" s="118">
        <v>-0.32</v>
      </c>
      <c r="F43" s="118">
        <v>-0.16</v>
      </c>
      <c r="G43" s="144"/>
      <c r="H43" s="144"/>
      <c r="I43" s="346"/>
      <c r="J43" s="346"/>
      <c r="K43" s="144"/>
    </row>
    <row r="44" spans="2:11" x14ac:dyDescent="0.35">
      <c r="B44" s="123"/>
      <c r="C44" s="252" t="s">
        <v>2500</v>
      </c>
      <c r="D44" s="118">
        <v>0</v>
      </c>
      <c r="E44" s="118">
        <v>0</v>
      </c>
      <c r="F44" s="118">
        <v>0</v>
      </c>
      <c r="G44" s="144"/>
      <c r="H44" s="144"/>
      <c r="I44" s="346"/>
      <c r="J44" s="346"/>
      <c r="K44" s="144"/>
    </row>
    <row r="45" spans="2:11" x14ac:dyDescent="0.35">
      <c r="B45" s="123"/>
      <c r="C45" s="252" t="s">
        <v>2501</v>
      </c>
      <c r="D45" s="118">
        <v>0</v>
      </c>
      <c r="E45" s="118">
        <v>0</v>
      </c>
      <c r="F45" s="118">
        <v>0</v>
      </c>
      <c r="G45" s="144"/>
      <c r="H45" s="144"/>
      <c r="I45" s="346"/>
      <c r="J45" s="346"/>
      <c r="K45" s="144"/>
    </row>
  </sheetData>
  <sheetProtection algorithmName="SHA-512" hashValue="FeMY1QgNJUzGvZUd9GBhlArcc2JgsI27oYz65qJz1MZovhGZoiQ26q6ZyFB3JyRvVskn3+G7I5bcCIsxT1aXFQ==" saltValue="WyMqSsEKauyR0ZnSBuwslA==" spinCount="100000" sheet="1" objects="1" scenarios="1" selectLockedCells="1" selectUnlockedCells="1"/>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55AD0-8F55-4C4E-B007-6900E18E851B}">
  <sheetPr codeName="Sheet12">
    <tabColor rgb="FF7030A0"/>
  </sheetPr>
  <dimension ref="B2:E11"/>
  <sheetViews>
    <sheetView workbookViewId="0"/>
  </sheetViews>
  <sheetFormatPr defaultRowHeight="14.5" x14ac:dyDescent="0.35"/>
  <cols>
    <col min="2" max="2" width="19.36328125" customWidth="1"/>
    <col min="3" max="3" width="13.26953125" customWidth="1"/>
    <col min="4" max="4" width="16.7265625" customWidth="1"/>
    <col min="5" max="5" width="14.36328125" customWidth="1"/>
  </cols>
  <sheetData>
    <row r="2" spans="2:5" x14ac:dyDescent="0.35">
      <c r="B2" s="123"/>
      <c r="C2" s="123"/>
      <c r="D2" s="204" t="s">
        <v>12</v>
      </c>
      <c r="E2" s="204" t="s">
        <v>347</v>
      </c>
    </row>
    <row r="3" spans="2:5" x14ac:dyDescent="0.35">
      <c r="B3" s="204" t="s">
        <v>2418</v>
      </c>
      <c r="C3" s="204" t="s">
        <v>2239</v>
      </c>
      <c r="D3" s="204" t="s">
        <v>2502</v>
      </c>
      <c r="E3" s="204" t="s">
        <v>2502</v>
      </c>
    </row>
    <row r="4" spans="2:5" x14ac:dyDescent="0.35">
      <c r="B4" s="123" t="s">
        <v>2503</v>
      </c>
      <c r="C4" s="123" t="s">
        <v>2504</v>
      </c>
      <c r="D4" s="123">
        <v>2</v>
      </c>
      <c r="E4" s="123">
        <v>1.7</v>
      </c>
    </row>
    <row r="5" spans="2:5" x14ac:dyDescent="0.35">
      <c r="B5" s="123" t="s">
        <v>2503</v>
      </c>
      <c r="C5" s="123" t="s">
        <v>2505</v>
      </c>
      <c r="D5" s="123">
        <v>2.2999999999999998</v>
      </c>
      <c r="E5" s="123">
        <v>1.92</v>
      </c>
    </row>
    <row r="6" spans="2:5" x14ac:dyDescent="0.35">
      <c r="B6" s="123" t="s">
        <v>2503</v>
      </c>
      <c r="C6" s="123" t="s">
        <v>2506</v>
      </c>
      <c r="D6" s="123">
        <v>2.4</v>
      </c>
      <c r="E6" s="123">
        <v>2.04</v>
      </c>
    </row>
    <row r="7" spans="2:5" x14ac:dyDescent="0.35">
      <c r="B7" s="123" t="s">
        <v>2507</v>
      </c>
      <c r="C7" s="123"/>
      <c r="D7" s="123">
        <v>1</v>
      </c>
      <c r="E7" s="123">
        <v>1</v>
      </c>
    </row>
    <row r="8" spans="2:5" x14ac:dyDescent="0.35">
      <c r="B8" s="123" t="s">
        <v>923</v>
      </c>
      <c r="C8" s="123" t="s">
        <v>2508</v>
      </c>
      <c r="D8" s="358">
        <f>AVERAGE(D4:D7)/AVERAGE(E4:E7)*E8</f>
        <v>1.4798798798798796</v>
      </c>
      <c r="E8" s="123">
        <v>1.28</v>
      </c>
    </row>
    <row r="10" spans="2:5" x14ac:dyDescent="0.35">
      <c r="B10" s="204" t="s">
        <v>2509</v>
      </c>
      <c r="C10" s="123" t="s">
        <v>940</v>
      </c>
      <c r="D10" s="123"/>
      <c r="E10" s="123"/>
    </row>
    <row r="11" spans="2:5" x14ac:dyDescent="0.35">
      <c r="B11" s="204" t="s">
        <v>2510</v>
      </c>
      <c r="C11" s="123" t="s">
        <v>2511</v>
      </c>
      <c r="D11" s="123"/>
      <c r="E11" s="123"/>
    </row>
  </sheetData>
  <sheetProtection algorithmName="SHA-512" hashValue="FtH2xzGirxKQbrTuLgbon0OfFMJTxxMoiE0UUOdc5HuWY3ap/kv6CgnCPMGzppweXWGgthgKfe6BUVIpfLP9qw==" saltValue="jgJoWUnyLFHaUwJMDOl2jA==" spinCount="100000" sheet="1" objects="1" scenarios="1" selectLockedCells="1" selectUnlockedCells="1"/>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B1CFD-23F2-4827-AE20-F9CC3FF5D59A}">
  <sheetPr codeName="Sheet40">
    <tabColor rgb="FF7030A0"/>
  </sheetPr>
  <dimension ref="B2:J34"/>
  <sheetViews>
    <sheetView workbookViewId="0"/>
  </sheetViews>
  <sheetFormatPr defaultColWidth="9.08984375" defaultRowHeight="14.5" x14ac:dyDescent="0.35"/>
  <cols>
    <col min="1" max="8" width="9.08984375" style="123"/>
    <col min="9" max="9" width="14" style="123" customWidth="1"/>
    <col min="10" max="16384" width="9.08984375" style="123"/>
  </cols>
  <sheetData>
    <row r="2" spans="2:10" x14ac:dyDescent="0.35">
      <c r="B2" s="2053" t="s">
        <v>2512</v>
      </c>
      <c r="C2" s="2053"/>
      <c r="D2" s="2053"/>
      <c r="E2" s="2053"/>
      <c r="F2" s="2053"/>
      <c r="G2" s="2053"/>
      <c r="H2" s="2053"/>
      <c r="I2" s="2053"/>
      <c r="J2" s="2053"/>
    </row>
    <row r="3" spans="2:10" x14ac:dyDescent="0.35">
      <c r="B3" s="2054" t="s">
        <v>2513</v>
      </c>
      <c r="C3" s="2057" t="s">
        <v>2514</v>
      </c>
      <c r="D3" s="2058"/>
      <c r="E3" s="2059"/>
      <c r="F3" s="2060" t="s">
        <v>2515</v>
      </c>
      <c r="G3" s="2061"/>
      <c r="H3" s="2061"/>
      <c r="I3" s="2052" t="s">
        <v>1431</v>
      </c>
      <c r="J3" s="2062" t="s">
        <v>10</v>
      </c>
    </row>
    <row r="4" spans="2:10" x14ac:dyDescent="0.35">
      <c r="B4" s="2055"/>
      <c r="C4" s="2063" t="s">
        <v>2516</v>
      </c>
      <c r="D4" s="2064"/>
      <c r="E4" s="2065"/>
      <c r="F4" s="2063" t="s">
        <v>2516</v>
      </c>
      <c r="G4" s="2064"/>
      <c r="H4" s="2064"/>
      <c r="I4" s="2052"/>
      <c r="J4" s="2062"/>
    </row>
    <row r="5" spans="2:10" x14ac:dyDescent="0.35">
      <c r="B5" s="2055"/>
      <c r="C5" s="237">
        <v>6</v>
      </c>
      <c r="D5" s="237">
        <v>4</v>
      </c>
      <c r="E5" s="237">
        <v>2</v>
      </c>
      <c r="F5" s="237">
        <v>6</v>
      </c>
      <c r="G5" s="237">
        <v>4</v>
      </c>
      <c r="H5" s="243">
        <v>2</v>
      </c>
      <c r="I5" s="2052"/>
      <c r="J5" s="2062"/>
    </row>
    <row r="6" spans="2:10" x14ac:dyDescent="0.35">
      <c r="B6" s="2055"/>
      <c r="C6" s="2066" t="s">
        <v>2517</v>
      </c>
      <c r="D6" s="2067"/>
      <c r="E6" s="2068"/>
      <c r="F6" s="2069" t="s">
        <v>2517</v>
      </c>
      <c r="G6" s="2070"/>
      <c r="H6" s="2070"/>
      <c r="I6" s="2052"/>
      <c r="J6" s="2062"/>
    </row>
    <row r="7" spans="2:10" ht="26" x14ac:dyDescent="0.35">
      <c r="B7" s="2056"/>
      <c r="C7" s="237">
        <v>1200</v>
      </c>
      <c r="D7" s="238" t="s">
        <v>2518</v>
      </c>
      <c r="E7" s="237">
        <v>3600</v>
      </c>
      <c r="F7" s="237">
        <v>1200</v>
      </c>
      <c r="G7" s="237">
        <v>1800</v>
      </c>
      <c r="H7" s="243">
        <v>3600</v>
      </c>
      <c r="I7" s="2052"/>
      <c r="J7" s="2062"/>
    </row>
    <row r="8" spans="2:10" x14ac:dyDescent="0.35">
      <c r="B8" s="140">
        <v>1</v>
      </c>
      <c r="C8" s="239">
        <v>0.82499999999999996</v>
      </c>
      <c r="D8" s="239">
        <v>0.85499999999999998</v>
      </c>
      <c r="E8" s="239">
        <v>0.77</v>
      </c>
      <c r="F8" s="239">
        <v>0.82499999999999996</v>
      </c>
      <c r="G8" s="239">
        <v>0.85499999999999998</v>
      </c>
      <c r="H8" s="240">
        <v>0.77</v>
      </c>
      <c r="I8" s="245">
        <v>0</v>
      </c>
      <c r="J8" s="244">
        <f>AVERAGE(C8:H8)</f>
        <v>0.81666666666666676</v>
      </c>
    </row>
    <row r="9" spans="2:10" x14ac:dyDescent="0.35">
      <c r="B9" s="241">
        <v>1.5</v>
      </c>
      <c r="C9" s="239">
        <v>0.86499999999999999</v>
      </c>
      <c r="D9" s="239">
        <v>0.86499999999999999</v>
      </c>
      <c r="E9" s="239">
        <v>0.84</v>
      </c>
      <c r="F9" s="239">
        <v>0.875</v>
      </c>
      <c r="G9" s="239">
        <v>0.86499999999999999</v>
      </c>
      <c r="H9" s="240">
        <v>0.84</v>
      </c>
      <c r="I9" s="245">
        <f t="shared" ref="I9:I32" si="0">ROUNDDOWN(B9,0)</f>
        <v>1</v>
      </c>
      <c r="J9" s="244">
        <f t="shared" ref="J9:J32" si="1">AVERAGE(C9:H9)</f>
        <v>0.85833333333333328</v>
      </c>
    </row>
    <row r="10" spans="2:10" x14ac:dyDescent="0.35">
      <c r="B10" s="140">
        <v>2</v>
      </c>
      <c r="C10" s="239">
        <v>0.875</v>
      </c>
      <c r="D10" s="239">
        <v>0.86499999999999999</v>
      </c>
      <c r="E10" s="239">
        <v>0.85499999999999998</v>
      </c>
      <c r="F10" s="239">
        <v>0.88500000000000001</v>
      </c>
      <c r="G10" s="239">
        <v>0.86499999999999999</v>
      </c>
      <c r="H10" s="240">
        <v>0.85499999999999998</v>
      </c>
      <c r="I10" s="245">
        <f t="shared" si="0"/>
        <v>2</v>
      </c>
      <c r="J10" s="244">
        <f t="shared" si="1"/>
        <v>0.86666666666666659</v>
      </c>
    </row>
    <row r="11" spans="2:10" x14ac:dyDescent="0.35">
      <c r="B11" s="140">
        <v>3</v>
      </c>
      <c r="C11" s="239">
        <v>0.88500000000000001</v>
      </c>
      <c r="D11" s="239">
        <v>0.89500000000000002</v>
      </c>
      <c r="E11" s="239">
        <v>0.85499999999999998</v>
      </c>
      <c r="F11" s="239">
        <v>0.89500000000000002</v>
      </c>
      <c r="G11" s="239">
        <v>0.89500000000000002</v>
      </c>
      <c r="H11" s="240">
        <v>0.86499999999999999</v>
      </c>
      <c r="I11" s="245">
        <f t="shared" si="0"/>
        <v>3</v>
      </c>
      <c r="J11" s="244">
        <f t="shared" si="1"/>
        <v>0.88166666666666671</v>
      </c>
    </row>
    <row r="12" spans="2:10" x14ac:dyDescent="0.35">
      <c r="B12" s="140">
        <v>5</v>
      </c>
      <c r="C12" s="239">
        <v>0.89500000000000002</v>
      </c>
      <c r="D12" s="239">
        <v>0.89500000000000002</v>
      </c>
      <c r="E12" s="239">
        <v>0.86499999999999999</v>
      </c>
      <c r="F12" s="239">
        <v>0.89500000000000002</v>
      </c>
      <c r="G12" s="239">
        <v>0.89500000000000002</v>
      </c>
      <c r="H12" s="240">
        <v>0.88500000000000001</v>
      </c>
      <c r="I12" s="245">
        <f t="shared" si="0"/>
        <v>5</v>
      </c>
      <c r="J12" s="244">
        <f t="shared" si="1"/>
        <v>0.88833333333333331</v>
      </c>
    </row>
    <row r="13" spans="2:10" x14ac:dyDescent="0.35">
      <c r="B13" s="241">
        <v>7.5</v>
      </c>
      <c r="C13" s="239">
        <v>0.90200000000000002</v>
      </c>
      <c r="D13" s="239">
        <v>0.91</v>
      </c>
      <c r="E13" s="239">
        <v>0.88500000000000001</v>
      </c>
      <c r="F13" s="239">
        <v>0.91</v>
      </c>
      <c r="G13" s="239">
        <v>0.91700000000000004</v>
      </c>
      <c r="H13" s="240">
        <v>0.89500000000000002</v>
      </c>
      <c r="I13" s="245">
        <f t="shared" si="0"/>
        <v>7</v>
      </c>
      <c r="J13" s="244">
        <f t="shared" si="1"/>
        <v>0.90316666666666678</v>
      </c>
    </row>
    <row r="14" spans="2:10" x14ac:dyDescent="0.35">
      <c r="B14" s="140">
        <v>10</v>
      </c>
      <c r="C14" s="239">
        <v>0.91700000000000004</v>
      </c>
      <c r="D14" s="239">
        <v>0.91700000000000004</v>
      </c>
      <c r="E14" s="239">
        <v>0.89500000000000002</v>
      </c>
      <c r="F14" s="239">
        <v>0.91</v>
      </c>
      <c r="G14" s="239">
        <v>0.91700000000000004</v>
      </c>
      <c r="H14" s="240">
        <v>0.90200000000000002</v>
      </c>
      <c r="I14" s="245">
        <f t="shared" si="0"/>
        <v>10</v>
      </c>
      <c r="J14" s="244">
        <f t="shared" si="1"/>
        <v>0.90966666666666673</v>
      </c>
    </row>
    <row r="15" spans="2:10" x14ac:dyDescent="0.35">
      <c r="B15" s="140">
        <v>15</v>
      </c>
      <c r="C15" s="239">
        <v>0.91700000000000004</v>
      </c>
      <c r="D15" s="239">
        <v>0.93</v>
      </c>
      <c r="E15" s="239">
        <v>0.90200000000000002</v>
      </c>
      <c r="F15" s="239">
        <v>0.91700000000000004</v>
      </c>
      <c r="G15" s="239">
        <v>0.92400000000000004</v>
      </c>
      <c r="H15" s="240">
        <v>0.91</v>
      </c>
      <c r="I15" s="245">
        <f t="shared" si="0"/>
        <v>15</v>
      </c>
      <c r="J15" s="244">
        <f t="shared" si="1"/>
        <v>0.91666666666666685</v>
      </c>
    </row>
    <row r="16" spans="2:10" x14ac:dyDescent="0.35">
      <c r="B16" s="140">
        <v>20</v>
      </c>
      <c r="C16" s="239">
        <v>0.92400000000000004</v>
      </c>
      <c r="D16" s="239">
        <v>0.93</v>
      </c>
      <c r="E16" s="239">
        <v>0.91</v>
      </c>
      <c r="F16" s="239">
        <v>0.91700000000000004</v>
      </c>
      <c r="G16" s="239">
        <v>0.93</v>
      </c>
      <c r="H16" s="240">
        <v>0.91</v>
      </c>
      <c r="I16" s="245">
        <f t="shared" si="0"/>
        <v>20</v>
      </c>
      <c r="J16" s="244">
        <f t="shared" si="1"/>
        <v>0.92016666666666669</v>
      </c>
    </row>
    <row r="17" spans="2:10" x14ac:dyDescent="0.35">
      <c r="B17" s="140">
        <v>25</v>
      </c>
      <c r="C17" s="239">
        <v>0.93</v>
      </c>
      <c r="D17" s="239">
        <v>0.93600000000000005</v>
      </c>
      <c r="E17" s="239">
        <v>0.91700000000000004</v>
      </c>
      <c r="F17" s="239">
        <v>0.93</v>
      </c>
      <c r="G17" s="239">
        <v>0.93600000000000005</v>
      </c>
      <c r="H17" s="240">
        <v>0.91700000000000004</v>
      </c>
      <c r="I17" s="245">
        <f t="shared" si="0"/>
        <v>25</v>
      </c>
      <c r="J17" s="244">
        <f t="shared" si="1"/>
        <v>0.92766666666666675</v>
      </c>
    </row>
    <row r="18" spans="2:10" x14ac:dyDescent="0.35">
      <c r="B18" s="140">
        <v>30</v>
      </c>
      <c r="C18" s="239">
        <v>0.93600000000000005</v>
      </c>
      <c r="D18" s="239">
        <v>0.94099999999999995</v>
      </c>
      <c r="E18" s="239">
        <v>0.91700000000000004</v>
      </c>
      <c r="F18" s="239">
        <v>0.93</v>
      </c>
      <c r="G18" s="239">
        <v>0.93600000000000005</v>
      </c>
      <c r="H18" s="240">
        <v>0.91700000000000004</v>
      </c>
      <c r="I18" s="245">
        <f t="shared" si="0"/>
        <v>30</v>
      </c>
      <c r="J18" s="244">
        <f t="shared" si="1"/>
        <v>0.92949999999999999</v>
      </c>
    </row>
    <row r="19" spans="2:10" x14ac:dyDescent="0.35">
      <c r="B19" s="140">
        <v>40</v>
      </c>
      <c r="C19" s="239">
        <v>0.94099999999999995</v>
      </c>
      <c r="D19" s="239">
        <v>0.94099999999999995</v>
      </c>
      <c r="E19" s="239">
        <v>0.92400000000000004</v>
      </c>
      <c r="F19" s="239">
        <v>0.94099999999999995</v>
      </c>
      <c r="G19" s="239">
        <v>0.94099999999999995</v>
      </c>
      <c r="H19" s="240">
        <v>0.92400000000000004</v>
      </c>
      <c r="I19" s="245">
        <f t="shared" si="0"/>
        <v>40</v>
      </c>
      <c r="J19" s="244">
        <f t="shared" si="1"/>
        <v>0.93533333333333335</v>
      </c>
    </row>
    <row r="20" spans="2:10" x14ac:dyDescent="0.35">
      <c r="B20" s="140">
        <v>50</v>
      </c>
      <c r="C20" s="239">
        <v>0.94099999999999995</v>
      </c>
      <c r="D20" s="239">
        <v>0.94499999999999995</v>
      </c>
      <c r="E20" s="239">
        <v>0.93</v>
      </c>
      <c r="F20" s="239">
        <v>0.94099999999999995</v>
      </c>
      <c r="G20" s="239">
        <v>0.94499999999999995</v>
      </c>
      <c r="H20" s="240">
        <v>0.93</v>
      </c>
      <c r="I20" s="245">
        <f t="shared" si="0"/>
        <v>50</v>
      </c>
      <c r="J20" s="244">
        <f t="shared" si="1"/>
        <v>0.93866666666666665</v>
      </c>
    </row>
    <row r="21" spans="2:10" x14ac:dyDescent="0.35">
      <c r="B21" s="140">
        <v>60</v>
      </c>
      <c r="C21" s="239">
        <v>0.94499999999999995</v>
      </c>
      <c r="D21" s="239">
        <v>0.95</v>
      </c>
      <c r="E21" s="239">
        <v>0.93600000000000005</v>
      </c>
      <c r="F21" s="239">
        <v>0.94499999999999995</v>
      </c>
      <c r="G21" s="239">
        <v>0.95</v>
      </c>
      <c r="H21" s="240">
        <v>0.93600000000000005</v>
      </c>
      <c r="I21" s="245">
        <f t="shared" si="0"/>
        <v>60</v>
      </c>
      <c r="J21" s="244">
        <f t="shared" si="1"/>
        <v>0.94366666666666665</v>
      </c>
    </row>
    <row r="22" spans="2:10" x14ac:dyDescent="0.35">
      <c r="B22" s="140">
        <v>75</v>
      </c>
      <c r="C22" s="239">
        <v>0.94499999999999995</v>
      </c>
      <c r="D22" s="239">
        <v>0.95</v>
      </c>
      <c r="E22" s="239">
        <v>0.93600000000000005</v>
      </c>
      <c r="F22" s="239">
        <v>0.94499999999999995</v>
      </c>
      <c r="G22" s="239">
        <v>0.95399999999999996</v>
      </c>
      <c r="H22" s="240">
        <v>0.93600000000000005</v>
      </c>
      <c r="I22" s="245">
        <f t="shared" si="0"/>
        <v>75</v>
      </c>
      <c r="J22" s="244">
        <f t="shared" si="1"/>
        <v>0.94433333333333325</v>
      </c>
    </row>
    <row r="23" spans="2:10" x14ac:dyDescent="0.35">
      <c r="B23" s="140">
        <v>100</v>
      </c>
      <c r="C23" s="239">
        <v>0.95</v>
      </c>
      <c r="D23" s="239">
        <v>0.95399999999999996</v>
      </c>
      <c r="E23" s="239">
        <v>0.93600000000000005</v>
      </c>
      <c r="F23" s="239">
        <v>0.95</v>
      </c>
      <c r="G23" s="239">
        <v>0.95399999999999996</v>
      </c>
      <c r="H23" s="240">
        <v>0.94099999999999995</v>
      </c>
      <c r="I23" s="245">
        <f t="shared" si="0"/>
        <v>100</v>
      </c>
      <c r="J23" s="244">
        <f t="shared" si="1"/>
        <v>0.9474999999999999</v>
      </c>
    </row>
    <row r="24" spans="2:10" x14ac:dyDescent="0.35">
      <c r="B24" s="140">
        <v>125</v>
      </c>
      <c r="C24" s="239">
        <v>0.95</v>
      </c>
      <c r="D24" s="239">
        <v>0.95399999999999996</v>
      </c>
      <c r="E24" s="239">
        <v>0.94099999999999995</v>
      </c>
      <c r="F24" s="239">
        <v>0.95</v>
      </c>
      <c r="G24" s="239">
        <v>0.95399999999999996</v>
      </c>
      <c r="H24" s="240">
        <v>0.95</v>
      </c>
      <c r="I24" s="245">
        <f t="shared" si="0"/>
        <v>125</v>
      </c>
      <c r="J24" s="244">
        <f t="shared" si="1"/>
        <v>0.94983333333333331</v>
      </c>
    </row>
    <row r="25" spans="2:10" x14ac:dyDescent="0.35">
      <c r="B25" s="140">
        <v>150</v>
      </c>
      <c r="C25" s="239">
        <v>0.95399999999999996</v>
      </c>
      <c r="D25" s="239">
        <v>0.95799999999999996</v>
      </c>
      <c r="E25" s="239">
        <v>0.94099999999999995</v>
      </c>
      <c r="F25" s="239">
        <v>0.95799999999999996</v>
      </c>
      <c r="G25" s="239">
        <v>0.95799999999999996</v>
      </c>
      <c r="H25" s="240">
        <v>0.95</v>
      </c>
      <c r="I25" s="245">
        <f t="shared" si="0"/>
        <v>150</v>
      </c>
      <c r="J25" s="244">
        <f t="shared" si="1"/>
        <v>0.95316666666666672</v>
      </c>
    </row>
    <row r="26" spans="2:10" x14ac:dyDescent="0.35">
      <c r="B26" s="140">
        <v>200</v>
      </c>
      <c r="C26" s="239">
        <v>0.95399999999999996</v>
      </c>
      <c r="D26" s="239">
        <v>0.95799999999999996</v>
      </c>
      <c r="E26" s="239">
        <v>0.95</v>
      </c>
      <c r="F26" s="239">
        <v>0.95799999999999996</v>
      </c>
      <c r="G26" s="239">
        <v>0.96199999999999997</v>
      </c>
      <c r="H26" s="240">
        <v>0.95399999999999996</v>
      </c>
      <c r="I26" s="245">
        <f t="shared" si="0"/>
        <v>200</v>
      </c>
      <c r="J26" s="244">
        <f t="shared" si="1"/>
        <v>0.95599999999999996</v>
      </c>
    </row>
    <row r="27" spans="2:10" x14ac:dyDescent="0.35">
      <c r="B27" s="140">
        <v>250</v>
      </c>
      <c r="C27" s="239">
        <v>0.95399999999999996</v>
      </c>
      <c r="D27" s="239">
        <v>0.95799999999999996</v>
      </c>
      <c r="E27" s="239">
        <v>0.95</v>
      </c>
      <c r="F27" s="239">
        <v>0.95799999999999996</v>
      </c>
      <c r="G27" s="239">
        <v>0.96199999999999997</v>
      </c>
      <c r="H27" s="240">
        <v>0.95799999999999996</v>
      </c>
      <c r="I27" s="245">
        <f t="shared" si="0"/>
        <v>250</v>
      </c>
      <c r="J27" s="244">
        <f t="shared" si="1"/>
        <v>0.95666666666666667</v>
      </c>
    </row>
    <row r="28" spans="2:10" x14ac:dyDescent="0.35">
      <c r="B28" s="140">
        <v>300</v>
      </c>
      <c r="C28" s="239">
        <v>0.95399999999999996</v>
      </c>
      <c r="D28" s="239">
        <v>0.95799999999999996</v>
      </c>
      <c r="E28" s="239">
        <v>0.95399999999999996</v>
      </c>
      <c r="F28" s="239">
        <v>0.95799999999999996</v>
      </c>
      <c r="G28" s="239">
        <v>0.96199999999999997</v>
      </c>
      <c r="H28" s="240">
        <v>0.95799999999999996</v>
      </c>
      <c r="I28" s="245">
        <f t="shared" si="0"/>
        <v>300</v>
      </c>
      <c r="J28" s="244">
        <f t="shared" si="1"/>
        <v>0.95733333333333326</v>
      </c>
    </row>
    <row r="29" spans="2:10" x14ac:dyDescent="0.35">
      <c r="B29" s="140">
        <v>350</v>
      </c>
      <c r="C29" s="239">
        <v>0.95399999999999996</v>
      </c>
      <c r="D29" s="239">
        <v>0.95799999999999996</v>
      </c>
      <c r="E29" s="239">
        <v>0.95399999999999996</v>
      </c>
      <c r="F29" s="239">
        <v>0.95799999999999996</v>
      </c>
      <c r="G29" s="239">
        <v>0.96199999999999997</v>
      </c>
      <c r="H29" s="240">
        <v>0.95799999999999996</v>
      </c>
      <c r="I29" s="245">
        <f t="shared" si="0"/>
        <v>350</v>
      </c>
      <c r="J29" s="244">
        <f t="shared" si="1"/>
        <v>0.95733333333333326</v>
      </c>
    </row>
    <row r="30" spans="2:10" x14ac:dyDescent="0.35">
      <c r="B30" s="140">
        <v>400</v>
      </c>
      <c r="C30" s="239">
        <v>0.95799999999999996</v>
      </c>
      <c r="D30" s="239">
        <v>0.95799999999999996</v>
      </c>
      <c r="E30" s="239">
        <v>0.95799999999999996</v>
      </c>
      <c r="F30" s="239">
        <v>0.95799999999999996</v>
      </c>
      <c r="G30" s="239">
        <v>0.96199999999999997</v>
      </c>
      <c r="H30" s="240">
        <v>0.95799999999999996</v>
      </c>
      <c r="I30" s="245">
        <f t="shared" si="0"/>
        <v>400</v>
      </c>
      <c r="J30" s="244">
        <f t="shared" si="1"/>
        <v>0.95866666666666667</v>
      </c>
    </row>
    <row r="31" spans="2:10" x14ac:dyDescent="0.35">
      <c r="B31" s="140">
        <v>450</v>
      </c>
      <c r="C31" s="239">
        <v>0.96199999999999997</v>
      </c>
      <c r="D31" s="239">
        <v>0.96199999999999997</v>
      </c>
      <c r="E31" s="239">
        <v>0.95799999999999996</v>
      </c>
      <c r="F31" s="239">
        <v>0.95799999999999996</v>
      </c>
      <c r="G31" s="239">
        <v>0.96199999999999997</v>
      </c>
      <c r="H31" s="240">
        <v>0.95799999999999996</v>
      </c>
      <c r="I31" s="245">
        <f t="shared" si="0"/>
        <v>450</v>
      </c>
      <c r="J31" s="244">
        <f t="shared" si="1"/>
        <v>0.96</v>
      </c>
    </row>
    <row r="32" spans="2:10" x14ac:dyDescent="0.35">
      <c r="B32" s="140">
        <v>500</v>
      </c>
      <c r="C32" s="239">
        <v>0.96199999999999997</v>
      </c>
      <c r="D32" s="239">
        <v>0.96199999999999997</v>
      </c>
      <c r="E32" s="239">
        <v>0.95799999999999996</v>
      </c>
      <c r="F32" s="239">
        <v>0.95799999999999996</v>
      </c>
      <c r="G32" s="239">
        <v>0.96199999999999997</v>
      </c>
      <c r="H32" s="240">
        <v>0.95799999999999996</v>
      </c>
      <c r="I32" s="245">
        <f t="shared" si="0"/>
        <v>500</v>
      </c>
      <c r="J32" s="244">
        <f t="shared" si="1"/>
        <v>0.96</v>
      </c>
    </row>
    <row r="34" spans="2:10" ht="60" customHeight="1" x14ac:dyDescent="0.35">
      <c r="B34" s="242" t="s">
        <v>2266</v>
      </c>
      <c r="C34" s="2051" t="s">
        <v>2519</v>
      </c>
      <c r="D34" s="2051"/>
      <c r="E34" s="2051"/>
      <c r="F34" s="2051"/>
      <c r="G34" s="2051"/>
      <c r="H34" s="2051"/>
      <c r="I34" s="2051"/>
      <c r="J34" s="2051"/>
    </row>
  </sheetData>
  <sheetProtection algorithmName="SHA-512" hashValue="7PZxFouu9AhFOM2kW9iCXQAuesdy1gCIoa+Q3Zrj0xkjCyra3PZhj6T6DfYCIze/PL8TYpQwxln1pjns6h52Wg==" saltValue="oC+g3j5nDA4IABmwU/TjZg==" spinCount="100000" sheet="1" objects="1" scenarios="1" selectLockedCells="1" selectUnlockedCells="1"/>
  <mergeCells count="11">
    <mergeCell ref="C34:J34"/>
    <mergeCell ref="I3:I7"/>
    <mergeCell ref="B2:J2"/>
    <mergeCell ref="B3:B7"/>
    <mergeCell ref="C3:E3"/>
    <mergeCell ref="F3:H3"/>
    <mergeCell ref="J3:J7"/>
    <mergeCell ref="C4:E4"/>
    <mergeCell ref="F4:H4"/>
    <mergeCell ref="C6:E6"/>
    <mergeCell ref="F6:H6"/>
  </mergeCells>
  <pageMargins left="0.7" right="0.7" top="0.75" bottom="0.75" header="0.3" footer="0.3"/>
  <pageSetup orientation="portrait" horizontalDpi="1200" verticalDpi="1200" r:id="rId1"/>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59924-E3BF-46C9-AC9E-193F40E8FE30}">
  <sheetPr codeName="Sheet42">
    <tabColor rgb="FF7030A0"/>
  </sheetPr>
  <dimension ref="B1:BC78"/>
  <sheetViews>
    <sheetView workbookViewId="0"/>
  </sheetViews>
  <sheetFormatPr defaultColWidth="9.08984375" defaultRowHeight="14.5" x14ac:dyDescent="0.35"/>
  <cols>
    <col min="1" max="1" width="2.36328125" style="4" customWidth="1"/>
    <col min="2" max="2" width="15.36328125" style="4" customWidth="1"/>
    <col min="3" max="3" width="27.81640625" style="4" customWidth="1"/>
    <col min="4" max="4" width="10.36328125" style="5" customWidth="1"/>
    <col min="5" max="5" width="35" style="6" customWidth="1"/>
    <col min="6" max="6" width="10.36328125" style="5" customWidth="1"/>
    <col min="7" max="7" width="23.6328125" style="6" customWidth="1"/>
    <col min="8" max="8" width="10.36328125" style="7" customWidth="1"/>
    <col min="9" max="10" width="10.36328125" style="8" customWidth="1"/>
    <col min="11" max="11" width="11.81640625" style="4" customWidth="1"/>
    <col min="12" max="12" width="4.36328125" style="9" customWidth="1"/>
    <col min="13" max="13" width="12.36328125" style="10" customWidth="1"/>
    <col min="14" max="14" width="12.36328125" style="11" customWidth="1"/>
    <col min="15" max="15" width="12.36328125" style="4" customWidth="1"/>
    <col min="16" max="16" width="14.36328125" style="4" customWidth="1"/>
    <col min="17" max="19" width="12.36328125" style="4" customWidth="1"/>
    <col min="20" max="20" width="14.36328125" style="12" customWidth="1"/>
    <col min="21" max="21" width="4.36328125" style="9" customWidth="1"/>
    <col min="22" max="22" width="27.81640625" style="11" customWidth="1"/>
    <col min="23" max="23" width="11.36328125" style="4" customWidth="1"/>
    <col min="24" max="24" width="12.81640625" style="13" customWidth="1"/>
    <col min="25" max="25" width="12.81640625" style="8" customWidth="1"/>
    <col min="26" max="26" width="10.81640625" style="4" customWidth="1"/>
    <col min="27" max="27" width="14.36328125" style="4" customWidth="1"/>
    <col min="28" max="29" width="12.81640625" style="8" customWidth="1"/>
    <col min="30" max="30" width="11" style="4" customWidth="1"/>
    <col min="31" max="31" width="4.36328125" style="9" customWidth="1"/>
    <col min="32" max="32" width="37.6328125" style="11" customWidth="1"/>
    <col min="33" max="33" width="8.6328125" style="14" customWidth="1"/>
    <col min="34" max="34" width="11.36328125" style="15" customWidth="1"/>
    <col min="35" max="35" width="9.36328125" style="4" bestFit="1" customWidth="1"/>
    <col min="36" max="36" width="11.08984375" style="5" customWidth="1"/>
    <col min="37" max="38" width="12.81640625" style="8" customWidth="1"/>
    <col min="39" max="39" width="10.81640625" style="4" bestFit="1" customWidth="1"/>
    <col min="40" max="40" width="9.81640625" style="11" bestFit="1" customWidth="1"/>
    <col min="41" max="42" width="12.81640625" style="8" customWidth="1"/>
    <col min="43" max="43" width="11.08984375" style="5" customWidth="1"/>
    <col min="44" max="45" width="12.81640625" style="8" customWidth="1"/>
    <col min="46" max="46" width="10.36328125" style="4" customWidth="1"/>
    <col min="47" max="47" width="16.6328125" style="4" customWidth="1"/>
    <col min="48" max="48" width="21.36328125" style="11" customWidth="1"/>
    <col min="49" max="49" width="9.36328125" style="4" bestFit="1" customWidth="1"/>
    <col min="50" max="50" width="9.08984375" style="4"/>
    <col min="51" max="51" width="11" style="5" customWidth="1"/>
    <col min="52" max="53" width="12.81640625" style="8" customWidth="1"/>
    <col min="54" max="54" width="11.6328125" style="11" customWidth="1"/>
    <col min="55" max="55" width="12.81640625" style="8" customWidth="1"/>
    <col min="56" max="16384" width="9.08984375" style="4"/>
  </cols>
  <sheetData>
    <row r="1" spans="2:55" s="14" customFormat="1" ht="20" x14ac:dyDescent="0.35">
      <c r="B1" s="141" t="s">
        <v>2520</v>
      </c>
      <c r="D1" s="7"/>
      <c r="E1" s="6"/>
      <c r="F1" s="7"/>
      <c r="G1" s="6"/>
      <c r="H1" s="7"/>
      <c r="I1" s="12"/>
      <c r="J1" s="12"/>
      <c r="L1" s="123"/>
      <c r="M1" s="10"/>
      <c r="N1" s="11"/>
      <c r="T1" s="12"/>
      <c r="U1" s="123"/>
      <c r="V1" s="11"/>
      <c r="X1" s="13"/>
      <c r="Y1" s="12"/>
      <c r="AB1" s="12"/>
      <c r="AC1" s="12"/>
      <c r="AE1" s="123"/>
      <c r="AF1" s="11"/>
      <c r="AH1" s="15"/>
      <c r="AJ1" s="7"/>
      <c r="AK1" s="12"/>
      <c r="AL1" s="12"/>
      <c r="AN1" s="11"/>
      <c r="AO1" s="12"/>
      <c r="AP1" s="12"/>
      <c r="AQ1" s="7"/>
      <c r="AR1" s="12"/>
      <c r="AS1" s="12"/>
      <c r="AV1" s="11"/>
      <c r="AY1" s="7"/>
      <c r="AZ1" s="12"/>
      <c r="BA1" s="12"/>
      <c r="BB1" s="11"/>
      <c r="BC1" s="12"/>
    </row>
    <row r="2" spans="2:55" ht="15" thickBot="1" x14ac:dyDescent="0.4">
      <c r="B2" s="14"/>
      <c r="C2" s="14"/>
      <c r="D2" s="7"/>
      <c r="F2" s="7"/>
      <c r="I2" s="12"/>
      <c r="J2" s="12"/>
      <c r="K2" s="14"/>
      <c r="L2" s="123"/>
      <c r="O2" s="14"/>
      <c r="P2" s="14"/>
      <c r="Q2" s="14"/>
      <c r="R2" s="14"/>
      <c r="S2" s="14"/>
      <c r="U2" s="123"/>
      <c r="W2" s="14"/>
      <c r="Y2" s="12"/>
      <c r="Z2" s="14"/>
      <c r="AA2" s="14"/>
      <c r="AB2" s="12"/>
      <c r="AC2" s="12"/>
      <c r="AD2" s="14"/>
      <c r="AE2" s="123"/>
      <c r="AI2" s="14"/>
      <c r="AJ2" s="7"/>
      <c r="AK2" s="12"/>
      <c r="AL2" s="12"/>
      <c r="AM2" s="14"/>
      <c r="AO2" s="12"/>
      <c r="AP2" s="12"/>
      <c r="AQ2" s="7"/>
      <c r="AR2" s="12"/>
      <c r="AS2" s="12"/>
      <c r="AT2" s="14"/>
      <c r="AU2" s="14"/>
      <c r="AW2" s="14"/>
      <c r="AX2" s="14"/>
      <c r="AY2" s="7"/>
      <c r="AZ2" s="12"/>
      <c r="BA2" s="12"/>
      <c r="BC2" s="12"/>
    </row>
    <row r="3" spans="2:55" ht="52.5" thickBot="1" x14ac:dyDescent="0.4">
      <c r="B3" s="16" t="s">
        <v>2521</v>
      </c>
      <c r="C3" s="17" t="s">
        <v>2522</v>
      </c>
      <c r="D3" s="18" t="s">
        <v>728</v>
      </c>
      <c r="E3" s="19" t="s">
        <v>2523</v>
      </c>
      <c r="F3" s="18" t="s">
        <v>2524</v>
      </c>
      <c r="G3" s="20" t="s">
        <v>2525</v>
      </c>
      <c r="H3" s="21" t="s">
        <v>2526</v>
      </c>
      <c r="I3" s="22" t="s">
        <v>2527</v>
      </c>
      <c r="J3" s="22" t="s">
        <v>2528</v>
      </c>
      <c r="K3" s="28" t="s">
        <v>434</v>
      </c>
      <c r="L3" s="123"/>
      <c r="M3" s="23" t="s">
        <v>2529</v>
      </c>
      <c r="N3" s="28" t="s">
        <v>2530</v>
      </c>
      <c r="O3" s="24" t="s">
        <v>2531</v>
      </c>
      <c r="P3" s="28" t="s">
        <v>2532</v>
      </c>
      <c r="Q3" s="24" t="s">
        <v>2533</v>
      </c>
      <c r="R3" s="28" t="s">
        <v>2534</v>
      </c>
      <c r="S3" s="24" t="s">
        <v>2535</v>
      </c>
      <c r="T3" s="25" t="s">
        <v>2536</v>
      </c>
      <c r="U3" s="123"/>
      <c r="V3" s="16" t="s">
        <v>2522</v>
      </c>
      <c r="W3" s="26" t="s">
        <v>2537</v>
      </c>
      <c r="X3" s="28" t="s">
        <v>2538</v>
      </c>
      <c r="Y3" s="26" t="s">
        <v>2539</v>
      </c>
      <c r="Z3" s="28" t="s">
        <v>2540</v>
      </c>
      <c r="AA3" s="28" t="s">
        <v>2541</v>
      </c>
      <c r="AB3" s="28" t="s">
        <v>2542</v>
      </c>
      <c r="AC3" s="28" t="s">
        <v>2543</v>
      </c>
      <c r="AD3" s="25" t="s">
        <v>2544</v>
      </c>
      <c r="AE3" s="123"/>
      <c r="AF3" s="27" t="s">
        <v>2545</v>
      </c>
      <c r="AG3" s="28" t="s">
        <v>2546</v>
      </c>
      <c r="AH3" s="28" t="s">
        <v>2547</v>
      </c>
      <c r="AI3" s="24" t="s">
        <v>2548</v>
      </c>
      <c r="AJ3" s="28" t="s">
        <v>2549</v>
      </c>
      <c r="AK3" s="18" t="s">
        <v>2550</v>
      </c>
      <c r="AL3" s="28" t="s">
        <v>2551</v>
      </c>
      <c r="AM3" s="28" t="s">
        <v>2552</v>
      </c>
      <c r="AN3" s="28" t="s">
        <v>2553</v>
      </c>
      <c r="AO3" s="28" t="s">
        <v>2554</v>
      </c>
      <c r="AP3" s="28" t="s">
        <v>2555</v>
      </c>
      <c r="AQ3" s="28" t="s">
        <v>2556</v>
      </c>
      <c r="AR3" s="18" t="s">
        <v>2557</v>
      </c>
      <c r="AS3" s="28" t="s">
        <v>2558</v>
      </c>
      <c r="AT3" s="28" t="s">
        <v>2559</v>
      </c>
      <c r="AU3" s="28" t="s">
        <v>2560</v>
      </c>
      <c r="AV3" s="28" t="s">
        <v>2561</v>
      </c>
      <c r="AW3" s="28" t="s">
        <v>2562</v>
      </c>
      <c r="AX3" s="24" t="s">
        <v>2563</v>
      </c>
      <c r="AY3" s="28" t="s">
        <v>2564</v>
      </c>
      <c r="AZ3" s="18" t="s">
        <v>2565</v>
      </c>
      <c r="BA3" s="28" t="s">
        <v>2566</v>
      </c>
      <c r="BB3" s="28" t="s">
        <v>2567</v>
      </c>
      <c r="BC3" s="25" t="s">
        <v>2568</v>
      </c>
    </row>
    <row r="4" spans="2:55" ht="26.5" thickBot="1" x14ac:dyDescent="0.4">
      <c r="B4" s="1252" t="s">
        <v>2569</v>
      </c>
      <c r="C4" s="29" t="s">
        <v>1566</v>
      </c>
      <c r="D4" s="30">
        <v>17.600000000000001</v>
      </c>
      <c r="E4" s="31" t="s">
        <v>2570</v>
      </c>
      <c r="F4" s="30">
        <v>54.3</v>
      </c>
      <c r="G4" s="1253" t="s">
        <v>2571</v>
      </c>
      <c r="H4" s="32">
        <v>36.699999999999996</v>
      </c>
      <c r="I4" s="33">
        <v>57</v>
      </c>
      <c r="J4" s="33">
        <v>15</v>
      </c>
      <c r="K4" s="33">
        <v>42</v>
      </c>
      <c r="L4" s="123"/>
      <c r="M4" s="34">
        <v>50000</v>
      </c>
      <c r="N4" s="35">
        <v>39</v>
      </c>
      <c r="O4" s="36">
        <v>70000</v>
      </c>
      <c r="P4" s="35">
        <v>47.5</v>
      </c>
      <c r="Q4" s="37">
        <v>2500</v>
      </c>
      <c r="R4" s="38">
        <v>8.8616666666666664</v>
      </c>
      <c r="S4" s="37">
        <v>40000</v>
      </c>
      <c r="T4" s="39">
        <v>14.4</v>
      </c>
      <c r="U4" s="123"/>
      <c r="V4" s="40" t="s">
        <v>1566</v>
      </c>
      <c r="W4" s="35">
        <v>16.5</v>
      </c>
      <c r="X4" s="41">
        <v>30</v>
      </c>
      <c r="Y4" s="35">
        <v>45</v>
      </c>
      <c r="Z4" s="35">
        <v>22.5</v>
      </c>
      <c r="AA4" s="35">
        <v>25</v>
      </c>
      <c r="AB4" s="41">
        <v>30</v>
      </c>
      <c r="AC4" s="35">
        <v>45</v>
      </c>
      <c r="AD4" s="42">
        <v>22.5</v>
      </c>
      <c r="AE4" s="123"/>
      <c r="AF4" s="43" t="s">
        <v>2572</v>
      </c>
      <c r="AG4" s="113">
        <v>0.4</v>
      </c>
      <c r="AH4" s="44">
        <v>1</v>
      </c>
      <c r="AI4" s="37">
        <v>10000</v>
      </c>
      <c r="AJ4" s="45">
        <v>9.6999999999999993</v>
      </c>
      <c r="AK4" s="46">
        <v>8</v>
      </c>
      <c r="AL4" s="45">
        <v>20</v>
      </c>
      <c r="AM4" s="45">
        <v>2.6666666666666665</v>
      </c>
      <c r="AN4" s="45">
        <v>0.25</v>
      </c>
      <c r="AO4" s="38">
        <v>5.0466666666666669</v>
      </c>
      <c r="AP4" s="38">
        <v>1.2616666666666667</v>
      </c>
      <c r="AQ4" s="45">
        <v>16</v>
      </c>
      <c r="AR4" s="46">
        <v>20</v>
      </c>
      <c r="AS4" s="45">
        <v>45</v>
      </c>
      <c r="AT4" s="45">
        <v>15</v>
      </c>
      <c r="AU4" s="45">
        <v>5</v>
      </c>
      <c r="AV4" s="2" t="s">
        <v>2573</v>
      </c>
      <c r="AW4" s="113">
        <v>0.6</v>
      </c>
      <c r="AX4" s="37">
        <v>2500</v>
      </c>
      <c r="AY4" s="45">
        <v>10</v>
      </c>
      <c r="AZ4" s="46">
        <v>8</v>
      </c>
      <c r="BA4" s="45">
        <v>20</v>
      </c>
      <c r="BB4" s="45">
        <v>2.6666666666666665</v>
      </c>
      <c r="BC4" s="39">
        <v>7.6</v>
      </c>
    </row>
    <row r="5" spans="2:55" x14ac:dyDescent="0.35">
      <c r="B5" s="2075" t="s">
        <v>2574</v>
      </c>
      <c r="C5" s="47" t="s">
        <v>2575</v>
      </c>
      <c r="D5" s="48">
        <v>12.2</v>
      </c>
      <c r="E5" s="31" t="s">
        <v>2576</v>
      </c>
      <c r="F5" s="48">
        <v>60.4</v>
      </c>
      <c r="G5" s="2081" t="s">
        <v>2571</v>
      </c>
      <c r="H5" s="49">
        <v>48.2</v>
      </c>
      <c r="I5" s="50">
        <v>83.6</v>
      </c>
      <c r="J5" s="50">
        <v>25</v>
      </c>
      <c r="K5" s="50">
        <v>58.599999999999994</v>
      </c>
      <c r="L5" s="123"/>
      <c r="M5" s="51">
        <v>50000</v>
      </c>
      <c r="N5" s="52">
        <v>39</v>
      </c>
      <c r="O5" s="53">
        <v>70000</v>
      </c>
      <c r="P5" s="52">
        <v>47.5</v>
      </c>
      <c r="Q5" s="53">
        <v>2500</v>
      </c>
      <c r="R5" s="54">
        <v>12.71076388888889</v>
      </c>
      <c r="S5" s="53">
        <v>40000</v>
      </c>
      <c r="T5" s="55">
        <v>11</v>
      </c>
      <c r="U5" s="123"/>
      <c r="V5" s="56" t="s">
        <v>2575</v>
      </c>
      <c r="W5" s="52">
        <v>16.5</v>
      </c>
      <c r="X5" s="58">
        <v>30</v>
      </c>
      <c r="Y5" s="52">
        <v>45</v>
      </c>
      <c r="Z5" s="52">
        <v>22.5</v>
      </c>
      <c r="AA5" s="52">
        <v>25</v>
      </c>
      <c r="AB5" s="58">
        <v>30</v>
      </c>
      <c r="AC5" s="52">
        <v>45</v>
      </c>
      <c r="AD5" s="57">
        <v>22.5</v>
      </c>
      <c r="AE5" s="123"/>
      <c r="AF5" s="56" t="s">
        <v>2577</v>
      </c>
      <c r="AG5" s="58">
        <v>0.1</v>
      </c>
      <c r="AH5" s="59">
        <v>1</v>
      </c>
      <c r="AI5" s="53">
        <v>12000</v>
      </c>
      <c r="AJ5" s="52">
        <v>60</v>
      </c>
      <c r="AK5" s="48">
        <v>8</v>
      </c>
      <c r="AL5" s="52">
        <v>20</v>
      </c>
      <c r="AM5" s="52">
        <v>2.6666666666666665</v>
      </c>
      <c r="AN5" s="52">
        <v>0.25</v>
      </c>
      <c r="AO5" s="54">
        <v>6.291666666666667</v>
      </c>
      <c r="AP5" s="54">
        <v>1.3107638888888891</v>
      </c>
      <c r="AQ5" s="52">
        <v>90</v>
      </c>
      <c r="AR5" s="48">
        <v>20</v>
      </c>
      <c r="AS5" s="52">
        <v>45</v>
      </c>
      <c r="AT5" s="52">
        <v>15</v>
      </c>
      <c r="AU5" s="52">
        <v>5</v>
      </c>
      <c r="AV5" s="60" t="s">
        <v>2578</v>
      </c>
      <c r="AW5" s="58">
        <v>0.9</v>
      </c>
      <c r="AX5" s="53">
        <v>2500</v>
      </c>
      <c r="AY5" s="52">
        <v>10</v>
      </c>
      <c r="AZ5" s="48">
        <v>8</v>
      </c>
      <c r="BA5" s="52">
        <v>20</v>
      </c>
      <c r="BB5" s="52">
        <v>2.6666666666666665</v>
      </c>
      <c r="BC5" s="55">
        <v>11.4</v>
      </c>
    </row>
    <row r="6" spans="2:55" ht="26.5" thickBot="1" x14ac:dyDescent="0.4">
      <c r="B6" s="2077"/>
      <c r="C6" s="61" t="s">
        <v>2579</v>
      </c>
      <c r="D6" s="62">
        <v>8.3000000000000007</v>
      </c>
      <c r="E6" s="31" t="s">
        <v>2580</v>
      </c>
      <c r="F6" s="62">
        <v>17.7</v>
      </c>
      <c r="G6" s="2089"/>
      <c r="H6" s="63">
        <v>9.3999999999999986</v>
      </c>
      <c r="I6" s="64">
        <v>83.6</v>
      </c>
      <c r="J6" s="64">
        <v>25</v>
      </c>
      <c r="K6" s="64">
        <v>58.599999999999994</v>
      </c>
      <c r="L6" s="123"/>
      <c r="M6" s="65">
        <v>50000</v>
      </c>
      <c r="N6" s="66">
        <v>39</v>
      </c>
      <c r="O6" s="67">
        <v>70000</v>
      </c>
      <c r="P6" s="66">
        <v>47.5</v>
      </c>
      <c r="Q6" s="67">
        <v>2500</v>
      </c>
      <c r="R6" s="68">
        <v>9.1716666666666669</v>
      </c>
      <c r="S6" s="67">
        <v>40000</v>
      </c>
      <c r="T6" s="69">
        <v>27</v>
      </c>
      <c r="U6" s="123"/>
      <c r="V6" s="70" t="s">
        <v>2579</v>
      </c>
      <c r="W6" s="66">
        <v>16.5</v>
      </c>
      <c r="X6" s="72">
        <v>30</v>
      </c>
      <c r="Y6" s="66">
        <v>45</v>
      </c>
      <c r="Z6" s="66">
        <v>22.5</v>
      </c>
      <c r="AA6" s="66">
        <v>25</v>
      </c>
      <c r="AB6" s="72">
        <v>30</v>
      </c>
      <c r="AC6" s="66">
        <v>45</v>
      </c>
      <c r="AD6" s="71">
        <v>22.5</v>
      </c>
      <c r="AE6" s="123"/>
      <c r="AF6" s="70" t="s">
        <v>2581</v>
      </c>
      <c r="AG6" s="72">
        <v>0.4</v>
      </c>
      <c r="AH6" s="73">
        <v>1</v>
      </c>
      <c r="AI6" s="67">
        <v>10000</v>
      </c>
      <c r="AJ6" s="66">
        <v>12.8</v>
      </c>
      <c r="AK6" s="62">
        <v>8</v>
      </c>
      <c r="AL6" s="66">
        <v>20</v>
      </c>
      <c r="AM6" s="66">
        <v>2.6666666666666665</v>
      </c>
      <c r="AN6" s="66">
        <v>0.25</v>
      </c>
      <c r="AO6" s="68">
        <v>6.2866666666666671</v>
      </c>
      <c r="AP6" s="68">
        <v>1.5716666666666668</v>
      </c>
      <c r="AQ6" s="66">
        <v>47.5</v>
      </c>
      <c r="AR6" s="62">
        <v>20</v>
      </c>
      <c r="AS6" s="66">
        <v>45</v>
      </c>
      <c r="AT6" s="66">
        <v>15</v>
      </c>
      <c r="AU6" s="66">
        <v>5</v>
      </c>
      <c r="AV6" s="74" t="s">
        <v>2582</v>
      </c>
      <c r="AW6" s="72">
        <v>0.6</v>
      </c>
      <c r="AX6" s="67">
        <v>2500</v>
      </c>
      <c r="AY6" s="66">
        <v>10</v>
      </c>
      <c r="AZ6" s="62">
        <v>8</v>
      </c>
      <c r="BA6" s="66">
        <v>20</v>
      </c>
      <c r="BB6" s="66">
        <v>2.6666666666666665</v>
      </c>
      <c r="BC6" s="69">
        <v>7.6</v>
      </c>
    </row>
    <row r="7" spans="2:55" x14ac:dyDescent="0.35">
      <c r="B7" s="2075" t="s">
        <v>2583</v>
      </c>
      <c r="C7" s="47" t="s">
        <v>2584</v>
      </c>
      <c r="D7" s="75">
        <v>7.1</v>
      </c>
      <c r="E7" s="31" t="s">
        <v>2585</v>
      </c>
      <c r="F7" s="75">
        <v>36.200000000000003</v>
      </c>
      <c r="G7" s="2091" t="s">
        <v>2571</v>
      </c>
      <c r="H7" s="76">
        <v>29.1</v>
      </c>
      <c r="I7" s="77">
        <v>20.9</v>
      </c>
      <c r="J7" s="77">
        <v>10</v>
      </c>
      <c r="K7" s="77">
        <v>10.899999999999999</v>
      </c>
      <c r="L7" s="123"/>
      <c r="M7" s="51">
        <v>50000</v>
      </c>
      <c r="N7" s="78">
        <v>9.75</v>
      </c>
      <c r="O7" s="53">
        <v>70000</v>
      </c>
      <c r="P7" s="78">
        <v>11.875</v>
      </c>
      <c r="Q7" s="53">
        <v>2500</v>
      </c>
      <c r="R7" s="54">
        <v>6.6986111111111111</v>
      </c>
      <c r="S7" s="53">
        <v>40000</v>
      </c>
      <c r="T7" s="55">
        <v>5.625</v>
      </c>
      <c r="U7" s="123"/>
      <c r="V7" s="56" t="s">
        <v>2584</v>
      </c>
      <c r="W7" s="78">
        <v>4.125</v>
      </c>
      <c r="X7" s="79">
        <v>7.5</v>
      </c>
      <c r="Y7" s="52">
        <v>45</v>
      </c>
      <c r="Z7" s="80">
        <v>5.625</v>
      </c>
      <c r="AA7" s="78">
        <v>6.25</v>
      </c>
      <c r="AB7" s="79">
        <v>7.5</v>
      </c>
      <c r="AC7" s="52">
        <v>45</v>
      </c>
      <c r="AD7" s="81">
        <v>5.625</v>
      </c>
      <c r="AE7" s="123"/>
      <c r="AF7" s="56" t="s">
        <v>2586</v>
      </c>
      <c r="AG7" s="58">
        <v>0.5</v>
      </c>
      <c r="AH7" s="59">
        <v>1</v>
      </c>
      <c r="AI7" s="53">
        <v>7500</v>
      </c>
      <c r="AJ7" s="80">
        <v>1.4</v>
      </c>
      <c r="AK7" s="79">
        <v>2</v>
      </c>
      <c r="AL7" s="52">
        <v>20</v>
      </c>
      <c r="AM7" s="80">
        <v>0.66666666666666663</v>
      </c>
      <c r="AN7" s="80">
        <v>0.125</v>
      </c>
      <c r="AO7" s="54">
        <v>1.0958333333333332</v>
      </c>
      <c r="AP7" s="54">
        <v>0.36527777777777776</v>
      </c>
      <c r="AQ7" s="80">
        <v>6.25</v>
      </c>
      <c r="AR7" s="75">
        <v>5</v>
      </c>
      <c r="AS7" s="52">
        <v>45</v>
      </c>
      <c r="AT7" s="52">
        <v>3.75</v>
      </c>
      <c r="AU7" s="80">
        <v>1.25</v>
      </c>
      <c r="AV7" s="60" t="s">
        <v>2587</v>
      </c>
      <c r="AW7" s="58">
        <v>0.5</v>
      </c>
      <c r="AX7" s="53">
        <v>2500</v>
      </c>
      <c r="AY7" s="52">
        <v>10</v>
      </c>
      <c r="AZ7" s="48">
        <v>8</v>
      </c>
      <c r="BA7" s="52">
        <v>20</v>
      </c>
      <c r="BB7" s="52">
        <v>2.6666666666666665</v>
      </c>
      <c r="BC7" s="55">
        <v>6.333333333333333</v>
      </c>
    </row>
    <row r="8" spans="2:55" ht="26" x14ac:dyDescent="0.35">
      <c r="B8" s="2076"/>
      <c r="C8" s="82" t="s">
        <v>2588</v>
      </c>
      <c r="D8" s="79">
        <v>7.1</v>
      </c>
      <c r="E8" s="31" t="s">
        <v>2585</v>
      </c>
      <c r="F8" s="79">
        <v>36.200000000000003</v>
      </c>
      <c r="G8" s="2092"/>
      <c r="H8" s="83">
        <v>29.1</v>
      </c>
      <c r="I8" s="84">
        <v>20.9</v>
      </c>
      <c r="J8" s="84">
        <v>10</v>
      </c>
      <c r="K8" s="84">
        <v>10.899999999999999</v>
      </c>
      <c r="L8" s="123"/>
      <c r="M8" s="85">
        <v>50000</v>
      </c>
      <c r="N8" s="80">
        <v>9.75</v>
      </c>
      <c r="O8" s="86">
        <v>70000</v>
      </c>
      <c r="P8" s="80">
        <v>11.875</v>
      </c>
      <c r="Q8" s="86">
        <v>2500</v>
      </c>
      <c r="R8" s="87">
        <v>6.6986111111111111</v>
      </c>
      <c r="S8" s="86">
        <v>40000</v>
      </c>
      <c r="T8" s="88">
        <v>5.625</v>
      </c>
      <c r="U8" s="123"/>
      <c r="V8" s="89" t="s">
        <v>2588</v>
      </c>
      <c r="W8" s="80">
        <v>4.125</v>
      </c>
      <c r="X8" s="79">
        <v>7.5</v>
      </c>
      <c r="Y8" s="90">
        <v>45</v>
      </c>
      <c r="Z8" s="80">
        <v>5.625</v>
      </c>
      <c r="AA8" s="80">
        <v>6.25</v>
      </c>
      <c r="AB8" s="79">
        <v>7.5</v>
      </c>
      <c r="AC8" s="90">
        <v>45</v>
      </c>
      <c r="AD8" s="91">
        <v>5.625</v>
      </c>
      <c r="AE8" s="123"/>
      <c r="AF8" s="89" t="s">
        <v>2586</v>
      </c>
      <c r="AG8" s="107">
        <v>0.5</v>
      </c>
      <c r="AH8" s="31">
        <v>1</v>
      </c>
      <c r="AI8" s="86">
        <v>7500</v>
      </c>
      <c r="AJ8" s="80">
        <v>1.4</v>
      </c>
      <c r="AK8" s="79">
        <v>2</v>
      </c>
      <c r="AL8" s="90">
        <v>20</v>
      </c>
      <c r="AM8" s="80">
        <v>0.66666666666666663</v>
      </c>
      <c r="AN8" s="80">
        <v>0.125</v>
      </c>
      <c r="AO8" s="87">
        <v>1.0958333333333332</v>
      </c>
      <c r="AP8" s="87">
        <v>0.36527777777777776</v>
      </c>
      <c r="AQ8" s="80">
        <v>6.25</v>
      </c>
      <c r="AR8" s="79">
        <v>5</v>
      </c>
      <c r="AS8" s="90">
        <v>45</v>
      </c>
      <c r="AT8" s="90">
        <v>3.75</v>
      </c>
      <c r="AU8" s="80">
        <v>1.25</v>
      </c>
      <c r="AV8" s="92" t="s">
        <v>2587</v>
      </c>
      <c r="AW8" s="107">
        <v>0.5</v>
      </c>
      <c r="AX8" s="86">
        <v>2500</v>
      </c>
      <c r="AY8" s="90">
        <v>10</v>
      </c>
      <c r="AZ8" s="93">
        <v>8</v>
      </c>
      <c r="BA8" s="90">
        <v>20</v>
      </c>
      <c r="BB8" s="90">
        <v>2.6666666666666665</v>
      </c>
      <c r="BC8" s="88">
        <v>6.333333333333333</v>
      </c>
    </row>
    <row r="9" spans="2:55" ht="26" x14ac:dyDescent="0.35">
      <c r="B9" s="2076"/>
      <c r="C9" s="82" t="s">
        <v>2589</v>
      </c>
      <c r="D9" s="79">
        <v>7.6</v>
      </c>
      <c r="E9" s="31" t="s">
        <v>2590</v>
      </c>
      <c r="F9" s="79">
        <v>15.2</v>
      </c>
      <c r="G9" s="2073" t="s">
        <v>2591</v>
      </c>
      <c r="H9" s="83">
        <v>7.6</v>
      </c>
      <c r="I9" s="84">
        <v>20.9</v>
      </c>
      <c r="J9" s="84">
        <v>10</v>
      </c>
      <c r="K9" s="84">
        <v>10.899999999999999</v>
      </c>
      <c r="L9" s="123"/>
      <c r="M9" s="85">
        <v>50000</v>
      </c>
      <c r="N9" s="80">
        <v>8.625</v>
      </c>
      <c r="O9" s="86">
        <v>70000</v>
      </c>
      <c r="P9" s="80">
        <v>9.5</v>
      </c>
      <c r="Q9" s="86">
        <v>15000</v>
      </c>
      <c r="R9" s="87">
        <v>1.1333333333333333</v>
      </c>
      <c r="S9" s="86">
        <v>40000</v>
      </c>
      <c r="T9" s="88">
        <v>8</v>
      </c>
      <c r="U9" s="123"/>
      <c r="V9" s="89" t="s">
        <v>2589</v>
      </c>
      <c r="W9" s="80">
        <v>4.125</v>
      </c>
      <c r="X9" s="79">
        <v>6</v>
      </c>
      <c r="Y9" s="90">
        <v>45</v>
      </c>
      <c r="Z9" s="80">
        <v>4.5</v>
      </c>
      <c r="AA9" s="80">
        <v>5</v>
      </c>
      <c r="AB9" s="79">
        <v>6</v>
      </c>
      <c r="AC9" s="90">
        <v>45</v>
      </c>
      <c r="AD9" s="91">
        <v>4.5</v>
      </c>
      <c r="AE9" s="123"/>
      <c r="AF9" s="89" t="s">
        <v>2590</v>
      </c>
      <c r="AG9" s="107">
        <v>1</v>
      </c>
      <c r="AH9" s="31">
        <v>1</v>
      </c>
      <c r="AI9" s="86">
        <v>15000</v>
      </c>
      <c r="AJ9" s="80">
        <v>0.5</v>
      </c>
      <c r="AK9" s="79">
        <v>1.6</v>
      </c>
      <c r="AL9" s="90">
        <v>20</v>
      </c>
      <c r="AM9" s="80">
        <v>0.53333333333333333</v>
      </c>
      <c r="AN9" s="80">
        <v>0.1</v>
      </c>
      <c r="AO9" s="87">
        <v>1.1333333333333333</v>
      </c>
      <c r="AP9" s="87">
        <v>1.1333333333333333</v>
      </c>
      <c r="AQ9" s="80">
        <v>4</v>
      </c>
      <c r="AR9" s="79">
        <v>4</v>
      </c>
      <c r="AS9" s="90">
        <v>45</v>
      </c>
      <c r="AT9" s="80">
        <v>3</v>
      </c>
      <c r="AU9" s="80">
        <v>1</v>
      </c>
      <c r="AV9" s="92" t="s">
        <v>2592</v>
      </c>
      <c r="AW9" s="107">
        <v>0</v>
      </c>
      <c r="AX9" s="86" t="s">
        <v>2592</v>
      </c>
      <c r="AY9" s="90" t="s">
        <v>2592</v>
      </c>
      <c r="AZ9" s="93" t="s">
        <v>2592</v>
      </c>
      <c r="BA9" s="90" t="s">
        <v>2592</v>
      </c>
      <c r="BB9" s="90" t="s">
        <v>2592</v>
      </c>
      <c r="BC9" s="88">
        <v>0</v>
      </c>
    </row>
    <row r="10" spans="2:55" ht="26.5" thickBot="1" x14ac:dyDescent="0.4">
      <c r="B10" s="2077"/>
      <c r="C10" s="61" t="s">
        <v>2593</v>
      </c>
      <c r="D10" s="94">
        <v>7.666666666666667</v>
      </c>
      <c r="E10" s="31" t="s">
        <v>2594</v>
      </c>
      <c r="F10" s="94">
        <v>18.666666666666668</v>
      </c>
      <c r="G10" s="2089"/>
      <c r="H10" s="95">
        <v>11</v>
      </c>
      <c r="I10" s="96">
        <v>20.9</v>
      </c>
      <c r="J10" s="96">
        <v>10</v>
      </c>
      <c r="K10" s="96">
        <v>10.899999999999999</v>
      </c>
      <c r="L10" s="123"/>
      <c r="M10" s="65">
        <v>50000</v>
      </c>
      <c r="N10" s="97">
        <v>7.875</v>
      </c>
      <c r="O10" s="67">
        <v>70000</v>
      </c>
      <c r="P10" s="97">
        <v>7.916666666666667</v>
      </c>
      <c r="Q10" s="67">
        <v>12000</v>
      </c>
      <c r="R10" s="68">
        <v>0.94444444444444453</v>
      </c>
      <c r="S10" s="67">
        <v>40000</v>
      </c>
      <c r="T10" s="69">
        <v>6.666666666666667</v>
      </c>
      <c r="U10" s="123"/>
      <c r="V10" s="70" t="s">
        <v>2593</v>
      </c>
      <c r="W10" s="97">
        <v>4.125</v>
      </c>
      <c r="X10" s="94">
        <v>5</v>
      </c>
      <c r="Y10" s="66">
        <v>45</v>
      </c>
      <c r="Z10" s="97">
        <v>3.75</v>
      </c>
      <c r="AA10" s="97">
        <v>4.166666666666667</v>
      </c>
      <c r="AB10" s="94">
        <v>5</v>
      </c>
      <c r="AC10" s="66">
        <v>45</v>
      </c>
      <c r="AD10" s="98">
        <v>3.75</v>
      </c>
      <c r="AE10" s="123"/>
      <c r="AF10" s="70" t="s">
        <v>2594</v>
      </c>
      <c r="AG10" s="72">
        <v>1</v>
      </c>
      <c r="AH10" s="73">
        <v>1</v>
      </c>
      <c r="AI10" s="67">
        <v>12000</v>
      </c>
      <c r="AJ10" s="97">
        <v>0.41666666666666669</v>
      </c>
      <c r="AK10" s="94">
        <v>1.3333333333333333</v>
      </c>
      <c r="AL10" s="66">
        <v>20</v>
      </c>
      <c r="AM10" s="97">
        <v>0.44444444444444442</v>
      </c>
      <c r="AN10" s="97">
        <v>8.3333333333333329E-2</v>
      </c>
      <c r="AO10" s="68">
        <v>0.94444444444444453</v>
      </c>
      <c r="AP10" s="68">
        <v>0.94444444444444453</v>
      </c>
      <c r="AQ10" s="97">
        <v>3.3333333333333335</v>
      </c>
      <c r="AR10" s="94">
        <v>3.3333333333333335</v>
      </c>
      <c r="AS10" s="66">
        <v>45</v>
      </c>
      <c r="AT10" s="97">
        <v>2.5</v>
      </c>
      <c r="AU10" s="97">
        <v>0.83333333333333337</v>
      </c>
      <c r="AV10" s="74" t="s">
        <v>2592</v>
      </c>
      <c r="AW10" s="72">
        <v>0</v>
      </c>
      <c r="AX10" s="67" t="s">
        <v>2592</v>
      </c>
      <c r="AY10" s="66" t="s">
        <v>2592</v>
      </c>
      <c r="AZ10" s="62" t="s">
        <v>2592</v>
      </c>
      <c r="BA10" s="66" t="s">
        <v>2592</v>
      </c>
      <c r="BB10" s="66" t="s">
        <v>2592</v>
      </c>
      <c r="BC10" s="69">
        <v>0</v>
      </c>
    </row>
    <row r="11" spans="2:55" x14ac:dyDescent="0.35">
      <c r="B11" s="2075" t="s">
        <v>2595</v>
      </c>
      <c r="C11" s="47" t="s">
        <v>2596</v>
      </c>
      <c r="D11" s="48">
        <v>18.746928051092532</v>
      </c>
      <c r="E11" s="99" t="s">
        <v>2597</v>
      </c>
      <c r="F11" s="100">
        <v>33.6</v>
      </c>
      <c r="G11" s="2081" t="s">
        <v>2598</v>
      </c>
      <c r="H11" s="49">
        <v>14.85307194890747</v>
      </c>
      <c r="I11" s="50">
        <v>30.316324018417205</v>
      </c>
      <c r="J11" s="50">
        <v>6</v>
      </c>
      <c r="K11" s="50">
        <v>24.316324018417205</v>
      </c>
      <c r="L11" s="123"/>
      <c r="M11" s="51">
        <v>50000</v>
      </c>
      <c r="N11" s="52">
        <v>8.5689598383939103</v>
      </c>
      <c r="O11" s="53">
        <v>70000</v>
      </c>
      <c r="P11" s="54">
        <v>0</v>
      </c>
      <c r="Q11" s="53">
        <v>24000</v>
      </c>
      <c r="R11" s="54">
        <v>6.166666666666667</v>
      </c>
      <c r="S11" s="53">
        <v>40000</v>
      </c>
      <c r="T11" s="55">
        <v>0</v>
      </c>
      <c r="U11" s="123"/>
      <c r="V11" s="56" t="s">
        <v>2596</v>
      </c>
      <c r="W11" s="52">
        <v>5.9022931717272433</v>
      </c>
      <c r="X11" s="58">
        <v>8</v>
      </c>
      <c r="Y11" s="52">
        <v>20</v>
      </c>
      <c r="Z11" s="52">
        <v>2.6666666666666665</v>
      </c>
      <c r="AA11" s="101"/>
      <c r="AB11" s="102"/>
      <c r="AC11" s="52"/>
      <c r="AD11" s="57"/>
      <c r="AE11" s="123"/>
      <c r="AF11" s="56" t="s">
        <v>2597</v>
      </c>
      <c r="AG11" s="58">
        <v>1</v>
      </c>
      <c r="AH11" s="59">
        <v>1</v>
      </c>
      <c r="AI11" s="53">
        <v>24000</v>
      </c>
      <c r="AJ11" s="52">
        <v>3</v>
      </c>
      <c r="AK11" s="48">
        <v>8</v>
      </c>
      <c r="AL11" s="52">
        <v>20</v>
      </c>
      <c r="AM11" s="52">
        <v>2.6666666666666665</v>
      </c>
      <c r="AN11" s="52">
        <v>0.5</v>
      </c>
      <c r="AO11" s="54">
        <v>6.1666666666666661</v>
      </c>
      <c r="AP11" s="54">
        <v>6.166666666666667</v>
      </c>
      <c r="AQ11" s="52"/>
      <c r="AR11" s="102"/>
      <c r="AS11" s="52"/>
      <c r="AT11" s="52"/>
      <c r="AU11" s="52"/>
      <c r="AV11" s="60" t="s">
        <v>2592</v>
      </c>
      <c r="AW11" s="58">
        <v>0</v>
      </c>
      <c r="AX11" s="53" t="s">
        <v>2592</v>
      </c>
      <c r="AY11" s="52" t="s">
        <v>2592</v>
      </c>
      <c r="AZ11" s="48" t="s">
        <v>2592</v>
      </c>
      <c r="BA11" s="52" t="s">
        <v>2592</v>
      </c>
      <c r="BB11" s="52" t="s">
        <v>2592</v>
      </c>
      <c r="BC11" s="55">
        <v>0</v>
      </c>
    </row>
    <row r="12" spans="2:55" ht="15" thickBot="1" x14ac:dyDescent="0.4">
      <c r="B12" s="2077"/>
      <c r="C12" s="61" t="s">
        <v>2599</v>
      </c>
      <c r="D12" s="62">
        <v>9.6608731829573742</v>
      </c>
      <c r="E12" s="73" t="s">
        <v>2600</v>
      </c>
      <c r="F12" s="62">
        <v>19.399999999999999</v>
      </c>
      <c r="G12" s="2093"/>
      <c r="H12" s="63">
        <v>9.7391268170426244</v>
      </c>
      <c r="I12" s="64">
        <v>15.888859443056946</v>
      </c>
      <c r="J12" s="64">
        <v>3</v>
      </c>
      <c r="K12" s="64">
        <v>12.888859443056946</v>
      </c>
      <c r="L12" s="123"/>
      <c r="M12" s="65">
        <v>50000</v>
      </c>
      <c r="N12" s="66">
        <v>5.7600729299166913</v>
      </c>
      <c r="O12" s="67">
        <v>70000</v>
      </c>
      <c r="P12" s="68">
        <v>0</v>
      </c>
      <c r="Q12" s="67">
        <v>24000</v>
      </c>
      <c r="R12" s="68">
        <v>6.166666666666667</v>
      </c>
      <c r="S12" s="67">
        <v>40000</v>
      </c>
      <c r="T12" s="69">
        <v>0</v>
      </c>
      <c r="U12" s="123"/>
      <c r="V12" s="70" t="s">
        <v>2599</v>
      </c>
      <c r="W12" s="66">
        <v>3.0934062632500248</v>
      </c>
      <c r="X12" s="72">
        <v>8</v>
      </c>
      <c r="Y12" s="66">
        <v>20</v>
      </c>
      <c r="Z12" s="66">
        <v>2.6666666666666665</v>
      </c>
      <c r="AA12" s="103"/>
      <c r="AB12" s="104"/>
      <c r="AC12" s="66"/>
      <c r="AD12" s="71"/>
      <c r="AE12" s="123"/>
      <c r="AF12" s="70" t="s">
        <v>2600</v>
      </c>
      <c r="AG12" s="72">
        <v>1</v>
      </c>
      <c r="AH12" s="73">
        <v>1</v>
      </c>
      <c r="AI12" s="67">
        <v>24000</v>
      </c>
      <c r="AJ12" s="66">
        <v>3</v>
      </c>
      <c r="AK12" s="62">
        <v>8</v>
      </c>
      <c r="AL12" s="66">
        <v>20</v>
      </c>
      <c r="AM12" s="66">
        <v>2.6666666666666665</v>
      </c>
      <c r="AN12" s="66">
        <v>0.5</v>
      </c>
      <c r="AO12" s="68">
        <v>6.1666666666666661</v>
      </c>
      <c r="AP12" s="68">
        <v>6.166666666666667</v>
      </c>
      <c r="AQ12" s="66"/>
      <c r="AR12" s="104"/>
      <c r="AS12" s="66"/>
      <c r="AT12" s="66"/>
      <c r="AU12" s="66"/>
      <c r="AV12" s="74" t="s">
        <v>2592</v>
      </c>
      <c r="AW12" s="72">
        <v>0</v>
      </c>
      <c r="AX12" s="67" t="s">
        <v>2592</v>
      </c>
      <c r="AY12" s="66" t="s">
        <v>2592</v>
      </c>
      <c r="AZ12" s="62" t="s">
        <v>2592</v>
      </c>
      <c r="BA12" s="66" t="s">
        <v>2592</v>
      </c>
      <c r="BB12" s="66" t="s">
        <v>2592</v>
      </c>
      <c r="BC12" s="69">
        <v>0</v>
      </c>
    </row>
    <row r="13" spans="2:55" ht="26" x14ac:dyDescent="0.35">
      <c r="B13" s="2075" t="s">
        <v>2601</v>
      </c>
      <c r="C13" s="47" t="s">
        <v>2602</v>
      </c>
      <c r="D13" s="48">
        <v>34.132787710309024</v>
      </c>
      <c r="E13" s="99" t="s">
        <v>2603</v>
      </c>
      <c r="F13" s="48">
        <v>57.968000000000004</v>
      </c>
      <c r="G13" s="2071" t="s">
        <v>2604</v>
      </c>
      <c r="H13" s="49">
        <v>23.835212289690979</v>
      </c>
      <c r="I13" s="50">
        <v>122.50493599026183</v>
      </c>
      <c r="J13" s="50">
        <v>75</v>
      </c>
      <c r="K13" s="50">
        <v>47.504935990261828</v>
      </c>
      <c r="L13" s="123"/>
      <c r="M13" s="51">
        <v>50000</v>
      </c>
      <c r="N13" s="52">
        <v>46.678605787551675</v>
      </c>
      <c r="O13" s="53">
        <v>70000</v>
      </c>
      <c r="P13" s="52">
        <v>40</v>
      </c>
      <c r="Q13" s="53">
        <v>24000</v>
      </c>
      <c r="R13" s="54">
        <v>26.333333333333332</v>
      </c>
      <c r="S13" s="53">
        <v>40000</v>
      </c>
      <c r="T13" s="55">
        <v>35</v>
      </c>
      <c r="U13" s="123"/>
      <c r="V13" s="56" t="s">
        <v>2602</v>
      </c>
      <c r="W13" s="52">
        <v>24.178605787551678</v>
      </c>
      <c r="X13" s="58">
        <v>30</v>
      </c>
      <c r="Y13" s="52">
        <v>45</v>
      </c>
      <c r="Z13" s="52">
        <v>22.5</v>
      </c>
      <c r="AA13" s="52">
        <v>25</v>
      </c>
      <c r="AB13" s="58">
        <v>20</v>
      </c>
      <c r="AC13" s="52">
        <v>45</v>
      </c>
      <c r="AD13" s="57">
        <v>15</v>
      </c>
      <c r="AE13" s="123"/>
      <c r="AF13" s="56" t="s">
        <v>2603</v>
      </c>
      <c r="AG13" s="58">
        <v>1</v>
      </c>
      <c r="AH13" s="59">
        <v>2</v>
      </c>
      <c r="AI13" s="53">
        <v>24000</v>
      </c>
      <c r="AJ13" s="52">
        <v>10</v>
      </c>
      <c r="AK13" s="48">
        <v>8</v>
      </c>
      <c r="AL13" s="52">
        <v>20</v>
      </c>
      <c r="AM13" s="52">
        <v>2.6666666666666665</v>
      </c>
      <c r="AN13" s="52">
        <v>0.5</v>
      </c>
      <c r="AO13" s="54">
        <v>26.333333333333332</v>
      </c>
      <c r="AP13" s="54">
        <v>26.333333333333332</v>
      </c>
      <c r="AQ13" s="52">
        <v>15</v>
      </c>
      <c r="AR13" s="48">
        <v>20</v>
      </c>
      <c r="AS13" s="52">
        <v>45</v>
      </c>
      <c r="AT13" s="52">
        <v>15</v>
      </c>
      <c r="AU13" s="52">
        <v>5</v>
      </c>
      <c r="AV13" s="60" t="s">
        <v>2592</v>
      </c>
      <c r="AW13" s="58">
        <v>0</v>
      </c>
      <c r="AX13" s="53" t="s">
        <v>2592</v>
      </c>
      <c r="AY13" s="52" t="s">
        <v>2592</v>
      </c>
      <c r="AZ13" s="48" t="s">
        <v>2592</v>
      </c>
      <c r="BA13" s="52" t="s">
        <v>2592</v>
      </c>
      <c r="BB13" s="52" t="s">
        <v>2592</v>
      </c>
      <c r="BC13" s="55">
        <v>0</v>
      </c>
    </row>
    <row r="14" spans="2:55" ht="26" x14ac:dyDescent="0.35">
      <c r="B14" s="2076"/>
      <c r="C14" s="82" t="s">
        <v>2605</v>
      </c>
      <c r="D14" s="93">
        <v>42.847713428151351</v>
      </c>
      <c r="E14" s="99" t="s">
        <v>2606</v>
      </c>
      <c r="F14" s="100">
        <v>89.183999999999997</v>
      </c>
      <c r="G14" s="2072"/>
      <c r="H14" s="105">
        <v>46.336286571848646</v>
      </c>
      <c r="I14" s="106">
        <v>171.31892875648984</v>
      </c>
      <c r="J14" s="106">
        <v>80</v>
      </c>
      <c r="K14" s="106">
        <v>91.318928756489839</v>
      </c>
      <c r="L14" s="123"/>
      <c r="M14" s="85">
        <v>50000</v>
      </c>
      <c r="N14" s="90">
        <v>56.31294646509668</v>
      </c>
      <c r="O14" s="86">
        <v>70000</v>
      </c>
      <c r="P14" s="90">
        <v>40</v>
      </c>
      <c r="Q14" s="86">
        <v>24000</v>
      </c>
      <c r="R14" s="87">
        <v>39.5</v>
      </c>
      <c r="S14" s="86">
        <v>40000</v>
      </c>
      <c r="T14" s="88">
        <v>35</v>
      </c>
      <c r="U14" s="123"/>
      <c r="V14" s="89" t="s">
        <v>2605</v>
      </c>
      <c r="W14" s="90">
        <v>33.81294646509668</v>
      </c>
      <c r="X14" s="107">
        <v>30</v>
      </c>
      <c r="Y14" s="90">
        <v>45</v>
      </c>
      <c r="Z14" s="90">
        <v>22.5</v>
      </c>
      <c r="AA14" s="90">
        <v>25</v>
      </c>
      <c r="AB14" s="107">
        <v>20</v>
      </c>
      <c r="AC14" s="90">
        <v>45</v>
      </c>
      <c r="AD14" s="108">
        <v>15</v>
      </c>
      <c r="AE14" s="123"/>
      <c r="AF14" s="89" t="s">
        <v>2606</v>
      </c>
      <c r="AG14" s="107">
        <v>1</v>
      </c>
      <c r="AH14" s="31">
        <v>3</v>
      </c>
      <c r="AI14" s="86">
        <v>24000</v>
      </c>
      <c r="AJ14" s="90">
        <v>10</v>
      </c>
      <c r="AK14" s="93">
        <v>8</v>
      </c>
      <c r="AL14" s="90">
        <v>20</v>
      </c>
      <c r="AM14" s="90">
        <v>2.6666666666666665</v>
      </c>
      <c r="AN14" s="90">
        <v>0.5</v>
      </c>
      <c r="AO14" s="87">
        <v>39.5</v>
      </c>
      <c r="AP14" s="87">
        <v>39.5</v>
      </c>
      <c r="AQ14" s="90">
        <v>15</v>
      </c>
      <c r="AR14" s="93">
        <v>20</v>
      </c>
      <c r="AS14" s="90">
        <v>45</v>
      </c>
      <c r="AT14" s="90">
        <v>15</v>
      </c>
      <c r="AU14" s="90">
        <v>5</v>
      </c>
      <c r="AV14" s="92" t="s">
        <v>2592</v>
      </c>
      <c r="AW14" s="107">
        <v>0</v>
      </c>
      <c r="AX14" s="86" t="s">
        <v>2592</v>
      </c>
      <c r="AY14" s="90" t="s">
        <v>2592</v>
      </c>
      <c r="AZ14" s="93" t="s">
        <v>2592</v>
      </c>
      <c r="BA14" s="90" t="s">
        <v>2592</v>
      </c>
      <c r="BB14" s="90" t="s">
        <v>2592</v>
      </c>
      <c r="BC14" s="88">
        <v>0</v>
      </c>
    </row>
    <row r="15" spans="2:55" ht="26" x14ac:dyDescent="0.35">
      <c r="B15" s="2076"/>
      <c r="C15" s="82" t="s">
        <v>2607</v>
      </c>
      <c r="D15" s="93">
        <v>37.936052640607052</v>
      </c>
      <c r="E15" s="31" t="s">
        <v>2603</v>
      </c>
      <c r="F15" s="93">
        <v>57.968000000000004</v>
      </c>
      <c r="G15" s="2072"/>
      <c r="H15" s="105">
        <v>20.031947359392952</v>
      </c>
      <c r="I15" s="106">
        <v>137.20493091156439</v>
      </c>
      <c r="J15" s="106">
        <v>75</v>
      </c>
      <c r="K15" s="106">
        <v>62.204930911564389</v>
      </c>
      <c r="L15" s="123"/>
      <c r="M15" s="85">
        <v>50000</v>
      </c>
      <c r="N15" s="90">
        <v>49.57992057465087</v>
      </c>
      <c r="O15" s="86">
        <v>70000</v>
      </c>
      <c r="P15" s="90">
        <v>40</v>
      </c>
      <c r="Q15" s="86">
        <v>24000</v>
      </c>
      <c r="R15" s="87">
        <v>12.333333333333334</v>
      </c>
      <c r="S15" s="86">
        <v>40000</v>
      </c>
      <c r="T15" s="88">
        <v>35</v>
      </c>
      <c r="U15" s="123"/>
      <c r="V15" s="89" t="s">
        <v>2607</v>
      </c>
      <c r="W15" s="90">
        <v>27.079920574650867</v>
      </c>
      <c r="X15" s="107">
        <v>30</v>
      </c>
      <c r="Y15" s="90">
        <v>45</v>
      </c>
      <c r="Z15" s="90">
        <v>22.5</v>
      </c>
      <c r="AA15" s="90">
        <v>25</v>
      </c>
      <c r="AB15" s="107">
        <v>20</v>
      </c>
      <c r="AC15" s="90">
        <v>45</v>
      </c>
      <c r="AD15" s="108">
        <v>15</v>
      </c>
      <c r="AE15" s="123"/>
      <c r="AF15" s="89" t="s">
        <v>2603</v>
      </c>
      <c r="AG15" s="107">
        <v>1</v>
      </c>
      <c r="AH15" s="31">
        <v>2</v>
      </c>
      <c r="AI15" s="86">
        <v>24000</v>
      </c>
      <c r="AJ15" s="90">
        <v>3</v>
      </c>
      <c r="AK15" s="93">
        <v>8</v>
      </c>
      <c r="AL15" s="90">
        <v>20</v>
      </c>
      <c r="AM15" s="90">
        <v>2.6666666666666665</v>
      </c>
      <c r="AN15" s="90">
        <v>0.5</v>
      </c>
      <c r="AO15" s="87">
        <v>12.333333333333332</v>
      </c>
      <c r="AP15" s="87">
        <v>12.333333333333334</v>
      </c>
      <c r="AQ15" s="90">
        <v>15</v>
      </c>
      <c r="AR15" s="93">
        <v>20</v>
      </c>
      <c r="AS15" s="90">
        <v>45</v>
      </c>
      <c r="AT15" s="90">
        <v>15</v>
      </c>
      <c r="AU15" s="90">
        <v>5</v>
      </c>
      <c r="AV15" s="92" t="s">
        <v>2592</v>
      </c>
      <c r="AW15" s="107">
        <v>0</v>
      </c>
      <c r="AX15" s="86" t="s">
        <v>2592</v>
      </c>
      <c r="AY15" s="90" t="s">
        <v>2592</v>
      </c>
      <c r="AZ15" s="93" t="s">
        <v>2592</v>
      </c>
      <c r="BA15" s="90" t="s">
        <v>2592</v>
      </c>
      <c r="BB15" s="90" t="s">
        <v>2592</v>
      </c>
      <c r="BC15" s="88">
        <v>0</v>
      </c>
    </row>
    <row r="16" spans="2:55" ht="26" x14ac:dyDescent="0.35">
      <c r="B16" s="2076"/>
      <c r="C16" s="82" t="s">
        <v>2608</v>
      </c>
      <c r="D16" s="93">
        <v>54.317419681185712</v>
      </c>
      <c r="E16" s="31" t="s">
        <v>2606</v>
      </c>
      <c r="F16" s="93">
        <v>89.183999999999997</v>
      </c>
      <c r="G16" s="2072"/>
      <c r="H16" s="105">
        <v>34.866580318814286</v>
      </c>
      <c r="I16" s="106">
        <v>178.65545267776562</v>
      </c>
      <c r="J16" s="106">
        <v>80</v>
      </c>
      <c r="K16" s="106">
        <v>98.655452677765624</v>
      </c>
      <c r="L16" s="123"/>
      <c r="M16" s="85">
        <v>50000</v>
      </c>
      <c r="N16" s="90">
        <v>57.760944607453744</v>
      </c>
      <c r="O16" s="86">
        <v>70000</v>
      </c>
      <c r="P16" s="90">
        <v>40</v>
      </c>
      <c r="Q16" s="86">
        <v>24000</v>
      </c>
      <c r="R16" s="87">
        <v>18.5</v>
      </c>
      <c r="S16" s="86">
        <v>40000</v>
      </c>
      <c r="T16" s="88">
        <v>35</v>
      </c>
      <c r="U16" s="123"/>
      <c r="V16" s="89" t="s">
        <v>2608</v>
      </c>
      <c r="W16" s="90">
        <v>35.260944607453744</v>
      </c>
      <c r="X16" s="107">
        <v>30</v>
      </c>
      <c r="Y16" s="90">
        <v>45</v>
      </c>
      <c r="Z16" s="90">
        <v>22.5</v>
      </c>
      <c r="AA16" s="90">
        <v>25</v>
      </c>
      <c r="AB16" s="107">
        <v>20</v>
      </c>
      <c r="AC16" s="90">
        <v>45</v>
      </c>
      <c r="AD16" s="108">
        <v>15</v>
      </c>
      <c r="AE16" s="123"/>
      <c r="AF16" s="89" t="s">
        <v>2606</v>
      </c>
      <c r="AG16" s="107">
        <v>1</v>
      </c>
      <c r="AH16" s="31">
        <v>3</v>
      </c>
      <c r="AI16" s="86">
        <v>24000</v>
      </c>
      <c r="AJ16" s="90">
        <v>3</v>
      </c>
      <c r="AK16" s="93">
        <v>8</v>
      </c>
      <c r="AL16" s="90">
        <v>20</v>
      </c>
      <c r="AM16" s="90">
        <v>2.6666666666666665</v>
      </c>
      <c r="AN16" s="90">
        <v>0.5</v>
      </c>
      <c r="AO16" s="87">
        <v>18.5</v>
      </c>
      <c r="AP16" s="87">
        <v>18.5</v>
      </c>
      <c r="AQ16" s="90">
        <v>15</v>
      </c>
      <c r="AR16" s="93">
        <v>20</v>
      </c>
      <c r="AS16" s="90">
        <v>45</v>
      </c>
      <c r="AT16" s="90">
        <v>15</v>
      </c>
      <c r="AU16" s="90">
        <v>5</v>
      </c>
      <c r="AV16" s="92" t="s">
        <v>2592</v>
      </c>
      <c r="AW16" s="107">
        <v>0</v>
      </c>
      <c r="AX16" s="86" t="s">
        <v>2592</v>
      </c>
      <c r="AY16" s="90" t="s">
        <v>2592</v>
      </c>
      <c r="AZ16" s="93" t="s">
        <v>2592</v>
      </c>
      <c r="BA16" s="90" t="s">
        <v>2592</v>
      </c>
      <c r="BB16" s="90" t="s">
        <v>2592</v>
      </c>
      <c r="BC16" s="88">
        <v>0</v>
      </c>
    </row>
    <row r="17" spans="2:55" ht="26" x14ac:dyDescent="0.35">
      <c r="B17" s="2076"/>
      <c r="C17" s="82" t="s">
        <v>2609</v>
      </c>
      <c r="D17" s="93">
        <v>72.69000843118954</v>
      </c>
      <c r="E17" s="31" t="s">
        <v>2610</v>
      </c>
      <c r="F17" s="93">
        <v>118.91200000000001</v>
      </c>
      <c r="G17" s="2072"/>
      <c r="H17" s="105">
        <v>46.221991568810466</v>
      </c>
      <c r="I17" s="106">
        <v>235.06677218028091</v>
      </c>
      <c r="J17" s="106">
        <v>85</v>
      </c>
      <c r="K17" s="106">
        <v>150.06677218028091</v>
      </c>
      <c r="L17" s="123"/>
      <c r="M17" s="85">
        <v>50000</v>
      </c>
      <c r="N17" s="90">
        <v>68.894757667160704</v>
      </c>
      <c r="O17" s="86">
        <v>70000</v>
      </c>
      <c r="P17" s="90">
        <v>40</v>
      </c>
      <c r="Q17" s="86">
        <v>24000</v>
      </c>
      <c r="R17" s="87">
        <v>24.666666666666668</v>
      </c>
      <c r="S17" s="86">
        <v>40000</v>
      </c>
      <c r="T17" s="88">
        <v>35</v>
      </c>
      <c r="U17" s="123"/>
      <c r="V17" s="89" t="s">
        <v>2609</v>
      </c>
      <c r="W17" s="90">
        <v>46.394757667160704</v>
      </c>
      <c r="X17" s="107">
        <v>30</v>
      </c>
      <c r="Y17" s="90">
        <v>45</v>
      </c>
      <c r="Z17" s="90">
        <v>22.5</v>
      </c>
      <c r="AA17" s="90">
        <v>25</v>
      </c>
      <c r="AB17" s="107">
        <v>20</v>
      </c>
      <c r="AC17" s="90">
        <v>45</v>
      </c>
      <c r="AD17" s="108">
        <v>15</v>
      </c>
      <c r="AE17" s="123"/>
      <c r="AF17" s="89" t="s">
        <v>2610</v>
      </c>
      <c r="AG17" s="107">
        <v>1</v>
      </c>
      <c r="AH17" s="31">
        <v>4</v>
      </c>
      <c r="AI17" s="86">
        <v>24000</v>
      </c>
      <c r="AJ17" s="90">
        <v>3</v>
      </c>
      <c r="AK17" s="93">
        <v>8</v>
      </c>
      <c r="AL17" s="90">
        <v>20</v>
      </c>
      <c r="AM17" s="90">
        <v>2.6666666666666665</v>
      </c>
      <c r="AN17" s="90">
        <v>0.5</v>
      </c>
      <c r="AO17" s="87">
        <v>24.666666666666664</v>
      </c>
      <c r="AP17" s="87">
        <v>24.666666666666668</v>
      </c>
      <c r="AQ17" s="90">
        <v>15</v>
      </c>
      <c r="AR17" s="93">
        <v>20</v>
      </c>
      <c r="AS17" s="90">
        <v>45</v>
      </c>
      <c r="AT17" s="90">
        <v>15</v>
      </c>
      <c r="AU17" s="90">
        <v>5</v>
      </c>
      <c r="AV17" s="92" t="s">
        <v>2592</v>
      </c>
      <c r="AW17" s="107">
        <v>0</v>
      </c>
      <c r="AX17" s="86" t="s">
        <v>2592</v>
      </c>
      <c r="AY17" s="90" t="s">
        <v>2592</v>
      </c>
      <c r="AZ17" s="93" t="s">
        <v>2592</v>
      </c>
      <c r="BA17" s="90" t="s">
        <v>2592</v>
      </c>
      <c r="BB17" s="90" t="s">
        <v>2592</v>
      </c>
      <c r="BC17" s="88">
        <v>0</v>
      </c>
    </row>
    <row r="18" spans="2:55" ht="26" x14ac:dyDescent="0.35">
      <c r="B18" s="2076"/>
      <c r="C18" s="82" t="s">
        <v>2611</v>
      </c>
      <c r="D18" s="93">
        <v>18.080422089027049</v>
      </c>
      <c r="E18" s="31" t="s">
        <v>2612</v>
      </c>
      <c r="F18" s="93">
        <v>29.496000000000002</v>
      </c>
      <c r="G18" s="2072"/>
      <c r="H18" s="105">
        <v>11.415577910972953</v>
      </c>
      <c r="I18" s="106">
        <v>106.06767050959981</v>
      </c>
      <c r="J18" s="106">
        <v>70</v>
      </c>
      <c r="K18" s="106">
        <v>36.067670509599807</v>
      </c>
      <c r="L18" s="123"/>
      <c r="M18" s="85">
        <v>50000</v>
      </c>
      <c r="N18" s="90">
        <v>43.43440865321049</v>
      </c>
      <c r="O18" s="86">
        <v>70000</v>
      </c>
      <c r="P18" s="90">
        <v>40</v>
      </c>
      <c r="Q18" s="86">
        <v>24000</v>
      </c>
      <c r="R18" s="87">
        <v>6.166666666666667</v>
      </c>
      <c r="S18" s="86">
        <v>40000</v>
      </c>
      <c r="T18" s="88">
        <v>35</v>
      </c>
      <c r="U18" s="123"/>
      <c r="V18" s="89" t="s">
        <v>2611</v>
      </c>
      <c r="W18" s="90">
        <v>20.93440865321049</v>
      </c>
      <c r="X18" s="107">
        <v>30</v>
      </c>
      <c r="Y18" s="90">
        <v>45</v>
      </c>
      <c r="Z18" s="90">
        <v>22.5</v>
      </c>
      <c r="AA18" s="90">
        <v>25</v>
      </c>
      <c r="AB18" s="107">
        <v>20</v>
      </c>
      <c r="AC18" s="90">
        <v>45</v>
      </c>
      <c r="AD18" s="108">
        <v>15</v>
      </c>
      <c r="AE18" s="123"/>
      <c r="AF18" s="89" t="s">
        <v>2612</v>
      </c>
      <c r="AG18" s="107">
        <v>1</v>
      </c>
      <c r="AH18" s="31">
        <v>1</v>
      </c>
      <c r="AI18" s="86">
        <v>24000</v>
      </c>
      <c r="AJ18" s="90">
        <v>3</v>
      </c>
      <c r="AK18" s="93">
        <v>8</v>
      </c>
      <c r="AL18" s="90">
        <v>20</v>
      </c>
      <c r="AM18" s="90">
        <v>2.6666666666666665</v>
      </c>
      <c r="AN18" s="90">
        <v>0.5</v>
      </c>
      <c r="AO18" s="87">
        <v>6.1666666666666661</v>
      </c>
      <c r="AP18" s="87">
        <v>6.166666666666667</v>
      </c>
      <c r="AQ18" s="90">
        <v>15</v>
      </c>
      <c r="AR18" s="93">
        <v>20</v>
      </c>
      <c r="AS18" s="90">
        <v>45</v>
      </c>
      <c r="AT18" s="90">
        <v>15</v>
      </c>
      <c r="AU18" s="90">
        <v>5</v>
      </c>
      <c r="AV18" s="92" t="s">
        <v>2592</v>
      </c>
      <c r="AW18" s="107">
        <v>0</v>
      </c>
      <c r="AX18" s="86" t="s">
        <v>2592</v>
      </c>
      <c r="AY18" s="90" t="s">
        <v>2592</v>
      </c>
      <c r="AZ18" s="93" t="s">
        <v>2592</v>
      </c>
      <c r="BA18" s="90" t="s">
        <v>2592</v>
      </c>
      <c r="BB18" s="90" t="s">
        <v>2592</v>
      </c>
      <c r="BC18" s="88">
        <v>0</v>
      </c>
    </row>
    <row r="19" spans="2:55" ht="26" x14ac:dyDescent="0.35">
      <c r="B19" s="2076"/>
      <c r="C19" s="82" t="s">
        <v>2613</v>
      </c>
      <c r="D19" s="93">
        <v>39.606145888448779</v>
      </c>
      <c r="E19" s="31" t="s">
        <v>2603</v>
      </c>
      <c r="F19" s="93">
        <v>57.968000000000004</v>
      </c>
      <c r="G19" s="2072"/>
      <c r="H19" s="105">
        <v>18.361854111551224</v>
      </c>
      <c r="I19" s="106">
        <v>151.03405909530329</v>
      </c>
      <c r="J19" s="106">
        <v>75</v>
      </c>
      <c r="K19" s="106">
        <v>76.034059095303292</v>
      </c>
      <c r="L19" s="123"/>
      <c r="M19" s="85">
        <v>50000</v>
      </c>
      <c r="N19" s="90">
        <v>52.309353768809856</v>
      </c>
      <c r="O19" s="86">
        <v>70000</v>
      </c>
      <c r="P19" s="90">
        <v>40</v>
      </c>
      <c r="Q19" s="86">
        <v>24000</v>
      </c>
      <c r="R19" s="87">
        <v>12.333333333333334</v>
      </c>
      <c r="S19" s="86">
        <v>40000</v>
      </c>
      <c r="T19" s="88">
        <v>35</v>
      </c>
      <c r="U19" s="123"/>
      <c r="V19" s="89" t="s">
        <v>2613</v>
      </c>
      <c r="W19" s="90">
        <v>29.80935376880986</v>
      </c>
      <c r="X19" s="107">
        <v>30</v>
      </c>
      <c r="Y19" s="90">
        <v>45</v>
      </c>
      <c r="Z19" s="90">
        <v>22.5</v>
      </c>
      <c r="AA19" s="90">
        <v>25</v>
      </c>
      <c r="AB19" s="107">
        <v>20</v>
      </c>
      <c r="AC19" s="90">
        <v>45</v>
      </c>
      <c r="AD19" s="108">
        <v>15</v>
      </c>
      <c r="AE19" s="123"/>
      <c r="AF19" s="89" t="s">
        <v>2603</v>
      </c>
      <c r="AG19" s="107">
        <v>1</v>
      </c>
      <c r="AH19" s="31">
        <v>2</v>
      </c>
      <c r="AI19" s="86">
        <v>24000</v>
      </c>
      <c r="AJ19" s="90">
        <v>3</v>
      </c>
      <c r="AK19" s="93">
        <v>8</v>
      </c>
      <c r="AL19" s="90">
        <v>20</v>
      </c>
      <c r="AM19" s="90">
        <v>2.6666666666666665</v>
      </c>
      <c r="AN19" s="90">
        <v>0.5</v>
      </c>
      <c r="AO19" s="87">
        <v>12.333333333333332</v>
      </c>
      <c r="AP19" s="87">
        <v>12.333333333333334</v>
      </c>
      <c r="AQ19" s="90">
        <v>15</v>
      </c>
      <c r="AR19" s="93">
        <v>20</v>
      </c>
      <c r="AS19" s="90">
        <v>45</v>
      </c>
      <c r="AT19" s="90">
        <v>15</v>
      </c>
      <c r="AU19" s="90">
        <v>5</v>
      </c>
      <c r="AV19" s="92" t="s">
        <v>2592</v>
      </c>
      <c r="AW19" s="107">
        <v>0</v>
      </c>
      <c r="AX19" s="86" t="s">
        <v>2592</v>
      </c>
      <c r="AY19" s="90" t="s">
        <v>2592</v>
      </c>
      <c r="AZ19" s="93" t="s">
        <v>2592</v>
      </c>
      <c r="BA19" s="90" t="s">
        <v>2592</v>
      </c>
      <c r="BB19" s="90" t="s">
        <v>2592</v>
      </c>
      <c r="BC19" s="88">
        <v>0</v>
      </c>
    </row>
    <row r="20" spans="2:55" ht="26.5" thickBot="1" x14ac:dyDescent="0.4">
      <c r="B20" s="2077"/>
      <c r="C20" s="61" t="s">
        <v>2614</v>
      </c>
      <c r="D20" s="62">
        <v>53.121224114844345</v>
      </c>
      <c r="E20" s="73" t="s">
        <v>2606</v>
      </c>
      <c r="F20" s="62">
        <v>89.183999999999997</v>
      </c>
      <c r="G20" s="2090"/>
      <c r="H20" s="63">
        <v>36.062775885155652</v>
      </c>
      <c r="I20" s="64">
        <v>209.55412489162566</v>
      </c>
      <c r="J20" s="64">
        <v>80</v>
      </c>
      <c r="K20" s="64">
        <v>129.55412489162566</v>
      </c>
      <c r="L20" s="123"/>
      <c r="M20" s="65">
        <v>50000</v>
      </c>
      <c r="N20" s="66">
        <v>63.859366754926121</v>
      </c>
      <c r="O20" s="67">
        <v>70000</v>
      </c>
      <c r="P20" s="66">
        <v>40</v>
      </c>
      <c r="Q20" s="67">
        <v>24000</v>
      </c>
      <c r="R20" s="68">
        <v>18.5</v>
      </c>
      <c r="S20" s="67">
        <v>40000</v>
      </c>
      <c r="T20" s="69">
        <v>35</v>
      </c>
      <c r="U20" s="123"/>
      <c r="V20" s="70" t="s">
        <v>2614</v>
      </c>
      <c r="W20" s="66">
        <v>41.359366754926121</v>
      </c>
      <c r="X20" s="72">
        <v>30</v>
      </c>
      <c r="Y20" s="66">
        <v>45</v>
      </c>
      <c r="Z20" s="66">
        <v>22.5</v>
      </c>
      <c r="AA20" s="66">
        <v>25</v>
      </c>
      <c r="AB20" s="72">
        <v>20</v>
      </c>
      <c r="AC20" s="66">
        <v>45</v>
      </c>
      <c r="AD20" s="71">
        <v>15</v>
      </c>
      <c r="AE20" s="123"/>
      <c r="AF20" s="70" t="s">
        <v>2606</v>
      </c>
      <c r="AG20" s="72">
        <v>1</v>
      </c>
      <c r="AH20" s="73">
        <v>3</v>
      </c>
      <c r="AI20" s="67">
        <v>24000</v>
      </c>
      <c r="AJ20" s="66">
        <v>3</v>
      </c>
      <c r="AK20" s="62">
        <v>8</v>
      </c>
      <c r="AL20" s="66">
        <v>20</v>
      </c>
      <c r="AM20" s="66">
        <v>2.6666666666666665</v>
      </c>
      <c r="AN20" s="66">
        <v>0.5</v>
      </c>
      <c r="AO20" s="68">
        <v>18.5</v>
      </c>
      <c r="AP20" s="68">
        <v>18.5</v>
      </c>
      <c r="AQ20" s="66">
        <v>15</v>
      </c>
      <c r="AR20" s="62">
        <v>20</v>
      </c>
      <c r="AS20" s="66">
        <v>45</v>
      </c>
      <c r="AT20" s="66">
        <v>15</v>
      </c>
      <c r="AU20" s="66">
        <v>5</v>
      </c>
      <c r="AV20" s="74" t="s">
        <v>2592</v>
      </c>
      <c r="AW20" s="72">
        <v>0</v>
      </c>
      <c r="AX20" s="67" t="s">
        <v>2592</v>
      </c>
      <c r="AY20" s="66" t="s">
        <v>2592</v>
      </c>
      <c r="AZ20" s="62" t="s">
        <v>2592</v>
      </c>
      <c r="BA20" s="66" t="s">
        <v>2592</v>
      </c>
      <c r="BB20" s="66" t="s">
        <v>2592</v>
      </c>
      <c r="BC20" s="69">
        <v>0</v>
      </c>
    </row>
    <row r="21" spans="2:55" ht="26.5" hidden="1" thickBot="1" x14ac:dyDescent="0.4">
      <c r="B21" s="2075" t="s">
        <v>2615</v>
      </c>
      <c r="C21" s="47" t="s">
        <v>2616</v>
      </c>
      <c r="D21" s="48">
        <v>19.661042372099757</v>
      </c>
      <c r="E21" s="99" t="s">
        <v>2612</v>
      </c>
      <c r="F21" s="100">
        <v>29.496000000000002</v>
      </c>
      <c r="G21" s="2071" t="s">
        <v>2604</v>
      </c>
      <c r="H21" s="49">
        <v>9.8349576279002449</v>
      </c>
      <c r="I21" s="50">
        <v>114.06073032883772</v>
      </c>
      <c r="J21" s="50">
        <v>60</v>
      </c>
      <c r="K21" s="50">
        <v>54.060730328837721</v>
      </c>
      <c r="L21" s="123"/>
      <c r="M21" s="51">
        <v>50000</v>
      </c>
      <c r="N21" s="52">
        <v>45.011986249112709</v>
      </c>
      <c r="O21" s="53">
        <v>70000</v>
      </c>
      <c r="P21" s="52">
        <v>40</v>
      </c>
      <c r="Q21" s="53">
        <v>24000</v>
      </c>
      <c r="R21" s="54">
        <v>6.166666666666667</v>
      </c>
      <c r="S21" s="53">
        <v>40000</v>
      </c>
      <c r="T21" s="55">
        <v>35</v>
      </c>
      <c r="U21" s="123"/>
      <c r="V21" s="56" t="s">
        <v>2616</v>
      </c>
      <c r="W21" s="52">
        <v>22.511986249112709</v>
      </c>
      <c r="X21" s="58">
        <v>30</v>
      </c>
      <c r="Y21" s="52">
        <v>45</v>
      </c>
      <c r="Z21" s="52">
        <v>22.5</v>
      </c>
      <c r="AA21" s="52">
        <v>25</v>
      </c>
      <c r="AB21" s="58">
        <v>20</v>
      </c>
      <c r="AC21" s="52">
        <v>45</v>
      </c>
      <c r="AD21" s="57">
        <v>15</v>
      </c>
      <c r="AE21" s="123"/>
      <c r="AF21" s="56" t="s">
        <v>2612</v>
      </c>
      <c r="AG21" s="58">
        <v>1</v>
      </c>
      <c r="AH21" s="59">
        <v>1</v>
      </c>
      <c r="AI21" s="53">
        <v>24000</v>
      </c>
      <c r="AJ21" s="52">
        <v>3</v>
      </c>
      <c r="AK21" s="48">
        <v>8</v>
      </c>
      <c r="AL21" s="52">
        <v>20</v>
      </c>
      <c r="AM21" s="52">
        <v>2.6666666666666665</v>
      </c>
      <c r="AN21" s="52">
        <v>0.5</v>
      </c>
      <c r="AO21" s="54">
        <v>6.1666666666666661</v>
      </c>
      <c r="AP21" s="54">
        <v>6.166666666666667</v>
      </c>
      <c r="AQ21" s="52">
        <v>15</v>
      </c>
      <c r="AR21" s="48">
        <v>20</v>
      </c>
      <c r="AS21" s="52">
        <v>45</v>
      </c>
      <c r="AT21" s="52">
        <v>15</v>
      </c>
      <c r="AU21" s="52">
        <v>5</v>
      </c>
      <c r="AV21" s="60" t="s">
        <v>2592</v>
      </c>
      <c r="AW21" s="58">
        <v>0</v>
      </c>
      <c r="AX21" s="53" t="s">
        <v>2592</v>
      </c>
      <c r="AY21" s="52" t="s">
        <v>2592</v>
      </c>
      <c r="AZ21" s="48" t="s">
        <v>2592</v>
      </c>
      <c r="BA21" s="52" t="s">
        <v>2592</v>
      </c>
      <c r="BB21" s="52" t="s">
        <v>2592</v>
      </c>
      <c r="BC21" s="55">
        <v>0</v>
      </c>
    </row>
    <row r="22" spans="2:55" ht="26.5" hidden="1" thickBot="1" x14ac:dyDescent="0.4">
      <c r="B22" s="2076"/>
      <c r="C22" s="82" t="s">
        <v>2617</v>
      </c>
      <c r="D22" s="93">
        <v>37.849324238268792</v>
      </c>
      <c r="E22" s="31" t="s">
        <v>2603</v>
      </c>
      <c r="F22" s="93">
        <v>57.968000000000004</v>
      </c>
      <c r="G22" s="2072"/>
      <c r="H22" s="105">
        <v>20.118675761731211</v>
      </c>
      <c r="I22" s="106">
        <v>183.54764513362014</v>
      </c>
      <c r="J22" s="106">
        <v>80</v>
      </c>
      <c r="K22" s="106">
        <v>103.54764513362014</v>
      </c>
      <c r="L22" s="123"/>
      <c r="M22" s="85">
        <v>50000</v>
      </c>
      <c r="N22" s="90">
        <v>58.726508907951342</v>
      </c>
      <c r="O22" s="86">
        <v>70000</v>
      </c>
      <c r="P22" s="90">
        <v>40</v>
      </c>
      <c r="Q22" s="86">
        <v>24000</v>
      </c>
      <c r="R22" s="87">
        <v>12.333333333333334</v>
      </c>
      <c r="S22" s="86">
        <v>40000</v>
      </c>
      <c r="T22" s="88">
        <v>35</v>
      </c>
      <c r="U22" s="123"/>
      <c r="V22" s="89" t="s">
        <v>2617</v>
      </c>
      <c r="W22" s="90">
        <v>36.226508907951342</v>
      </c>
      <c r="X22" s="107">
        <v>30</v>
      </c>
      <c r="Y22" s="90">
        <v>45</v>
      </c>
      <c r="Z22" s="90">
        <v>22.5</v>
      </c>
      <c r="AA22" s="90">
        <v>25</v>
      </c>
      <c r="AB22" s="107">
        <v>20</v>
      </c>
      <c r="AC22" s="90">
        <v>45</v>
      </c>
      <c r="AD22" s="108">
        <v>15</v>
      </c>
      <c r="AE22" s="123"/>
      <c r="AF22" s="89" t="s">
        <v>2603</v>
      </c>
      <c r="AG22" s="107">
        <v>1</v>
      </c>
      <c r="AH22" s="31">
        <v>2</v>
      </c>
      <c r="AI22" s="86">
        <v>24000</v>
      </c>
      <c r="AJ22" s="90">
        <v>3</v>
      </c>
      <c r="AK22" s="93">
        <v>8</v>
      </c>
      <c r="AL22" s="90">
        <v>20</v>
      </c>
      <c r="AM22" s="90">
        <v>2.6666666666666665</v>
      </c>
      <c r="AN22" s="90">
        <v>0.5</v>
      </c>
      <c r="AO22" s="87">
        <v>12.333333333333332</v>
      </c>
      <c r="AP22" s="87">
        <v>12.333333333333334</v>
      </c>
      <c r="AQ22" s="90">
        <v>15</v>
      </c>
      <c r="AR22" s="93">
        <v>20</v>
      </c>
      <c r="AS22" s="90">
        <v>45</v>
      </c>
      <c r="AT22" s="90">
        <v>15</v>
      </c>
      <c r="AU22" s="90">
        <v>5</v>
      </c>
      <c r="AV22" s="92" t="s">
        <v>2592</v>
      </c>
      <c r="AW22" s="107">
        <v>0</v>
      </c>
      <c r="AX22" s="86" t="s">
        <v>2592</v>
      </c>
      <c r="AY22" s="90" t="s">
        <v>2592</v>
      </c>
      <c r="AZ22" s="93" t="s">
        <v>2592</v>
      </c>
      <c r="BA22" s="90" t="s">
        <v>2592</v>
      </c>
      <c r="BB22" s="90" t="s">
        <v>2592</v>
      </c>
      <c r="BC22" s="88">
        <v>0</v>
      </c>
    </row>
    <row r="23" spans="2:55" ht="26.5" hidden="1" thickBot="1" x14ac:dyDescent="0.4">
      <c r="B23" s="2076"/>
      <c r="C23" s="82" t="s">
        <v>2618</v>
      </c>
      <c r="D23" s="93">
        <v>55.898931661363399</v>
      </c>
      <c r="E23" s="31" t="s">
        <v>2606</v>
      </c>
      <c r="F23" s="93">
        <v>89.183999999999997</v>
      </c>
      <c r="G23" s="2072"/>
      <c r="H23" s="105">
        <v>33.285068338636599</v>
      </c>
      <c r="I23" s="106">
        <v>258.41729175696088</v>
      </c>
      <c r="J23" s="106">
        <v>100</v>
      </c>
      <c r="K23" s="106">
        <v>158.41729175696088</v>
      </c>
      <c r="L23" s="123"/>
      <c r="M23" s="85">
        <v>50000</v>
      </c>
      <c r="N23" s="90">
        <v>73.503412846768597</v>
      </c>
      <c r="O23" s="86">
        <v>70000</v>
      </c>
      <c r="P23" s="90">
        <v>40</v>
      </c>
      <c r="Q23" s="86">
        <v>24000</v>
      </c>
      <c r="R23" s="87">
        <v>18.5</v>
      </c>
      <c r="S23" s="86">
        <v>40000</v>
      </c>
      <c r="T23" s="88">
        <v>35</v>
      </c>
      <c r="U23" s="123"/>
      <c r="V23" s="89" t="s">
        <v>2618</v>
      </c>
      <c r="W23" s="90">
        <v>51.003412846768597</v>
      </c>
      <c r="X23" s="107">
        <v>30</v>
      </c>
      <c r="Y23" s="90">
        <v>45</v>
      </c>
      <c r="Z23" s="90">
        <v>22.5</v>
      </c>
      <c r="AA23" s="90">
        <v>25</v>
      </c>
      <c r="AB23" s="107">
        <v>20</v>
      </c>
      <c r="AC23" s="90">
        <v>45</v>
      </c>
      <c r="AD23" s="108">
        <v>15</v>
      </c>
      <c r="AE23" s="123"/>
      <c r="AF23" s="89" t="s">
        <v>2606</v>
      </c>
      <c r="AG23" s="107">
        <v>1</v>
      </c>
      <c r="AH23" s="31">
        <v>3</v>
      </c>
      <c r="AI23" s="86">
        <v>24000</v>
      </c>
      <c r="AJ23" s="90">
        <v>3</v>
      </c>
      <c r="AK23" s="93">
        <v>8</v>
      </c>
      <c r="AL23" s="90">
        <v>20</v>
      </c>
      <c r="AM23" s="90">
        <v>2.6666666666666665</v>
      </c>
      <c r="AN23" s="90">
        <v>0.5</v>
      </c>
      <c r="AO23" s="87">
        <v>18.5</v>
      </c>
      <c r="AP23" s="87">
        <v>18.5</v>
      </c>
      <c r="AQ23" s="90">
        <v>15</v>
      </c>
      <c r="AR23" s="93">
        <v>20</v>
      </c>
      <c r="AS23" s="90">
        <v>45</v>
      </c>
      <c r="AT23" s="90">
        <v>15</v>
      </c>
      <c r="AU23" s="90">
        <v>5</v>
      </c>
      <c r="AV23" s="92" t="s">
        <v>2592</v>
      </c>
      <c r="AW23" s="107">
        <v>0</v>
      </c>
      <c r="AX23" s="86" t="s">
        <v>2592</v>
      </c>
      <c r="AY23" s="90" t="s">
        <v>2592</v>
      </c>
      <c r="AZ23" s="93" t="s">
        <v>2592</v>
      </c>
      <c r="BA23" s="90" t="s">
        <v>2592</v>
      </c>
      <c r="BB23" s="90" t="s">
        <v>2592</v>
      </c>
      <c r="BC23" s="88">
        <v>0</v>
      </c>
    </row>
    <row r="24" spans="2:55" ht="26.5" hidden="1" thickBot="1" x14ac:dyDescent="0.4">
      <c r="B24" s="2076"/>
      <c r="C24" s="82" t="s">
        <v>2619</v>
      </c>
      <c r="D24" s="93">
        <v>62.61865421484675</v>
      </c>
      <c r="E24" s="99" t="s">
        <v>2620</v>
      </c>
      <c r="F24" s="93">
        <v>120</v>
      </c>
      <c r="G24" s="2073" t="s">
        <v>2621</v>
      </c>
      <c r="H24" s="105">
        <v>57.38134578515325</v>
      </c>
      <c r="I24" s="106">
        <v>335.34174557300088</v>
      </c>
      <c r="J24" s="106">
        <v>120</v>
      </c>
      <c r="K24" s="106">
        <v>215.34174557300088</v>
      </c>
      <c r="L24" s="123"/>
      <c r="M24" s="85">
        <v>50000</v>
      </c>
      <c r="N24" s="90">
        <v>88.685870836776488</v>
      </c>
      <c r="O24" s="86">
        <v>70000</v>
      </c>
      <c r="P24" s="90">
        <v>40</v>
      </c>
      <c r="Q24" s="86">
        <v>30000</v>
      </c>
      <c r="R24" s="87">
        <v>26.333333333333332</v>
      </c>
      <c r="S24" s="86">
        <v>40000</v>
      </c>
      <c r="T24" s="88">
        <v>60</v>
      </c>
      <c r="U24" s="123"/>
      <c r="V24" s="89" t="s">
        <v>2619</v>
      </c>
      <c r="W24" s="90">
        <v>66.185870836776488</v>
      </c>
      <c r="X24" s="107">
        <v>30</v>
      </c>
      <c r="Y24" s="90">
        <v>45</v>
      </c>
      <c r="Z24" s="90">
        <v>22.5</v>
      </c>
      <c r="AA24" s="90">
        <v>25</v>
      </c>
      <c r="AB24" s="107">
        <v>20</v>
      </c>
      <c r="AC24" s="90">
        <v>45</v>
      </c>
      <c r="AD24" s="108">
        <v>15</v>
      </c>
      <c r="AE24" s="123"/>
      <c r="AF24" s="89" t="s">
        <v>2620</v>
      </c>
      <c r="AG24" s="107">
        <v>1</v>
      </c>
      <c r="AH24" s="31">
        <v>2</v>
      </c>
      <c r="AI24" s="86">
        <v>30000</v>
      </c>
      <c r="AJ24" s="90">
        <v>10</v>
      </c>
      <c r="AK24" s="93">
        <v>8</v>
      </c>
      <c r="AL24" s="90">
        <v>20</v>
      </c>
      <c r="AM24" s="90">
        <v>2.6666666666666665</v>
      </c>
      <c r="AN24" s="90">
        <v>0.5</v>
      </c>
      <c r="AO24" s="87">
        <v>26.333333333333332</v>
      </c>
      <c r="AP24" s="87">
        <v>26.333333333333332</v>
      </c>
      <c r="AQ24" s="90">
        <v>40</v>
      </c>
      <c r="AR24" s="93">
        <v>20</v>
      </c>
      <c r="AS24" s="90">
        <v>45</v>
      </c>
      <c r="AT24" s="90">
        <v>15</v>
      </c>
      <c r="AU24" s="90">
        <v>5</v>
      </c>
      <c r="AV24" s="92" t="s">
        <v>2592</v>
      </c>
      <c r="AW24" s="107">
        <v>0</v>
      </c>
      <c r="AX24" s="86" t="s">
        <v>2592</v>
      </c>
      <c r="AY24" s="90" t="s">
        <v>2592</v>
      </c>
      <c r="AZ24" s="93" t="s">
        <v>2592</v>
      </c>
      <c r="BA24" s="90" t="s">
        <v>2592</v>
      </c>
      <c r="BB24" s="90" t="s">
        <v>2592</v>
      </c>
      <c r="BC24" s="88">
        <v>0</v>
      </c>
    </row>
    <row r="25" spans="2:55" ht="26.5" hidden="1" thickBot="1" x14ac:dyDescent="0.4">
      <c r="B25" s="2076"/>
      <c r="C25" s="109" t="s">
        <v>2622</v>
      </c>
      <c r="D25" s="46">
        <v>95.396119360538705</v>
      </c>
      <c r="E25" s="44" t="s">
        <v>2623</v>
      </c>
      <c r="F25" s="46">
        <v>180</v>
      </c>
      <c r="G25" s="2074"/>
      <c r="H25" s="110">
        <v>84.603880639461295</v>
      </c>
      <c r="I25" s="111">
        <v>513.7884008074202</v>
      </c>
      <c r="J25" s="111">
        <v>140</v>
      </c>
      <c r="K25" s="111">
        <v>373.7884008074202</v>
      </c>
      <c r="L25" s="123"/>
      <c r="M25" s="112">
        <v>50000</v>
      </c>
      <c r="N25" s="45">
        <v>123.90560542251714</v>
      </c>
      <c r="O25" s="37">
        <v>70000</v>
      </c>
      <c r="P25" s="45">
        <v>40</v>
      </c>
      <c r="Q25" s="37">
        <v>30000</v>
      </c>
      <c r="R25" s="38">
        <v>39.5</v>
      </c>
      <c r="S25" s="37">
        <v>40000</v>
      </c>
      <c r="T25" s="39">
        <v>60</v>
      </c>
      <c r="U25" s="123"/>
      <c r="V25" s="43" t="s">
        <v>2622</v>
      </c>
      <c r="W25" s="45">
        <v>101.40560542251714</v>
      </c>
      <c r="X25" s="113">
        <v>30</v>
      </c>
      <c r="Y25" s="45">
        <v>45</v>
      </c>
      <c r="Z25" s="45">
        <v>22.5</v>
      </c>
      <c r="AA25" s="45">
        <v>25</v>
      </c>
      <c r="AB25" s="113">
        <v>20</v>
      </c>
      <c r="AC25" s="45">
        <v>45</v>
      </c>
      <c r="AD25" s="114">
        <v>15</v>
      </c>
      <c r="AE25" s="123"/>
      <c r="AF25" s="43" t="s">
        <v>2623</v>
      </c>
      <c r="AG25" s="113">
        <v>1</v>
      </c>
      <c r="AH25" s="44">
        <v>3</v>
      </c>
      <c r="AI25" s="37">
        <v>30000</v>
      </c>
      <c r="AJ25" s="45">
        <v>10</v>
      </c>
      <c r="AK25" s="46">
        <v>8</v>
      </c>
      <c r="AL25" s="45">
        <v>20</v>
      </c>
      <c r="AM25" s="45">
        <v>2.6666666666666665</v>
      </c>
      <c r="AN25" s="45">
        <v>0.5</v>
      </c>
      <c r="AO25" s="38">
        <v>39.5</v>
      </c>
      <c r="AP25" s="38">
        <v>39.5</v>
      </c>
      <c r="AQ25" s="45">
        <v>40</v>
      </c>
      <c r="AR25" s="46">
        <v>20</v>
      </c>
      <c r="AS25" s="45">
        <v>45</v>
      </c>
      <c r="AT25" s="45">
        <v>15</v>
      </c>
      <c r="AU25" s="45">
        <v>5</v>
      </c>
      <c r="AV25" s="2" t="s">
        <v>2592</v>
      </c>
      <c r="AW25" s="113">
        <v>0</v>
      </c>
      <c r="AX25" s="37" t="s">
        <v>2592</v>
      </c>
      <c r="AY25" s="45" t="s">
        <v>2592</v>
      </c>
      <c r="AZ25" s="46" t="s">
        <v>2592</v>
      </c>
      <c r="BA25" s="45" t="s">
        <v>2592</v>
      </c>
      <c r="BB25" s="45" t="s">
        <v>2592</v>
      </c>
      <c r="BC25" s="39">
        <v>0</v>
      </c>
    </row>
    <row r="26" spans="2:55" ht="26" x14ac:dyDescent="0.35">
      <c r="B26" s="2075" t="s">
        <v>2624</v>
      </c>
      <c r="C26" s="47" t="s">
        <v>2625</v>
      </c>
      <c r="D26" s="48">
        <v>90.285396392831004</v>
      </c>
      <c r="E26" s="59" t="s">
        <v>2626</v>
      </c>
      <c r="F26" s="48">
        <v>157</v>
      </c>
      <c r="G26" s="2078" t="s">
        <v>2621</v>
      </c>
      <c r="H26" s="49">
        <v>66.714603607168996</v>
      </c>
      <c r="I26" s="50">
        <v>266.17536761107795</v>
      </c>
      <c r="J26" s="50">
        <v>75</v>
      </c>
      <c r="K26" s="50">
        <v>191.17536761107795</v>
      </c>
      <c r="L26" s="123"/>
      <c r="M26" s="51">
        <v>50000</v>
      </c>
      <c r="N26" s="52">
        <v>90.034612028502224</v>
      </c>
      <c r="O26" s="53">
        <v>70000</v>
      </c>
      <c r="P26" s="52">
        <v>62.5</v>
      </c>
      <c r="Q26" s="53">
        <v>18000</v>
      </c>
      <c r="R26" s="54">
        <v>64.5</v>
      </c>
      <c r="S26" s="53">
        <v>40000</v>
      </c>
      <c r="T26" s="55">
        <v>92.5</v>
      </c>
      <c r="U26" s="123"/>
      <c r="V26" s="56" t="s">
        <v>2625</v>
      </c>
      <c r="W26" s="52">
        <v>52.534612028502224</v>
      </c>
      <c r="X26" s="58">
        <v>30</v>
      </c>
      <c r="Y26" s="52">
        <v>75</v>
      </c>
      <c r="Z26" s="52">
        <v>37.5</v>
      </c>
      <c r="AA26" s="52">
        <v>25</v>
      </c>
      <c r="AB26" s="58">
        <v>30</v>
      </c>
      <c r="AC26" s="52">
        <v>75</v>
      </c>
      <c r="AD26" s="57">
        <v>37.5</v>
      </c>
      <c r="AE26" s="123"/>
      <c r="AF26" s="56" t="s">
        <v>2626</v>
      </c>
      <c r="AG26" s="58">
        <v>1</v>
      </c>
      <c r="AH26" s="59">
        <v>3</v>
      </c>
      <c r="AI26" s="53">
        <v>18000</v>
      </c>
      <c r="AJ26" s="52">
        <v>11</v>
      </c>
      <c r="AK26" s="48">
        <v>8</v>
      </c>
      <c r="AL26" s="52">
        <v>75</v>
      </c>
      <c r="AM26" s="52">
        <v>10</v>
      </c>
      <c r="AN26" s="52">
        <v>0.5</v>
      </c>
      <c r="AO26" s="54">
        <v>64.5</v>
      </c>
      <c r="AP26" s="54">
        <v>64.5</v>
      </c>
      <c r="AQ26" s="52">
        <v>50</v>
      </c>
      <c r="AR26" s="48">
        <v>30</v>
      </c>
      <c r="AS26" s="52">
        <v>75</v>
      </c>
      <c r="AT26" s="52">
        <v>37.5</v>
      </c>
      <c r="AU26" s="52">
        <v>5</v>
      </c>
      <c r="AV26" s="60" t="s">
        <v>2592</v>
      </c>
      <c r="AW26" s="58">
        <v>0</v>
      </c>
      <c r="AX26" s="53" t="s">
        <v>2592</v>
      </c>
      <c r="AY26" s="52" t="s">
        <v>2592</v>
      </c>
      <c r="AZ26" s="48" t="s">
        <v>2592</v>
      </c>
      <c r="BA26" s="52" t="s">
        <v>2592</v>
      </c>
      <c r="BB26" s="52" t="s">
        <v>2592</v>
      </c>
      <c r="BC26" s="55">
        <v>0</v>
      </c>
    </row>
    <row r="27" spans="2:55" ht="26" x14ac:dyDescent="0.35">
      <c r="B27" s="2076"/>
      <c r="C27" s="82" t="s">
        <v>2627</v>
      </c>
      <c r="D27" s="93">
        <v>127.4961300536223</v>
      </c>
      <c r="E27" s="31" t="s">
        <v>2628</v>
      </c>
      <c r="F27" s="93">
        <v>196</v>
      </c>
      <c r="G27" s="2079"/>
      <c r="H27" s="105">
        <v>68.503869946377705</v>
      </c>
      <c r="I27" s="106">
        <v>431.1466769611589</v>
      </c>
      <c r="J27" s="106">
        <v>100</v>
      </c>
      <c r="K27" s="106">
        <v>331.1466769611589</v>
      </c>
      <c r="L27" s="123"/>
      <c r="M27" s="85">
        <v>50000</v>
      </c>
      <c r="N27" s="90">
        <v>122.59473887391295</v>
      </c>
      <c r="O27" s="86">
        <v>70000</v>
      </c>
      <c r="P27" s="90">
        <v>62.5</v>
      </c>
      <c r="Q27" s="86">
        <v>18000</v>
      </c>
      <c r="R27" s="87">
        <v>86</v>
      </c>
      <c r="S27" s="86">
        <v>40000</v>
      </c>
      <c r="T27" s="88">
        <v>92.5</v>
      </c>
      <c r="U27" s="123"/>
      <c r="V27" s="89" t="s">
        <v>2627</v>
      </c>
      <c r="W27" s="90">
        <v>85.094738873912945</v>
      </c>
      <c r="X27" s="107">
        <v>30</v>
      </c>
      <c r="Y27" s="90">
        <v>75</v>
      </c>
      <c r="Z27" s="90">
        <v>37.5</v>
      </c>
      <c r="AA27" s="90">
        <v>25</v>
      </c>
      <c r="AB27" s="107">
        <v>30</v>
      </c>
      <c r="AC27" s="90">
        <v>75</v>
      </c>
      <c r="AD27" s="108">
        <v>37.5</v>
      </c>
      <c r="AE27" s="123"/>
      <c r="AF27" s="89" t="s">
        <v>2628</v>
      </c>
      <c r="AG27" s="107">
        <v>1</v>
      </c>
      <c r="AH27" s="31">
        <v>4</v>
      </c>
      <c r="AI27" s="86">
        <v>18000</v>
      </c>
      <c r="AJ27" s="90">
        <v>11</v>
      </c>
      <c r="AK27" s="93">
        <v>8</v>
      </c>
      <c r="AL27" s="90">
        <v>75</v>
      </c>
      <c r="AM27" s="90">
        <v>10</v>
      </c>
      <c r="AN27" s="90">
        <v>0.5</v>
      </c>
      <c r="AO27" s="87">
        <v>86</v>
      </c>
      <c r="AP27" s="87">
        <v>86</v>
      </c>
      <c r="AQ27" s="90">
        <v>50</v>
      </c>
      <c r="AR27" s="93">
        <v>30</v>
      </c>
      <c r="AS27" s="90">
        <v>75</v>
      </c>
      <c r="AT27" s="90">
        <v>37.5</v>
      </c>
      <c r="AU27" s="90">
        <v>5</v>
      </c>
      <c r="AV27" s="92" t="s">
        <v>2592</v>
      </c>
      <c r="AW27" s="107">
        <v>0</v>
      </c>
      <c r="AX27" s="86" t="s">
        <v>2592</v>
      </c>
      <c r="AY27" s="90" t="s">
        <v>2592</v>
      </c>
      <c r="AZ27" s="93" t="s">
        <v>2592</v>
      </c>
      <c r="BA27" s="90" t="s">
        <v>2592</v>
      </c>
      <c r="BB27" s="90" t="s">
        <v>2592</v>
      </c>
      <c r="BC27" s="88">
        <v>0</v>
      </c>
    </row>
    <row r="28" spans="2:55" ht="26" x14ac:dyDescent="0.35">
      <c r="B28" s="2076"/>
      <c r="C28" s="82" t="s">
        <v>2629</v>
      </c>
      <c r="D28" s="93">
        <v>190.97722214767245</v>
      </c>
      <c r="E28" s="31" t="s">
        <v>2630</v>
      </c>
      <c r="F28" s="93">
        <v>294</v>
      </c>
      <c r="G28" s="2079"/>
      <c r="H28" s="105">
        <v>103.02277785232755</v>
      </c>
      <c r="I28" s="106">
        <v>606.60540895559677</v>
      </c>
      <c r="J28" s="106">
        <v>125</v>
      </c>
      <c r="K28" s="106">
        <v>481.60540895559677</v>
      </c>
      <c r="L28" s="123"/>
      <c r="M28" s="85">
        <v>50000</v>
      </c>
      <c r="N28" s="90">
        <v>157.22475176755199</v>
      </c>
      <c r="O28" s="86">
        <v>70000</v>
      </c>
      <c r="P28" s="90">
        <v>62.5</v>
      </c>
      <c r="Q28" s="86">
        <v>18000</v>
      </c>
      <c r="R28" s="87">
        <v>129</v>
      </c>
      <c r="S28" s="86">
        <v>40000</v>
      </c>
      <c r="T28" s="88">
        <v>117.5</v>
      </c>
      <c r="U28" s="123"/>
      <c r="V28" s="89" t="s">
        <v>2629</v>
      </c>
      <c r="W28" s="90">
        <v>119.72475176755199</v>
      </c>
      <c r="X28" s="107">
        <v>30</v>
      </c>
      <c r="Y28" s="90">
        <v>75</v>
      </c>
      <c r="Z28" s="90">
        <v>37.5</v>
      </c>
      <c r="AA28" s="90">
        <v>25</v>
      </c>
      <c r="AB28" s="107">
        <v>30</v>
      </c>
      <c r="AC28" s="90">
        <v>75</v>
      </c>
      <c r="AD28" s="108">
        <v>37.5</v>
      </c>
      <c r="AE28" s="123"/>
      <c r="AF28" s="89" t="s">
        <v>2630</v>
      </c>
      <c r="AG28" s="107">
        <v>1</v>
      </c>
      <c r="AH28" s="31">
        <v>6</v>
      </c>
      <c r="AI28" s="86">
        <v>18000</v>
      </c>
      <c r="AJ28" s="90">
        <v>11</v>
      </c>
      <c r="AK28" s="93">
        <v>8</v>
      </c>
      <c r="AL28" s="90">
        <v>75</v>
      </c>
      <c r="AM28" s="90">
        <v>10</v>
      </c>
      <c r="AN28" s="90">
        <v>0.5</v>
      </c>
      <c r="AO28" s="87">
        <v>129</v>
      </c>
      <c r="AP28" s="87">
        <v>129</v>
      </c>
      <c r="AQ28" s="90">
        <v>75</v>
      </c>
      <c r="AR28" s="93">
        <v>30</v>
      </c>
      <c r="AS28" s="90">
        <v>75</v>
      </c>
      <c r="AT28" s="90">
        <v>37.5</v>
      </c>
      <c r="AU28" s="90">
        <v>5</v>
      </c>
      <c r="AV28" s="92" t="s">
        <v>2592</v>
      </c>
      <c r="AW28" s="107">
        <v>0</v>
      </c>
      <c r="AX28" s="86" t="s">
        <v>2592</v>
      </c>
      <c r="AY28" s="90" t="s">
        <v>2592</v>
      </c>
      <c r="AZ28" s="93" t="s">
        <v>2592</v>
      </c>
      <c r="BA28" s="90" t="s">
        <v>2592</v>
      </c>
      <c r="BB28" s="90" t="s">
        <v>2592</v>
      </c>
      <c r="BC28" s="88">
        <v>0</v>
      </c>
    </row>
    <row r="29" spans="2:55" ht="26.5" thickBot="1" x14ac:dyDescent="0.4">
      <c r="B29" s="2077"/>
      <c r="C29" s="61" t="s">
        <v>2631</v>
      </c>
      <c r="D29" s="62">
        <v>249.72360658164467</v>
      </c>
      <c r="E29" s="73" t="s">
        <v>2632</v>
      </c>
      <c r="F29" s="62">
        <v>392</v>
      </c>
      <c r="G29" s="2080"/>
      <c r="H29" s="63">
        <v>142.27639341835533</v>
      </c>
      <c r="I29" s="64">
        <v>967.83589040544257</v>
      </c>
      <c r="J29" s="64">
        <v>150</v>
      </c>
      <c r="K29" s="64">
        <v>817.83589040544257</v>
      </c>
      <c r="L29" s="123"/>
      <c r="M29" s="65">
        <v>50000</v>
      </c>
      <c r="N29" s="66">
        <v>228.52024152738997</v>
      </c>
      <c r="O29" s="67">
        <v>70000</v>
      </c>
      <c r="P29" s="66">
        <v>62.5</v>
      </c>
      <c r="Q29" s="67">
        <v>18000</v>
      </c>
      <c r="R29" s="68">
        <v>172</v>
      </c>
      <c r="S29" s="67">
        <v>40000</v>
      </c>
      <c r="T29" s="69">
        <v>142.5</v>
      </c>
      <c r="U29" s="123"/>
      <c r="V29" s="70" t="s">
        <v>2631</v>
      </c>
      <c r="W29" s="66">
        <v>191.02024152738997</v>
      </c>
      <c r="X29" s="72">
        <v>30</v>
      </c>
      <c r="Y29" s="66">
        <v>75</v>
      </c>
      <c r="Z29" s="66">
        <v>37.5</v>
      </c>
      <c r="AA29" s="66">
        <v>25</v>
      </c>
      <c r="AB29" s="72">
        <v>30</v>
      </c>
      <c r="AC29" s="66">
        <v>75</v>
      </c>
      <c r="AD29" s="71">
        <v>37.5</v>
      </c>
      <c r="AE29" s="123"/>
      <c r="AF29" s="70" t="s">
        <v>2632</v>
      </c>
      <c r="AG29" s="72">
        <v>1</v>
      </c>
      <c r="AH29" s="73">
        <v>8</v>
      </c>
      <c r="AI29" s="67">
        <v>18000</v>
      </c>
      <c r="AJ29" s="66">
        <v>11</v>
      </c>
      <c r="AK29" s="62">
        <v>8</v>
      </c>
      <c r="AL29" s="66">
        <v>75</v>
      </c>
      <c r="AM29" s="66">
        <v>10</v>
      </c>
      <c r="AN29" s="66">
        <v>0.5</v>
      </c>
      <c r="AO29" s="68">
        <v>172</v>
      </c>
      <c r="AP29" s="68">
        <v>172</v>
      </c>
      <c r="AQ29" s="66">
        <v>100</v>
      </c>
      <c r="AR29" s="62">
        <v>30</v>
      </c>
      <c r="AS29" s="66">
        <v>75</v>
      </c>
      <c r="AT29" s="66">
        <v>37.5</v>
      </c>
      <c r="AU29" s="66">
        <v>5</v>
      </c>
      <c r="AV29" s="74" t="s">
        <v>2592</v>
      </c>
      <c r="AW29" s="72">
        <v>0</v>
      </c>
      <c r="AX29" s="67" t="s">
        <v>2592</v>
      </c>
      <c r="AY29" s="66" t="s">
        <v>2592</v>
      </c>
      <c r="AZ29" s="62" t="s">
        <v>2592</v>
      </c>
      <c r="BA29" s="66" t="s">
        <v>2592</v>
      </c>
      <c r="BB29" s="66" t="s">
        <v>2592</v>
      </c>
      <c r="BC29" s="69">
        <v>0</v>
      </c>
    </row>
    <row r="30" spans="2:55" ht="26" x14ac:dyDescent="0.35">
      <c r="B30" s="2075" t="s">
        <v>2633</v>
      </c>
      <c r="C30" s="47" t="s">
        <v>2634</v>
      </c>
      <c r="D30" s="48">
        <v>16.989999999999998</v>
      </c>
      <c r="E30" s="59" t="s">
        <v>2635</v>
      </c>
      <c r="F30" s="48">
        <v>42</v>
      </c>
      <c r="G30" s="2081" t="s">
        <v>2621</v>
      </c>
      <c r="H30" s="49">
        <v>25.01</v>
      </c>
      <c r="I30" s="50">
        <v>73.442599999999985</v>
      </c>
      <c r="J30" s="50">
        <v>40</v>
      </c>
      <c r="K30" s="50">
        <v>33.442599999999985</v>
      </c>
      <c r="L30" s="123"/>
      <c r="M30" s="51">
        <v>50000</v>
      </c>
      <c r="N30" s="52">
        <v>36.995249999999999</v>
      </c>
      <c r="O30" s="53">
        <v>70000</v>
      </c>
      <c r="P30" s="52">
        <v>40</v>
      </c>
      <c r="Q30" s="53">
        <v>1000</v>
      </c>
      <c r="R30" s="54">
        <v>1.2343749999999998</v>
      </c>
      <c r="S30" s="53">
        <v>40000</v>
      </c>
      <c r="T30" s="55">
        <v>26.25</v>
      </c>
      <c r="U30" s="123"/>
      <c r="V30" s="56" t="s">
        <v>2634</v>
      </c>
      <c r="W30" s="52">
        <v>14.495249999999997</v>
      </c>
      <c r="X30" s="58">
        <v>30</v>
      </c>
      <c r="Y30" s="52">
        <v>45</v>
      </c>
      <c r="Z30" s="52">
        <v>22.5</v>
      </c>
      <c r="AA30" s="52">
        <v>25</v>
      </c>
      <c r="AB30" s="58">
        <v>20</v>
      </c>
      <c r="AC30" s="52">
        <v>45</v>
      </c>
      <c r="AD30" s="57">
        <v>15</v>
      </c>
      <c r="AE30" s="123"/>
      <c r="AF30" s="56" t="s">
        <v>2636</v>
      </c>
      <c r="AG30" s="58">
        <v>0.75</v>
      </c>
      <c r="AH30" s="59">
        <v>1</v>
      </c>
      <c r="AI30" s="53">
        <v>24000</v>
      </c>
      <c r="AJ30" s="52">
        <v>3</v>
      </c>
      <c r="AK30" s="48">
        <v>8</v>
      </c>
      <c r="AL30" s="52">
        <v>20</v>
      </c>
      <c r="AM30" s="52">
        <v>2.6666666666666665</v>
      </c>
      <c r="AN30" s="52">
        <v>0.5</v>
      </c>
      <c r="AO30" s="54">
        <v>4.625</v>
      </c>
      <c r="AP30" s="54">
        <v>0.19270833333333334</v>
      </c>
      <c r="AQ30" s="52">
        <v>15</v>
      </c>
      <c r="AR30" s="48">
        <v>20</v>
      </c>
      <c r="AS30" s="52">
        <v>45</v>
      </c>
      <c r="AT30" s="52">
        <v>15</v>
      </c>
      <c r="AU30" s="52">
        <v>5</v>
      </c>
      <c r="AV30" s="60" t="s">
        <v>2637</v>
      </c>
      <c r="AW30" s="58">
        <v>0.25</v>
      </c>
      <c r="AX30" s="53">
        <v>1000</v>
      </c>
      <c r="AY30" s="52">
        <v>1.5</v>
      </c>
      <c r="AZ30" s="48">
        <v>8</v>
      </c>
      <c r="BA30" s="52">
        <v>20</v>
      </c>
      <c r="BB30" s="52">
        <v>2.6666666666666665</v>
      </c>
      <c r="BC30" s="55">
        <v>1.0416666666666665</v>
      </c>
    </row>
    <row r="31" spans="2:55" ht="26" x14ac:dyDescent="0.35">
      <c r="B31" s="2076"/>
      <c r="C31" s="82" t="s">
        <v>2638</v>
      </c>
      <c r="D31" s="93">
        <v>27.81</v>
      </c>
      <c r="E31" s="31" t="s">
        <v>2639</v>
      </c>
      <c r="F31" s="93">
        <v>81</v>
      </c>
      <c r="G31" s="2082"/>
      <c r="H31" s="105">
        <v>53.19</v>
      </c>
      <c r="I31" s="106">
        <v>113.77959999999999</v>
      </c>
      <c r="J31" s="106">
        <v>60</v>
      </c>
      <c r="K31" s="106">
        <v>53.779599999999988</v>
      </c>
      <c r="L31" s="123"/>
      <c r="M31" s="85">
        <v>50000</v>
      </c>
      <c r="N31" s="90">
        <v>44.956499999999998</v>
      </c>
      <c r="O31" s="86">
        <v>70000</v>
      </c>
      <c r="P31" s="90">
        <v>40</v>
      </c>
      <c r="Q31" s="86">
        <v>1000</v>
      </c>
      <c r="R31" s="87">
        <v>1.4270833333333333</v>
      </c>
      <c r="S31" s="86">
        <v>40000</v>
      </c>
      <c r="T31" s="88">
        <v>26.25</v>
      </c>
      <c r="U31" s="123"/>
      <c r="V31" s="89" t="s">
        <v>2638</v>
      </c>
      <c r="W31" s="90">
        <v>22.456499999999998</v>
      </c>
      <c r="X31" s="107">
        <v>30</v>
      </c>
      <c r="Y31" s="90">
        <v>45</v>
      </c>
      <c r="Z31" s="90">
        <v>22.5</v>
      </c>
      <c r="AA31" s="90">
        <v>25</v>
      </c>
      <c r="AB31" s="107">
        <v>20</v>
      </c>
      <c r="AC31" s="90">
        <v>45</v>
      </c>
      <c r="AD31" s="108">
        <v>15</v>
      </c>
      <c r="AE31" s="123"/>
      <c r="AF31" s="89" t="s">
        <v>2640</v>
      </c>
      <c r="AG31" s="107">
        <v>0.75</v>
      </c>
      <c r="AH31" s="31">
        <v>2</v>
      </c>
      <c r="AI31" s="86">
        <v>24000</v>
      </c>
      <c r="AJ31" s="90">
        <v>3</v>
      </c>
      <c r="AK31" s="93">
        <v>8</v>
      </c>
      <c r="AL31" s="90">
        <v>20</v>
      </c>
      <c r="AM31" s="90">
        <v>2.6666666666666665</v>
      </c>
      <c r="AN31" s="90">
        <v>0.5</v>
      </c>
      <c r="AO31" s="87">
        <v>9.25</v>
      </c>
      <c r="AP31" s="87">
        <v>0.38541666666666669</v>
      </c>
      <c r="AQ31" s="90">
        <v>15</v>
      </c>
      <c r="AR31" s="93">
        <v>20</v>
      </c>
      <c r="AS31" s="90">
        <v>45</v>
      </c>
      <c r="AT31" s="90">
        <v>15</v>
      </c>
      <c r="AU31" s="90">
        <v>5</v>
      </c>
      <c r="AV31" s="92" t="s">
        <v>2641</v>
      </c>
      <c r="AW31" s="107">
        <v>0.25</v>
      </c>
      <c r="AX31" s="86">
        <v>1000</v>
      </c>
      <c r="AY31" s="90">
        <v>1.5</v>
      </c>
      <c r="AZ31" s="93">
        <v>8</v>
      </c>
      <c r="BA31" s="90">
        <v>20</v>
      </c>
      <c r="BB31" s="90">
        <v>2.6666666666666665</v>
      </c>
      <c r="BC31" s="88">
        <v>1.0416666666666665</v>
      </c>
    </row>
    <row r="32" spans="2:55" ht="26" x14ac:dyDescent="0.35">
      <c r="B32" s="2076"/>
      <c r="C32" s="82" t="s">
        <v>2642</v>
      </c>
      <c r="D32" s="93">
        <v>51.21</v>
      </c>
      <c r="E32" s="31" t="s">
        <v>2643</v>
      </c>
      <c r="F32" s="93">
        <v>121</v>
      </c>
      <c r="G32" s="2082"/>
      <c r="H32" s="105">
        <v>69.789999999999992</v>
      </c>
      <c r="I32" s="106">
        <v>205.27979999999999</v>
      </c>
      <c r="J32" s="106">
        <v>80</v>
      </c>
      <c r="K32" s="106">
        <v>125.27979999999999</v>
      </c>
      <c r="L32" s="123"/>
      <c r="M32" s="85">
        <v>50000</v>
      </c>
      <c r="N32" s="90">
        <v>63.015749999999997</v>
      </c>
      <c r="O32" s="86">
        <v>70000</v>
      </c>
      <c r="P32" s="90">
        <v>40</v>
      </c>
      <c r="Q32" s="86">
        <v>1000</v>
      </c>
      <c r="R32" s="87">
        <v>1.6197916666666665</v>
      </c>
      <c r="S32" s="86">
        <v>40000</v>
      </c>
      <c r="T32" s="88">
        <v>26.25</v>
      </c>
      <c r="U32" s="123"/>
      <c r="V32" s="89" t="s">
        <v>2642</v>
      </c>
      <c r="W32" s="90">
        <v>40.515749999999997</v>
      </c>
      <c r="X32" s="107">
        <v>30</v>
      </c>
      <c r="Y32" s="90">
        <v>45</v>
      </c>
      <c r="Z32" s="90">
        <v>22.5</v>
      </c>
      <c r="AA32" s="90">
        <v>25</v>
      </c>
      <c r="AB32" s="107">
        <v>20</v>
      </c>
      <c r="AC32" s="90">
        <v>45</v>
      </c>
      <c r="AD32" s="108">
        <v>15</v>
      </c>
      <c r="AE32" s="123"/>
      <c r="AF32" s="89" t="s">
        <v>2644</v>
      </c>
      <c r="AG32" s="107">
        <v>0.75</v>
      </c>
      <c r="AH32" s="31">
        <v>3</v>
      </c>
      <c r="AI32" s="86">
        <v>24000</v>
      </c>
      <c r="AJ32" s="90">
        <v>3</v>
      </c>
      <c r="AK32" s="93">
        <v>8</v>
      </c>
      <c r="AL32" s="90">
        <v>20</v>
      </c>
      <c r="AM32" s="90">
        <v>2.6666666666666665</v>
      </c>
      <c r="AN32" s="90">
        <v>0.5</v>
      </c>
      <c r="AO32" s="87">
        <v>13.875</v>
      </c>
      <c r="AP32" s="87">
        <v>0.578125</v>
      </c>
      <c r="AQ32" s="90">
        <v>15</v>
      </c>
      <c r="AR32" s="93">
        <v>20</v>
      </c>
      <c r="AS32" s="90">
        <v>45</v>
      </c>
      <c r="AT32" s="90">
        <v>15</v>
      </c>
      <c r="AU32" s="90">
        <v>5</v>
      </c>
      <c r="AV32" s="92" t="s">
        <v>2645</v>
      </c>
      <c r="AW32" s="107">
        <v>0.25</v>
      </c>
      <c r="AX32" s="86">
        <v>1000</v>
      </c>
      <c r="AY32" s="90">
        <v>1.5</v>
      </c>
      <c r="AZ32" s="93">
        <v>8</v>
      </c>
      <c r="BA32" s="90">
        <v>20</v>
      </c>
      <c r="BB32" s="90">
        <v>2.6666666666666665</v>
      </c>
      <c r="BC32" s="88">
        <v>1.0416666666666665</v>
      </c>
    </row>
    <row r="33" spans="2:55" ht="26" x14ac:dyDescent="0.35">
      <c r="B33" s="2076"/>
      <c r="C33" s="82" t="s">
        <v>2646</v>
      </c>
      <c r="D33" s="93">
        <v>71.709999999999994</v>
      </c>
      <c r="E33" s="31" t="s">
        <v>2647</v>
      </c>
      <c r="F33" s="93">
        <v>159</v>
      </c>
      <c r="G33" s="2082"/>
      <c r="H33" s="105">
        <v>87.29</v>
      </c>
      <c r="I33" s="106">
        <v>290.21739999999994</v>
      </c>
      <c r="J33" s="106">
        <v>100</v>
      </c>
      <c r="K33" s="106">
        <v>190.21739999999994</v>
      </c>
      <c r="L33" s="123"/>
      <c r="M33" s="85">
        <v>50000</v>
      </c>
      <c r="N33" s="90">
        <v>79.779749999999979</v>
      </c>
      <c r="O33" s="86">
        <v>70000</v>
      </c>
      <c r="P33" s="90">
        <v>40</v>
      </c>
      <c r="Q33" s="86">
        <v>1000</v>
      </c>
      <c r="R33" s="87">
        <v>1.8125</v>
      </c>
      <c r="S33" s="86">
        <v>40000</v>
      </c>
      <c r="T33" s="88">
        <v>26.25</v>
      </c>
      <c r="U33" s="123"/>
      <c r="V33" s="89" t="s">
        <v>2646</v>
      </c>
      <c r="W33" s="90">
        <v>57.279749999999986</v>
      </c>
      <c r="X33" s="107">
        <v>30</v>
      </c>
      <c r="Y33" s="90">
        <v>45</v>
      </c>
      <c r="Z33" s="90">
        <v>22.5</v>
      </c>
      <c r="AA33" s="90">
        <v>25</v>
      </c>
      <c r="AB33" s="107">
        <v>20</v>
      </c>
      <c r="AC33" s="90">
        <v>45</v>
      </c>
      <c r="AD33" s="108">
        <v>15</v>
      </c>
      <c r="AE33" s="123"/>
      <c r="AF33" s="89" t="s">
        <v>2648</v>
      </c>
      <c r="AG33" s="107">
        <v>0.75</v>
      </c>
      <c r="AH33" s="31">
        <v>4</v>
      </c>
      <c r="AI33" s="86">
        <v>24000</v>
      </c>
      <c r="AJ33" s="90">
        <v>3</v>
      </c>
      <c r="AK33" s="93">
        <v>8</v>
      </c>
      <c r="AL33" s="90">
        <v>20</v>
      </c>
      <c r="AM33" s="90">
        <v>2.6666666666666665</v>
      </c>
      <c r="AN33" s="90">
        <v>0.5</v>
      </c>
      <c r="AO33" s="87">
        <v>18.5</v>
      </c>
      <c r="AP33" s="87">
        <v>0.77083333333333337</v>
      </c>
      <c r="AQ33" s="90">
        <v>15</v>
      </c>
      <c r="AR33" s="93">
        <v>20</v>
      </c>
      <c r="AS33" s="90">
        <v>45</v>
      </c>
      <c r="AT33" s="90">
        <v>15</v>
      </c>
      <c r="AU33" s="90">
        <v>5</v>
      </c>
      <c r="AV33" s="92" t="s">
        <v>2649</v>
      </c>
      <c r="AW33" s="107">
        <v>0.25</v>
      </c>
      <c r="AX33" s="86">
        <v>1000</v>
      </c>
      <c r="AY33" s="90">
        <v>1.5</v>
      </c>
      <c r="AZ33" s="93">
        <v>8</v>
      </c>
      <c r="BA33" s="90">
        <v>20</v>
      </c>
      <c r="BB33" s="90">
        <v>2.6666666666666665</v>
      </c>
      <c r="BC33" s="88">
        <v>1.0416666666666665</v>
      </c>
    </row>
    <row r="34" spans="2:55" ht="26" x14ac:dyDescent="0.35">
      <c r="B34" s="2076"/>
      <c r="C34" s="82" t="s">
        <v>2650</v>
      </c>
      <c r="D34" s="93">
        <v>103.53</v>
      </c>
      <c r="E34" s="31" t="s">
        <v>2651</v>
      </c>
      <c r="F34" s="93">
        <v>227.27272727272728</v>
      </c>
      <c r="G34" s="2082"/>
      <c r="H34" s="105">
        <v>123.74272727272728</v>
      </c>
      <c r="I34" s="106">
        <v>417.54019999999997</v>
      </c>
      <c r="J34" s="106">
        <v>120</v>
      </c>
      <c r="K34" s="106">
        <v>297.54019999999997</v>
      </c>
      <c r="L34" s="123"/>
      <c r="M34" s="85">
        <v>50000</v>
      </c>
      <c r="N34" s="90">
        <v>119.90925</v>
      </c>
      <c r="O34" s="86">
        <v>70000</v>
      </c>
      <c r="P34" s="90">
        <v>62.5</v>
      </c>
      <c r="Q34" s="86">
        <v>15000</v>
      </c>
      <c r="R34" s="87">
        <v>63</v>
      </c>
      <c r="S34" s="86">
        <v>40000</v>
      </c>
      <c r="T34" s="88">
        <v>112.5</v>
      </c>
      <c r="U34" s="123"/>
      <c r="V34" s="89" t="s">
        <v>2650</v>
      </c>
      <c r="W34" s="90">
        <v>82.40925</v>
      </c>
      <c r="X34" s="107">
        <v>30</v>
      </c>
      <c r="Y34" s="90">
        <v>75</v>
      </c>
      <c r="Z34" s="90">
        <v>37.5</v>
      </c>
      <c r="AA34" s="90">
        <v>25</v>
      </c>
      <c r="AB34" s="107">
        <v>30</v>
      </c>
      <c r="AC34" s="90">
        <v>75</v>
      </c>
      <c r="AD34" s="108">
        <v>37.5</v>
      </c>
      <c r="AE34" s="123"/>
      <c r="AF34" s="89" t="s">
        <v>2651</v>
      </c>
      <c r="AG34" s="107">
        <v>1</v>
      </c>
      <c r="AH34" s="31">
        <v>1</v>
      </c>
      <c r="AI34" s="86">
        <v>15000</v>
      </c>
      <c r="AJ34" s="90">
        <v>25</v>
      </c>
      <c r="AK34" s="93">
        <v>30</v>
      </c>
      <c r="AL34" s="90">
        <v>75</v>
      </c>
      <c r="AM34" s="90">
        <v>37.5</v>
      </c>
      <c r="AN34" s="90">
        <v>0.5</v>
      </c>
      <c r="AO34" s="87">
        <v>63</v>
      </c>
      <c r="AP34" s="87">
        <v>63</v>
      </c>
      <c r="AQ34" s="90">
        <v>70</v>
      </c>
      <c r="AR34" s="93">
        <v>30</v>
      </c>
      <c r="AS34" s="90">
        <v>75</v>
      </c>
      <c r="AT34" s="90">
        <v>37.5</v>
      </c>
      <c r="AU34" s="90">
        <v>5</v>
      </c>
      <c r="AV34" s="92" t="s">
        <v>2592</v>
      </c>
      <c r="AW34" s="107">
        <v>0</v>
      </c>
      <c r="AX34" s="86" t="s">
        <v>2592</v>
      </c>
      <c r="AY34" s="90" t="s">
        <v>2592</v>
      </c>
      <c r="AZ34" s="93" t="s">
        <v>2592</v>
      </c>
      <c r="BA34" s="90" t="s">
        <v>2592</v>
      </c>
      <c r="BB34" s="90" t="s">
        <v>2592</v>
      </c>
      <c r="BC34" s="88">
        <v>0</v>
      </c>
    </row>
    <row r="35" spans="2:55" ht="26" x14ac:dyDescent="0.35">
      <c r="B35" s="2076"/>
      <c r="C35" s="82" t="s">
        <v>2652</v>
      </c>
      <c r="D35" s="93">
        <v>143.82</v>
      </c>
      <c r="E35" s="31" t="s">
        <v>2653</v>
      </c>
      <c r="F35" s="93">
        <v>363.63636363636363</v>
      </c>
      <c r="G35" s="2082"/>
      <c r="H35" s="105">
        <v>219.81636363636363</v>
      </c>
      <c r="I35" s="106">
        <v>579.55700000000002</v>
      </c>
      <c r="J35" s="106">
        <v>130</v>
      </c>
      <c r="K35" s="106">
        <v>449.55700000000002</v>
      </c>
      <c r="L35" s="123"/>
      <c r="M35" s="85">
        <v>50000</v>
      </c>
      <c r="N35" s="90">
        <v>151.88625000000002</v>
      </c>
      <c r="O35" s="86">
        <v>70000</v>
      </c>
      <c r="P35" s="90">
        <v>62.5</v>
      </c>
      <c r="Q35" s="86">
        <v>15000</v>
      </c>
      <c r="R35" s="87">
        <v>68</v>
      </c>
      <c r="S35" s="86">
        <v>40000</v>
      </c>
      <c r="T35" s="88">
        <v>122.5</v>
      </c>
      <c r="U35" s="123"/>
      <c r="V35" s="89" t="s">
        <v>2652</v>
      </c>
      <c r="W35" s="90">
        <v>114.38625</v>
      </c>
      <c r="X35" s="107">
        <v>30</v>
      </c>
      <c r="Y35" s="90">
        <v>75</v>
      </c>
      <c r="Z35" s="90">
        <v>37.5</v>
      </c>
      <c r="AA35" s="90">
        <v>25</v>
      </c>
      <c r="AB35" s="107">
        <v>30</v>
      </c>
      <c r="AC35" s="90">
        <v>75</v>
      </c>
      <c r="AD35" s="108">
        <v>37.5</v>
      </c>
      <c r="AE35" s="123"/>
      <c r="AF35" s="89" t="s">
        <v>2653</v>
      </c>
      <c r="AG35" s="107">
        <v>1</v>
      </c>
      <c r="AH35" s="31">
        <v>1</v>
      </c>
      <c r="AI35" s="86">
        <v>15000</v>
      </c>
      <c r="AJ35" s="90">
        <v>30</v>
      </c>
      <c r="AK35" s="93">
        <v>30</v>
      </c>
      <c r="AL35" s="90">
        <v>75</v>
      </c>
      <c r="AM35" s="90">
        <v>37.5</v>
      </c>
      <c r="AN35" s="90">
        <v>0.5</v>
      </c>
      <c r="AO35" s="87">
        <v>68</v>
      </c>
      <c r="AP35" s="87">
        <v>68</v>
      </c>
      <c r="AQ35" s="90">
        <v>80</v>
      </c>
      <c r="AR35" s="93">
        <v>30</v>
      </c>
      <c r="AS35" s="90">
        <v>75</v>
      </c>
      <c r="AT35" s="90">
        <v>37.5</v>
      </c>
      <c r="AU35" s="90">
        <v>5</v>
      </c>
      <c r="AV35" s="92" t="s">
        <v>2592</v>
      </c>
      <c r="AW35" s="107">
        <v>0</v>
      </c>
      <c r="AX35" s="86" t="s">
        <v>2592</v>
      </c>
      <c r="AY35" s="90" t="s">
        <v>2592</v>
      </c>
      <c r="AZ35" s="93" t="s">
        <v>2592</v>
      </c>
      <c r="BA35" s="90" t="s">
        <v>2592</v>
      </c>
      <c r="BB35" s="90" t="s">
        <v>2592</v>
      </c>
      <c r="BC35" s="88">
        <v>0</v>
      </c>
    </row>
    <row r="36" spans="2:55" ht="26" x14ac:dyDescent="0.35">
      <c r="B36" s="2076"/>
      <c r="C36" s="82" t="s">
        <v>2654</v>
      </c>
      <c r="D36" s="93">
        <v>183.33</v>
      </c>
      <c r="E36" s="31" t="s">
        <v>2655</v>
      </c>
      <c r="F36" s="93">
        <v>397.72727272727275</v>
      </c>
      <c r="G36" s="2082"/>
      <c r="H36" s="105">
        <v>214.39727272727274</v>
      </c>
      <c r="I36" s="106">
        <v>745.41939999999988</v>
      </c>
      <c r="J36" s="106">
        <v>150</v>
      </c>
      <c r="K36" s="106">
        <v>595.41939999999988</v>
      </c>
      <c r="L36" s="123"/>
      <c r="M36" s="85">
        <v>50000</v>
      </c>
      <c r="N36" s="90">
        <v>184.62224999999998</v>
      </c>
      <c r="O36" s="86">
        <v>70000</v>
      </c>
      <c r="P36" s="90">
        <v>62.5</v>
      </c>
      <c r="Q36" s="86">
        <v>15000</v>
      </c>
      <c r="R36" s="87">
        <v>73</v>
      </c>
      <c r="S36" s="86">
        <v>40000</v>
      </c>
      <c r="T36" s="88">
        <v>132.5</v>
      </c>
      <c r="U36" s="123"/>
      <c r="V36" s="89" t="s">
        <v>2654</v>
      </c>
      <c r="W36" s="90">
        <v>147.12224999999998</v>
      </c>
      <c r="X36" s="107">
        <v>30</v>
      </c>
      <c r="Y36" s="90">
        <v>75</v>
      </c>
      <c r="Z36" s="90">
        <v>37.5</v>
      </c>
      <c r="AA36" s="90">
        <v>25</v>
      </c>
      <c r="AB36" s="107">
        <v>30</v>
      </c>
      <c r="AC36" s="90">
        <v>75</v>
      </c>
      <c r="AD36" s="108">
        <v>37.5</v>
      </c>
      <c r="AE36" s="123"/>
      <c r="AF36" s="89" t="s">
        <v>2655</v>
      </c>
      <c r="AG36" s="107">
        <v>1</v>
      </c>
      <c r="AH36" s="31">
        <v>1</v>
      </c>
      <c r="AI36" s="86">
        <v>15000</v>
      </c>
      <c r="AJ36" s="90">
        <v>35</v>
      </c>
      <c r="AK36" s="93">
        <v>30</v>
      </c>
      <c r="AL36" s="90">
        <v>75</v>
      </c>
      <c r="AM36" s="90">
        <v>37.5</v>
      </c>
      <c r="AN36" s="90">
        <v>0.5</v>
      </c>
      <c r="AO36" s="87">
        <v>73</v>
      </c>
      <c r="AP36" s="87">
        <v>73</v>
      </c>
      <c r="AQ36" s="90">
        <v>90</v>
      </c>
      <c r="AR36" s="93">
        <v>30</v>
      </c>
      <c r="AS36" s="90">
        <v>75</v>
      </c>
      <c r="AT36" s="90">
        <v>37.5</v>
      </c>
      <c r="AU36" s="90">
        <v>5</v>
      </c>
      <c r="AV36" s="92" t="s">
        <v>2592</v>
      </c>
      <c r="AW36" s="107">
        <v>0</v>
      </c>
      <c r="AX36" s="86" t="s">
        <v>2592</v>
      </c>
      <c r="AY36" s="90" t="s">
        <v>2592</v>
      </c>
      <c r="AZ36" s="93" t="s">
        <v>2592</v>
      </c>
      <c r="BA36" s="90" t="s">
        <v>2592</v>
      </c>
      <c r="BB36" s="90" t="s">
        <v>2592</v>
      </c>
      <c r="BC36" s="88">
        <v>0</v>
      </c>
    </row>
    <row r="37" spans="2:55" ht="26.5" thickBot="1" x14ac:dyDescent="0.4">
      <c r="B37" s="2076"/>
      <c r="C37" s="109" t="s">
        <v>2656</v>
      </c>
      <c r="D37" s="46">
        <v>305</v>
      </c>
      <c r="E37" s="44" t="s">
        <v>2657</v>
      </c>
      <c r="F37" s="46">
        <v>727.27272727272725</v>
      </c>
      <c r="G37" s="2082"/>
      <c r="H37" s="110">
        <v>422.27272727272725</v>
      </c>
      <c r="I37" s="111">
        <v>1257.8037999999999</v>
      </c>
      <c r="J37" s="111">
        <v>260</v>
      </c>
      <c r="K37" s="111">
        <v>997.80379999999991</v>
      </c>
      <c r="L37" s="123"/>
      <c r="M37" s="112">
        <v>50000</v>
      </c>
      <c r="N37" s="45">
        <v>285.75074999999998</v>
      </c>
      <c r="O37" s="37">
        <v>70000</v>
      </c>
      <c r="P37" s="45">
        <v>62.5</v>
      </c>
      <c r="Q37" s="37">
        <v>15000</v>
      </c>
      <c r="R37" s="38">
        <v>136</v>
      </c>
      <c r="S37" s="37">
        <v>40000</v>
      </c>
      <c r="T37" s="39">
        <v>202.5</v>
      </c>
      <c r="U37" s="123"/>
      <c r="V37" s="43" t="s">
        <v>2656</v>
      </c>
      <c r="W37" s="45">
        <v>248.25074999999998</v>
      </c>
      <c r="X37" s="113">
        <v>30</v>
      </c>
      <c r="Y37" s="45">
        <v>75</v>
      </c>
      <c r="Z37" s="45">
        <v>37.5</v>
      </c>
      <c r="AA37" s="45">
        <v>25</v>
      </c>
      <c r="AB37" s="113">
        <v>30</v>
      </c>
      <c r="AC37" s="45">
        <v>75</v>
      </c>
      <c r="AD37" s="114">
        <v>37.5</v>
      </c>
      <c r="AE37" s="123"/>
      <c r="AF37" s="43" t="s">
        <v>2657</v>
      </c>
      <c r="AG37" s="113">
        <v>1</v>
      </c>
      <c r="AH37" s="44">
        <v>2</v>
      </c>
      <c r="AI37" s="37">
        <v>15000</v>
      </c>
      <c r="AJ37" s="45">
        <v>30</v>
      </c>
      <c r="AK37" s="46">
        <v>30</v>
      </c>
      <c r="AL37" s="45">
        <v>75</v>
      </c>
      <c r="AM37" s="45">
        <v>37.5</v>
      </c>
      <c r="AN37" s="45">
        <v>0.5</v>
      </c>
      <c r="AO37" s="38">
        <v>136</v>
      </c>
      <c r="AP37" s="38">
        <v>136</v>
      </c>
      <c r="AQ37" s="45">
        <v>160</v>
      </c>
      <c r="AR37" s="46">
        <v>30</v>
      </c>
      <c r="AS37" s="45">
        <v>75</v>
      </c>
      <c r="AT37" s="45">
        <v>37.5</v>
      </c>
      <c r="AU37" s="45">
        <v>5</v>
      </c>
      <c r="AV37" s="2" t="s">
        <v>2592</v>
      </c>
      <c r="AW37" s="113">
        <v>0</v>
      </c>
      <c r="AX37" s="37" t="s">
        <v>2592</v>
      </c>
      <c r="AY37" s="45" t="s">
        <v>2592</v>
      </c>
      <c r="AZ37" s="46" t="s">
        <v>2592</v>
      </c>
      <c r="BA37" s="45" t="s">
        <v>2592</v>
      </c>
      <c r="BB37" s="45" t="s">
        <v>2592</v>
      </c>
      <c r="BC37" s="39">
        <v>0</v>
      </c>
    </row>
    <row r="38" spans="2:55" ht="26" x14ac:dyDescent="0.35">
      <c r="B38" s="2075" t="s">
        <v>2658</v>
      </c>
      <c r="C38" s="47" t="s">
        <v>1627</v>
      </c>
      <c r="D38" s="48">
        <v>42.630746474424136</v>
      </c>
      <c r="E38" s="59" t="s">
        <v>1628</v>
      </c>
      <c r="F38" s="48">
        <v>113.63636363636364</v>
      </c>
      <c r="G38" s="2081" t="s">
        <v>2621</v>
      </c>
      <c r="H38" s="49">
        <v>71.005617161939512</v>
      </c>
      <c r="I38" s="50">
        <v>250.38092693361793</v>
      </c>
      <c r="J38" s="50">
        <v>60</v>
      </c>
      <c r="K38" s="50">
        <v>190.38092693361793</v>
      </c>
      <c r="L38" s="123"/>
      <c r="M38" s="51">
        <v>50000</v>
      </c>
      <c r="N38" s="52">
        <v>86.917288210582484</v>
      </c>
      <c r="O38" s="53">
        <v>70000</v>
      </c>
      <c r="P38" s="52">
        <v>62.5</v>
      </c>
      <c r="Q38" s="53">
        <v>15000</v>
      </c>
      <c r="R38" s="54">
        <v>58</v>
      </c>
      <c r="S38" s="53">
        <v>40000</v>
      </c>
      <c r="T38" s="55">
        <v>102.5</v>
      </c>
      <c r="U38" s="123"/>
      <c r="V38" s="56" t="s">
        <v>1627</v>
      </c>
      <c r="W38" s="52">
        <v>49.417288210582484</v>
      </c>
      <c r="X38" s="58">
        <v>30</v>
      </c>
      <c r="Y38" s="52">
        <v>75</v>
      </c>
      <c r="Z38" s="52">
        <v>37.5</v>
      </c>
      <c r="AA38" s="52">
        <v>25</v>
      </c>
      <c r="AB38" s="58">
        <v>30</v>
      </c>
      <c r="AC38" s="52">
        <v>75</v>
      </c>
      <c r="AD38" s="57">
        <v>37.5</v>
      </c>
      <c r="AE38" s="123"/>
      <c r="AF38" s="56" t="s">
        <v>1628</v>
      </c>
      <c r="AG38" s="58">
        <v>1</v>
      </c>
      <c r="AH38" s="59">
        <v>1</v>
      </c>
      <c r="AI38" s="53">
        <v>15000</v>
      </c>
      <c r="AJ38" s="52">
        <v>20</v>
      </c>
      <c r="AK38" s="48">
        <v>30</v>
      </c>
      <c r="AL38" s="52">
        <v>75</v>
      </c>
      <c r="AM38" s="52">
        <v>37.5</v>
      </c>
      <c r="AN38" s="52">
        <v>0.5</v>
      </c>
      <c r="AO38" s="54">
        <v>58</v>
      </c>
      <c r="AP38" s="54">
        <v>58</v>
      </c>
      <c r="AQ38" s="52">
        <v>60</v>
      </c>
      <c r="AR38" s="48">
        <v>30</v>
      </c>
      <c r="AS38" s="52">
        <v>75</v>
      </c>
      <c r="AT38" s="52">
        <v>37.5</v>
      </c>
      <c r="AU38" s="52">
        <v>5</v>
      </c>
      <c r="AV38" s="60" t="s">
        <v>2592</v>
      </c>
      <c r="AW38" s="58">
        <v>0</v>
      </c>
      <c r="AX38" s="53" t="s">
        <v>2592</v>
      </c>
      <c r="AY38" s="52" t="s">
        <v>2592</v>
      </c>
      <c r="AZ38" s="48" t="s">
        <v>2592</v>
      </c>
      <c r="BA38" s="52" t="s">
        <v>2592</v>
      </c>
      <c r="BB38" s="52" t="s">
        <v>2592</v>
      </c>
      <c r="BC38" s="55">
        <v>0</v>
      </c>
    </row>
    <row r="39" spans="2:55" ht="26" x14ac:dyDescent="0.35">
      <c r="B39" s="2076"/>
      <c r="C39" s="82" t="s">
        <v>1629</v>
      </c>
      <c r="D39" s="93">
        <v>68.214048104792326</v>
      </c>
      <c r="E39" s="31" t="s">
        <v>1630</v>
      </c>
      <c r="F39" s="93">
        <v>198.86363636363637</v>
      </c>
      <c r="G39" s="2082"/>
      <c r="H39" s="105">
        <v>130.64958825884406</v>
      </c>
      <c r="I39" s="106">
        <v>376.51941479095279</v>
      </c>
      <c r="J39" s="106">
        <v>90</v>
      </c>
      <c r="K39" s="106">
        <v>286.51941479095279</v>
      </c>
      <c r="L39" s="123"/>
      <c r="M39" s="85">
        <v>50000</v>
      </c>
      <c r="N39" s="90">
        <v>111.8130423929512</v>
      </c>
      <c r="O39" s="86">
        <v>70000</v>
      </c>
      <c r="P39" s="90">
        <v>62.5</v>
      </c>
      <c r="Q39" s="86">
        <v>15000</v>
      </c>
      <c r="R39" s="87">
        <v>63</v>
      </c>
      <c r="S39" s="86">
        <v>40000</v>
      </c>
      <c r="T39" s="88">
        <v>112.5</v>
      </c>
      <c r="U39" s="123"/>
      <c r="V39" s="89" t="s">
        <v>1629</v>
      </c>
      <c r="W39" s="90">
        <v>74.313042392951203</v>
      </c>
      <c r="X39" s="107">
        <v>30</v>
      </c>
      <c r="Y39" s="90">
        <v>75</v>
      </c>
      <c r="Z39" s="90">
        <v>37.5</v>
      </c>
      <c r="AA39" s="90">
        <v>25</v>
      </c>
      <c r="AB39" s="107">
        <v>30</v>
      </c>
      <c r="AC39" s="90">
        <v>75</v>
      </c>
      <c r="AD39" s="108">
        <v>37.5</v>
      </c>
      <c r="AE39" s="123"/>
      <c r="AF39" s="89" t="s">
        <v>1630</v>
      </c>
      <c r="AG39" s="107">
        <v>1</v>
      </c>
      <c r="AH39" s="31">
        <v>1</v>
      </c>
      <c r="AI39" s="86">
        <v>15000</v>
      </c>
      <c r="AJ39" s="90">
        <v>25</v>
      </c>
      <c r="AK39" s="93">
        <v>30</v>
      </c>
      <c r="AL39" s="90">
        <v>75</v>
      </c>
      <c r="AM39" s="90">
        <v>37.5</v>
      </c>
      <c r="AN39" s="90">
        <v>0.5</v>
      </c>
      <c r="AO39" s="87">
        <v>63</v>
      </c>
      <c r="AP39" s="87">
        <v>63</v>
      </c>
      <c r="AQ39" s="90">
        <v>70</v>
      </c>
      <c r="AR39" s="93">
        <v>30</v>
      </c>
      <c r="AS39" s="90">
        <v>75</v>
      </c>
      <c r="AT39" s="90">
        <v>37.5</v>
      </c>
      <c r="AU39" s="90">
        <v>5</v>
      </c>
      <c r="AV39" s="92" t="s">
        <v>2592</v>
      </c>
      <c r="AW39" s="107">
        <v>0</v>
      </c>
      <c r="AX39" s="86" t="s">
        <v>2592</v>
      </c>
      <c r="AY39" s="90" t="s">
        <v>2592</v>
      </c>
      <c r="AZ39" s="93" t="s">
        <v>2592</v>
      </c>
      <c r="BA39" s="90" t="s">
        <v>2592</v>
      </c>
      <c r="BB39" s="90" t="s">
        <v>2592</v>
      </c>
      <c r="BC39" s="88">
        <v>0</v>
      </c>
    </row>
    <row r="40" spans="2:55" ht="26" x14ac:dyDescent="0.35">
      <c r="B40" s="2076"/>
      <c r="C40" s="82" t="s">
        <v>1631</v>
      </c>
      <c r="D40" s="93">
        <v>122.54574340154173</v>
      </c>
      <c r="E40" s="31" t="s">
        <v>1632</v>
      </c>
      <c r="F40" s="93">
        <v>284.09090909090907</v>
      </c>
      <c r="G40" s="2082"/>
      <c r="H40" s="105">
        <v>161.54516568936734</v>
      </c>
      <c r="I40" s="106">
        <v>510.83610595837604</v>
      </c>
      <c r="J40" s="106">
        <v>120</v>
      </c>
      <c r="K40" s="106">
        <v>390.83610595837604</v>
      </c>
      <c r="L40" s="123"/>
      <c r="M40" s="85">
        <v>50000</v>
      </c>
      <c r="N40" s="90">
        <v>138.32291564967949</v>
      </c>
      <c r="O40" s="86">
        <v>70000</v>
      </c>
      <c r="P40" s="90">
        <v>62.5</v>
      </c>
      <c r="Q40" s="86">
        <v>15000</v>
      </c>
      <c r="R40" s="87">
        <v>68</v>
      </c>
      <c r="S40" s="86">
        <v>40000</v>
      </c>
      <c r="T40" s="88">
        <v>122.5</v>
      </c>
      <c r="U40" s="123"/>
      <c r="V40" s="89" t="s">
        <v>1631</v>
      </c>
      <c r="W40" s="90">
        <v>100.82291564967949</v>
      </c>
      <c r="X40" s="107">
        <v>30</v>
      </c>
      <c r="Y40" s="90">
        <v>75</v>
      </c>
      <c r="Z40" s="90">
        <v>37.5</v>
      </c>
      <c r="AA40" s="90">
        <v>25</v>
      </c>
      <c r="AB40" s="107">
        <v>30</v>
      </c>
      <c r="AC40" s="90">
        <v>75</v>
      </c>
      <c r="AD40" s="108">
        <v>37.5</v>
      </c>
      <c r="AE40" s="123"/>
      <c r="AF40" s="89" t="s">
        <v>1632</v>
      </c>
      <c r="AG40" s="107">
        <v>1</v>
      </c>
      <c r="AH40" s="31">
        <v>1</v>
      </c>
      <c r="AI40" s="86">
        <v>15000</v>
      </c>
      <c r="AJ40" s="90">
        <v>30</v>
      </c>
      <c r="AK40" s="93">
        <v>30</v>
      </c>
      <c r="AL40" s="90">
        <v>75</v>
      </c>
      <c r="AM40" s="90">
        <v>37.5</v>
      </c>
      <c r="AN40" s="90">
        <v>0.5</v>
      </c>
      <c r="AO40" s="87">
        <v>68</v>
      </c>
      <c r="AP40" s="87">
        <v>68</v>
      </c>
      <c r="AQ40" s="90">
        <v>80</v>
      </c>
      <c r="AR40" s="93">
        <v>30</v>
      </c>
      <c r="AS40" s="90">
        <v>75</v>
      </c>
      <c r="AT40" s="90">
        <v>37.5</v>
      </c>
      <c r="AU40" s="90">
        <v>5</v>
      </c>
      <c r="AV40" s="92" t="s">
        <v>2592</v>
      </c>
      <c r="AW40" s="107">
        <v>0</v>
      </c>
      <c r="AX40" s="86" t="s">
        <v>2592</v>
      </c>
      <c r="AY40" s="90" t="s">
        <v>2592</v>
      </c>
      <c r="AZ40" s="93" t="s">
        <v>2592</v>
      </c>
      <c r="BA40" s="90" t="s">
        <v>2592</v>
      </c>
      <c r="BB40" s="90" t="s">
        <v>2592</v>
      </c>
      <c r="BC40" s="88">
        <v>0</v>
      </c>
    </row>
    <row r="41" spans="2:55" ht="26.5" thickBot="1" x14ac:dyDescent="0.4">
      <c r="B41" s="2077"/>
      <c r="C41" s="61" t="s">
        <v>1625</v>
      </c>
      <c r="D41" s="62">
        <v>215.00183683027501</v>
      </c>
      <c r="E41" s="73" t="s">
        <v>1633</v>
      </c>
      <c r="F41" s="62">
        <v>454.54545454545456</v>
      </c>
      <c r="G41" s="2089"/>
      <c r="H41" s="63">
        <v>239.54361771517955</v>
      </c>
      <c r="I41" s="64">
        <v>943.23609151797484</v>
      </c>
      <c r="J41" s="64">
        <v>150</v>
      </c>
      <c r="K41" s="64">
        <v>793.23609151797484</v>
      </c>
      <c r="L41" s="123"/>
      <c r="M41" s="65">
        <v>50000</v>
      </c>
      <c r="N41" s="66">
        <v>223.66501806275821</v>
      </c>
      <c r="O41" s="67">
        <v>70000</v>
      </c>
      <c r="P41" s="66">
        <v>62.5</v>
      </c>
      <c r="Q41" s="67">
        <v>15000</v>
      </c>
      <c r="R41" s="68">
        <v>73</v>
      </c>
      <c r="S41" s="67">
        <v>40000</v>
      </c>
      <c r="T41" s="69">
        <v>132.5</v>
      </c>
      <c r="U41" s="123"/>
      <c r="V41" s="70" t="s">
        <v>1625</v>
      </c>
      <c r="W41" s="66">
        <v>186.16501806275821</v>
      </c>
      <c r="X41" s="72">
        <v>30</v>
      </c>
      <c r="Y41" s="66">
        <v>75</v>
      </c>
      <c r="Z41" s="66">
        <v>37.5</v>
      </c>
      <c r="AA41" s="66">
        <v>25</v>
      </c>
      <c r="AB41" s="72">
        <v>30</v>
      </c>
      <c r="AC41" s="66">
        <v>75</v>
      </c>
      <c r="AD41" s="71">
        <v>37.5</v>
      </c>
      <c r="AE41" s="123"/>
      <c r="AF41" s="70" t="s">
        <v>1633</v>
      </c>
      <c r="AG41" s="72">
        <v>1</v>
      </c>
      <c r="AH41" s="73">
        <v>1</v>
      </c>
      <c r="AI41" s="67">
        <v>15000</v>
      </c>
      <c r="AJ41" s="66">
        <v>35</v>
      </c>
      <c r="AK41" s="62">
        <v>30</v>
      </c>
      <c r="AL41" s="66">
        <v>75</v>
      </c>
      <c r="AM41" s="66">
        <v>37.5</v>
      </c>
      <c r="AN41" s="66">
        <v>0.5</v>
      </c>
      <c r="AO41" s="68">
        <v>73</v>
      </c>
      <c r="AP41" s="68">
        <v>73</v>
      </c>
      <c r="AQ41" s="66">
        <v>90</v>
      </c>
      <c r="AR41" s="62">
        <v>30</v>
      </c>
      <c r="AS41" s="66">
        <v>75</v>
      </c>
      <c r="AT41" s="66">
        <v>37.5</v>
      </c>
      <c r="AU41" s="66">
        <v>5</v>
      </c>
      <c r="AV41" s="74" t="s">
        <v>2592</v>
      </c>
      <c r="AW41" s="72">
        <v>0</v>
      </c>
      <c r="AX41" s="67" t="s">
        <v>2592</v>
      </c>
      <c r="AY41" s="66" t="s">
        <v>2592</v>
      </c>
      <c r="AZ41" s="62" t="s">
        <v>2592</v>
      </c>
      <c r="BA41" s="66" t="s">
        <v>2592</v>
      </c>
      <c r="BB41" s="66" t="s">
        <v>2592</v>
      </c>
      <c r="BC41" s="69">
        <v>0</v>
      </c>
    </row>
    <row r="42" spans="2:55" x14ac:dyDescent="0.35">
      <c r="B42" s="14"/>
      <c r="C42" s="115"/>
      <c r="D42" s="116"/>
      <c r="F42" s="116"/>
      <c r="I42" s="12"/>
      <c r="J42" s="12"/>
      <c r="K42" s="14"/>
      <c r="L42" s="123"/>
      <c r="O42" s="14"/>
      <c r="P42" s="115"/>
      <c r="Q42" s="14"/>
      <c r="R42" s="14"/>
      <c r="S42" s="14"/>
      <c r="U42" s="123"/>
      <c r="W42" s="14"/>
      <c r="Y42" s="12"/>
      <c r="Z42" s="14"/>
      <c r="AA42" s="14"/>
      <c r="AB42" s="12"/>
      <c r="AC42" s="12"/>
      <c r="AD42" s="14"/>
      <c r="AE42" s="123"/>
      <c r="AI42" s="14"/>
      <c r="AJ42" s="7"/>
      <c r="AK42" s="12"/>
      <c r="AL42" s="12"/>
      <c r="AM42" s="14"/>
      <c r="AO42" s="12"/>
      <c r="AP42" s="12"/>
      <c r="AQ42" s="7"/>
      <c r="AR42" s="12"/>
      <c r="AS42" s="12"/>
      <c r="AT42" s="14"/>
      <c r="AU42" s="14"/>
      <c r="AW42" s="14"/>
      <c r="AX42" s="14"/>
      <c r="AY42" s="7"/>
      <c r="AZ42" s="12"/>
      <c r="BA42" s="12"/>
      <c r="BC42" s="12"/>
    </row>
    <row r="43" spans="2:55" ht="15" thickBot="1" x14ac:dyDescent="0.4">
      <c r="B43" s="14"/>
      <c r="C43" s="14"/>
      <c r="D43" s="117"/>
      <c r="F43" s="116"/>
      <c r="I43" s="12"/>
      <c r="J43" s="12"/>
      <c r="K43" s="14"/>
      <c r="L43" s="123"/>
      <c r="O43" s="14"/>
      <c r="P43" s="14"/>
      <c r="Q43" s="14"/>
      <c r="R43" s="14"/>
      <c r="S43" s="14"/>
      <c r="U43" s="123"/>
      <c r="W43" s="14"/>
      <c r="Y43" s="12"/>
      <c r="Z43" s="14"/>
      <c r="AA43" s="14"/>
      <c r="AB43" s="12"/>
      <c r="AC43" s="12"/>
      <c r="AD43" s="14"/>
      <c r="AE43" s="123"/>
      <c r="AI43" s="14"/>
      <c r="AJ43" s="7"/>
      <c r="AK43" s="12"/>
      <c r="AL43" s="12"/>
      <c r="AM43" s="14"/>
      <c r="AO43" s="12"/>
      <c r="AP43" s="12"/>
      <c r="AQ43" s="7"/>
      <c r="AR43" s="12"/>
      <c r="AS43" s="12"/>
      <c r="AT43" s="14"/>
      <c r="AU43" s="14"/>
      <c r="AW43" s="14"/>
      <c r="AX43" s="14"/>
      <c r="AY43" s="7"/>
      <c r="AZ43" s="12"/>
      <c r="BA43" s="12"/>
      <c r="BC43" s="12"/>
    </row>
    <row r="44" spans="2:55" s="14" customFormat="1" ht="16" thickBot="1" x14ac:dyDescent="0.4">
      <c r="B44" s="266" t="s">
        <v>2659</v>
      </c>
      <c r="C44" s="267"/>
      <c r="D44" s="268"/>
      <c r="E44" s="267"/>
      <c r="F44" s="268"/>
      <c r="G44" s="268"/>
      <c r="H44" s="268"/>
      <c r="I44" s="268"/>
      <c r="J44" s="269"/>
      <c r="K44" s="269"/>
      <c r="L44" s="270"/>
      <c r="M44" s="269"/>
      <c r="N44" s="271"/>
      <c r="O44" s="272" t="s">
        <v>2660</v>
      </c>
      <c r="P44" s="273"/>
      <c r="Q44" s="274"/>
      <c r="R44" s="273"/>
      <c r="S44" s="274"/>
      <c r="T44" s="274"/>
      <c r="U44" s="275"/>
      <c r="V44" s="274"/>
      <c r="W44" s="274"/>
      <c r="X44" s="274"/>
      <c r="Y44" s="274"/>
      <c r="Z44" s="274"/>
      <c r="AA44" s="274"/>
      <c r="AB44" s="274"/>
      <c r="AC44" s="275"/>
      <c r="AD44" s="274"/>
      <c r="AE44" s="276"/>
      <c r="AF44" s="274"/>
      <c r="AG44" s="274"/>
      <c r="AH44" s="274"/>
      <c r="AI44" s="275"/>
      <c r="AJ44" s="274"/>
      <c r="AK44" s="276"/>
      <c r="AL44" s="274"/>
      <c r="AM44" s="274"/>
      <c r="AN44" s="274"/>
      <c r="AO44" s="274"/>
      <c r="AP44" s="274"/>
      <c r="AQ44" s="275"/>
      <c r="AR44" s="274"/>
      <c r="AS44" s="276"/>
      <c r="AT44" s="274"/>
      <c r="AU44" s="277"/>
    </row>
    <row r="45" spans="2:55" s="14" customFormat="1" ht="130.5" thickBot="1" x14ac:dyDescent="0.4">
      <c r="B45" s="278" t="s">
        <v>2522</v>
      </c>
      <c r="C45" s="279" t="s">
        <v>728</v>
      </c>
      <c r="D45" s="73" t="s">
        <v>2523</v>
      </c>
      <c r="E45" s="279" t="s">
        <v>2524</v>
      </c>
      <c r="F45" s="73" t="s">
        <v>2661</v>
      </c>
      <c r="G45" s="73" t="s">
        <v>2662</v>
      </c>
      <c r="H45" s="73" t="s">
        <v>2663</v>
      </c>
      <c r="I45" s="73" t="s">
        <v>2664</v>
      </c>
      <c r="J45" s="280" t="s">
        <v>2665</v>
      </c>
      <c r="K45" s="280" t="s">
        <v>2666</v>
      </c>
      <c r="L45" s="281" t="s">
        <v>2667</v>
      </c>
      <c r="M45" s="280" t="s">
        <v>2668</v>
      </c>
      <c r="N45" s="282" t="s">
        <v>2669</v>
      </c>
      <c r="O45" s="283" t="s">
        <v>2670</v>
      </c>
      <c r="P45" s="284" t="s">
        <v>2667</v>
      </c>
      <c r="Q45" s="285" t="s">
        <v>2538</v>
      </c>
      <c r="R45" s="284" t="s">
        <v>2539</v>
      </c>
      <c r="S45" s="285" t="s">
        <v>2540</v>
      </c>
      <c r="T45" s="312" t="s">
        <v>2671</v>
      </c>
      <c r="U45" s="286" t="s">
        <v>2531</v>
      </c>
      <c r="V45" s="285" t="s">
        <v>2672</v>
      </c>
      <c r="W45" s="285" t="s">
        <v>2542</v>
      </c>
      <c r="X45" s="285" t="s">
        <v>2543</v>
      </c>
      <c r="Y45" s="285" t="s">
        <v>2544</v>
      </c>
      <c r="Z45" s="285" t="s">
        <v>2673</v>
      </c>
      <c r="AA45" s="311" t="s">
        <v>2674</v>
      </c>
      <c r="AB45" s="312" t="s">
        <v>2528</v>
      </c>
      <c r="AC45" s="286" t="s">
        <v>2675</v>
      </c>
      <c r="AD45" s="285" t="s">
        <v>2676</v>
      </c>
      <c r="AE45" s="287" t="s">
        <v>2677</v>
      </c>
      <c r="AF45" s="285" t="s">
        <v>2678</v>
      </c>
      <c r="AG45" s="285" t="s">
        <v>2679</v>
      </c>
      <c r="AH45" s="285" t="s">
        <v>2680</v>
      </c>
      <c r="AI45" s="286" t="s">
        <v>2681</v>
      </c>
      <c r="AJ45" s="285" t="s">
        <v>2682</v>
      </c>
      <c r="AK45" s="287" t="s">
        <v>2683</v>
      </c>
      <c r="AL45" s="285" t="s">
        <v>2684</v>
      </c>
      <c r="AM45" s="285" t="s">
        <v>2685</v>
      </c>
      <c r="AN45" s="285" t="s">
        <v>2686</v>
      </c>
      <c r="AO45" s="311" t="s">
        <v>2687</v>
      </c>
      <c r="AP45" s="312" t="s">
        <v>2528</v>
      </c>
      <c r="AQ45" s="286" t="s">
        <v>2688</v>
      </c>
      <c r="AR45" s="285" t="s">
        <v>2689</v>
      </c>
      <c r="AS45" s="287" t="s">
        <v>2690</v>
      </c>
      <c r="AT45" s="285" t="s">
        <v>2691</v>
      </c>
      <c r="AU45" s="288" t="s">
        <v>2692</v>
      </c>
    </row>
    <row r="46" spans="2:55" s="14" customFormat="1" ht="52" x14ac:dyDescent="0.35">
      <c r="B46" s="289" t="s">
        <v>2693</v>
      </c>
      <c r="C46" s="2083" t="s">
        <v>2694</v>
      </c>
      <c r="D46" s="2084"/>
      <c r="E46" s="2084"/>
      <c r="F46" s="2085"/>
      <c r="G46" s="99">
        <f t="shared" ref="G46:G55" si="0">H46*J46+I46*K46</f>
        <v>40</v>
      </c>
      <c r="H46" s="99">
        <v>40</v>
      </c>
      <c r="I46" s="99"/>
      <c r="J46" s="290">
        <v>1</v>
      </c>
      <c r="K46" s="290"/>
      <c r="L46" s="291">
        <v>30</v>
      </c>
      <c r="M46" s="290" t="s">
        <v>2695</v>
      </c>
      <c r="N46" s="290" t="s">
        <v>2696</v>
      </c>
      <c r="O46" s="292">
        <v>18750</v>
      </c>
      <c r="P46" s="291" t="s">
        <v>482</v>
      </c>
      <c r="Q46" s="293" t="s">
        <v>482</v>
      </c>
      <c r="R46" s="293" t="s">
        <v>482</v>
      </c>
      <c r="S46" s="293" t="s">
        <v>482</v>
      </c>
      <c r="T46" s="293" t="s">
        <v>482</v>
      </c>
      <c r="U46" s="294" t="s">
        <v>482</v>
      </c>
      <c r="V46" s="291" t="s">
        <v>482</v>
      </c>
      <c r="W46" s="293" t="s">
        <v>482</v>
      </c>
      <c r="X46" s="293" t="s">
        <v>482</v>
      </c>
      <c r="Y46" s="293" t="s">
        <v>482</v>
      </c>
      <c r="Z46" s="293" t="s">
        <v>482</v>
      </c>
      <c r="AA46" s="295" t="s">
        <v>2697</v>
      </c>
      <c r="AB46" s="293" t="s">
        <v>482</v>
      </c>
      <c r="AC46" s="294">
        <v>1000</v>
      </c>
      <c r="AD46" s="291">
        <v>0.5</v>
      </c>
      <c r="AE46" s="100">
        <v>8</v>
      </c>
      <c r="AF46" s="291">
        <v>20</v>
      </c>
      <c r="AG46" s="291">
        <f t="shared" ref="AG46:AG57" si="1">AE46/60*AF46</f>
        <v>2.6666666666666665</v>
      </c>
      <c r="AH46" s="291">
        <v>0</v>
      </c>
      <c r="AI46" s="294" t="s">
        <v>482</v>
      </c>
      <c r="AJ46" s="293" t="s">
        <v>482</v>
      </c>
      <c r="AK46" s="100" t="s">
        <v>482</v>
      </c>
      <c r="AL46" s="293" t="s">
        <v>482</v>
      </c>
      <c r="AM46" s="293" t="s">
        <v>482</v>
      </c>
      <c r="AN46" s="293" t="s">
        <v>482</v>
      </c>
      <c r="AO46" s="295" t="s">
        <v>482</v>
      </c>
      <c r="AP46" s="293" t="s">
        <v>482</v>
      </c>
      <c r="AQ46" s="294" t="s">
        <v>482</v>
      </c>
      <c r="AR46" s="291" t="s">
        <v>482</v>
      </c>
      <c r="AS46" s="100" t="s">
        <v>482</v>
      </c>
      <c r="AT46" s="291" t="s">
        <v>482</v>
      </c>
      <c r="AU46" s="296" t="s">
        <v>482</v>
      </c>
    </row>
    <row r="47" spans="2:55" s="14" customFormat="1" ht="52" x14ac:dyDescent="0.35">
      <c r="B47" s="89" t="s">
        <v>2698</v>
      </c>
      <c r="C47" s="2083"/>
      <c r="D47" s="2084"/>
      <c r="E47" s="2084"/>
      <c r="F47" s="2085"/>
      <c r="G47" s="31">
        <f t="shared" si="0"/>
        <v>75</v>
      </c>
      <c r="H47" s="31">
        <v>75</v>
      </c>
      <c r="I47" s="31"/>
      <c r="J47" s="297">
        <v>1</v>
      </c>
      <c r="K47" s="297"/>
      <c r="L47" s="90">
        <v>40</v>
      </c>
      <c r="M47" s="290" t="s">
        <v>2695</v>
      </c>
      <c r="N47" s="290" t="s">
        <v>2696</v>
      </c>
      <c r="O47" s="85">
        <v>25000</v>
      </c>
      <c r="P47" s="90" t="s">
        <v>482</v>
      </c>
      <c r="Q47" s="107" t="s">
        <v>482</v>
      </c>
      <c r="R47" s="90" t="s">
        <v>482</v>
      </c>
      <c r="S47" s="90" t="s">
        <v>482</v>
      </c>
      <c r="T47" s="90" t="s">
        <v>482</v>
      </c>
      <c r="U47" s="86" t="s">
        <v>482</v>
      </c>
      <c r="V47" s="90" t="s">
        <v>482</v>
      </c>
      <c r="W47" s="107" t="s">
        <v>482</v>
      </c>
      <c r="X47" s="90" t="s">
        <v>482</v>
      </c>
      <c r="Y47" s="90" t="s">
        <v>482</v>
      </c>
      <c r="Z47" s="90" t="s">
        <v>482</v>
      </c>
      <c r="AA47" s="298" t="s">
        <v>2699</v>
      </c>
      <c r="AB47" s="90" t="s">
        <v>482</v>
      </c>
      <c r="AC47" s="86">
        <v>1000</v>
      </c>
      <c r="AD47" s="90">
        <v>0.5</v>
      </c>
      <c r="AE47" s="93">
        <v>8</v>
      </c>
      <c r="AF47" s="90">
        <v>20</v>
      </c>
      <c r="AG47" s="90">
        <f t="shared" si="1"/>
        <v>2.6666666666666665</v>
      </c>
      <c r="AH47" s="90">
        <v>0</v>
      </c>
      <c r="AI47" s="86" t="s">
        <v>482</v>
      </c>
      <c r="AJ47" s="107" t="s">
        <v>482</v>
      </c>
      <c r="AK47" s="93" t="s">
        <v>482</v>
      </c>
      <c r="AL47" s="107" t="s">
        <v>482</v>
      </c>
      <c r="AM47" s="107" t="s">
        <v>482</v>
      </c>
      <c r="AN47" s="107" t="s">
        <v>482</v>
      </c>
      <c r="AO47" s="298" t="s">
        <v>482</v>
      </c>
      <c r="AP47" s="90" t="s">
        <v>482</v>
      </c>
      <c r="AQ47" s="86" t="s">
        <v>482</v>
      </c>
      <c r="AR47" s="90" t="s">
        <v>482</v>
      </c>
      <c r="AS47" s="93" t="s">
        <v>482</v>
      </c>
      <c r="AT47" s="90" t="s">
        <v>482</v>
      </c>
      <c r="AU47" s="299" t="s">
        <v>482</v>
      </c>
    </row>
    <row r="48" spans="2:55" s="14" customFormat="1" ht="15.75" customHeight="1" thickBot="1" x14ac:dyDescent="0.4">
      <c r="B48" s="89" t="s">
        <v>2700</v>
      </c>
      <c r="C48" s="2083"/>
      <c r="D48" s="2084"/>
      <c r="E48" s="2084"/>
      <c r="F48" s="2085"/>
      <c r="G48" s="31">
        <f t="shared" si="0"/>
        <v>53</v>
      </c>
      <c r="H48" s="31">
        <v>53</v>
      </c>
      <c r="I48" s="31"/>
      <c r="J48" s="297">
        <v>1</v>
      </c>
      <c r="K48" s="297"/>
      <c r="L48" s="90">
        <v>30</v>
      </c>
      <c r="M48" s="300">
        <v>1</v>
      </c>
      <c r="N48" s="301">
        <v>29</v>
      </c>
      <c r="O48" s="85">
        <v>25000</v>
      </c>
      <c r="P48" s="90" t="s">
        <v>482</v>
      </c>
      <c r="Q48" s="107" t="s">
        <v>482</v>
      </c>
      <c r="R48" s="90" t="s">
        <v>482</v>
      </c>
      <c r="S48" s="90" t="s">
        <v>482</v>
      </c>
      <c r="T48" s="90" t="s">
        <v>482</v>
      </c>
      <c r="U48" s="86" t="s">
        <v>482</v>
      </c>
      <c r="V48" s="90" t="s">
        <v>482</v>
      </c>
      <c r="W48" s="107" t="s">
        <v>482</v>
      </c>
      <c r="X48" s="90" t="s">
        <v>482</v>
      </c>
      <c r="Y48" s="90" t="s">
        <v>482</v>
      </c>
      <c r="Z48" s="90" t="s">
        <v>482</v>
      </c>
      <c r="AA48" s="298" t="s">
        <v>2701</v>
      </c>
      <c r="AB48" s="90" t="s">
        <v>482</v>
      </c>
      <c r="AC48" s="86">
        <v>2000</v>
      </c>
      <c r="AD48" s="90">
        <v>2</v>
      </c>
      <c r="AE48" s="93">
        <v>8</v>
      </c>
      <c r="AF48" s="90">
        <v>20</v>
      </c>
      <c r="AG48" s="90">
        <f t="shared" si="1"/>
        <v>2.6666666666666665</v>
      </c>
      <c r="AH48" s="90">
        <v>0</v>
      </c>
      <c r="AI48" s="86" t="s">
        <v>482</v>
      </c>
      <c r="AJ48" s="107" t="s">
        <v>482</v>
      </c>
      <c r="AK48" s="93" t="s">
        <v>482</v>
      </c>
      <c r="AL48" s="107" t="s">
        <v>482</v>
      </c>
      <c r="AM48" s="107" t="s">
        <v>482</v>
      </c>
      <c r="AN48" s="107" t="s">
        <v>482</v>
      </c>
      <c r="AO48" s="298" t="s">
        <v>482</v>
      </c>
      <c r="AP48" s="90" t="s">
        <v>482</v>
      </c>
      <c r="AQ48" s="86" t="s">
        <v>482</v>
      </c>
      <c r="AR48" s="90" t="s">
        <v>482</v>
      </c>
      <c r="AS48" s="93" t="s">
        <v>482</v>
      </c>
      <c r="AT48" s="90" t="s">
        <v>482</v>
      </c>
      <c r="AU48" s="299" t="s">
        <v>482</v>
      </c>
    </row>
    <row r="49" spans="2:47" s="14" customFormat="1" ht="39" x14ac:dyDescent="0.35">
      <c r="B49" s="289" t="s">
        <v>2702</v>
      </c>
      <c r="C49" s="2083"/>
      <c r="D49" s="2084"/>
      <c r="E49" s="2084"/>
      <c r="F49" s="2085"/>
      <c r="G49" s="59">
        <f t="shared" si="0"/>
        <v>54</v>
      </c>
      <c r="H49" s="59">
        <v>20</v>
      </c>
      <c r="I49" s="59">
        <v>60</v>
      </c>
      <c r="J49" s="302">
        <v>0.15</v>
      </c>
      <c r="K49" s="302">
        <f t="shared" ref="K49:K55" si="2">1-J49</f>
        <v>0.85</v>
      </c>
      <c r="L49" s="291">
        <v>45</v>
      </c>
      <c r="M49" s="303">
        <v>5</v>
      </c>
      <c r="N49" s="304">
        <v>40</v>
      </c>
      <c r="O49" s="85">
        <v>35000</v>
      </c>
      <c r="P49" s="90" t="s">
        <v>482</v>
      </c>
      <c r="Q49" s="107" t="s">
        <v>482</v>
      </c>
      <c r="R49" s="90" t="s">
        <v>482</v>
      </c>
      <c r="S49" s="90" t="s">
        <v>482</v>
      </c>
      <c r="T49" s="90" t="s">
        <v>482</v>
      </c>
      <c r="U49" s="86" t="s">
        <v>482</v>
      </c>
      <c r="V49" s="90" t="s">
        <v>482</v>
      </c>
      <c r="W49" s="107" t="s">
        <v>482</v>
      </c>
      <c r="X49" s="90" t="s">
        <v>482</v>
      </c>
      <c r="Y49" s="90" t="s">
        <v>482</v>
      </c>
      <c r="Z49" s="90" t="s">
        <v>482</v>
      </c>
      <c r="AA49" s="298" t="s">
        <v>2703</v>
      </c>
      <c r="AB49" s="90">
        <f t="shared" ref="AB49:AB78" si="3">AD49+AG49+AM49</f>
        <v>26.366666666666667</v>
      </c>
      <c r="AC49" s="86">
        <v>10000</v>
      </c>
      <c r="AD49" s="90">
        <v>8.6999999999999993</v>
      </c>
      <c r="AE49" s="93">
        <v>8</v>
      </c>
      <c r="AF49" s="90">
        <v>20</v>
      </c>
      <c r="AG49" s="90">
        <f t="shared" si="1"/>
        <v>2.6666666666666665</v>
      </c>
      <c r="AH49" s="90">
        <v>0.25</v>
      </c>
      <c r="AI49" s="86">
        <v>40000</v>
      </c>
      <c r="AJ49" s="90">
        <v>16</v>
      </c>
      <c r="AK49" s="93">
        <v>20</v>
      </c>
      <c r="AL49" s="90">
        <v>45</v>
      </c>
      <c r="AM49" s="90">
        <f t="shared" ref="AM49:AM57" si="4">AK49/60*AL49</f>
        <v>15</v>
      </c>
      <c r="AN49" s="90">
        <v>5</v>
      </c>
      <c r="AO49" s="298" t="s">
        <v>2704</v>
      </c>
      <c r="AP49" s="90" t="s">
        <v>482</v>
      </c>
      <c r="AQ49" s="86">
        <v>2500</v>
      </c>
      <c r="AR49" s="90">
        <v>10</v>
      </c>
      <c r="AS49" s="93">
        <v>8</v>
      </c>
      <c r="AT49" s="90">
        <v>20</v>
      </c>
      <c r="AU49" s="108">
        <f t="shared" ref="AU49:AU55" si="5">AS49/60*AT49</f>
        <v>2.6666666666666665</v>
      </c>
    </row>
    <row r="50" spans="2:47" s="14" customFormat="1" ht="39" x14ac:dyDescent="0.35">
      <c r="B50" s="89" t="s">
        <v>2705</v>
      </c>
      <c r="C50" s="2086"/>
      <c r="D50" s="2087"/>
      <c r="E50" s="2087"/>
      <c r="F50" s="2088"/>
      <c r="G50" s="31">
        <f t="shared" si="0"/>
        <v>66.75</v>
      </c>
      <c r="H50" s="31">
        <v>20</v>
      </c>
      <c r="I50" s="31">
        <v>75</v>
      </c>
      <c r="J50" s="297">
        <v>0.15</v>
      </c>
      <c r="K50" s="297">
        <f t="shared" si="2"/>
        <v>0.85</v>
      </c>
      <c r="L50" s="90">
        <v>55</v>
      </c>
      <c r="M50" s="300">
        <v>5</v>
      </c>
      <c r="N50" s="301">
        <v>50</v>
      </c>
      <c r="O50" s="85">
        <v>35000</v>
      </c>
      <c r="P50" s="90" t="s">
        <v>482</v>
      </c>
      <c r="Q50" s="107" t="s">
        <v>482</v>
      </c>
      <c r="R50" s="90" t="s">
        <v>482</v>
      </c>
      <c r="S50" s="90" t="s">
        <v>482</v>
      </c>
      <c r="T50" s="90" t="s">
        <v>482</v>
      </c>
      <c r="U50" s="86" t="s">
        <v>482</v>
      </c>
      <c r="V50" s="90" t="s">
        <v>482</v>
      </c>
      <c r="W50" s="107" t="s">
        <v>482</v>
      </c>
      <c r="X50" s="90" t="s">
        <v>482</v>
      </c>
      <c r="Y50" s="90" t="s">
        <v>482</v>
      </c>
      <c r="Z50" s="90" t="s">
        <v>482</v>
      </c>
      <c r="AA50" s="298" t="s">
        <v>2706</v>
      </c>
      <c r="AB50" s="90">
        <f t="shared" si="3"/>
        <v>27.366666666666667</v>
      </c>
      <c r="AC50" s="86">
        <v>10000</v>
      </c>
      <c r="AD50" s="90">
        <v>9.6999999999999993</v>
      </c>
      <c r="AE50" s="93">
        <v>8</v>
      </c>
      <c r="AF50" s="90">
        <v>20</v>
      </c>
      <c r="AG50" s="90">
        <f t="shared" si="1"/>
        <v>2.6666666666666665</v>
      </c>
      <c r="AH50" s="90">
        <v>0.25</v>
      </c>
      <c r="AI50" s="86">
        <v>40000</v>
      </c>
      <c r="AJ50" s="90">
        <v>16</v>
      </c>
      <c r="AK50" s="93">
        <v>20</v>
      </c>
      <c r="AL50" s="90">
        <v>45</v>
      </c>
      <c r="AM50" s="90">
        <f t="shared" si="4"/>
        <v>15</v>
      </c>
      <c r="AN50" s="90">
        <v>5</v>
      </c>
      <c r="AO50" s="298" t="s">
        <v>2707</v>
      </c>
      <c r="AP50" s="90" t="s">
        <v>482</v>
      </c>
      <c r="AQ50" s="86">
        <v>2500</v>
      </c>
      <c r="AR50" s="90">
        <v>10</v>
      </c>
      <c r="AS50" s="93">
        <v>8</v>
      </c>
      <c r="AT50" s="90">
        <v>20</v>
      </c>
      <c r="AU50" s="108">
        <f t="shared" si="5"/>
        <v>2.6666666666666665</v>
      </c>
    </row>
    <row r="51" spans="2:47" s="14" customFormat="1" ht="65" x14ac:dyDescent="0.35">
      <c r="B51" s="89" t="s">
        <v>1566</v>
      </c>
      <c r="C51" s="93">
        <v>17.600000000000001</v>
      </c>
      <c r="D51" s="298" t="s">
        <v>2708</v>
      </c>
      <c r="E51" s="93">
        <v>54.3</v>
      </c>
      <c r="F51" s="31" t="s">
        <v>2709</v>
      </c>
      <c r="G51" s="31">
        <f t="shared" si="0"/>
        <v>56.2</v>
      </c>
      <c r="H51" s="31">
        <v>28</v>
      </c>
      <c r="I51" s="31">
        <v>75</v>
      </c>
      <c r="J51" s="297">
        <v>0.4</v>
      </c>
      <c r="K51" s="297">
        <f t="shared" si="2"/>
        <v>0.6</v>
      </c>
      <c r="L51" s="305"/>
      <c r="M51" s="306"/>
      <c r="N51" s="301">
        <v>50</v>
      </c>
      <c r="O51" s="85">
        <v>50000</v>
      </c>
      <c r="P51" s="90">
        <v>25</v>
      </c>
      <c r="Q51" s="107">
        <v>30</v>
      </c>
      <c r="R51" s="90">
        <v>45</v>
      </c>
      <c r="S51" s="90">
        <f t="shared" ref="S51:S78" si="6">Q51/60*R51</f>
        <v>22.5</v>
      </c>
      <c r="T51" s="90">
        <f t="shared" ref="T51:T78" si="7">P51+S51</f>
        <v>47.5</v>
      </c>
      <c r="U51" s="86">
        <v>70000</v>
      </c>
      <c r="V51" s="90">
        <v>25</v>
      </c>
      <c r="W51" s="107">
        <v>30</v>
      </c>
      <c r="X51" s="90">
        <v>45</v>
      </c>
      <c r="Y51" s="90">
        <f t="shared" ref="Y51:Y78" si="8">W51/60*X51</f>
        <v>22.5</v>
      </c>
      <c r="Z51" s="90">
        <f t="shared" ref="Z51:Z78" si="9">V51+Y51</f>
        <v>47.5</v>
      </c>
      <c r="AA51" s="298" t="s">
        <v>2572</v>
      </c>
      <c r="AB51" s="90">
        <f t="shared" si="3"/>
        <v>27.366666666666667</v>
      </c>
      <c r="AC51" s="86">
        <v>10000</v>
      </c>
      <c r="AD51" s="90">
        <v>9.6999999999999993</v>
      </c>
      <c r="AE51" s="93">
        <v>8</v>
      </c>
      <c r="AF51" s="90">
        <v>20</v>
      </c>
      <c r="AG51" s="90">
        <f t="shared" si="1"/>
        <v>2.6666666666666665</v>
      </c>
      <c r="AH51" s="90">
        <v>0.25</v>
      </c>
      <c r="AI51" s="86">
        <v>40000</v>
      </c>
      <c r="AJ51" s="90">
        <v>16</v>
      </c>
      <c r="AK51" s="93">
        <v>20</v>
      </c>
      <c r="AL51" s="90">
        <v>45</v>
      </c>
      <c r="AM51" s="90">
        <f t="shared" si="4"/>
        <v>15</v>
      </c>
      <c r="AN51" s="90">
        <v>5</v>
      </c>
      <c r="AO51" s="298" t="s">
        <v>2573</v>
      </c>
      <c r="AP51" s="90">
        <f t="shared" ref="AP51:AP78" si="10">AR51+AU51</f>
        <v>12.666666666666666</v>
      </c>
      <c r="AQ51" s="86">
        <v>2500</v>
      </c>
      <c r="AR51" s="90">
        <v>10</v>
      </c>
      <c r="AS51" s="93">
        <v>8</v>
      </c>
      <c r="AT51" s="90">
        <v>20</v>
      </c>
      <c r="AU51" s="108">
        <f t="shared" si="5"/>
        <v>2.6666666666666665</v>
      </c>
    </row>
    <row r="52" spans="2:47" s="14" customFormat="1" ht="65" x14ac:dyDescent="0.35">
      <c r="B52" s="89" t="s">
        <v>2575</v>
      </c>
      <c r="C52" s="93">
        <v>12.2</v>
      </c>
      <c r="D52" s="298" t="s">
        <v>2710</v>
      </c>
      <c r="E52" s="93">
        <v>60.4</v>
      </c>
      <c r="F52" s="31" t="s">
        <v>2711</v>
      </c>
      <c r="G52" s="31">
        <f t="shared" si="0"/>
        <v>58.5</v>
      </c>
      <c r="H52" s="31">
        <v>45</v>
      </c>
      <c r="I52" s="31">
        <v>60</v>
      </c>
      <c r="J52" s="297">
        <v>0.1</v>
      </c>
      <c r="K52" s="297">
        <f t="shared" si="2"/>
        <v>0.9</v>
      </c>
      <c r="L52" s="305"/>
      <c r="M52" s="306"/>
      <c r="N52" s="301">
        <v>100</v>
      </c>
      <c r="O52" s="85">
        <v>50000</v>
      </c>
      <c r="P52" s="90">
        <v>25</v>
      </c>
      <c r="Q52" s="107">
        <v>30</v>
      </c>
      <c r="R52" s="90">
        <v>45</v>
      </c>
      <c r="S52" s="90">
        <f t="shared" si="6"/>
        <v>22.5</v>
      </c>
      <c r="T52" s="90">
        <f t="shared" si="7"/>
        <v>47.5</v>
      </c>
      <c r="U52" s="86">
        <v>70000</v>
      </c>
      <c r="V52" s="90">
        <v>25</v>
      </c>
      <c r="W52" s="107">
        <v>30</v>
      </c>
      <c r="X52" s="90">
        <v>45</v>
      </c>
      <c r="Y52" s="90">
        <f t="shared" si="8"/>
        <v>22.5</v>
      </c>
      <c r="Z52" s="90">
        <f t="shared" si="9"/>
        <v>47.5</v>
      </c>
      <c r="AA52" s="298" t="s">
        <v>2577</v>
      </c>
      <c r="AB52" s="90">
        <f t="shared" si="3"/>
        <v>77.666666666666657</v>
      </c>
      <c r="AC52" s="86">
        <v>12000</v>
      </c>
      <c r="AD52" s="90">
        <v>60</v>
      </c>
      <c r="AE52" s="93">
        <v>8</v>
      </c>
      <c r="AF52" s="90">
        <v>20</v>
      </c>
      <c r="AG52" s="90">
        <f t="shared" si="1"/>
        <v>2.6666666666666665</v>
      </c>
      <c r="AH52" s="90">
        <v>0.25</v>
      </c>
      <c r="AI52" s="86">
        <v>40000</v>
      </c>
      <c r="AJ52" s="90">
        <v>90</v>
      </c>
      <c r="AK52" s="93">
        <v>20</v>
      </c>
      <c r="AL52" s="90">
        <v>45</v>
      </c>
      <c r="AM52" s="90">
        <f t="shared" si="4"/>
        <v>15</v>
      </c>
      <c r="AN52" s="90">
        <v>5</v>
      </c>
      <c r="AO52" s="298" t="s">
        <v>2578</v>
      </c>
      <c r="AP52" s="90">
        <f t="shared" si="10"/>
        <v>12.666666666666666</v>
      </c>
      <c r="AQ52" s="86">
        <v>2500</v>
      </c>
      <c r="AR52" s="90">
        <v>10</v>
      </c>
      <c r="AS52" s="93">
        <v>8</v>
      </c>
      <c r="AT52" s="90">
        <v>20</v>
      </c>
      <c r="AU52" s="108">
        <f t="shared" si="5"/>
        <v>2.6666666666666665</v>
      </c>
    </row>
    <row r="53" spans="2:47" s="14" customFormat="1" ht="65" x14ac:dyDescent="0.35">
      <c r="B53" s="89" t="s">
        <v>2579</v>
      </c>
      <c r="C53" s="93">
        <v>8.3000000000000007</v>
      </c>
      <c r="D53" s="298" t="s">
        <v>2712</v>
      </c>
      <c r="E53" s="93">
        <v>17.7</v>
      </c>
      <c r="F53" s="31" t="s">
        <v>2713</v>
      </c>
      <c r="G53" s="31">
        <f t="shared" si="0"/>
        <v>44</v>
      </c>
      <c r="H53" s="31">
        <v>20</v>
      </c>
      <c r="I53" s="31">
        <v>60</v>
      </c>
      <c r="J53" s="297">
        <v>0.4</v>
      </c>
      <c r="K53" s="297">
        <f t="shared" si="2"/>
        <v>0.6</v>
      </c>
      <c r="L53" s="305"/>
      <c r="M53" s="306"/>
      <c r="N53" s="301">
        <v>80</v>
      </c>
      <c r="O53" s="85">
        <v>50000</v>
      </c>
      <c r="P53" s="90">
        <v>25</v>
      </c>
      <c r="Q53" s="107">
        <v>30</v>
      </c>
      <c r="R53" s="90">
        <v>45</v>
      </c>
      <c r="S53" s="90">
        <f t="shared" si="6"/>
        <v>22.5</v>
      </c>
      <c r="T53" s="90">
        <f t="shared" si="7"/>
        <v>47.5</v>
      </c>
      <c r="U53" s="86">
        <v>70000</v>
      </c>
      <c r="V53" s="90">
        <v>25</v>
      </c>
      <c r="W53" s="107">
        <v>30</v>
      </c>
      <c r="X53" s="90">
        <v>45</v>
      </c>
      <c r="Y53" s="90">
        <f t="shared" si="8"/>
        <v>22.5</v>
      </c>
      <c r="Z53" s="90">
        <f t="shared" si="9"/>
        <v>47.5</v>
      </c>
      <c r="AA53" s="298" t="s">
        <v>2581</v>
      </c>
      <c r="AB53" s="90">
        <f t="shared" si="3"/>
        <v>30.466666666666669</v>
      </c>
      <c r="AC53" s="86">
        <v>10000</v>
      </c>
      <c r="AD53" s="90">
        <v>12.8</v>
      </c>
      <c r="AE53" s="93">
        <v>8</v>
      </c>
      <c r="AF53" s="90">
        <v>20</v>
      </c>
      <c r="AG53" s="90">
        <f t="shared" si="1"/>
        <v>2.6666666666666665</v>
      </c>
      <c r="AH53" s="90">
        <v>0.25</v>
      </c>
      <c r="AI53" s="86">
        <v>40000</v>
      </c>
      <c r="AJ53" s="90">
        <v>47.5</v>
      </c>
      <c r="AK53" s="93">
        <v>20</v>
      </c>
      <c r="AL53" s="90">
        <v>45</v>
      </c>
      <c r="AM53" s="90">
        <f t="shared" si="4"/>
        <v>15</v>
      </c>
      <c r="AN53" s="90">
        <v>5</v>
      </c>
      <c r="AO53" s="298" t="s">
        <v>2582</v>
      </c>
      <c r="AP53" s="90">
        <f t="shared" si="10"/>
        <v>12.666666666666666</v>
      </c>
      <c r="AQ53" s="86">
        <v>2500</v>
      </c>
      <c r="AR53" s="90">
        <v>10</v>
      </c>
      <c r="AS53" s="93">
        <v>8</v>
      </c>
      <c r="AT53" s="90">
        <v>20</v>
      </c>
      <c r="AU53" s="108">
        <f t="shared" si="5"/>
        <v>2.6666666666666665</v>
      </c>
    </row>
    <row r="54" spans="2:47" s="14" customFormat="1" ht="65" x14ac:dyDescent="0.35">
      <c r="B54" s="89" t="s">
        <v>2714</v>
      </c>
      <c r="C54" s="93">
        <v>7.1</v>
      </c>
      <c r="D54" s="298" t="s">
        <v>2715</v>
      </c>
      <c r="E54" s="93">
        <v>36.200000000000003</v>
      </c>
      <c r="F54" s="31" t="s">
        <v>2716</v>
      </c>
      <c r="G54" s="31">
        <f t="shared" si="0"/>
        <v>32.5</v>
      </c>
      <c r="H54" s="31">
        <v>15</v>
      </c>
      <c r="I54" s="31">
        <v>50</v>
      </c>
      <c r="J54" s="297">
        <v>0.5</v>
      </c>
      <c r="K54" s="297">
        <f t="shared" si="2"/>
        <v>0.5</v>
      </c>
      <c r="L54" s="305"/>
      <c r="M54" s="306"/>
      <c r="N54" s="301">
        <v>50</v>
      </c>
      <c r="O54" s="85">
        <v>50000</v>
      </c>
      <c r="P54" s="90">
        <v>25</v>
      </c>
      <c r="Q54" s="107">
        <v>30</v>
      </c>
      <c r="R54" s="90">
        <v>45</v>
      </c>
      <c r="S54" s="90">
        <f t="shared" si="6"/>
        <v>22.5</v>
      </c>
      <c r="T54" s="90">
        <f t="shared" si="7"/>
        <v>47.5</v>
      </c>
      <c r="U54" s="86">
        <v>70000</v>
      </c>
      <c r="V54" s="90">
        <v>25</v>
      </c>
      <c r="W54" s="107">
        <v>30</v>
      </c>
      <c r="X54" s="90">
        <v>45</v>
      </c>
      <c r="Y54" s="90">
        <f t="shared" si="8"/>
        <v>22.5</v>
      </c>
      <c r="Z54" s="90">
        <f t="shared" si="9"/>
        <v>47.5</v>
      </c>
      <c r="AA54" s="298" t="s">
        <v>2717</v>
      </c>
      <c r="AB54" s="90">
        <f t="shared" si="3"/>
        <v>20.266666666666666</v>
      </c>
      <c r="AC54" s="86">
        <v>10000</v>
      </c>
      <c r="AD54" s="90">
        <v>2.6</v>
      </c>
      <c r="AE54" s="93">
        <v>8</v>
      </c>
      <c r="AF54" s="90">
        <v>20</v>
      </c>
      <c r="AG54" s="90">
        <f t="shared" si="1"/>
        <v>2.6666666666666665</v>
      </c>
      <c r="AH54" s="90">
        <v>0.25</v>
      </c>
      <c r="AI54" s="86">
        <v>40000</v>
      </c>
      <c r="AJ54" s="90">
        <v>5</v>
      </c>
      <c r="AK54" s="93">
        <v>20</v>
      </c>
      <c r="AL54" s="90">
        <v>45</v>
      </c>
      <c r="AM54" s="90">
        <f t="shared" si="4"/>
        <v>15</v>
      </c>
      <c r="AN54" s="90">
        <v>5</v>
      </c>
      <c r="AO54" s="298" t="s">
        <v>2587</v>
      </c>
      <c r="AP54" s="90">
        <f t="shared" si="10"/>
        <v>12.666666666666666</v>
      </c>
      <c r="AQ54" s="86">
        <v>2500</v>
      </c>
      <c r="AR54" s="90">
        <v>10</v>
      </c>
      <c r="AS54" s="93">
        <v>8</v>
      </c>
      <c r="AT54" s="90">
        <v>20</v>
      </c>
      <c r="AU54" s="108">
        <f t="shared" si="5"/>
        <v>2.6666666666666665</v>
      </c>
    </row>
    <row r="55" spans="2:47" s="14" customFormat="1" ht="78" x14ac:dyDescent="0.35">
      <c r="B55" s="89" t="s">
        <v>2718</v>
      </c>
      <c r="C55" s="93">
        <v>7.1</v>
      </c>
      <c r="D55" s="298" t="s">
        <v>2719</v>
      </c>
      <c r="E55" s="93">
        <v>36.200000000000003</v>
      </c>
      <c r="F55" s="31" t="s">
        <v>2716</v>
      </c>
      <c r="G55" s="31">
        <f t="shared" si="0"/>
        <v>32.5</v>
      </c>
      <c r="H55" s="31">
        <v>15</v>
      </c>
      <c r="I55" s="31">
        <v>50</v>
      </c>
      <c r="J55" s="297">
        <v>0.5</v>
      </c>
      <c r="K55" s="297">
        <f t="shared" si="2"/>
        <v>0.5</v>
      </c>
      <c r="L55" s="305"/>
      <c r="M55" s="306"/>
      <c r="N55" s="301">
        <v>25</v>
      </c>
      <c r="O55" s="85">
        <v>50000</v>
      </c>
      <c r="P55" s="90">
        <v>25</v>
      </c>
      <c r="Q55" s="107">
        <v>30</v>
      </c>
      <c r="R55" s="90">
        <v>45</v>
      </c>
      <c r="S55" s="90">
        <f t="shared" si="6"/>
        <v>22.5</v>
      </c>
      <c r="T55" s="90">
        <f t="shared" si="7"/>
        <v>47.5</v>
      </c>
      <c r="U55" s="86">
        <v>70000</v>
      </c>
      <c r="V55" s="90">
        <v>25</v>
      </c>
      <c r="W55" s="107">
        <v>30</v>
      </c>
      <c r="X55" s="90">
        <v>45</v>
      </c>
      <c r="Y55" s="90">
        <f t="shared" si="8"/>
        <v>22.5</v>
      </c>
      <c r="Z55" s="90">
        <f t="shared" si="9"/>
        <v>47.5</v>
      </c>
      <c r="AA55" s="298" t="s">
        <v>2586</v>
      </c>
      <c r="AB55" s="90">
        <f t="shared" si="3"/>
        <v>24.666666666666664</v>
      </c>
      <c r="AC55" s="86">
        <v>7500</v>
      </c>
      <c r="AD55" s="90">
        <v>7</v>
      </c>
      <c r="AE55" s="93">
        <v>8</v>
      </c>
      <c r="AF55" s="90">
        <v>20</v>
      </c>
      <c r="AG55" s="90">
        <f t="shared" si="1"/>
        <v>2.6666666666666665</v>
      </c>
      <c r="AH55" s="90">
        <v>0.25</v>
      </c>
      <c r="AI55" s="86">
        <v>40000</v>
      </c>
      <c r="AJ55" s="90">
        <v>25</v>
      </c>
      <c r="AK55" s="93">
        <v>20</v>
      </c>
      <c r="AL55" s="90">
        <v>45</v>
      </c>
      <c r="AM55" s="90">
        <f t="shared" si="4"/>
        <v>15</v>
      </c>
      <c r="AN55" s="90">
        <v>5</v>
      </c>
      <c r="AO55" s="298" t="s">
        <v>2587</v>
      </c>
      <c r="AP55" s="90">
        <f t="shared" si="10"/>
        <v>12.666666666666666</v>
      </c>
      <c r="AQ55" s="86">
        <v>2500</v>
      </c>
      <c r="AR55" s="90">
        <v>10</v>
      </c>
      <c r="AS55" s="93">
        <v>8</v>
      </c>
      <c r="AT55" s="90">
        <v>20</v>
      </c>
      <c r="AU55" s="108">
        <f t="shared" si="5"/>
        <v>2.6666666666666665</v>
      </c>
    </row>
    <row r="56" spans="2:47" s="14" customFormat="1" ht="78" x14ac:dyDescent="0.35">
      <c r="B56" s="89" t="s">
        <v>2589</v>
      </c>
      <c r="C56" s="93">
        <f>38/5</f>
        <v>7.6</v>
      </c>
      <c r="D56" s="298" t="s">
        <v>2720</v>
      </c>
      <c r="E56" s="93">
        <f>76/5</f>
        <v>15.2</v>
      </c>
      <c r="F56" s="31" t="s">
        <v>2721</v>
      </c>
      <c r="G56" s="31"/>
      <c r="H56" s="31"/>
      <c r="I56" s="31"/>
      <c r="J56" s="297"/>
      <c r="K56" s="297"/>
      <c r="L56" s="306"/>
      <c r="M56" s="306"/>
      <c r="N56" s="301">
        <v>50</v>
      </c>
      <c r="O56" s="85">
        <v>50000</v>
      </c>
      <c r="P56" s="90">
        <v>5</v>
      </c>
      <c r="Q56" s="107">
        <f>30/5</f>
        <v>6</v>
      </c>
      <c r="R56" s="90">
        <v>45</v>
      </c>
      <c r="S56" s="90">
        <f t="shared" si="6"/>
        <v>4.5</v>
      </c>
      <c r="T56" s="90">
        <f t="shared" si="7"/>
        <v>9.5</v>
      </c>
      <c r="U56" s="86">
        <v>70000</v>
      </c>
      <c r="V56" s="90">
        <f>25/5</f>
        <v>5</v>
      </c>
      <c r="W56" s="107">
        <f>30/5</f>
        <v>6</v>
      </c>
      <c r="X56" s="90">
        <v>45</v>
      </c>
      <c r="Y56" s="90">
        <f t="shared" si="8"/>
        <v>4.5</v>
      </c>
      <c r="Z56" s="90">
        <f t="shared" si="9"/>
        <v>9.5</v>
      </c>
      <c r="AA56" s="298" t="s">
        <v>2590</v>
      </c>
      <c r="AB56" s="90">
        <f t="shared" si="3"/>
        <v>7.1673333333333336</v>
      </c>
      <c r="AC56" s="86">
        <v>15000</v>
      </c>
      <c r="AD56" s="90">
        <f>10.67/5</f>
        <v>2.1339999999999999</v>
      </c>
      <c r="AE56" s="93">
        <f>8/5</f>
        <v>1.6</v>
      </c>
      <c r="AF56" s="90">
        <v>20</v>
      </c>
      <c r="AG56" s="90">
        <f t="shared" si="1"/>
        <v>0.53333333333333333</v>
      </c>
      <c r="AH56" s="90">
        <f>0.5/5</f>
        <v>0.1</v>
      </c>
      <c r="AI56" s="86">
        <v>40000</v>
      </c>
      <c r="AJ56" s="90">
        <f>20/5</f>
        <v>4</v>
      </c>
      <c r="AK56" s="93">
        <f>30/5</f>
        <v>6</v>
      </c>
      <c r="AL56" s="90">
        <v>45</v>
      </c>
      <c r="AM56" s="90">
        <f t="shared" si="4"/>
        <v>4.5</v>
      </c>
      <c r="AN56" s="90">
        <f>5/5</f>
        <v>1</v>
      </c>
      <c r="AO56" s="298" t="s">
        <v>482</v>
      </c>
      <c r="AP56" s="90" t="e">
        <f t="shared" si="10"/>
        <v>#VALUE!</v>
      </c>
      <c r="AQ56" s="86" t="s">
        <v>482</v>
      </c>
      <c r="AR56" s="90" t="s">
        <v>482</v>
      </c>
      <c r="AS56" s="93" t="s">
        <v>482</v>
      </c>
      <c r="AT56" s="90" t="s">
        <v>482</v>
      </c>
      <c r="AU56" s="108" t="s">
        <v>482</v>
      </c>
    </row>
    <row r="57" spans="2:47" s="14" customFormat="1" ht="78" x14ac:dyDescent="0.35">
      <c r="B57" s="89" t="s">
        <v>2593</v>
      </c>
      <c r="C57" s="93">
        <f>46/6</f>
        <v>7.666666666666667</v>
      </c>
      <c r="D57" s="298" t="s">
        <v>2722</v>
      </c>
      <c r="E57" s="93">
        <f>112/6</f>
        <v>18.666666666666668</v>
      </c>
      <c r="F57" s="31" t="s">
        <v>2721</v>
      </c>
      <c r="G57" s="31"/>
      <c r="H57" s="31"/>
      <c r="I57" s="31"/>
      <c r="J57" s="297"/>
      <c r="K57" s="297"/>
      <c r="L57" s="306"/>
      <c r="M57" s="306"/>
      <c r="N57" s="301">
        <v>50</v>
      </c>
      <c r="O57" s="85">
        <v>50000</v>
      </c>
      <c r="P57" s="90">
        <v>5</v>
      </c>
      <c r="Q57" s="107">
        <f>30/6</f>
        <v>5</v>
      </c>
      <c r="R57" s="90">
        <v>45</v>
      </c>
      <c r="S57" s="90">
        <f t="shared" si="6"/>
        <v>3.75</v>
      </c>
      <c r="T57" s="90">
        <f t="shared" si="7"/>
        <v>8.75</v>
      </c>
      <c r="U57" s="86">
        <v>70000</v>
      </c>
      <c r="V57" s="90">
        <f>25/6</f>
        <v>4.166666666666667</v>
      </c>
      <c r="W57" s="107">
        <f>30/6</f>
        <v>5</v>
      </c>
      <c r="X57" s="90">
        <v>45</v>
      </c>
      <c r="Y57" s="90">
        <f t="shared" si="8"/>
        <v>3.75</v>
      </c>
      <c r="Z57" s="90">
        <f t="shared" si="9"/>
        <v>7.916666666666667</v>
      </c>
      <c r="AA57" s="298" t="s">
        <v>2594</v>
      </c>
      <c r="AB57" s="90">
        <f t="shared" si="3"/>
        <v>14.694444444444445</v>
      </c>
      <c r="AC57" s="86">
        <v>12000</v>
      </c>
      <c r="AD57" s="90">
        <v>10.5</v>
      </c>
      <c r="AE57" s="93">
        <f>8/6</f>
        <v>1.3333333333333333</v>
      </c>
      <c r="AF57" s="90">
        <v>20</v>
      </c>
      <c r="AG57" s="90">
        <f t="shared" si="1"/>
        <v>0.44444444444444442</v>
      </c>
      <c r="AH57" s="90">
        <f>0.5/6</f>
        <v>8.3333333333333329E-2</v>
      </c>
      <c r="AI57" s="86">
        <v>40000</v>
      </c>
      <c r="AJ57" s="90">
        <v>55</v>
      </c>
      <c r="AK57" s="93">
        <f>30/6</f>
        <v>5</v>
      </c>
      <c r="AL57" s="90">
        <v>45</v>
      </c>
      <c r="AM57" s="90">
        <f t="shared" si="4"/>
        <v>3.75</v>
      </c>
      <c r="AN57" s="90">
        <f>5/6</f>
        <v>0.83333333333333337</v>
      </c>
      <c r="AO57" s="298" t="s">
        <v>482</v>
      </c>
      <c r="AP57" s="90" t="e">
        <f t="shared" si="10"/>
        <v>#VALUE!</v>
      </c>
      <c r="AQ57" s="86" t="s">
        <v>482</v>
      </c>
      <c r="AR57" s="90" t="s">
        <v>482</v>
      </c>
      <c r="AS57" s="93" t="s">
        <v>482</v>
      </c>
      <c r="AT57" s="90" t="s">
        <v>482</v>
      </c>
      <c r="AU57" s="108" t="s">
        <v>482</v>
      </c>
    </row>
    <row r="58" spans="2:47" s="14" customFormat="1" ht="104" x14ac:dyDescent="0.35">
      <c r="B58" s="89" t="s">
        <v>2723</v>
      </c>
      <c r="C58" s="93">
        <v>7.1</v>
      </c>
      <c r="D58" s="298" t="s">
        <v>2724</v>
      </c>
      <c r="E58" s="93">
        <v>36.200000000000003</v>
      </c>
      <c r="F58" s="31" t="s">
        <v>2725</v>
      </c>
      <c r="G58" s="31"/>
      <c r="H58" s="31"/>
      <c r="I58" s="31"/>
      <c r="J58" s="297"/>
      <c r="K58" s="297"/>
      <c r="L58" s="305"/>
      <c r="M58" s="306"/>
      <c r="N58" s="301">
        <v>25</v>
      </c>
      <c r="O58" s="85">
        <v>35000</v>
      </c>
      <c r="P58" s="90">
        <v>25</v>
      </c>
      <c r="Q58" s="107">
        <v>30</v>
      </c>
      <c r="R58" s="90">
        <v>45</v>
      </c>
      <c r="S58" s="90">
        <f t="shared" si="6"/>
        <v>22.5</v>
      </c>
      <c r="T58" s="90">
        <f t="shared" si="7"/>
        <v>47.5</v>
      </c>
      <c r="U58" s="86">
        <v>70000</v>
      </c>
      <c r="V58" s="90">
        <f>25/4</f>
        <v>6.25</v>
      </c>
      <c r="W58" s="107">
        <v>30</v>
      </c>
      <c r="X58" s="90">
        <v>45</v>
      </c>
      <c r="Y58" s="90">
        <f t="shared" si="8"/>
        <v>22.5</v>
      </c>
      <c r="Z58" s="90">
        <f t="shared" si="9"/>
        <v>28.75</v>
      </c>
      <c r="AA58" s="298" t="s">
        <v>2586</v>
      </c>
      <c r="AB58" s="90">
        <f t="shared" si="3"/>
        <v>24.666666666666664</v>
      </c>
      <c r="AC58" s="86">
        <v>7500</v>
      </c>
      <c r="AD58" s="90">
        <v>7</v>
      </c>
      <c r="AE58" s="93">
        <v>8</v>
      </c>
      <c r="AF58" s="90">
        <v>20</v>
      </c>
      <c r="AG58" s="90">
        <v>2.6666666666666665</v>
      </c>
      <c r="AH58" s="90">
        <v>0.25</v>
      </c>
      <c r="AI58" s="86">
        <v>40000</v>
      </c>
      <c r="AJ58" s="90">
        <v>25</v>
      </c>
      <c r="AK58" s="93">
        <v>20</v>
      </c>
      <c r="AL58" s="90">
        <v>45</v>
      </c>
      <c r="AM58" s="90">
        <v>15</v>
      </c>
      <c r="AN58" s="90">
        <v>5</v>
      </c>
      <c r="AO58" s="298" t="s">
        <v>2587</v>
      </c>
      <c r="AP58" s="90">
        <f t="shared" si="10"/>
        <v>12.666666666666666</v>
      </c>
      <c r="AQ58" s="86">
        <v>2500</v>
      </c>
      <c r="AR58" s="90">
        <v>10</v>
      </c>
      <c r="AS58" s="93">
        <v>8</v>
      </c>
      <c r="AT58" s="90">
        <v>20</v>
      </c>
      <c r="AU58" s="108">
        <v>2.6666666666666665</v>
      </c>
    </row>
    <row r="59" spans="2:47" s="14" customFormat="1" ht="78" x14ac:dyDescent="0.35">
      <c r="B59" s="89" t="s">
        <v>1589</v>
      </c>
      <c r="C59" s="93">
        <v>44.9</v>
      </c>
      <c r="D59" s="298" t="s">
        <v>2726</v>
      </c>
      <c r="E59" s="93">
        <v>61</v>
      </c>
      <c r="F59" s="31" t="s">
        <v>2727</v>
      </c>
      <c r="G59" s="31"/>
      <c r="H59" s="31"/>
      <c r="I59" s="31"/>
      <c r="J59" s="297"/>
      <c r="K59" s="297"/>
      <c r="L59" s="305"/>
      <c r="M59" s="306"/>
      <c r="N59" s="301">
        <v>75</v>
      </c>
      <c r="O59" s="85">
        <v>35000</v>
      </c>
      <c r="P59" s="90">
        <v>25</v>
      </c>
      <c r="Q59" s="107">
        <v>30</v>
      </c>
      <c r="R59" s="90">
        <v>45</v>
      </c>
      <c r="S59" s="90">
        <f t="shared" si="6"/>
        <v>22.5</v>
      </c>
      <c r="T59" s="90">
        <f t="shared" si="7"/>
        <v>47.5</v>
      </c>
      <c r="U59" s="86">
        <v>70000</v>
      </c>
      <c r="V59" s="90">
        <v>25</v>
      </c>
      <c r="W59" s="107">
        <v>30</v>
      </c>
      <c r="X59" s="90">
        <v>45</v>
      </c>
      <c r="Y59" s="90">
        <f t="shared" si="8"/>
        <v>22.5</v>
      </c>
      <c r="Z59" s="90">
        <f t="shared" si="9"/>
        <v>47.5</v>
      </c>
      <c r="AA59" s="298" t="s">
        <v>2726</v>
      </c>
      <c r="AB59" s="90">
        <f t="shared" si="3"/>
        <v>38.953333333333333</v>
      </c>
      <c r="AC59" s="86">
        <v>15000</v>
      </c>
      <c r="AD59" s="90">
        <f>9.31*2</f>
        <v>18.62</v>
      </c>
      <c r="AE59" s="93">
        <f>8*2</f>
        <v>16</v>
      </c>
      <c r="AF59" s="90">
        <v>20</v>
      </c>
      <c r="AG59" s="90">
        <f>AE59/60*AF59</f>
        <v>5.333333333333333</v>
      </c>
      <c r="AH59" s="90">
        <v>1</v>
      </c>
      <c r="AI59" s="86">
        <v>40000</v>
      </c>
      <c r="AJ59" s="90">
        <v>32</v>
      </c>
      <c r="AK59" s="93">
        <v>20</v>
      </c>
      <c r="AL59" s="90">
        <v>45</v>
      </c>
      <c r="AM59" s="90">
        <f>AK59/60*AL59</f>
        <v>15</v>
      </c>
      <c r="AN59" s="90">
        <v>5</v>
      </c>
      <c r="AO59" s="298" t="s">
        <v>482</v>
      </c>
      <c r="AP59" s="90" t="e">
        <f t="shared" si="10"/>
        <v>#VALUE!</v>
      </c>
      <c r="AQ59" s="86" t="s">
        <v>482</v>
      </c>
      <c r="AR59" s="90" t="s">
        <v>482</v>
      </c>
      <c r="AS59" s="93" t="s">
        <v>482</v>
      </c>
      <c r="AT59" s="90" t="s">
        <v>482</v>
      </c>
      <c r="AU59" s="108" t="s">
        <v>482</v>
      </c>
    </row>
    <row r="60" spans="2:47" s="14" customFormat="1" ht="78" x14ac:dyDescent="0.35">
      <c r="B60" s="89" t="s">
        <v>1593</v>
      </c>
      <c r="C60" s="93">
        <v>53.6</v>
      </c>
      <c r="D60" s="298" t="s">
        <v>2644</v>
      </c>
      <c r="E60" s="93">
        <v>88</v>
      </c>
      <c r="F60" s="31" t="s">
        <v>2727</v>
      </c>
      <c r="G60" s="31"/>
      <c r="H60" s="31"/>
      <c r="I60" s="31"/>
      <c r="J60" s="297"/>
      <c r="K60" s="297"/>
      <c r="L60" s="305"/>
      <c r="M60" s="306"/>
      <c r="N60" s="301">
        <v>125</v>
      </c>
      <c r="O60" s="85">
        <v>35000</v>
      </c>
      <c r="P60" s="90">
        <v>50</v>
      </c>
      <c r="Q60" s="107">
        <v>30</v>
      </c>
      <c r="R60" s="90">
        <v>45</v>
      </c>
      <c r="S60" s="90">
        <f t="shared" si="6"/>
        <v>22.5</v>
      </c>
      <c r="T60" s="90">
        <f t="shared" si="7"/>
        <v>72.5</v>
      </c>
      <c r="U60" s="86">
        <v>70000</v>
      </c>
      <c r="V60" s="90">
        <v>25</v>
      </c>
      <c r="W60" s="107">
        <v>30</v>
      </c>
      <c r="X60" s="90">
        <v>45</v>
      </c>
      <c r="Y60" s="90">
        <f t="shared" si="8"/>
        <v>22.5</v>
      </c>
      <c r="Z60" s="90">
        <f t="shared" si="9"/>
        <v>47.5</v>
      </c>
      <c r="AA60" s="298" t="s">
        <v>2644</v>
      </c>
      <c r="AB60" s="90">
        <f t="shared" si="3"/>
        <v>30.5</v>
      </c>
      <c r="AC60" s="86">
        <v>15000</v>
      </c>
      <c r="AD60" s="90">
        <f>2.5*3</f>
        <v>7.5</v>
      </c>
      <c r="AE60" s="93">
        <f>8*3</f>
        <v>24</v>
      </c>
      <c r="AF60" s="90">
        <v>20</v>
      </c>
      <c r="AG60" s="90">
        <f>AE60/60*AF60</f>
        <v>8</v>
      </c>
      <c r="AH60" s="90">
        <v>1.5</v>
      </c>
      <c r="AI60" s="86">
        <v>40000</v>
      </c>
      <c r="AJ60" s="90">
        <v>15</v>
      </c>
      <c r="AK60" s="93">
        <v>20</v>
      </c>
      <c r="AL60" s="90">
        <v>45</v>
      </c>
      <c r="AM60" s="90">
        <f>AK60/60*AL60</f>
        <v>15</v>
      </c>
      <c r="AN60" s="90">
        <v>5</v>
      </c>
      <c r="AO60" s="298" t="s">
        <v>482</v>
      </c>
      <c r="AP60" s="90" t="e">
        <f t="shared" si="10"/>
        <v>#VALUE!</v>
      </c>
      <c r="AQ60" s="86" t="s">
        <v>482</v>
      </c>
      <c r="AR60" s="90" t="s">
        <v>482</v>
      </c>
      <c r="AS60" s="93" t="s">
        <v>482</v>
      </c>
      <c r="AT60" s="90" t="s">
        <v>482</v>
      </c>
      <c r="AU60" s="108" t="s">
        <v>482</v>
      </c>
    </row>
    <row r="61" spans="2:47" s="14" customFormat="1" ht="78" x14ac:dyDescent="0.35">
      <c r="B61" s="89" t="s">
        <v>1597</v>
      </c>
      <c r="C61" s="93">
        <v>32.200000000000003</v>
      </c>
      <c r="D61" s="298" t="s">
        <v>2640</v>
      </c>
      <c r="E61" s="93">
        <v>59</v>
      </c>
      <c r="F61" s="31" t="s">
        <v>2727</v>
      </c>
      <c r="G61" s="31"/>
      <c r="H61" s="31"/>
      <c r="I61" s="31"/>
      <c r="J61" s="297"/>
      <c r="K61" s="297"/>
      <c r="L61" s="305"/>
      <c r="M61" s="306"/>
      <c r="N61" s="301">
        <v>100</v>
      </c>
      <c r="O61" s="85">
        <v>35000</v>
      </c>
      <c r="P61" s="90">
        <v>25</v>
      </c>
      <c r="Q61" s="107">
        <v>30</v>
      </c>
      <c r="R61" s="90">
        <v>45</v>
      </c>
      <c r="S61" s="90">
        <f t="shared" si="6"/>
        <v>22.5</v>
      </c>
      <c r="T61" s="90">
        <f t="shared" si="7"/>
        <v>47.5</v>
      </c>
      <c r="U61" s="86">
        <v>70000</v>
      </c>
      <c r="V61" s="90">
        <v>25</v>
      </c>
      <c r="W61" s="107">
        <v>30</v>
      </c>
      <c r="X61" s="90">
        <v>45</v>
      </c>
      <c r="Y61" s="90">
        <f t="shared" si="8"/>
        <v>22.5</v>
      </c>
      <c r="Z61" s="90">
        <f t="shared" si="9"/>
        <v>47.5</v>
      </c>
      <c r="AA61" s="298" t="s">
        <v>2640</v>
      </c>
      <c r="AB61" s="90">
        <f t="shared" si="3"/>
        <v>25.333333333333332</v>
      </c>
      <c r="AC61" s="86">
        <v>15000</v>
      </c>
      <c r="AD61" s="90">
        <f>2.5*2</f>
        <v>5</v>
      </c>
      <c r="AE61" s="93">
        <f>8*2</f>
        <v>16</v>
      </c>
      <c r="AF61" s="90">
        <v>20</v>
      </c>
      <c r="AG61" s="90">
        <f>AE61/60*AF61</f>
        <v>5.333333333333333</v>
      </c>
      <c r="AH61" s="90">
        <v>1</v>
      </c>
      <c r="AI61" s="86">
        <v>40000</v>
      </c>
      <c r="AJ61" s="90">
        <v>15</v>
      </c>
      <c r="AK61" s="93">
        <v>20</v>
      </c>
      <c r="AL61" s="90">
        <v>45</v>
      </c>
      <c r="AM61" s="90">
        <f>AK61/60*AL61</f>
        <v>15</v>
      </c>
      <c r="AN61" s="90">
        <v>5</v>
      </c>
      <c r="AO61" s="298" t="s">
        <v>482</v>
      </c>
      <c r="AP61" s="90" t="e">
        <f t="shared" si="10"/>
        <v>#VALUE!</v>
      </c>
      <c r="AQ61" s="86" t="s">
        <v>482</v>
      </c>
      <c r="AR61" s="90" t="s">
        <v>482</v>
      </c>
      <c r="AS61" s="93" t="s">
        <v>482</v>
      </c>
      <c r="AT61" s="90" t="s">
        <v>482</v>
      </c>
      <c r="AU61" s="108" t="s">
        <v>482</v>
      </c>
    </row>
    <row r="62" spans="2:47" s="14" customFormat="1" ht="78" x14ac:dyDescent="0.35">
      <c r="B62" s="89" t="s">
        <v>2728</v>
      </c>
      <c r="C62" s="93">
        <v>160.19999999999999</v>
      </c>
      <c r="D62" s="298" t="s">
        <v>2729</v>
      </c>
      <c r="E62" s="93">
        <v>295</v>
      </c>
      <c r="F62" s="31" t="s">
        <v>2727</v>
      </c>
      <c r="G62" s="31"/>
      <c r="H62" s="31"/>
      <c r="I62" s="31"/>
      <c r="J62" s="297"/>
      <c r="K62" s="297"/>
      <c r="L62" s="305"/>
      <c r="M62" s="306"/>
      <c r="N62" s="301">
        <v>200</v>
      </c>
      <c r="O62" s="85">
        <v>35000</v>
      </c>
      <c r="P62" s="90">
        <v>75</v>
      </c>
      <c r="Q62" s="107">
        <v>30</v>
      </c>
      <c r="R62" s="90">
        <v>75</v>
      </c>
      <c r="S62" s="90">
        <f t="shared" si="6"/>
        <v>37.5</v>
      </c>
      <c r="T62" s="90">
        <f t="shared" si="7"/>
        <v>112.5</v>
      </c>
      <c r="U62" s="86">
        <v>70000</v>
      </c>
      <c r="V62" s="90">
        <v>25</v>
      </c>
      <c r="W62" s="107">
        <v>30</v>
      </c>
      <c r="X62" s="90">
        <v>75</v>
      </c>
      <c r="Y62" s="90">
        <f t="shared" si="8"/>
        <v>37.5</v>
      </c>
      <c r="Z62" s="90">
        <f t="shared" si="9"/>
        <v>62.5</v>
      </c>
      <c r="AA62" s="298" t="s">
        <v>2730</v>
      </c>
      <c r="AB62" s="90">
        <f t="shared" si="3"/>
        <v>78.5</v>
      </c>
      <c r="AC62" s="86">
        <v>10000</v>
      </c>
      <c r="AD62" s="90">
        <v>21</v>
      </c>
      <c r="AE62" s="93">
        <v>16</v>
      </c>
      <c r="AF62" s="90">
        <v>75</v>
      </c>
      <c r="AG62" s="90">
        <v>20</v>
      </c>
      <c r="AH62" s="90">
        <v>0.25</v>
      </c>
      <c r="AI62" s="86">
        <v>40000</v>
      </c>
      <c r="AJ62" s="90">
        <v>87.75</v>
      </c>
      <c r="AK62" s="93">
        <v>30</v>
      </c>
      <c r="AL62" s="90">
        <v>75</v>
      </c>
      <c r="AM62" s="90">
        <v>37.5</v>
      </c>
      <c r="AN62" s="90">
        <v>5</v>
      </c>
      <c r="AO62" s="298" t="s">
        <v>482</v>
      </c>
      <c r="AP62" s="90" t="e">
        <f t="shared" si="10"/>
        <v>#VALUE!</v>
      </c>
      <c r="AQ62" s="86" t="s">
        <v>482</v>
      </c>
      <c r="AR62" s="90" t="s">
        <v>482</v>
      </c>
      <c r="AS62" s="93" t="s">
        <v>482</v>
      </c>
      <c r="AT62" s="90" t="s">
        <v>482</v>
      </c>
      <c r="AU62" s="108" t="s">
        <v>482</v>
      </c>
    </row>
    <row r="63" spans="2:47" s="14" customFormat="1" ht="91" x14ac:dyDescent="0.35">
      <c r="B63" s="89" t="s">
        <v>2731</v>
      </c>
      <c r="C63" s="93">
        <v>18.600000000000001</v>
      </c>
      <c r="D63" s="298" t="s">
        <v>2732</v>
      </c>
      <c r="E63" s="93">
        <v>124.3</v>
      </c>
      <c r="F63" s="31" t="s">
        <v>2733</v>
      </c>
      <c r="G63" s="31">
        <f t="shared" ref="G63:G78" si="11">H63*J63+I63*K63</f>
        <v>125</v>
      </c>
      <c r="H63" s="31">
        <v>125</v>
      </c>
      <c r="I63" s="31"/>
      <c r="J63" s="297">
        <v>1</v>
      </c>
      <c r="K63" s="297"/>
      <c r="L63" s="305"/>
      <c r="M63" s="306"/>
      <c r="N63" s="301">
        <v>125</v>
      </c>
      <c r="O63" s="85">
        <v>50000</v>
      </c>
      <c r="P63" s="90">
        <v>25</v>
      </c>
      <c r="Q63" s="107">
        <v>30</v>
      </c>
      <c r="R63" s="90">
        <v>75</v>
      </c>
      <c r="S63" s="90">
        <f t="shared" si="6"/>
        <v>37.5</v>
      </c>
      <c r="T63" s="90">
        <f t="shared" si="7"/>
        <v>62.5</v>
      </c>
      <c r="U63" s="86">
        <v>70000</v>
      </c>
      <c r="V63" s="90">
        <v>25</v>
      </c>
      <c r="W63" s="107">
        <v>30</v>
      </c>
      <c r="X63" s="90">
        <v>75</v>
      </c>
      <c r="Y63" s="90">
        <f t="shared" si="8"/>
        <v>37.5</v>
      </c>
      <c r="Z63" s="90">
        <f t="shared" si="9"/>
        <v>62.5</v>
      </c>
      <c r="AA63" s="298" t="s">
        <v>2734</v>
      </c>
      <c r="AB63" s="90">
        <f t="shared" si="3"/>
        <v>91.5</v>
      </c>
      <c r="AC63" s="86">
        <v>10000</v>
      </c>
      <c r="AD63" s="90">
        <v>34</v>
      </c>
      <c r="AE63" s="93">
        <v>16</v>
      </c>
      <c r="AF63" s="90">
        <v>75</v>
      </c>
      <c r="AG63" s="90">
        <f t="shared" ref="AG63:AG78" si="12">AE63/60*AF63</f>
        <v>20</v>
      </c>
      <c r="AH63" s="90">
        <v>0.25</v>
      </c>
      <c r="AI63" s="86">
        <v>40000</v>
      </c>
      <c r="AJ63" s="90">
        <v>124.2</v>
      </c>
      <c r="AK63" s="93">
        <v>30</v>
      </c>
      <c r="AL63" s="90">
        <v>75</v>
      </c>
      <c r="AM63" s="90">
        <f t="shared" ref="AM63:AM78" si="13">AK63/60*AL63</f>
        <v>37.5</v>
      </c>
      <c r="AN63" s="90">
        <v>5</v>
      </c>
      <c r="AO63" s="298" t="s">
        <v>482</v>
      </c>
      <c r="AP63" s="90" t="e">
        <f t="shared" si="10"/>
        <v>#VALUE!</v>
      </c>
      <c r="AQ63" s="86" t="s">
        <v>482</v>
      </c>
      <c r="AR63" s="90" t="s">
        <v>482</v>
      </c>
      <c r="AS63" s="93" t="s">
        <v>482</v>
      </c>
      <c r="AT63" s="90" t="s">
        <v>482</v>
      </c>
      <c r="AU63" s="108" t="s">
        <v>482</v>
      </c>
    </row>
    <row r="64" spans="2:47" s="14" customFormat="1" ht="91" x14ac:dyDescent="0.35">
      <c r="B64" s="89" t="s">
        <v>2735</v>
      </c>
      <c r="C64" s="93">
        <v>52.5</v>
      </c>
      <c r="D64" s="298" t="s">
        <v>2736</v>
      </c>
      <c r="E64" s="93">
        <v>182.9</v>
      </c>
      <c r="F64" s="31" t="s">
        <v>2737</v>
      </c>
      <c r="G64" s="31">
        <f t="shared" si="11"/>
        <v>190</v>
      </c>
      <c r="H64" s="31">
        <v>190</v>
      </c>
      <c r="I64" s="31"/>
      <c r="J64" s="297">
        <v>1</v>
      </c>
      <c r="K64" s="297"/>
      <c r="L64" s="305"/>
      <c r="M64" s="306"/>
      <c r="N64" s="301">
        <v>250</v>
      </c>
      <c r="O64" s="85">
        <v>50000</v>
      </c>
      <c r="P64" s="90">
        <v>50</v>
      </c>
      <c r="Q64" s="107">
        <v>30</v>
      </c>
      <c r="R64" s="90">
        <v>75</v>
      </c>
      <c r="S64" s="90">
        <f t="shared" si="6"/>
        <v>37.5</v>
      </c>
      <c r="T64" s="90">
        <f t="shared" si="7"/>
        <v>87.5</v>
      </c>
      <c r="U64" s="86">
        <v>70000</v>
      </c>
      <c r="V64" s="90">
        <v>25</v>
      </c>
      <c r="W64" s="107">
        <v>30</v>
      </c>
      <c r="X64" s="90">
        <v>75</v>
      </c>
      <c r="Y64" s="90">
        <f t="shared" si="8"/>
        <v>37.5</v>
      </c>
      <c r="Z64" s="90">
        <f t="shared" si="9"/>
        <v>62.5</v>
      </c>
      <c r="AA64" s="298" t="s">
        <v>2738</v>
      </c>
      <c r="AB64" s="90">
        <f t="shared" si="3"/>
        <v>85.5</v>
      </c>
      <c r="AC64" s="86">
        <v>10000</v>
      </c>
      <c r="AD64" s="90">
        <v>28</v>
      </c>
      <c r="AE64" s="93">
        <v>16</v>
      </c>
      <c r="AF64" s="90">
        <v>75</v>
      </c>
      <c r="AG64" s="90">
        <f t="shared" si="12"/>
        <v>20</v>
      </c>
      <c r="AH64" s="90">
        <v>0.25</v>
      </c>
      <c r="AI64" s="86">
        <v>40000</v>
      </c>
      <c r="AJ64" s="90">
        <v>67.5</v>
      </c>
      <c r="AK64" s="93">
        <v>30</v>
      </c>
      <c r="AL64" s="90">
        <v>75</v>
      </c>
      <c r="AM64" s="90">
        <f t="shared" si="13"/>
        <v>37.5</v>
      </c>
      <c r="AN64" s="90">
        <v>5</v>
      </c>
      <c r="AO64" s="298" t="s">
        <v>482</v>
      </c>
      <c r="AP64" s="90" t="e">
        <f t="shared" si="10"/>
        <v>#VALUE!</v>
      </c>
      <c r="AQ64" s="86" t="s">
        <v>482</v>
      </c>
      <c r="AR64" s="90" t="s">
        <v>482</v>
      </c>
      <c r="AS64" s="93" t="s">
        <v>482</v>
      </c>
      <c r="AT64" s="90" t="s">
        <v>482</v>
      </c>
      <c r="AU64" s="108" t="s">
        <v>482</v>
      </c>
    </row>
    <row r="65" spans="2:47" s="14" customFormat="1" ht="91" x14ac:dyDescent="0.35">
      <c r="B65" s="89" t="s">
        <v>2739</v>
      </c>
      <c r="C65" s="93">
        <v>116.8</v>
      </c>
      <c r="D65" s="298" t="s">
        <v>2740</v>
      </c>
      <c r="E65" s="93">
        <v>361.4</v>
      </c>
      <c r="F65" s="31" t="s">
        <v>2741</v>
      </c>
      <c r="G65" s="31">
        <f t="shared" si="11"/>
        <v>288</v>
      </c>
      <c r="H65" s="31">
        <v>288</v>
      </c>
      <c r="I65" s="31"/>
      <c r="J65" s="297">
        <v>1</v>
      </c>
      <c r="K65" s="297"/>
      <c r="L65" s="305"/>
      <c r="M65" s="306"/>
      <c r="N65" s="301">
        <v>375</v>
      </c>
      <c r="O65" s="85">
        <v>50000</v>
      </c>
      <c r="P65" s="90">
        <v>75</v>
      </c>
      <c r="Q65" s="107">
        <v>30</v>
      </c>
      <c r="R65" s="90">
        <v>75</v>
      </c>
      <c r="S65" s="90">
        <f t="shared" si="6"/>
        <v>37.5</v>
      </c>
      <c r="T65" s="90">
        <f t="shared" si="7"/>
        <v>112.5</v>
      </c>
      <c r="U65" s="86">
        <v>70000</v>
      </c>
      <c r="V65" s="90">
        <v>25</v>
      </c>
      <c r="W65" s="107">
        <v>30</v>
      </c>
      <c r="X65" s="90">
        <v>75</v>
      </c>
      <c r="Y65" s="90">
        <f t="shared" si="8"/>
        <v>37.5</v>
      </c>
      <c r="Z65" s="90">
        <f t="shared" si="9"/>
        <v>62.5</v>
      </c>
      <c r="AA65" s="298" t="s">
        <v>2730</v>
      </c>
      <c r="AB65" s="90">
        <f t="shared" si="3"/>
        <v>78.5</v>
      </c>
      <c r="AC65" s="86">
        <v>10000</v>
      </c>
      <c r="AD65" s="90">
        <v>21</v>
      </c>
      <c r="AE65" s="93">
        <v>16</v>
      </c>
      <c r="AF65" s="90">
        <v>75</v>
      </c>
      <c r="AG65" s="90">
        <f t="shared" si="12"/>
        <v>20</v>
      </c>
      <c r="AH65" s="90">
        <v>0.25</v>
      </c>
      <c r="AI65" s="86">
        <v>40000</v>
      </c>
      <c r="AJ65" s="90">
        <v>87.75</v>
      </c>
      <c r="AK65" s="93">
        <v>30</v>
      </c>
      <c r="AL65" s="90">
        <v>75</v>
      </c>
      <c r="AM65" s="90">
        <f t="shared" si="13"/>
        <v>37.5</v>
      </c>
      <c r="AN65" s="90">
        <v>5</v>
      </c>
      <c r="AO65" s="298" t="s">
        <v>482</v>
      </c>
      <c r="AP65" s="90" t="e">
        <f t="shared" si="10"/>
        <v>#VALUE!</v>
      </c>
      <c r="AQ65" s="86" t="s">
        <v>482</v>
      </c>
      <c r="AR65" s="90" t="s">
        <v>482</v>
      </c>
      <c r="AS65" s="93" t="s">
        <v>482</v>
      </c>
      <c r="AT65" s="90" t="s">
        <v>482</v>
      </c>
      <c r="AU65" s="108" t="s">
        <v>482</v>
      </c>
    </row>
    <row r="66" spans="2:47" s="14" customFormat="1" ht="104" x14ac:dyDescent="0.35">
      <c r="B66" s="89" t="s">
        <v>2742</v>
      </c>
      <c r="C66" s="93">
        <v>18.600000000000001</v>
      </c>
      <c r="D66" s="298" t="s">
        <v>2743</v>
      </c>
      <c r="E66" s="93">
        <v>124.3</v>
      </c>
      <c r="F66" s="31" t="s">
        <v>2733</v>
      </c>
      <c r="G66" s="31">
        <f t="shared" si="11"/>
        <v>125</v>
      </c>
      <c r="H66" s="31">
        <v>125</v>
      </c>
      <c r="I66" s="31"/>
      <c r="J66" s="297">
        <v>1</v>
      </c>
      <c r="K66" s="297"/>
      <c r="L66" s="305"/>
      <c r="M66" s="306"/>
      <c r="N66" s="301">
        <v>125</v>
      </c>
      <c r="O66" s="85">
        <v>50000</v>
      </c>
      <c r="P66" s="90">
        <v>25</v>
      </c>
      <c r="Q66" s="107">
        <v>30</v>
      </c>
      <c r="R66" s="90">
        <v>75</v>
      </c>
      <c r="S66" s="90">
        <f t="shared" si="6"/>
        <v>37.5</v>
      </c>
      <c r="T66" s="90">
        <f t="shared" si="7"/>
        <v>62.5</v>
      </c>
      <c r="U66" s="86">
        <v>70000</v>
      </c>
      <c r="V66" s="90">
        <v>25</v>
      </c>
      <c r="W66" s="107">
        <v>30</v>
      </c>
      <c r="X66" s="90">
        <v>75</v>
      </c>
      <c r="Y66" s="90">
        <f t="shared" si="8"/>
        <v>37.5</v>
      </c>
      <c r="Z66" s="90">
        <f t="shared" si="9"/>
        <v>62.5</v>
      </c>
      <c r="AA66" s="298" t="s">
        <v>2734</v>
      </c>
      <c r="AB66" s="90">
        <f t="shared" si="3"/>
        <v>91.5</v>
      </c>
      <c r="AC66" s="86">
        <v>10000</v>
      </c>
      <c r="AD66" s="90">
        <v>34</v>
      </c>
      <c r="AE66" s="93">
        <v>16</v>
      </c>
      <c r="AF66" s="90">
        <v>75</v>
      </c>
      <c r="AG66" s="90">
        <f t="shared" si="12"/>
        <v>20</v>
      </c>
      <c r="AH66" s="90">
        <v>0.25</v>
      </c>
      <c r="AI66" s="86">
        <v>40000</v>
      </c>
      <c r="AJ66" s="90">
        <v>124.2</v>
      </c>
      <c r="AK66" s="93">
        <v>30</v>
      </c>
      <c r="AL66" s="90">
        <v>75</v>
      </c>
      <c r="AM66" s="90">
        <f t="shared" si="13"/>
        <v>37.5</v>
      </c>
      <c r="AN66" s="90">
        <v>5</v>
      </c>
      <c r="AO66" s="298" t="s">
        <v>482</v>
      </c>
      <c r="AP66" s="90" t="e">
        <f t="shared" si="10"/>
        <v>#VALUE!</v>
      </c>
      <c r="AQ66" s="86" t="s">
        <v>482</v>
      </c>
      <c r="AR66" s="90" t="s">
        <v>482</v>
      </c>
      <c r="AS66" s="93" t="s">
        <v>482</v>
      </c>
      <c r="AT66" s="90" t="s">
        <v>482</v>
      </c>
      <c r="AU66" s="108" t="s">
        <v>482</v>
      </c>
    </row>
    <row r="67" spans="2:47" s="14" customFormat="1" ht="104" x14ac:dyDescent="0.35">
      <c r="B67" s="89" t="s">
        <v>2744</v>
      </c>
      <c r="C67" s="93">
        <v>52.5</v>
      </c>
      <c r="D67" s="298" t="s">
        <v>2745</v>
      </c>
      <c r="E67" s="93">
        <v>182.9</v>
      </c>
      <c r="F67" s="31" t="s">
        <v>2737</v>
      </c>
      <c r="G67" s="31">
        <f t="shared" si="11"/>
        <v>190</v>
      </c>
      <c r="H67" s="31">
        <v>190</v>
      </c>
      <c r="I67" s="31"/>
      <c r="J67" s="297">
        <v>1</v>
      </c>
      <c r="K67" s="297"/>
      <c r="L67" s="305"/>
      <c r="M67" s="306"/>
      <c r="N67" s="301">
        <v>250</v>
      </c>
      <c r="O67" s="85">
        <v>50000</v>
      </c>
      <c r="P67" s="90">
        <v>50</v>
      </c>
      <c r="Q67" s="107">
        <v>30</v>
      </c>
      <c r="R67" s="90">
        <v>75</v>
      </c>
      <c r="S67" s="90">
        <f t="shared" si="6"/>
        <v>37.5</v>
      </c>
      <c r="T67" s="90">
        <f t="shared" si="7"/>
        <v>87.5</v>
      </c>
      <c r="U67" s="86">
        <v>70000</v>
      </c>
      <c r="V67" s="90">
        <v>25</v>
      </c>
      <c r="W67" s="107">
        <v>30</v>
      </c>
      <c r="X67" s="90">
        <v>75</v>
      </c>
      <c r="Y67" s="90">
        <f t="shared" si="8"/>
        <v>37.5</v>
      </c>
      <c r="Z67" s="90">
        <f t="shared" si="9"/>
        <v>62.5</v>
      </c>
      <c r="AA67" s="298" t="s">
        <v>2738</v>
      </c>
      <c r="AB67" s="90">
        <f t="shared" si="3"/>
        <v>85.5</v>
      </c>
      <c r="AC67" s="86">
        <v>10000</v>
      </c>
      <c r="AD67" s="90">
        <v>28</v>
      </c>
      <c r="AE67" s="93">
        <v>16</v>
      </c>
      <c r="AF67" s="90">
        <v>75</v>
      </c>
      <c r="AG67" s="90">
        <f t="shared" si="12"/>
        <v>20</v>
      </c>
      <c r="AH67" s="90">
        <v>0.25</v>
      </c>
      <c r="AI67" s="86">
        <v>40000</v>
      </c>
      <c r="AJ67" s="90">
        <v>67.5</v>
      </c>
      <c r="AK67" s="93">
        <v>30</v>
      </c>
      <c r="AL67" s="90">
        <v>75</v>
      </c>
      <c r="AM67" s="90">
        <f t="shared" si="13"/>
        <v>37.5</v>
      </c>
      <c r="AN67" s="90">
        <v>5</v>
      </c>
      <c r="AO67" s="298" t="s">
        <v>482</v>
      </c>
      <c r="AP67" s="90" t="e">
        <f t="shared" si="10"/>
        <v>#VALUE!</v>
      </c>
      <c r="AQ67" s="86" t="s">
        <v>482</v>
      </c>
      <c r="AR67" s="90" t="s">
        <v>482</v>
      </c>
      <c r="AS67" s="93" t="s">
        <v>482</v>
      </c>
      <c r="AT67" s="90" t="s">
        <v>482</v>
      </c>
      <c r="AU67" s="108" t="s">
        <v>482</v>
      </c>
    </row>
    <row r="68" spans="2:47" s="14" customFormat="1" ht="104" x14ac:dyDescent="0.35">
      <c r="B68" s="89" t="s">
        <v>2746</v>
      </c>
      <c r="C68" s="93">
        <v>116.8</v>
      </c>
      <c r="D68" s="298" t="s">
        <v>2747</v>
      </c>
      <c r="E68" s="93">
        <v>361.4</v>
      </c>
      <c r="F68" s="31" t="s">
        <v>2741</v>
      </c>
      <c r="G68" s="31">
        <f t="shared" si="11"/>
        <v>288</v>
      </c>
      <c r="H68" s="31">
        <v>288</v>
      </c>
      <c r="I68" s="31"/>
      <c r="J68" s="297">
        <v>1</v>
      </c>
      <c r="K68" s="297"/>
      <c r="L68" s="305"/>
      <c r="M68" s="306"/>
      <c r="N68" s="301">
        <v>375</v>
      </c>
      <c r="O68" s="85">
        <v>50000</v>
      </c>
      <c r="P68" s="90">
        <v>75</v>
      </c>
      <c r="Q68" s="107">
        <v>30</v>
      </c>
      <c r="R68" s="90">
        <v>75</v>
      </c>
      <c r="S68" s="90">
        <f t="shared" si="6"/>
        <v>37.5</v>
      </c>
      <c r="T68" s="90">
        <f t="shared" si="7"/>
        <v>112.5</v>
      </c>
      <c r="U68" s="86">
        <v>70000</v>
      </c>
      <c r="V68" s="90">
        <v>25</v>
      </c>
      <c r="W68" s="107">
        <v>30</v>
      </c>
      <c r="X68" s="90">
        <v>75</v>
      </c>
      <c r="Y68" s="90">
        <f t="shared" si="8"/>
        <v>37.5</v>
      </c>
      <c r="Z68" s="90">
        <f t="shared" si="9"/>
        <v>62.5</v>
      </c>
      <c r="AA68" s="298" t="s">
        <v>2730</v>
      </c>
      <c r="AB68" s="90">
        <f t="shared" si="3"/>
        <v>78.5</v>
      </c>
      <c r="AC68" s="86">
        <v>10000</v>
      </c>
      <c r="AD68" s="90">
        <v>21</v>
      </c>
      <c r="AE68" s="93">
        <v>16</v>
      </c>
      <c r="AF68" s="90">
        <v>75</v>
      </c>
      <c r="AG68" s="90">
        <f t="shared" si="12"/>
        <v>20</v>
      </c>
      <c r="AH68" s="90">
        <v>0.25</v>
      </c>
      <c r="AI68" s="86">
        <v>40000</v>
      </c>
      <c r="AJ68" s="90">
        <v>87.75</v>
      </c>
      <c r="AK68" s="93">
        <v>30</v>
      </c>
      <c r="AL68" s="90">
        <v>75</v>
      </c>
      <c r="AM68" s="90">
        <f t="shared" si="13"/>
        <v>37.5</v>
      </c>
      <c r="AN68" s="90">
        <v>5</v>
      </c>
      <c r="AO68" s="298" t="s">
        <v>482</v>
      </c>
      <c r="AP68" s="90" t="e">
        <f t="shared" si="10"/>
        <v>#VALUE!</v>
      </c>
      <c r="AQ68" s="86" t="s">
        <v>482</v>
      </c>
      <c r="AR68" s="90" t="s">
        <v>482</v>
      </c>
      <c r="AS68" s="93" t="s">
        <v>482</v>
      </c>
      <c r="AT68" s="90" t="s">
        <v>482</v>
      </c>
      <c r="AU68" s="108" t="s">
        <v>482</v>
      </c>
    </row>
    <row r="69" spans="2:47" s="14" customFormat="1" ht="78" x14ac:dyDescent="0.35">
      <c r="B69" s="89" t="s">
        <v>2748</v>
      </c>
      <c r="C69" s="93">
        <v>18.600000000000001</v>
      </c>
      <c r="D69" s="298" t="s">
        <v>2749</v>
      </c>
      <c r="E69" s="93">
        <v>124.3</v>
      </c>
      <c r="F69" s="31" t="s">
        <v>2733</v>
      </c>
      <c r="G69" s="31">
        <f t="shared" si="11"/>
        <v>125</v>
      </c>
      <c r="H69" s="31">
        <v>125</v>
      </c>
      <c r="I69" s="31"/>
      <c r="J69" s="297">
        <v>1</v>
      </c>
      <c r="K69" s="297"/>
      <c r="L69" s="305"/>
      <c r="M69" s="306"/>
      <c r="N69" s="301">
        <v>125</v>
      </c>
      <c r="O69" s="85">
        <v>50000</v>
      </c>
      <c r="P69" s="90">
        <v>25</v>
      </c>
      <c r="Q69" s="107">
        <v>30</v>
      </c>
      <c r="R69" s="90">
        <v>45</v>
      </c>
      <c r="S69" s="90">
        <f t="shared" si="6"/>
        <v>22.5</v>
      </c>
      <c r="T69" s="90">
        <f t="shared" si="7"/>
        <v>47.5</v>
      </c>
      <c r="U69" s="86">
        <v>70000</v>
      </c>
      <c r="V69" s="90">
        <v>25</v>
      </c>
      <c r="W69" s="107">
        <v>30</v>
      </c>
      <c r="X69" s="90">
        <v>45</v>
      </c>
      <c r="Y69" s="90">
        <f t="shared" si="8"/>
        <v>22.5</v>
      </c>
      <c r="Z69" s="90">
        <f t="shared" si="9"/>
        <v>47.5</v>
      </c>
      <c r="AA69" s="298" t="s">
        <v>2734</v>
      </c>
      <c r="AB69" s="90">
        <f t="shared" si="3"/>
        <v>59.166666666666664</v>
      </c>
      <c r="AC69" s="86">
        <v>10000</v>
      </c>
      <c r="AD69" s="90">
        <v>34</v>
      </c>
      <c r="AE69" s="93">
        <v>8</v>
      </c>
      <c r="AF69" s="90">
        <v>20</v>
      </c>
      <c r="AG69" s="90">
        <f t="shared" si="12"/>
        <v>2.6666666666666665</v>
      </c>
      <c r="AH69" s="90">
        <v>0.25</v>
      </c>
      <c r="AI69" s="86">
        <v>40000</v>
      </c>
      <c r="AJ69" s="90">
        <v>124.2</v>
      </c>
      <c r="AK69" s="93">
        <v>30</v>
      </c>
      <c r="AL69" s="90">
        <v>45</v>
      </c>
      <c r="AM69" s="90">
        <f t="shared" si="13"/>
        <v>22.5</v>
      </c>
      <c r="AN69" s="90">
        <v>5</v>
      </c>
      <c r="AO69" s="298" t="s">
        <v>482</v>
      </c>
      <c r="AP69" s="90" t="e">
        <f t="shared" si="10"/>
        <v>#VALUE!</v>
      </c>
      <c r="AQ69" s="86" t="s">
        <v>482</v>
      </c>
      <c r="AR69" s="90" t="s">
        <v>482</v>
      </c>
      <c r="AS69" s="93" t="s">
        <v>482</v>
      </c>
      <c r="AT69" s="90" t="s">
        <v>482</v>
      </c>
      <c r="AU69" s="108" t="s">
        <v>482</v>
      </c>
    </row>
    <row r="70" spans="2:47" s="14" customFormat="1" ht="78" x14ac:dyDescent="0.35">
      <c r="B70" s="89" t="s">
        <v>2750</v>
      </c>
      <c r="C70" s="93">
        <v>52.5</v>
      </c>
      <c r="D70" s="298" t="s">
        <v>2751</v>
      </c>
      <c r="E70" s="93">
        <v>182.9</v>
      </c>
      <c r="F70" s="31" t="s">
        <v>2737</v>
      </c>
      <c r="G70" s="31">
        <f t="shared" si="11"/>
        <v>190</v>
      </c>
      <c r="H70" s="31">
        <v>190</v>
      </c>
      <c r="I70" s="31"/>
      <c r="J70" s="297">
        <v>1</v>
      </c>
      <c r="K70" s="297"/>
      <c r="L70" s="305"/>
      <c r="M70" s="306"/>
      <c r="N70" s="301">
        <v>250</v>
      </c>
      <c r="O70" s="85">
        <v>50000</v>
      </c>
      <c r="P70" s="90">
        <v>50</v>
      </c>
      <c r="Q70" s="107">
        <v>30</v>
      </c>
      <c r="R70" s="90">
        <v>45</v>
      </c>
      <c r="S70" s="90">
        <f t="shared" si="6"/>
        <v>22.5</v>
      </c>
      <c r="T70" s="90">
        <f t="shared" si="7"/>
        <v>72.5</v>
      </c>
      <c r="U70" s="86">
        <v>70000</v>
      </c>
      <c r="V70" s="90">
        <v>25</v>
      </c>
      <c r="W70" s="107">
        <v>30</v>
      </c>
      <c r="X70" s="90">
        <v>45</v>
      </c>
      <c r="Y70" s="90">
        <f t="shared" si="8"/>
        <v>22.5</v>
      </c>
      <c r="Z70" s="90">
        <f t="shared" si="9"/>
        <v>47.5</v>
      </c>
      <c r="AA70" s="298" t="s">
        <v>2738</v>
      </c>
      <c r="AB70" s="90">
        <f t="shared" si="3"/>
        <v>53.166666666666671</v>
      </c>
      <c r="AC70" s="86">
        <v>10000</v>
      </c>
      <c r="AD70" s="90">
        <v>28</v>
      </c>
      <c r="AE70" s="93">
        <v>8</v>
      </c>
      <c r="AF70" s="90">
        <v>20</v>
      </c>
      <c r="AG70" s="90">
        <f t="shared" si="12"/>
        <v>2.6666666666666665</v>
      </c>
      <c r="AH70" s="90">
        <v>0.25</v>
      </c>
      <c r="AI70" s="86">
        <v>40000</v>
      </c>
      <c r="AJ70" s="90">
        <v>67.5</v>
      </c>
      <c r="AK70" s="93">
        <v>30</v>
      </c>
      <c r="AL70" s="90">
        <v>45</v>
      </c>
      <c r="AM70" s="90">
        <f t="shared" si="13"/>
        <v>22.5</v>
      </c>
      <c r="AN70" s="90">
        <v>5</v>
      </c>
      <c r="AO70" s="298" t="s">
        <v>482</v>
      </c>
      <c r="AP70" s="90" t="e">
        <f t="shared" si="10"/>
        <v>#VALUE!</v>
      </c>
      <c r="AQ70" s="86" t="s">
        <v>482</v>
      </c>
      <c r="AR70" s="90" t="s">
        <v>482</v>
      </c>
      <c r="AS70" s="93" t="s">
        <v>482</v>
      </c>
      <c r="AT70" s="90" t="s">
        <v>482</v>
      </c>
      <c r="AU70" s="108" t="s">
        <v>482</v>
      </c>
    </row>
    <row r="71" spans="2:47" s="14" customFormat="1" ht="65" x14ac:dyDescent="0.35">
      <c r="B71" s="89" t="s">
        <v>2752</v>
      </c>
      <c r="C71" s="93">
        <v>116.8</v>
      </c>
      <c r="D71" s="298" t="s">
        <v>2753</v>
      </c>
      <c r="E71" s="93">
        <v>361.4</v>
      </c>
      <c r="F71" s="31" t="s">
        <v>2741</v>
      </c>
      <c r="G71" s="31">
        <f t="shared" si="11"/>
        <v>288</v>
      </c>
      <c r="H71" s="31">
        <v>288</v>
      </c>
      <c r="I71" s="31"/>
      <c r="J71" s="297">
        <v>1</v>
      </c>
      <c r="K71" s="297"/>
      <c r="L71" s="305"/>
      <c r="M71" s="306"/>
      <c r="N71" s="301">
        <v>375</v>
      </c>
      <c r="O71" s="85">
        <v>50000</v>
      </c>
      <c r="P71" s="90">
        <v>75</v>
      </c>
      <c r="Q71" s="107">
        <v>30</v>
      </c>
      <c r="R71" s="90">
        <v>45</v>
      </c>
      <c r="S71" s="90">
        <f t="shared" si="6"/>
        <v>22.5</v>
      </c>
      <c r="T71" s="90">
        <f t="shared" si="7"/>
        <v>97.5</v>
      </c>
      <c r="U71" s="86">
        <v>70000</v>
      </c>
      <c r="V71" s="90">
        <v>25</v>
      </c>
      <c r="W71" s="107">
        <v>30</v>
      </c>
      <c r="X71" s="90">
        <v>45</v>
      </c>
      <c r="Y71" s="90">
        <f t="shared" si="8"/>
        <v>22.5</v>
      </c>
      <c r="Z71" s="90">
        <f t="shared" si="9"/>
        <v>47.5</v>
      </c>
      <c r="AA71" s="298" t="s">
        <v>2730</v>
      </c>
      <c r="AB71" s="90">
        <f t="shared" si="3"/>
        <v>46.166666666666671</v>
      </c>
      <c r="AC71" s="86">
        <v>10000</v>
      </c>
      <c r="AD71" s="90">
        <v>21</v>
      </c>
      <c r="AE71" s="93">
        <v>8</v>
      </c>
      <c r="AF71" s="90">
        <v>20</v>
      </c>
      <c r="AG71" s="90">
        <f t="shared" si="12"/>
        <v>2.6666666666666665</v>
      </c>
      <c r="AH71" s="90">
        <v>0.25</v>
      </c>
      <c r="AI71" s="86">
        <v>40000</v>
      </c>
      <c r="AJ71" s="90">
        <v>87.75</v>
      </c>
      <c r="AK71" s="93">
        <v>30</v>
      </c>
      <c r="AL71" s="90">
        <v>45</v>
      </c>
      <c r="AM71" s="90">
        <f t="shared" si="13"/>
        <v>22.5</v>
      </c>
      <c r="AN71" s="90">
        <v>5</v>
      </c>
      <c r="AO71" s="298" t="s">
        <v>482</v>
      </c>
      <c r="AP71" s="90" t="e">
        <f t="shared" si="10"/>
        <v>#VALUE!</v>
      </c>
      <c r="AQ71" s="86" t="s">
        <v>482</v>
      </c>
      <c r="AR71" s="90" t="s">
        <v>482</v>
      </c>
      <c r="AS71" s="93" t="s">
        <v>482</v>
      </c>
      <c r="AT71" s="90" t="s">
        <v>482</v>
      </c>
      <c r="AU71" s="108" t="s">
        <v>482</v>
      </c>
    </row>
    <row r="72" spans="2:47" s="14" customFormat="1" ht="78" x14ac:dyDescent="0.35">
      <c r="B72" s="89" t="s">
        <v>2754</v>
      </c>
      <c r="C72" s="93">
        <v>18.600000000000001</v>
      </c>
      <c r="D72" s="298" t="s">
        <v>2755</v>
      </c>
      <c r="E72" s="93">
        <v>124.3</v>
      </c>
      <c r="F72" s="31" t="s">
        <v>2733</v>
      </c>
      <c r="G72" s="31">
        <f t="shared" si="11"/>
        <v>125</v>
      </c>
      <c r="H72" s="31">
        <v>125</v>
      </c>
      <c r="I72" s="31"/>
      <c r="J72" s="297">
        <v>1</v>
      </c>
      <c r="K72" s="297"/>
      <c r="L72" s="305"/>
      <c r="M72" s="306"/>
      <c r="N72" s="301">
        <v>125</v>
      </c>
      <c r="O72" s="85">
        <v>50000</v>
      </c>
      <c r="P72" s="90">
        <v>25</v>
      </c>
      <c r="Q72" s="107">
        <v>30</v>
      </c>
      <c r="R72" s="90">
        <v>45</v>
      </c>
      <c r="S72" s="90">
        <f t="shared" si="6"/>
        <v>22.5</v>
      </c>
      <c r="T72" s="90">
        <f t="shared" si="7"/>
        <v>47.5</v>
      </c>
      <c r="U72" s="86">
        <v>70000</v>
      </c>
      <c r="V72" s="90">
        <v>25</v>
      </c>
      <c r="W72" s="107">
        <v>30</v>
      </c>
      <c r="X72" s="90">
        <v>45</v>
      </c>
      <c r="Y72" s="90">
        <f t="shared" si="8"/>
        <v>22.5</v>
      </c>
      <c r="Z72" s="90">
        <f t="shared" si="9"/>
        <v>47.5</v>
      </c>
      <c r="AA72" s="298" t="s">
        <v>2734</v>
      </c>
      <c r="AB72" s="90">
        <f t="shared" si="3"/>
        <v>59.166666666666664</v>
      </c>
      <c r="AC72" s="86">
        <v>10000</v>
      </c>
      <c r="AD72" s="90">
        <v>34</v>
      </c>
      <c r="AE72" s="93">
        <v>8</v>
      </c>
      <c r="AF72" s="90">
        <v>20</v>
      </c>
      <c r="AG72" s="90">
        <f t="shared" si="12"/>
        <v>2.6666666666666665</v>
      </c>
      <c r="AH72" s="90">
        <v>0.25</v>
      </c>
      <c r="AI72" s="86">
        <v>40000</v>
      </c>
      <c r="AJ72" s="90">
        <v>124.2</v>
      </c>
      <c r="AK72" s="93">
        <v>30</v>
      </c>
      <c r="AL72" s="90">
        <v>45</v>
      </c>
      <c r="AM72" s="90">
        <f t="shared" si="13"/>
        <v>22.5</v>
      </c>
      <c r="AN72" s="90">
        <v>5</v>
      </c>
      <c r="AO72" s="298" t="s">
        <v>482</v>
      </c>
      <c r="AP72" s="90" t="e">
        <f t="shared" si="10"/>
        <v>#VALUE!</v>
      </c>
      <c r="AQ72" s="86" t="s">
        <v>482</v>
      </c>
      <c r="AR72" s="90" t="s">
        <v>482</v>
      </c>
      <c r="AS72" s="93" t="s">
        <v>482</v>
      </c>
      <c r="AT72" s="90" t="s">
        <v>482</v>
      </c>
      <c r="AU72" s="108" t="s">
        <v>482</v>
      </c>
    </row>
    <row r="73" spans="2:47" s="14" customFormat="1" ht="78" x14ac:dyDescent="0.35">
      <c r="B73" s="89" t="s">
        <v>2756</v>
      </c>
      <c r="C73" s="93">
        <v>52.5</v>
      </c>
      <c r="D73" s="298" t="s">
        <v>2757</v>
      </c>
      <c r="E73" s="93">
        <v>182.9</v>
      </c>
      <c r="F73" s="31" t="s">
        <v>2737</v>
      </c>
      <c r="G73" s="31">
        <f t="shared" si="11"/>
        <v>190</v>
      </c>
      <c r="H73" s="31">
        <v>190</v>
      </c>
      <c r="I73" s="31"/>
      <c r="J73" s="297">
        <v>1</v>
      </c>
      <c r="K73" s="297"/>
      <c r="L73" s="305"/>
      <c r="M73" s="306"/>
      <c r="N73" s="301">
        <v>250</v>
      </c>
      <c r="O73" s="85">
        <v>50000</v>
      </c>
      <c r="P73" s="90">
        <v>50</v>
      </c>
      <c r="Q73" s="107">
        <v>30</v>
      </c>
      <c r="R73" s="90">
        <v>45</v>
      </c>
      <c r="S73" s="90">
        <f t="shared" si="6"/>
        <v>22.5</v>
      </c>
      <c r="T73" s="90">
        <f t="shared" si="7"/>
        <v>72.5</v>
      </c>
      <c r="U73" s="86">
        <v>70000</v>
      </c>
      <c r="V73" s="90">
        <v>25</v>
      </c>
      <c r="W73" s="107">
        <v>30</v>
      </c>
      <c r="X73" s="90">
        <v>45</v>
      </c>
      <c r="Y73" s="90">
        <f t="shared" si="8"/>
        <v>22.5</v>
      </c>
      <c r="Z73" s="90">
        <f t="shared" si="9"/>
        <v>47.5</v>
      </c>
      <c r="AA73" s="298" t="s">
        <v>2738</v>
      </c>
      <c r="AB73" s="90">
        <f t="shared" si="3"/>
        <v>53.166666666666671</v>
      </c>
      <c r="AC73" s="86">
        <v>10000</v>
      </c>
      <c r="AD73" s="90">
        <v>28</v>
      </c>
      <c r="AE73" s="93">
        <v>8</v>
      </c>
      <c r="AF73" s="90">
        <v>20</v>
      </c>
      <c r="AG73" s="90">
        <f t="shared" si="12"/>
        <v>2.6666666666666665</v>
      </c>
      <c r="AH73" s="90">
        <v>0.25</v>
      </c>
      <c r="AI73" s="86">
        <v>40000</v>
      </c>
      <c r="AJ73" s="90">
        <v>67.5</v>
      </c>
      <c r="AK73" s="93">
        <v>30</v>
      </c>
      <c r="AL73" s="90">
        <v>45</v>
      </c>
      <c r="AM73" s="90">
        <f t="shared" si="13"/>
        <v>22.5</v>
      </c>
      <c r="AN73" s="90">
        <v>5</v>
      </c>
      <c r="AO73" s="298" t="s">
        <v>482</v>
      </c>
      <c r="AP73" s="90" t="e">
        <f t="shared" si="10"/>
        <v>#VALUE!</v>
      </c>
      <c r="AQ73" s="86" t="s">
        <v>482</v>
      </c>
      <c r="AR73" s="90" t="s">
        <v>482</v>
      </c>
      <c r="AS73" s="93" t="s">
        <v>482</v>
      </c>
      <c r="AT73" s="90" t="s">
        <v>482</v>
      </c>
      <c r="AU73" s="108" t="s">
        <v>482</v>
      </c>
    </row>
    <row r="74" spans="2:47" s="14" customFormat="1" ht="65" x14ac:dyDescent="0.35">
      <c r="B74" s="89" t="s">
        <v>2758</v>
      </c>
      <c r="C74" s="93">
        <v>116.8</v>
      </c>
      <c r="D74" s="298" t="s">
        <v>2759</v>
      </c>
      <c r="E74" s="93">
        <v>361.4</v>
      </c>
      <c r="F74" s="31" t="s">
        <v>2741</v>
      </c>
      <c r="G74" s="31">
        <f t="shared" si="11"/>
        <v>288</v>
      </c>
      <c r="H74" s="31">
        <v>288</v>
      </c>
      <c r="I74" s="31"/>
      <c r="J74" s="297">
        <v>1</v>
      </c>
      <c r="K74" s="297"/>
      <c r="L74" s="305"/>
      <c r="M74" s="306"/>
      <c r="N74" s="301">
        <v>375</v>
      </c>
      <c r="O74" s="85">
        <v>50000</v>
      </c>
      <c r="P74" s="90">
        <v>75</v>
      </c>
      <c r="Q74" s="107">
        <v>30</v>
      </c>
      <c r="R74" s="90">
        <v>45</v>
      </c>
      <c r="S74" s="90">
        <f t="shared" si="6"/>
        <v>22.5</v>
      </c>
      <c r="T74" s="90">
        <f t="shared" si="7"/>
        <v>97.5</v>
      </c>
      <c r="U74" s="86">
        <v>70000</v>
      </c>
      <c r="V74" s="90">
        <v>25</v>
      </c>
      <c r="W74" s="107">
        <v>30</v>
      </c>
      <c r="X74" s="90">
        <v>45</v>
      </c>
      <c r="Y74" s="90">
        <f t="shared" si="8"/>
        <v>22.5</v>
      </c>
      <c r="Z74" s="90">
        <f t="shared" si="9"/>
        <v>47.5</v>
      </c>
      <c r="AA74" s="298" t="s">
        <v>2730</v>
      </c>
      <c r="AB74" s="90">
        <f t="shared" si="3"/>
        <v>46.166666666666671</v>
      </c>
      <c r="AC74" s="86">
        <v>10000</v>
      </c>
      <c r="AD74" s="90">
        <v>21</v>
      </c>
      <c r="AE74" s="93">
        <v>8</v>
      </c>
      <c r="AF74" s="90">
        <v>20</v>
      </c>
      <c r="AG74" s="90">
        <f t="shared" si="12"/>
        <v>2.6666666666666665</v>
      </c>
      <c r="AH74" s="90">
        <v>0.25</v>
      </c>
      <c r="AI74" s="86">
        <v>40000</v>
      </c>
      <c r="AJ74" s="90">
        <v>87.75</v>
      </c>
      <c r="AK74" s="93">
        <v>30</v>
      </c>
      <c r="AL74" s="90">
        <v>45</v>
      </c>
      <c r="AM74" s="90">
        <f t="shared" si="13"/>
        <v>22.5</v>
      </c>
      <c r="AN74" s="90">
        <v>5</v>
      </c>
      <c r="AO74" s="298" t="s">
        <v>482</v>
      </c>
      <c r="AP74" s="90" t="e">
        <f t="shared" si="10"/>
        <v>#VALUE!</v>
      </c>
      <c r="AQ74" s="86" t="s">
        <v>482</v>
      </c>
      <c r="AR74" s="90" t="s">
        <v>482</v>
      </c>
      <c r="AS74" s="93" t="s">
        <v>482</v>
      </c>
      <c r="AT74" s="90" t="s">
        <v>482</v>
      </c>
      <c r="AU74" s="108" t="s">
        <v>482</v>
      </c>
    </row>
    <row r="75" spans="2:47" s="14" customFormat="1" ht="65" x14ac:dyDescent="0.35">
      <c r="B75" s="89" t="s">
        <v>2760</v>
      </c>
      <c r="C75" s="93">
        <v>13.9</v>
      </c>
      <c r="D75" s="298" t="s">
        <v>2761</v>
      </c>
      <c r="E75" s="93">
        <v>54.3</v>
      </c>
      <c r="F75" s="31" t="s">
        <v>2762</v>
      </c>
      <c r="G75" s="31">
        <f t="shared" si="11"/>
        <v>65</v>
      </c>
      <c r="H75" s="31">
        <v>65</v>
      </c>
      <c r="I75" s="31"/>
      <c r="J75" s="297">
        <v>1</v>
      </c>
      <c r="K75" s="297"/>
      <c r="L75" s="305"/>
      <c r="M75" s="306"/>
      <c r="N75" s="301">
        <v>150</v>
      </c>
      <c r="O75" s="85">
        <v>50000</v>
      </c>
      <c r="P75" s="90">
        <v>25</v>
      </c>
      <c r="Q75" s="107">
        <v>30</v>
      </c>
      <c r="R75" s="90">
        <v>45</v>
      </c>
      <c r="S75" s="90">
        <f t="shared" si="6"/>
        <v>22.5</v>
      </c>
      <c r="T75" s="90">
        <f t="shared" si="7"/>
        <v>47.5</v>
      </c>
      <c r="U75" s="86">
        <v>70000</v>
      </c>
      <c r="V75" s="90">
        <v>25</v>
      </c>
      <c r="W75" s="107">
        <v>30</v>
      </c>
      <c r="X75" s="90">
        <v>45</v>
      </c>
      <c r="Y75" s="90">
        <f t="shared" si="8"/>
        <v>22.5</v>
      </c>
      <c r="Z75" s="90">
        <f t="shared" si="9"/>
        <v>47.5</v>
      </c>
      <c r="AA75" s="298" t="s">
        <v>2763</v>
      </c>
      <c r="AB75" s="90">
        <f t="shared" si="3"/>
        <v>59.166666666666664</v>
      </c>
      <c r="AC75" s="86">
        <v>10000</v>
      </c>
      <c r="AD75" s="90">
        <v>34</v>
      </c>
      <c r="AE75" s="93">
        <v>8</v>
      </c>
      <c r="AF75" s="90">
        <v>20</v>
      </c>
      <c r="AG75" s="90">
        <f t="shared" si="12"/>
        <v>2.6666666666666665</v>
      </c>
      <c r="AH75" s="90">
        <v>0.25</v>
      </c>
      <c r="AI75" s="86">
        <v>40000</v>
      </c>
      <c r="AJ75" s="90">
        <v>108</v>
      </c>
      <c r="AK75" s="93">
        <v>30</v>
      </c>
      <c r="AL75" s="90">
        <v>45</v>
      </c>
      <c r="AM75" s="90">
        <f t="shared" si="13"/>
        <v>22.5</v>
      </c>
      <c r="AN75" s="90">
        <v>5</v>
      </c>
      <c r="AO75" s="298" t="s">
        <v>482</v>
      </c>
      <c r="AP75" s="90" t="e">
        <f t="shared" si="10"/>
        <v>#VALUE!</v>
      </c>
      <c r="AQ75" s="86" t="s">
        <v>482</v>
      </c>
      <c r="AR75" s="90" t="s">
        <v>482</v>
      </c>
      <c r="AS75" s="93" t="s">
        <v>482</v>
      </c>
      <c r="AT75" s="90" t="s">
        <v>482</v>
      </c>
      <c r="AU75" s="108" t="s">
        <v>482</v>
      </c>
    </row>
    <row r="76" spans="2:47" s="14" customFormat="1" ht="65" x14ac:dyDescent="0.35">
      <c r="B76" s="89" t="s">
        <v>2764</v>
      </c>
      <c r="C76" s="93">
        <v>41</v>
      </c>
      <c r="D76" s="298" t="s">
        <v>2765</v>
      </c>
      <c r="E76" s="93">
        <v>78</v>
      </c>
      <c r="F76" s="31" t="s">
        <v>2766</v>
      </c>
      <c r="G76" s="31">
        <f t="shared" si="11"/>
        <v>90</v>
      </c>
      <c r="H76" s="31">
        <v>90</v>
      </c>
      <c r="I76" s="31"/>
      <c r="J76" s="297">
        <v>1</v>
      </c>
      <c r="K76" s="297"/>
      <c r="L76" s="305"/>
      <c r="M76" s="306"/>
      <c r="N76" s="301">
        <v>250</v>
      </c>
      <c r="O76" s="85">
        <v>50000</v>
      </c>
      <c r="P76" s="90">
        <v>50</v>
      </c>
      <c r="Q76" s="107">
        <v>30</v>
      </c>
      <c r="R76" s="90">
        <v>45</v>
      </c>
      <c r="S76" s="90">
        <f t="shared" si="6"/>
        <v>22.5</v>
      </c>
      <c r="T76" s="90">
        <f t="shared" si="7"/>
        <v>72.5</v>
      </c>
      <c r="U76" s="86">
        <v>70000</v>
      </c>
      <c r="V76" s="90">
        <v>25</v>
      </c>
      <c r="W76" s="107">
        <v>30</v>
      </c>
      <c r="X76" s="90">
        <v>45</v>
      </c>
      <c r="Y76" s="90">
        <f t="shared" si="8"/>
        <v>22.5</v>
      </c>
      <c r="Z76" s="90">
        <f t="shared" si="9"/>
        <v>47.5</v>
      </c>
      <c r="AA76" s="298" t="s">
        <v>2767</v>
      </c>
      <c r="AB76" s="90">
        <f t="shared" si="3"/>
        <v>59.166666666666664</v>
      </c>
      <c r="AC76" s="86">
        <v>10000</v>
      </c>
      <c r="AD76" s="90">
        <v>34</v>
      </c>
      <c r="AE76" s="93">
        <v>8</v>
      </c>
      <c r="AF76" s="90">
        <v>20</v>
      </c>
      <c r="AG76" s="90">
        <f t="shared" si="12"/>
        <v>2.6666666666666665</v>
      </c>
      <c r="AH76" s="90">
        <v>0.25</v>
      </c>
      <c r="AI76" s="86">
        <v>40000</v>
      </c>
      <c r="AJ76" s="90">
        <v>115</v>
      </c>
      <c r="AK76" s="93">
        <v>30</v>
      </c>
      <c r="AL76" s="90">
        <v>45</v>
      </c>
      <c r="AM76" s="90">
        <f t="shared" si="13"/>
        <v>22.5</v>
      </c>
      <c r="AN76" s="90">
        <v>5</v>
      </c>
      <c r="AO76" s="298" t="s">
        <v>482</v>
      </c>
      <c r="AP76" s="90" t="e">
        <f t="shared" si="10"/>
        <v>#VALUE!</v>
      </c>
      <c r="AQ76" s="86" t="s">
        <v>482</v>
      </c>
      <c r="AR76" s="90" t="s">
        <v>482</v>
      </c>
      <c r="AS76" s="93" t="s">
        <v>482</v>
      </c>
      <c r="AT76" s="90" t="s">
        <v>482</v>
      </c>
      <c r="AU76" s="108" t="s">
        <v>482</v>
      </c>
    </row>
    <row r="77" spans="2:47" s="14" customFormat="1" ht="52" x14ac:dyDescent="0.35">
      <c r="B77" s="89" t="s">
        <v>2768</v>
      </c>
      <c r="C77" s="93">
        <v>8.6999999999999993</v>
      </c>
      <c r="D77" s="298" t="s">
        <v>2769</v>
      </c>
      <c r="E77" s="93">
        <v>51.7</v>
      </c>
      <c r="F77" s="31" t="s">
        <v>2770</v>
      </c>
      <c r="G77" s="31">
        <f t="shared" si="11"/>
        <v>53.75</v>
      </c>
      <c r="H77" s="31">
        <v>65</v>
      </c>
      <c r="I77" s="31">
        <v>50</v>
      </c>
      <c r="J77" s="297">
        <v>0.25</v>
      </c>
      <c r="K77" s="297">
        <v>0.75</v>
      </c>
      <c r="L77" s="305"/>
      <c r="M77" s="306"/>
      <c r="N77" s="301">
        <v>35</v>
      </c>
      <c r="O77" s="85">
        <v>50000</v>
      </c>
      <c r="P77" s="90">
        <v>25</v>
      </c>
      <c r="Q77" s="107">
        <v>30</v>
      </c>
      <c r="R77" s="90">
        <v>45</v>
      </c>
      <c r="S77" s="90">
        <f t="shared" si="6"/>
        <v>22.5</v>
      </c>
      <c r="T77" s="90">
        <f t="shared" si="7"/>
        <v>47.5</v>
      </c>
      <c r="U77" s="86">
        <v>70000</v>
      </c>
      <c r="V77" s="90">
        <v>25</v>
      </c>
      <c r="W77" s="107">
        <v>30</v>
      </c>
      <c r="X77" s="90">
        <v>45</v>
      </c>
      <c r="Y77" s="90">
        <f t="shared" si="8"/>
        <v>22.5</v>
      </c>
      <c r="Z77" s="90">
        <f t="shared" si="9"/>
        <v>47.5</v>
      </c>
      <c r="AA77" s="298" t="s">
        <v>2771</v>
      </c>
      <c r="AB77" s="90">
        <f t="shared" si="3"/>
        <v>59.166666666666664</v>
      </c>
      <c r="AC77" s="86">
        <v>10000</v>
      </c>
      <c r="AD77" s="90">
        <v>34</v>
      </c>
      <c r="AE77" s="93">
        <v>8</v>
      </c>
      <c r="AF77" s="90">
        <v>20</v>
      </c>
      <c r="AG77" s="90">
        <f t="shared" si="12"/>
        <v>2.6666666666666665</v>
      </c>
      <c r="AH77" s="90">
        <v>0.25</v>
      </c>
      <c r="AI77" s="86">
        <v>40000</v>
      </c>
      <c r="AJ77" s="90">
        <v>108</v>
      </c>
      <c r="AK77" s="93">
        <v>30</v>
      </c>
      <c r="AL77" s="90">
        <v>45</v>
      </c>
      <c r="AM77" s="90">
        <f t="shared" si="13"/>
        <v>22.5</v>
      </c>
      <c r="AN77" s="90">
        <v>5</v>
      </c>
      <c r="AO77" s="298" t="s">
        <v>2772</v>
      </c>
      <c r="AP77" s="90">
        <f t="shared" si="10"/>
        <v>12.666666666666666</v>
      </c>
      <c r="AQ77" s="86">
        <v>2500</v>
      </c>
      <c r="AR77" s="90">
        <v>10</v>
      </c>
      <c r="AS77" s="93">
        <v>8</v>
      </c>
      <c r="AT77" s="90">
        <v>20</v>
      </c>
      <c r="AU77" s="108">
        <f>AS77/60*AT77</f>
        <v>2.6666666666666665</v>
      </c>
    </row>
    <row r="78" spans="2:47" s="14" customFormat="1" ht="52.5" thickBot="1" x14ac:dyDescent="0.4">
      <c r="B78" s="70" t="s">
        <v>2773</v>
      </c>
      <c r="C78" s="62">
        <v>16.2</v>
      </c>
      <c r="D78" s="307" t="s">
        <v>2774</v>
      </c>
      <c r="E78" s="62">
        <v>64.400000000000006</v>
      </c>
      <c r="F78" s="73" t="s">
        <v>2770</v>
      </c>
      <c r="G78" s="73">
        <f t="shared" si="11"/>
        <v>62.5</v>
      </c>
      <c r="H78" s="73">
        <v>65</v>
      </c>
      <c r="I78" s="73">
        <v>60</v>
      </c>
      <c r="J78" s="280">
        <v>0.5</v>
      </c>
      <c r="K78" s="280">
        <f>1-J78</f>
        <v>0.5</v>
      </c>
      <c r="L78" s="308"/>
      <c r="M78" s="309"/>
      <c r="N78" s="310">
        <v>45</v>
      </c>
      <c r="O78" s="65">
        <v>50000</v>
      </c>
      <c r="P78" s="66">
        <v>25</v>
      </c>
      <c r="Q78" s="72">
        <v>30</v>
      </c>
      <c r="R78" s="66">
        <v>45</v>
      </c>
      <c r="S78" s="66">
        <f t="shared" si="6"/>
        <v>22.5</v>
      </c>
      <c r="T78" s="66">
        <f t="shared" si="7"/>
        <v>47.5</v>
      </c>
      <c r="U78" s="67">
        <v>70000</v>
      </c>
      <c r="V78" s="66">
        <v>25</v>
      </c>
      <c r="W78" s="72">
        <v>30</v>
      </c>
      <c r="X78" s="66">
        <v>45</v>
      </c>
      <c r="Y78" s="66">
        <f t="shared" si="8"/>
        <v>22.5</v>
      </c>
      <c r="Z78" s="66">
        <f t="shared" si="9"/>
        <v>47.5</v>
      </c>
      <c r="AA78" s="307" t="s">
        <v>2775</v>
      </c>
      <c r="AB78" s="90">
        <f t="shared" si="3"/>
        <v>59.166666666666664</v>
      </c>
      <c r="AC78" s="67">
        <v>10000</v>
      </c>
      <c r="AD78" s="66">
        <v>34</v>
      </c>
      <c r="AE78" s="62">
        <v>8</v>
      </c>
      <c r="AF78" s="66">
        <v>20</v>
      </c>
      <c r="AG78" s="66">
        <f t="shared" si="12"/>
        <v>2.6666666666666665</v>
      </c>
      <c r="AH78" s="66">
        <v>0.25</v>
      </c>
      <c r="AI78" s="67">
        <v>40000</v>
      </c>
      <c r="AJ78" s="66">
        <v>108</v>
      </c>
      <c r="AK78" s="62">
        <v>30</v>
      </c>
      <c r="AL78" s="66">
        <v>45</v>
      </c>
      <c r="AM78" s="66">
        <f t="shared" si="13"/>
        <v>22.5</v>
      </c>
      <c r="AN78" s="66">
        <v>5</v>
      </c>
      <c r="AO78" s="307" t="s">
        <v>2776</v>
      </c>
      <c r="AP78" s="90">
        <f t="shared" si="10"/>
        <v>12.666666666666666</v>
      </c>
      <c r="AQ78" s="67">
        <v>2500</v>
      </c>
      <c r="AR78" s="66">
        <v>10</v>
      </c>
      <c r="AS78" s="62">
        <v>8</v>
      </c>
      <c r="AT78" s="66">
        <v>20</v>
      </c>
      <c r="AU78" s="71">
        <f>AS78/60*AT78</f>
        <v>2.6666666666666665</v>
      </c>
    </row>
  </sheetData>
  <sheetProtection algorithmName="SHA-512" hashValue="DBTXfS98lgJ2fap4TUuGlASY9CjbwRuVBVbWsI6w5e9C1tI6IfrTIP5ckCPTN0fWZBV7xBJzPa5Lz8jrXxQtRw==" saltValue="OCYWr6iDPh1vaSWV9hxlLg==" spinCount="100000" sheet="1" objects="1" scenarios="1" selectLockedCells="1" selectUnlockedCells="1"/>
  <mergeCells count="19">
    <mergeCell ref="C46:F50"/>
    <mergeCell ref="B5:B6"/>
    <mergeCell ref="G5:G6"/>
    <mergeCell ref="B13:B20"/>
    <mergeCell ref="G13:G20"/>
    <mergeCell ref="B7:B10"/>
    <mergeCell ref="G7:G8"/>
    <mergeCell ref="G9:G10"/>
    <mergeCell ref="B11:B12"/>
    <mergeCell ref="G11:G12"/>
    <mergeCell ref="B38:B41"/>
    <mergeCell ref="G38:G41"/>
    <mergeCell ref="B21:B25"/>
    <mergeCell ref="G21:G23"/>
    <mergeCell ref="G24:G25"/>
    <mergeCell ref="B26:B29"/>
    <mergeCell ref="G26:G29"/>
    <mergeCell ref="B30:B37"/>
    <mergeCell ref="G30:G37"/>
  </mergeCells>
  <hyperlinks>
    <hyperlink ref="G4" location="'EVT Results 2008-2010'!A1" display="EVT Results 2008-2010" xr:uid="{25A83E64-AB8E-4F9E-BD34-6927F22A46F6}"/>
    <hyperlink ref="G5:G6" location="'EVT Results 2008-2010'!A1" display="EVT Results 2008-2010" xr:uid="{D2250035-696D-4164-B962-07022738BBFD}"/>
    <hyperlink ref="G7:G8" location="'EVT Results 2008-2010'!A1" display="EVT Results 2008-2010" xr:uid="{78A5295C-EC7C-48F1-827C-E38B33D4D5C9}"/>
    <hyperlink ref="G9:G10" location="'PG&amp;E Refrigerated Case Study'!A1" display="PG&amp;E Refrigerated Case Study" xr:uid="{1EDA35A7-3B8A-4B6D-9B0A-F88BB0A10C5B}"/>
    <hyperlink ref="G11:G12" location="'Linear Lamps'!A1" display="Linear Lamps" xr:uid="{F66569DF-0D5E-4BB0-A658-C06DA15F995E}"/>
    <hyperlink ref="G38:G41" location="'Watt &amp; Lumen Calculations'!A1" display="Watt &amp; Lumen Calculations" xr:uid="{6310644E-31BE-4DEA-92FE-9608FF7BA98D}"/>
    <hyperlink ref="G30:G37" location="'Watt &amp; Lumen Calculations'!A1" display="'Watt &amp; Lumen Calculations" xr:uid="{F9042CB6-2DA7-44AD-B381-C7EB9514FEAB}"/>
    <hyperlink ref="G26:G29" location="'Watt &amp; Lumen Calculations'!A1" display="'Watt &amp; Lumen Calculations" xr:uid="{62A3CD76-43F1-484B-92B4-8732CFDAD6FD}"/>
  </hyperlinks>
  <pageMargins left="0.7" right="0.7" top="0.75" bottom="0.75" header="0.3" footer="0.3"/>
  <pageSetup orientation="portrait" horizontalDpi="4294967294" verticalDpi="1200" r:id="rId1"/>
  <legacy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17F99-C688-41C4-BA0A-B593F4A5B4FA}">
  <sheetPr codeName="Sheet26">
    <tabColor rgb="FF7030A0"/>
  </sheetPr>
  <dimension ref="B2:G29"/>
  <sheetViews>
    <sheetView workbookViewId="0"/>
  </sheetViews>
  <sheetFormatPr defaultRowHeight="14.5" x14ac:dyDescent="0.35"/>
  <cols>
    <col min="2" max="4" width="27.81640625" customWidth="1"/>
    <col min="5" max="5" width="24.26953125" customWidth="1"/>
    <col min="6" max="7" width="27.81640625" customWidth="1"/>
  </cols>
  <sheetData>
    <row r="2" spans="2:7" x14ac:dyDescent="0.35">
      <c r="B2" s="204" t="s">
        <v>2777</v>
      </c>
      <c r="C2" s="123"/>
      <c r="D2" s="123"/>
      <c r="E2" s="123"/>
      <c r="F2" s="123"/>
      <c r="G2" s="123"/>
    </row>
    <row r="3" spans="2:7" ht="39" x14ac:dyDescent="0.35">
      <c r="B3" s="210" t="s">
        <v>54</v>
      </c>
      <c r="C3" s="210" t="s">
        <v>2778</v>
      </c>
      <c r="D3" s="210" t="s">
        <v>2779</v>
      </c>
      <c r="E3" s="210" t="s">
        <v>2780</v>
      </c>
      <c r="F3" s="210" t="s">
        <v>2781</v>
      </c>
      <c r="G3" s="210" t="s">
        <v>2782</v>
      </c>
    </row>
    <row r="4" spans="2:7" x14ac:dyDescent="0.35">
      <c r="B4" s="207" t="s">
        <v>2783</v>
      </c>
      <c r="C4" s="208">
        <v>250</v>
      </c>
      <c r="D4" s="208">
        <v>2.2999999999999998</v>
      </c>
      <c r="E4" s="208">
        <v>0.7</v>
      </c>
      <c r="F4" s="208">
        <v>0.6</v>
      </c>
      <c r="G4" s="209">
        <f t="shared" ref="G4:G16" si="0">D4*C4/1000*3.79</f>
        <v>2.1792499999999997</v>
      </c>
    </row>
    <row r="5" spans="2:7" x14ac:dyDescent="0.35">
      <c r="B5" s="207" t="s">
        <v>2784</v>
      </c>
      <c r="C5" s="208">
        <v>250</v>
      </c>
      <c r="D5" s="208">
        <v>2.2999999999999998</v>
      </c>
      <c r="E5" s="208">
        <v>0.7</v>
      </c>
      <c r="F5" s="208">
        <v>0.6</v>
      </c>
      <c r="G5" s="209">
        <f t="shared" si="0"/>
        <v>2.1792499999999997</v>
      </c>
    </row>
    <row r="6" spans="2:7" x14ac:dyDescent="0.35">
      <c r="B6" s="207" t="s">
        <v>2785</v>
      </c>
      <c r="C6" s="208">
        <v>365</v>
      </c>
      <c r="D6" s="208">
        <v>549.20000000000005</v>
      </c>
      <c r="E6" s="208">
        <v>38.9</v>
      </c>
      <c r="F6" s="208">
        <v>34.4</v>
      </c>
      <c r="G6" s="209">
        <f t="shared" si="0"/>
        <v>759.7358200000001</v>
      </c>
    </row>
    <row r="7" spans="2:7" x14ac:dyDescent="0.35">
      <c r="B7" s="207" t="s">
        <v>2786</v>
      </c>
      <c r="C7" s="208">
        <v>365</v>
      </c>
      <c r="D7" s="208">
        <v>816</v>
      </c>
      <c r="E7" s="208">
        <v>36</v>
      </c>
      <c r="F7" s="208">
        <v>31.9</v>
      </c>
      <c r="G7" s="209">
        <f t="shared" si="0"/>
        <v>1128.8136</v>
      </c>
    </row>
    <row r="8" spans="2:7" x14ac:dyDescent="0.35">
      <c r="B8" s="207" t="s">
        <v>2787</v>
      </c>
      <c r="C8" s="208">
        <v>365</v>
      </c>
      <c r="D8" s="208">
        <v>2</v>
      </c>
      <c r="E8" s="208">
        <v>0.6</v>
      </c>
      <c r="F8" s="208">
        <v>0.6</v>
      </c>
      <c r="G8" s="209">
        <f t="shared" si="0"/>
        <v>2.7667000000000002</v>
      </c>
    </row>
    <row r="9" spans="2:7" x14ac:dyDescent="0.35">
      <c r="B9" s="207" t="s">
        <v>2396</v>
      </c>
      <c r="C9" s="208">
        <v>365</v>
      </c>
      <c r="D9" s="208">
        <v>2.2000000000000002</v>
      </c>
      <c r="E9" s="208">
        <v>0.7</v>
      </c>
      <c r="F9" s="208">
        <v>0.6</v>
      </c>
      <c r="G9" s="209">
        <f t="shared" si="0"/>
        <v>3.0433700000000008</v>
      </c>
    </row>
    <row r="10" spans="2:7" x14ac:dyDescent="0.35">
      <c r="B10" s="207" t="s">
        <v>1757</v>
      </c>
      <c r="C10" s="208">
        <v>250</v>
      </c>
      <c r="D10" s="208">
        <v>1</v>
      </c>
      <c r="E10" s="208">
        <v>0.3</v>
      </c>
      <c r="F10" s="208">
        <v>0.3</v>
      </c>
      <c r="G10" s="209">
        <f t="shared" si="0"/>
        <v>0.94750000000000001</v>
      </c>
    </row>
    <row r="11" spans="2:7" x14ac:dyDescent="0.35">
      <c r="B11" s="207" t="s">
        <v>2400</v>
      </c>
      <c r="C11" s="208">
        <v>200</v>
      </c>
      <c r="D11" s="208">
        <v>5.7</v>
      </c>
      <c r="E11" s="208">
        <v>4.5999999999999996</v>
      </c>
      <c r="F11" s="208">
        <v>4</v>
      </c>
      <c r="G11" s="209">
        <f t="shared" si="0"/>
        <v>4.3205999999999998</v>
      </c>
    </row>
    <row r="12" spans="2:7" x14ac:dyDescent="0.35">
      <c r="B12" s="207" t="s">
        <v>2788</v>
      </c>
      <c r="C12" s="208">
        <v>200</v>
      </c>
      <c r="D12" s="208">
        <v>17.100000000000001</v>
      </c>
      <c r="E12" s="208">
        <v>7.6</v>
      </c>
      <c r="F12" s="208">
        <v>6.7</v>
      </c>
      <c r="G12" s="209">
        <f t="shared" si="0"/>
        <v>12.961800000000002</v>
      </c>
    </row>
    <row r="13" spans="2:7" x14ac:dyDescent="0.35">
      <c r="B13" s="207" t="s">
        <v>2789</v>
      </c>
      <c r="C13" s="208">
        <v>365</v>
      </c>
      <c r="D13" s="208">
        <v>342</v>
      </c>
      <c r="E13" s="208">
        <v>21.4</v>
      </c>
      <c r="F13" s="208">
        <v>27.8</v>
      </c>
      <c r="G13" s="209">
        <f t="shared" si="0"/>
        <v>473.10570000000001</v>
      </c>
    </row>
    <row r="14" spans="2:7" x14ac:dyDescent="0.35">
      <c r="B14" s="207" t="s">
        <v>2790</v>
      </c>
      <c r="C14" s="208">
        <v>365</v>
      </c>
      <c r="D14" s="208">
        <v>100</v>
      </c>
      <c r="E14" s="208">
        <v>23.9</v>
      </c>
      <c r="F14" s="208">
        <v>21.1</v>
      </c>
      <c r="G14" s="209">
        <f t="shared" si="0"/>
        <v>138.33500000000001</v>
      </c>
    </row>
    <row r="15" spans="2:7" x14ac:dyDescent="0.35">
      <c r="B15" s="207" t="s">
        <v>2791</v>
      </c>
      <c r="C15" s="208">
        <v>365</v>
      </c>
      <c r="D15" s="208">
        <v>30.8</v>
      </c>
      <c r="E15" s="208">
        <v>8.8000000000000007</v>
      </c>
      <c r="F15" s="208">
        <v>7.8</v>
      </c>
      <c r="G15" s="209">
        <f t="shared" si="0"/>
        <v>42.607180000000007</v>
      </c>
    </row>
    <row r="16" spans="2:7" x14ac:dyDescent="0.35">
      <c r="B16" s="207" t="s">
        <v>2792</v>
      </c>
      <c r="C16" s="208">
        <v>250</v>
      </c>
      <c r="D16" s="208">
        <v>0.7</v>
      </c>
      <c r="E16" s="208">
        <v>0.2</v>
      </c>
      <c r="F16" s="208">
        <v>0.2</v>
      </c>
      <c r="G16" s="209">
        <f t="shared" si="0"/>
        <v>0.66325000000000001</v>
      </c>
    </row>
    <row r="18" spans="2:4" x14ac:dyDescent="0.35">
      <c r="B18" s="204" t="s">
        <v>2793</v>
      </c>
      <c r="C18" s="204"/>
      <c r="D18" s="204"/>
    </row>
    <row r="19" spans="2:4" x14ac:dyDescent="0.35">
      <c r="B19" s="210" t="s">
        <v>2794</v>
      </c>
      <c r="C19" s="210" t="s">
        <v>2795</v>
      </c>
      <c r="D19" s="210" t="s">
        <v>2796</v>
      </c>
    </row>
    <row r="20" spans="2:4" x14ac:dyDescent="0.35">
      <c r="B20" s="205" t="s">
        <v>2797</v>
      </c>
      <c r="C20" s="206">
        <v>3.81</v>
      </c>
      <c r="D20" s="206">
        <f>C20*3.79</f>
        <v>14.4399</v>
      </c>
    </row>
    <row r="21" spans="2:4" x14ac:dyDescent="0.35">
      <c r="B21" s="205" t="s">
        <v>2798</v>
      </c>
      <c r="C21" s="206">
        <v>4.97</v>
      </c>
      <c r="D21" s="206">
        <f t="shared" ref="D21:D29" si="1">C21*3.79</f>
        <v>18.836299999999998</v>
      </c>
    </row>
    <row r="22" spans="2:4" x14ac:dyDescent="0.35">
      <c r="B22" s="205" t="s">
        <v>2799</v>
      </c>
      <c r="C22" s="206">
        <v>3.09</v>
      </c>
      <c r="D22" s="206">
        <f t="shared" si="1"/>
        <v>11.7111</v>
      </c>
    </row>
    <row r="23" spans="2:4" x14ac:dyDescent="0.35">
      <c r="B23" s="205" t="s">
        <v>2800</v>
      </c>
      <c r="C23" s="206">
        <v>5.9</v>
      </c>
      <c r="D23" s="206">
        <f t="shared" si="1"/>
        <v>22.361000000000001</v>
      </c>
    </row>
    <row r="24" spans="2:4" x14ac:dyDescent="0.35">
      <c r="B24" s="205" t="s">
        <v>2801</v>
      </c>
      <c r="C24" s="206">
        <v>17.329999999999998</v>
      </c>
      <c r="D24" s="206">
        <f t="shared" si="1"/>
        <v>65.680699999999987</v>
      </c>
    </row>
    <row r="25" spans="2:4" x14ac:dyDescent="0.35">
      <c r="B25" s="205" t="s">
        <v>2802</v>
      </c>
      <c r="C25" s="206">
        <v>2.04</v>
      </c>
      <c r="D25" s="206">
        <f t="shared" si="1"/>
        <v>7.7316000000000003</v>
      </c>
    </row>
    <row r="26" spans="2:4" x14ac:dyDescent="0.35">
      <c r="B26" s="205" t="s">
        <v>2803</v>
      </c>
      <c r="C26" s="206">
        <v>1.33</v>
      </c>
      <c r="D26" s="206">
        <f t="shared" si="1"/>
        <v>5.0407000000000002</v>
      </c>
    </row>
    <row r="27" spans="2:4" x14ac:dyDescent="0.35">
      <c r="B27" s="205" t="s">
        <v>1666</v>
      </c>
      <c r="C27" s="206">
        <v>94.04</v>
      </c>
      <c r="D27" s="206">
        <f t="shared" si="1"/>
        <v>356.41160000000002</v>
      </c>
    </row>
    <row r="28" spans="2:4" x14ac:dyDescent="0.35">
      <c r="B28" s="205" t="s">
        <v>2787</v>
      </c>
      <c r="C28" s="206">
        <v>0.8</v>
      </c>
      <c r="D28" s="206">
        <f t="shared" si="1"/>
        <v>3.032</v>
      </c>
    </row>
    <row r="29" spans="2:4" x14ac:dyDescent="0.35">
      <c r="B29" s="205" t="s">
        <v>2804</v>
      </c>
      <c r="C29" s="206">
        <v>0.22</v>
      </c>
      <c r="D29" s="206">
        <f t="shared" si="1"/>
        <v>0.83379999999999999</v>
      </c>
    </row>
  </sheetData>
  <sheetProtection algorithmName="SHA-512" hashValue="IQwaprli0xnKvS81Q2Xe0hYDvYqCUr3r1esbIjYC1YAD121BoDtu9IJI5Ry3UWZjdU1cYHzgL81fOf5Oed5Gyg==" saltValue="w2GbQ8IgJrRCew1gV4Qmig==" spinCount="100000" sheet="1" objects="1" scenarios="1" selectLockedCells="1" selectUnlockedCells="1"/>
  <pageMargins left="0.7" right="0.7" top="0.75" bottom="0.75" header="0.3" footer="0.3"/>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86F88-F015-49B4-A572-B3C59333AEB5}">
  <sheetPr codeName="Sheet27">
    <tabColor rgb="FF7030A0"/>
  </sheetPr>
  <dimension ref="B1:AE529"/>
  <sheetViews>
    <sheetView workbookViewId="0"/>
  </sheetViews>
  <sheetFormatPr defaultColWidth="8.81640625" defaultRowHeight="14.5" x14ac:dyDescent="0.35"/>
  <cols>
    <col min="1" max="1" width="5.6328125" style="125" customWidth="1"/>
    <col min="2" max="2" width="36.6328125" style="125" customWidth="1"/>
    <col min="3" max="3" width="21.7265625" style="125" customWidth="1"/>
    <col min="4" max="4" width="17.08984375" style="125" customWidth="1"/>
    <col min="5" max="5" width="13.08984375" style="125" customWidth="1"/>
    <col min="6" max="6" width="24" style="125" customWidth="1"/>
    <col min="7" max="7" width="25.08984375" style="125" customWidth="1"/>
    <col min="8" max="8" width="21.7265625" style="125" customWidth="1"/>
    <col min="9" max="9" width="19.26953125" style="125" customWidth="1"/>
    <col min="10" max="10" width="13.36328125" style="125" customWidth="1"/>
    <col min="11" max="14" width="16.6328125" style="125" customWidth="1"/>
    <col min="15" max="31" width="8.81640625" style="123"/>
    <col min="32" max="16384" width="8.81640625" style="125"/>
  </cols>
  <sheetData>
    <row r="1" spans="2:6" s="123" customFormat="1" ht="21" x14ac:dyDescent="0.35">
      <c r="B1" s="127" t="s">
        <v>2255</v>
      </c>
    </row>
    <row r="2" spans="2:6" s="123" customFormat="1" x14ac:dyDescent="0.35">
      <c r="B2" s="321"/>
    </row>
    <row r="3" spans="2:6" s="1" customFormat="1" ht="54" customHeight="1" x14ac:dyDescent="0.35">
      <c r="B3" s="181" t="s">
        <v>2257</v>
      </c>
      <c r="C3" s="182" t="s">
        <v>2258</v>
      </c>
      <c r="D3" s="2043" t="s">
        <v>2259</v>
      </c>
      <c r="E3" s="2044"/>
      <c r="F3" s="183" t="s">
        <v>2260</v>
      </c>
    </row>
    <row r="4" spans="2:6" s="123" customFormat="1" ht="15" customHeight="1" x14ac:dyDescent="0.35">
      <c r="B4" s="211" t="s">
        <v>9</v>
      </c>
      <c r="C4" s="419" t="s">
        <v>2262</v>
      </c>
      <c r="D4" s="419" t="s">
        <v>899</v>
      </c>
      <c r="E4" s="419" t="s">
        <v>896</v>
      </c>
      <c r="F4" s="420" t="s">
        <v>780</v>
      </c>
    </row>
    <row r="5" spans="2:6" s="123" customFormat="1" x14ac:dyDescent="0.35">
      <c r="B5" s="421" t="s">
        <v>1361</v>
      </c>
      <c r="C5" s="422">
        <v>6</v>
      </c>
      <c r="D5" s="423">
        <v>5086</v>
      </c>
      <c r="E5" s="423">
        <v>58.789473684210542</v>
      </c>
      <c r="F5" s="424">
        <v>6.0270270270270272</v>
      </c>
    </row>
    <row r="6" spans="2:6" s="123" customFormat="1" x14ac:dyDescent="0.35">
      <c r="B6" s="425" t="s">
        <v>1811</v>
      </c>
      <c r="C6" s="426" t="s">
        <v>2263</v>
      </c>
      <c r="D6" s="427">
        <v>5552.4285714285716</v>
      </c>
      <c r="E6" s="427">
        <v>28.105263157894736</v>
      </c>
      <c r="F6" s="428">
        <v>5</v>
      </c>
    </row>
    <row r="7" spans="2:6" s="123" customFormat="1" x14ac:dyDescent="0.35">
      <c r="B7" s="421" t="s">
        <v>1812</v>
      </c>
      <c r="C7" s="422" t="s">
        <v>2263</v>
      </c>
      <c r="D7" s="423">
        <v>5768.8421052631575</v>
      </c>
      <c r="E7" s="423">
        <v>53.210526315789473</v>
      </c>
      <c r="F7" s="424">
        <v>4.8</v>
      </c>
    </row>
    <row r="8" spans="2:6" s="123" customFormat="1" x14ac:dyDescent="0.35">
      <c r="B8" s="425" t="s">
        <v>1362</v>
      </c>
      <c r="C8" s="426" t="s">
        <v>2263</v>
      </c>
      <c r="D8" s="427">
        <v>5755</v>
      </c>
      <c r="E8" s="427">
        <v>30.052631578947352</v>
      </c>
      <c r="F8" s="428">
        <v>5</v>
      </c>
    </row>
    <row r="9" spans="2:6" s="123" customFormat="1" x14ac:dyDescent="0.35">
      <c r="B9" s="421" t="s">
        <v>1813</v>
      </c>
      <c r="C9" s="422" t="s">
        <v>2264</v>
      </c>
      <c r="D9" s="423">
        <v>5743.4824561403511</v>
      </c>
      <c r="E9" s="423">
        <v>44.842105263157897</v>
      </c>
      <c r="F9" s="424">
        <v>4.333333333333333</v>
      </c>
    </row>
    <row r="10" spans="2:6" s="123" customFormat="1" x14ac:dyDescent="0.35">
      <c r="B10" s="425" t="s">
        <v>1814</v>
      </c>
      <c r="C10" s="426" t="s">
        <v>2264</v>
      </c>
      <c r="D10" s="427">
        <v>6451.2105263157891</v>
      </c>
      <c r="E10" s="427">
        <v>53.789473684210535</v>
      </c>
      <c r="F10" s="428">
        <v>4</v>
      </c>
    </row>
    <row r="11" spans="2:6" s="123" customFormat="1" x14ac:dyDescent="0.35">
      <c r="B11" s="421" t="s">
        <v>1815</v>
      </c>
      <c r="C11" s="422" t="s">
        <v>2264</v>
      </c>
      <c r="D11" s="423">
        <v>5795.6315789473683</v>
      </c>
      <c r="E11" s="423">
        <v>31.894736842105267</v>
      </c>
      <c r="F11" s="424">
        <v>4.75</v>
      </c>
    </row>
    <row r="12" spans="2:6" s="123" customFormat="1" x14ac:dyDescent="0.35">
      <c r="B12" s="425" t="s">
        <v>1816</v>
      </c>
      <c r="C12" s="426">
        <v>6</v>
      </c>
      <c r="D12" s="427">
        <v>4583.4473684210534</v>
      </c>
      <c r="E12" s="427">
        <v>106.78947368421052</v>
      </c>
      <c r="F12" s="428">
        <v>8</v>
      </c>
    </row>
    <row r="13" spans="2:6" s="123" customFormat="1" x14ac:dyDescent="0.35">
      <c r="B13" s="421" t="s">
        <v>1817</v>
      </c>
      <c r="C13" s="422">
        <v>6</v>
      </c>
      <c r="D13" s="423">
        <v>4664.2236842105267</v>
      </c>
      <c r="E13" s="423">
        <v>206.15789473684214</v>
      </c>
      <c r="F13" s="424">
        <v>7.25</v>
      </c>
    </row>
    <row r="14" spans="2:6" s="123" customFormat="1" x14ac:dyDescent="0.35">
      <c r="B14" s="425" t="s">
        <v>1818</v>
      </c>
      <c r="C14" s="426" t="s">
        <v>2263</v>
      </c>
      <c r="D14" s="427">
        <v>5187.5789473684217</v>
      </c>
      <c r="E14" s="427">
        <v>55.684210526315788</v>
      </c>
      <c r="F14" s="428">
        <v>5</v>
      </c>
    </row>
    <row r="15" spans="2:6" s="123" customFormat="1" x14ac:dyDescent="0.35">
      <c r="B15" s="429" t="s">
        <v>1819</v>
      </c>
      <c r="C15" s="430" t="s">
        <v>2263</v>
      </c>
      <c r="D15" s="431">
        <v>5700.7631578947367</v>
      </c>
      <c r="E15" s="431">
        <v>11.157894736842104</v>
      </c>
      <c r="F15" s="432">
        <v>5</v>
      </c>
    </row>
    <row r="16" spans="2:6" s="123" customFormat="1" x14ac:dyDescent="0.35"/>
    <row r="17" spans="2:14" s="123" customFormat="1" ht="17.5" thickBot="1" x14ac:dyDescent="0.45">
      <c r="B17" s="176" t="s">
        <v>2805</v>
      </c>
      <c r="C17" s="176"/>
      <c r="D17" s="176"/>
      <c r="E17" s="176"/>
      <c r="F17" s="176"/>
      <c r="G17" s="176"/>
    </row>
    <row r="18" spans="2:14" s="142" customFormat="1" ht="15.75" customHeight="1" thickTop="1" x14ac:dyDescent="0.35">
      <c r="B18" s="2094" t="s">
        <v>2294</v>
      </c>
      <c r="C18" s="2096" t="s">
        <v>419</v>
      </c>
      <c r="D18" s="2098" t="s">
        <v>347</v>
      </c>
      <c r="E18" s="2099"/>
      <c r="F18" s="2098" t="s">
        <v>2806</v>
      </c>
      <c r="G18" s="2099"/>
    </row>
    <row r="19" spans="2:14" s="142" customFormat="1" ht="15.75" customHeight="1" x14ac:dyDescent="0.35">
      <c r="B19" s="2095"/>
      <c r="C19" s="2097"/>
      <c r="D19" s="169" t="s">
        <v>899</v>
      </c>
      <c r="E19" s="169" t="s">
        <v>896</v>
      </c>
      <c r="F19" s="169" t="s">
        <v>899</v>
      </c>
      <c r="G19" s="170" t="s">
        <v>896</v>
      </c>
    </row>
    <row r="20" spans="2:14" s="142" customFormat="1" x14ac:dyDescent="0.35">
      <c r="B20" s="171" t="s">
        <v>2807</v>
      </c>
      <c r="C20" s="171" t="s">
        <v>1381</v>
      </c>
      <c r="D20" s="172">
        <v>5352</v>
      </c>
      <c r="E20" s="172">
        <v>820</v>
      </c>
      <c r="F20" s="172">
        <v>4272</v>
      </c>
      <c r="G20" s="172">
        <v>2173</v>
      </c>
    </row>
    <row r="21" spans="2:14" s="142" customFormat="1" x14ac:dyDescent="0.35">
      <c r="B21" s="171" t="s">
        <v>2808</v>
      </c>
      <c r="C21" s="171" t="s">
        <v>1381</v>
      </c>
      <c r="D21" s="172">
        <v>60</v>
      </c>
      <c r="E21" s="172">
        <v>65</v>
      </c>
      <c r="F21" s="172">
        <v>55</v>
      </c>
      <c r="G21" s="172">
        <v>55</v>
      </c>
      <c r="I21" s="142" t="s">
        <v>811</v>
      </c>
    </row>
    <row r="22" spans="2:14" s="142" customFormat="1" x14ac:dyDescent="0.35">
      <c r="B22" s="171" t="s">
        <v>2809</v>
      </c>
      <c r="C22" s="171" t="s">
        <v>1381</v>
      </c>
      <c r="D22" s="172">
        <f>D20*5/9</f>
        <v>2973.3333333333335</v>
      </c>
      <c r="E22" s="172">
        <f>E20*5/9</f>
        <v>455.55555555555554</v>
      </c>
      <c r="F22" s="172">
        <f>F20*5/9</f>
        <v>2373.3333333333335</v>
      </c>
      <c r="G22" s="172">
        <f>G20*5/9</f>
        <v>1207.2222222222222</v>
      </c>
      <c r="I22" s="142" t="s">
        <v>812</v>
      </c>
    </row>
    <row r="23" spans="2:14" s="142" customFormat="1" x14ac:dyDescent="0.35">
      <c r="B23" s="171" t="s">
        <v>2810</v>
      </c>
      <c r="C23" s="171" t="s">
        <v>1381</v>
      </c>
      <c r="D23" s="172">
        <v>15.5</v>
      </c>
      <c r="E23" s="172">
        <v>18.3</v>
      </c>
      <c r="F23" s="172">
        <v>12.8</v>
      </c>
      <c r="G23" s="172">
        <v>12.8</v>
      </c>
    </row>
    <row r="24" spans="2:14" s="142" customFormat="1" x14ac:dyDescent="0.35">
      <c r="B24" s="171" t="s">
        <v>2811</v>
      </c>
      <c r="C24" s="171" t="s">
        <v>2812</v>
      </c>
      <c r="D24" s="172"/>
      <c r="E24" s="172"/>
      <c r="F24" s="172">
        <v>2355</v>
      </c>
      <c r="G24" s="172">
        <v>1394</v>
      </c>
    </row>
    <row r="25" spans="2:14" s="142" customFormat="1" x14ac:dyDescent="0.35">
      <c r="B25" s="171" t="s">
        <v>2813</v>
      </c>
      <c r="C25" s="171" t="s">
        <v>2812</v>
      </c>
      <c r="D25" s="172"/>
      <c r="E25" s="172"/>
      <c r="F25" s="172">
        <v>3578</v>
      </c>
      <c r="G25" s="172">
        <v>607</v>
      </c>
    </row>
    <row r="26" spans="2:14" s="142" customFormat="1" x14ac:dyDescent="0.35">
      <c r="B26" s="173"/>
      <c r="C26" s="173"/>
      <c r="D26" s="174"/>
      <c r="E26" s="174"/>
      <c r="F26" s="174"/>
      <c r="G26" s="174"/>
    </row>
    <row r="27" spans="2:14" s="142" customFormat="1" ht="17.5" thickBot="1" x14ac:dyDescent="0.45">
      <c r="B27" s="176" t="s">
        <v>2814</v>
      </c>
      <c r="C27" s="176"/>
      <c r="D27" s="176"/>
      <c r="E27" s="176"/>
      <c r="F27" s="176"/>
      <c r="G27" s="176"/>
      <c r="H27" s="176"/>
      <c r="I27" s="176"/>
      <c r="J27" s="176"/>
      <c r="K27" s="176"/>
      <c r="L27" s="176"/>
      <c r="M27" s="176"/>
      <c r="N27" s="176"/>
    </row>
    <row r="28" spans="2:14" s="142" customFormat="1" ht="15" thickTop="1" x14ac:dyDescent="0.35">
      <c r="B28" s="179" t="s">
        <v>2292</v>
      </c>
      <c r="C28" s="180">
        <f>$F$25</f>
        <v>3578</v>
      </c>
      <c r="D28" s="180">
        <f>VLOOKUP(D$29,HDD_CDD!$B$5:$F$15,3,FALSE)</f>
        <v>5086</v>
      </c>
      <c r="E28" s="180">
        <f>VLOOKUP(E$29,HDD_CDD!$B$5:$F$15,3,FALSE)</f>
        <v>5552.4285714285716</v>
      </c>
      <c r="F28" s="180">
        <f>VLOOKUP(F$29,HDD_CDD!$B$5:$F$15,3,FALSE)</f>
        <v>5768.8421052631575</v>
      </c>
      <c r="G28" s="180">
        <f>VLOOKUP(G$29,HDD_CDD!$B$5:$F$15,3,FALSE)</f>
        <v>5755</v>
      </c>
      <c r="H28" s="180">
        <f>VLOOKUP(H$29,HDD_CDD!$B$5:$F$15,3,FALSE)</f>
        <v>5743.4824561403511</v>
      </c>
      <c r="I28" s="180">
        <f>VLOOKUP(I$29,HDD_CDD!$B$5:$F$15,3,FALSE)</f>
        <v>6451.2105263157891</v>
      </c>
      <c r="J28" s="180">
        <f>VLOOKUP(J$29,HDD_CDD!$B$5:$F$15,3,FALSE)</f>
        <v>5795.6315789473683</v>
      </c>
      <c r="K28" s="180">
        <f>VLOOKUP(K$29,HDD_CDD!$B$5:$F$15,3,FALSE)</f>
        <v>4583.4473684210534</v>
      </c>
      <c r="L28" s="180">
        <f>VLOOKUP(L$29,HDD_CDD!$B$5:$F$15,3,FALSE)</f>
        <v>4664.2236842105267</v>
      </c>
      <c r="M28" s="180">
        <f>VLOOKUP(M$29,HDD_CDD!$B$5:$F$15,3,FALSE)</f>
        <v>5187.5789473684217</v>
      </c>
      <c r="N28" s="180">
        <f>VLOOKUP(N$29,HDD_CDD!$B$5:$F$15,3,FALSE)</f>
        <v>5700.7631578947367</v>
      </c>
    </row>
    <row r="29" spans="2:14" s="142" customFormat="1" ht="31.5" customHeight="1" x14ac:dyDescent="0.35">
      <c r="B29" s="211" t="s">
        <v>2815</v>
      </c>
      <c r="C29" s="212" t="s">
        <v>2294</v>
      </c>
      <c r="D29" s="212" t="s">
        <v>1361</v>
      </c>
      <c r="E29" s="212" t="s">
        <v>1811</v>
      </c>
      <c r="F29" s="212" t="s">
        <v>1812</v>
      </c>
      <c r="G29" s="212" t="s">
        <v>1362</v>
      </c>
      <c r="H29" s="212" t="s">
        <v>1813</v>
      </c>
      <c r="I29" s="212" t="s">
        <v>1814</v>
      </c>
      <c r="J29" s="212" t="s">
        <v>1815</v>
      </c>
      <c r="K29" s="212" t="s">
        <v>1816</v>
      </c>
      <c r="L29" s="212" t="s">
        <v>1817</v>
      </c>
      <c r="M29" s="212" t="s">
        <v>1818</v>
      </c>
      <c r="N29" s="213" t="s">
        <v>1819</v>
      </c>
    </row>
    <row r="30" spans="2:14" s="142" customFormat="1" x14ac:dyDescent="0.35">
      <c r="B30" s="214" t="s">
        <v>2269</v>
      </c>
      <c r="C30" s="215">
        <v>1787</v>
      </c>
      <c r="D30" s="216">
        <f t="shared" ref="D30:N39" si="0">D$28/$C$28*$C30</f>
        <v>2540.1570709893799</v>
      </c>
      <c r="E30" s="216">
        <f t="shared" si="0"/>
        <v>2773.1106364289708</v>
      </c>
      <c r="F30" s="216">
        <f t="shared" si="0"/>
        <v>2881.1964343502691</v>
      </c>
      <c r="G30" s="216">
        <f t="shared" si="0"/>
        <v>2874.2831190609281</v>
      </c>
      <c r="H30" s="216">
        <f t="shared" si="0"/>
        <v>2868.5307851097841</v>
      </c>
      <c r="I30" s="216">
        <f t="shared" si="0"/>
        <v>3221.9992203818656</v>
      </c>
      <c r="J30" s="216">
        <f t="shared" si="0"/>
        <v>2894.5761966402874</v>
      </c>
      <c r="K30" s="216">
        <f t="shared" si="0"/>
        <v>2289.1616677944162</v>
      </c>
      <c r="L30" s="216">
        <f t="shared" si="0"/>
        <v>2329.5046740313614</v>
      </c>
      <c r="M30" s="216">
        <f t="shared" si="0"/>
        <v>2590.8897649377777</v>
      </c>
      <c r="N30" s="217">
        <f t="shared" si="0"/>
        <v>2847.195014856874</v>
      </c>
    </row>
    <row r="31" spans="2:14" s="142" customFormat="1" x14ac:dyDescent="0.35">
      <c r="B31" s="218" t="s">
        <v>2270</v>
      </c>
      <c r="C31" s="219">
        <v>1683</v>
      </c>
      <c r="D31" s="178">
        <f t="shared" si="0"/>
        <v>2392.3247624371161</v>
      </c>
      <c r="E31" s="178">
        <f t="shared" si="0"/>
        <v>2611.7208735925897</v>
      </c>
      <c r="F31" s="178">
        <f t="shared" si="0"/>
        <v>2713.5162837221615</v>
      </c>
      <c r="G31" s="178">
        <f t="shared" si="0"/>
        <v>2707.0053102291786</v>
      </c>
      <c r="H31" s="178">
        <f t="shared" si="0"/>
        <v>2701.5877511694271</v>
      </c>
      <c r="I31" s="178">
        <f t="shared" si="0"/>
        <v>3034.4849960283605</v>
      </c>
      <c r="J31" s="178">
        <f t="shared" si="0"/>
        <v>2726.1173693036394</v>
      </c>
      <c r="K31" s="178">
        <f t="shared" si="0"/>
        <v>2155.9368141566888</v>
      </c>
      <c r="L31" s="178">
        <f t="shared" si="0"/>
        <v>2193.931934188462</v>
      </c>
      <c r="M31" s="178">
        <f t="shared" si="0"/>
        <v>2440.1049101232679</v>
      </c>
      <c r="N31" s="220">
        <f t="shared" si="0"/>
        <v>2681.4936821511578</v>
      </c>
    </row>
    <row r="32" spans="2:14" s="142" customFormat="1" x14ac:dyDescent="0.35">
      <c r="B32" s="228" t="s">
        <v>2816</v>
      </c>
      <c r="C32" s="215">
        <v>2981</v>
      </c>
      <c r="D32" s="216">
        <f t="shared" si="0"/>
        <v>4237.3856903297938</v>
      </c>
      <c r="E32" s="216">
        <f t="shared" si="0"/>
        <v>4625.9892597620383</v>
      </c>
      <c r="F32" s="216">
        <f t="shared" si="0"/>
        <v>4806.2935482921948</v>
      </c>
      <c r="G32" s="216">
        <f t="shared" si="0"/>
        <v>4794.7610396869759</v>
      </c>
      <c r="H32" s="216">
        <f t="shared" si="0"/>
        <v>4785.1652324634952</v>
      </c>
      <c r="I32" s="216">
        <f t="shared" si="0"/>
        <v>5374.8067576711483</v>
      </c>
      <c r="J32" s="216">
        <f t="shared" si="0"/>
        <v>4828.6131181783412</v>
      </c>
      <c r="K32" s="216">
        <f t="shared" si="0"/>
        <v>3818.6854682121743</v>
      </c>
      <c r="L32" s="216">
        <f t="shared" si="0"/>
        <v>3885.9840141508048</v>
      </c>
      <c r="M32" s="216">
        <f t="shared" si="0"/>
        <v>4322.0158865582071</v>
      </c>
      <c r="N32" s="217">
        <f t="shared" si="0"/>
        <v>4749.5737768821155</v>
      </c>
    </row>
    <row r="33" spans="2:14" s="142" customFormat="1" x14ac:dyDescent="0.35">
      <c r="B33" s="218" t="s">
        <v>1375</v>
      </c>
      <c r="C33" s="219">
        <v>1256</v>
      </c>
      <c r="D33" s="178">
        <f t="shared" si="0"/>
        <v>1785.359418669648</v>
      </c>
      <c r="E33" s="178">
        <f t="shared" si="0"/>
        <v>1949.0917511778327</v>
      </c>
      <c r="F33" s="178">
        <f t="shared" si="0"/>
        <v>2025.0602806625282</v>
      </c>
      <c r="G33" s="178">
        <f t="shared" si="0"/>
        <v>2020.2012297372835</v>
      </c>
      <c r="H33" s="178">
        <f t="shared" si="0"/>
        <v>2016.158179125847</v>
      </c>
      <c r="I33" s="178">
        <f t="shared" si="0"/>
        <v>2264.5948633461799</v>
      </c>
      <c r="J33" s="178">
        <f t="shared" si="0"/>
        <v>2034.4642993733637</v>
      </c>
      <c r="K33" s="178">
        <f t="shared" si="0"/>
        <v>1608.9463093171723</v>
      </c>
      <c r="L33" s="178">
        <f t="shared" si="0"/>
        <v>1637.3015504104028</v>
      </c>
      <c r="M33" s="178">
        <f t="shared" si="0"/>
        <v>1821.0170927598483</v>
      </c>
      <c r="N33" s="220">
        <f t="shared" si="0"/>
        <v>2001.1622488305727</v>
      </c>
    </row>
    <row r="34" spans="2:14" s="142" customFormat="1" x14ac:dyDescent="0.35">
      <c r="B34" s="214" t="s">
        <v>1665</v>
      </c>
      <c r="C34" s="215">
        <v>1481</v>
      </c>
      <c r="D34" s="216">
        <f t="shared" si="0"/>
        <v>2105.1889323644496</v>
      </c>
      <c r="E34" s="216">
        <f t="shared" si="0"/>
        <v>2298.2522957757724</v>
      </c>
      <c r="F34" s="216">
        <f t="shared" si="0"/>
        <v>2387.829837309876</v>
      </c>
      <c r="G34" s="216">
        <f t="shared" si="0"/>
        <v>2382.1003353828955</v>
      </c>
      <c r="H34" s="216">
        <f t="shared" si="0"/>
        <v>2377.3330121698882</v>
      </c>
      <c r="I34" s="216">
        <f t="shared" si="0"/>
        <v>2670.2746756494366</v>
      </c>
      <c r="J34" s="216">
        <f t="shared" si="0"/>
        <v>2398.9184931305344</v>
      </c>
      <c r="K34" s="216">
        <f t="shared" si="0"/>
        <v>1897.1731561295639</v>
      </c>
      <c r="L34" s="216">
        <f t="shared" si="0"/>
        <v>1930.6079587243682</v>
      </c>
      <c r="M34" s="216">
        <f t="shared" si="0"/>
        <v>2147.2343267335473</v>
      </c>
      <c r="N34" s="217">
        <f t="shared" si="0"/>
        <v>2359.6507090112091</v>
      </c>
    </row>
    <row r="35" spans="2:14" s="142" customFormat="1" x14ac:dyDescent="0.35">
      <c r="B35" s="229" t="s">
        <v>2817</v>
      </c>
      <c r="C35" s="219">
        <v>2848</v>
      </c>
      <c r="D35" s="178">
        <f t="shared" si="0"/>
        <v>4048.330911123533</v>
      </c>
      <c r="E35" s="178">
        <f t="shared" si="0"/>
        <v>4419.5965822885892</v>
      </c>
      <c r="F35" s="178">
        <f t="shared" si="0"/>
        <v>4591.8564325850957</v>
      </c>
      <c r="G35" s="178">
        <f t="shared" si="0"/>
        <v>4580.8384572386813</v>
      </c>
      <c r="H35" s="178">
        <f t="shared" si="0"/>
        <v>4571.6707755974621</v>
      </c>
      <c r="I35" s="178">
        <f t="shared" si="0"/>
        <v>5135.0049130652233</v>
      </c>
      <c r="J35" s="178">
        <f t="shared" si="0"/>
        <v>4613.1801947574359</v>
      </c>
      <c r="K35" s="178">
        <f t="shared" si="0"/>
        <v>3648.3113765408493</v>
      </c>
      <c r="L35" s="178">
        <f t="shared" si="0"/>
        <v>3712.6073372363276</v>
      </c>
      <c r="M35" s="178">
        <f t="shared" si="0"/>
        <v>4129.1852549204204</v>
      </c>
      <c r="N35" s="220">
        <f t="shared" si="0"/>
        <v>4537.6672648642289</v>
      </c>
    </row>
    <row r="36" spans="2:14" s="142" customFormat="1" x14ac:dyDescent="0.35">
      <c r="B36" s="214" t="s">
        <v>1376</v>
      </c>
      <c r="C36" s="215">
        <v>1614</v>
      </c>
      <c r="D36" s="216">
        <f t="shared" si="0"/>
        <v>2294.2437115707103</v>
      </c>
      <c r="E36" s="216">
        <f t="shared" si="0"/>
        <v>2504.6449732492215</v>
      </c>
      <c r="F36" s="216">
        <f t="shared" si="0"/>
        <v>2602.2669530169746</v>
      </c>
      <c r="G36" s="216">
        <f t="shared" si="0"/>
        <v>2596.0229178311906</v>
      </c>
      <c r="H36" s="216">
        <f t="shared" si="0"/>
        <v>2590.8274690359212</v>
      </c>
      <c r="I36" s="216">
        <f t="shared" si="0"/>
        <v>2910.0765202553616</v>
      </c>
      <c r="J36" s="216">
        <f t="shared" si="0"/>
        <v>2614.3514165514403</v>
      </c>
      <c r="K36" s="216">
        <f t="shared" si="0"/>
        <v>2067.5472478008887</v>
      </c>
      <c r="L36" s="216">
        <f t="shared" si="0"/>
        <v>2103.9846356388457</v>
      </c>
      <c r="M36" s="216">
        <f t="shared" si="0"/>
        <v>2340.0649583713339</v>
      </c>
      <c r="N36" s="217">
        <f t="shared" si="0"/>
        <v>2571.5572210290961</v>
      </c>
    </row>
    <row r="37" spans="2:14" s="142" customFormat="1" x14ac:dyDescent="0.35">
      <c r="B37" s="218" t="s">
        <v>2271</v>
      </c>
      <c r="C37" s="221">
        <v>985</v>
      </c>
      <c r="D37" s="178">
        <f t="shared" si="0"/>
        <v>1400.1425377305759</v>
      </c>
      <c r="E37" s="178">
        <f t="shared" si="0"/>
        <v>1528.5472730176475</v>
      </c>
      <c r="F37" s="178">
        <f t="shared" si="0"/>
        <v>1588.1245035450559</v>
      </c>
      <c r="G37" s="178">
        <f t="shared" si="0"/>
        <v>1584.3138624930129</v>
      </c>
      <c r="H37" s="178">
        <f t="shared" si="0"/>
        <v>1581.1431579928019</v>
      </c>
      <c r="I37" s="178">
        <f t="shared" si="0"/>
        <v>1775.9760671942572</v>
      </c>
      <c r="J37" s="178">
        <f t="shared" si="0"/>
        <v>1595.4994704480598</v>
      </c>
      <c r="K37" s="178">
        <f t="shared" si="0"/>
        <v>1261.7930849342474</v>
      </c>
      <c r="L37" s="178">
        <f t="shared" si="0"/>
        <v>1284.0302763966934</v>
      </c>
      <c r="M37" s="178">
        <f t="shared" si="0"/>
        <v>1428.1065576181932</v>
      </c>
      <c r="N37" s="220">
        <f t="shared" si="0"/>
        <v>1569.3828145685623</v>
      </c>
    </row>
    <row r="38" spans="2:14" s="142" customFormat="1" x14ac:dyDescent="0.35">
      <c r="B38" s="214" t="s">
        <v>1372</v>
      </c>
      <c r="C38" s="215">
        <v>1467</v>
      </c>
      <c r="D38" s="216">
        <f t="shared" si="0"/>
        <v>2085.2884292901063</v>
      </c>
      <c r="E38" s="216">
        <f t="shared" si="0"/>
        <v>2276.5267507785675</v>
      </c>
      <c r="F38" s="216">
        <f t="shared" si="0"/>
        <v>2365.2575093407077</v>
      </c>
      <c r="G38" s="216">
        <f t="shared" si="0"/>
        <v>2359.5821688093906</v>
      </c>
      <c r="H38" s="216">
        <f t="shared" si="0"/>
        <v>2354.8599114471476</v>
      </c>
      <c r="I38" s="216">
        <f t="shared" si="0"/>
        <v>2645.0323762172338</v>
      </c>
      <c r="J38" s="216">
        <f t="shared" si="0"/>
        <v>2376.2413432967551</v>
      </c>
      <c r="K38" s="216">
        <f t="shared" si="0"/>
        <v>1879.2390412167929</v>
      </c>
      <c r="L38" s="216">
        <f t="shared" si="0"/>
        <v>1912.3577822070549</v>
      </c>
      <c r="M38" s="216">
        <f t="shared" si="0"/>
        <v>2126.9363655085172</v>
      </c>
      <c r="N38" s="217">
        <f t="shared" si="0"/>
        <v>2337.3447603777472</v>
      </c>
    </row>
    <row r="39" spans="2:14" s="142" customFormat="1" x14ac:dyDescent="0.35">
      <c r="B39" s="218" t="s">
        <v>1365</v>
      </c>
      <c r="C39" s="219">
        <v>1446</v>
      </c>
      <c r="D39" s="178">
        <f t="shared" si="0"/>
        <v>2055.4376746785915</v>
      </c>
      <c r="E39" s="178">
        <f t="shared" si="0"/>
        <v>2243.9384332827599</v>
      </c>
      <c r="F39" s="178">
        <f t="shared" si="0"/>
        <v>2331.3990173869552</v>
      </c>
      <c r="G39" s="178">
        <f t="shared" si="0"/>
        <v>2325.8049189491335</v>
      </c>
      <c r="H39" s="178">
        <f t="shared" si="0"/>
        <v>2321.1502603630374</v>
      </c>
      <c r="I39" s="178">
        <f t="shared" si="0"/>
        <v>2607.1689270689299</v>
      </c>
      <c r="J39" s="178">
        <f t="shared" si="0"/>
        <v>2342.225618546086</v>
      </c>
      <c r="K39" s="178">
        <f t="shared" si="0"/>
        <v>1852.3378688476364</v>
      </c>
      <c r="L39" s="178">
        <f t="shared" si="0"/>
        <v>1884.9825174310849</v>
      </c>
      <c r="M39" s="178">
        <f t="shared" si="0"/>
        <v>2096.489423670972</v>
      </c>
      <c r="N39" s="220">
        <f t="shared" si="0"/>
        <v>2303.8858374275542</v>
      </c>
    </row>
    <row r="40" spans="2:14" s="142" customFormat="1" x14ac:dyDescent="0.35">
      <c r="B40" s="214" t="s">
        <v>1377</v>
      </c>
      <c r="C40" s="215">
        <v>1807</v>
      </c>
      <c r="D40" s="216">
        <f t="shared" ref="D40:N49" si="1">D$28/$C$28*$C40</f>
        <v>2568.5863610955844</v>
      </c>
      <c r="E40" s="216">
        <f t="shared" si="1"/>
        <v>2804.1471292821211</v>
      </c>
      <c r="F40" s="216">
        <f t="shared" si="1"/>
        <v>2913.4426171633663</v>
      </c>
      <c r="G40" s="216">
        <f t="shared" si="1"/>
        <v>2906.4519284516491</v>
      </c>
      <c r="H40" s="216">
        <f t="shared" si="1"/>
        <v>2900.6352147136986</v>
      </c>
      <c r="I40" s="216">
        <f t="shared" si="1"/>
        <v>3258.0596481421553</v>
      </c>
      <c r="J40" s="216">
        <f t="shared" si="1"/>
        <v>2926.9721249742579</v>
      </c>
      <c r="K40" s="216">
        <f t="shared" si="1"/>
        <v>2314.7818319555181</v>
      </c>
      <c r="L40" s="216">
        <f t="shared" si="1"/>
        <v>2355.5763547703805</v>
      </c>
      <c r="M40" s="216">
        <f t="shared" si="1"/>
        <v>2619.8868524021068</v>
      </c>
      <c r="N40" s="217">
        <f t="shared" si="1"/>
        <v>2879.0606557618194</v>
      </c>
    </row>
    <row r="41" spans="2:14" s="142" customFormat="1" x14ac:dyDescent="0.35">
      <c r="B41" s="231" t="s">
        <v>1368</v>
      </c>
      <c r="C41" s="219">
        <v>1216</v>
      </c>
      <c r="D41" s="178">
        <f t="shared" si="1"/>
        <v>1728.5008384572388</v>
      </c>
      <c r="E41" s="178">
        <f t="shared" si="1"/>
        <v>1887.0187654715323</v>
      </c>
      <c r="F41" s="178">
        <f t="shared" si="1"/>
        <v>1960.567915036333</v>
      </c>
      <c r="G41" s="178">
        <f t="shared" si="1"/>
        <v>1955.8636109558413</v>
      </c>
      <c r="H41" s="178">
        <f t="shared" si="1"/>
        <v>1951.9493199180174</v>
      </c>
      <c r="I41" s="178">
        <f t="shared" si="1"/>
        <v>2192.4740078256009</v>
      </c>
      <c r="J41" s="178">
        <f t="shared" si="1"/>
        <v>1969.6724427054221</v>
      </c>
      <c r="K41" s="178">
        <f t="shared" si="1"/>
        <v>1557.7059809949694</v>
      </c>
      <c r="L41" s="178">
        <f t="shared" si="1"/>
        <v>1585.1581889323645</v>
      </c>
      <c r="M41" s="178">
        <f t="shared" si="1"/>
        <v>1763.0229178311906</v>
      </c>
      <c r="N41" s="220">
        <f t="shared" si="1"/>
        <v>1937.4309670206819</v>
      </c>
    </row>
    <row r="42" spans="2:14" s="142" customFormat="1" x14ac:dyDescent="0.35">
      <c r="B42" s="230" t="s">
        <v>2483</v>
      </c>
      <c r="C42" s="215">
        <v>1387</v>
      </c>
      <c r="D42" s="216">
        <f t="shared" si="1"/>
        <v>1971.5712688652879</v>
      </c>
      <c r="E42" s="216">
        <f t="shared" si="1"/>
        <v>2152.3807793659666</v>
      </c>
      <c r="F42" s="216">
        <f t="shared" si="1"/>
        <v>2236.2727780883174</v>
      </c>
      <c r="G42" s="216">
        <f t="shared" si="1"/>
        <v>2230.9069312465062</v>
      </c>
      <c r="H42" s="216">
        <f t="shared" si="1"/>
        <v>2226.4421930314888</v>
      </c>
      <c r="I42" s="216">
        <f t="shared" si="1"/>
        <v>2500.7906651760759</v>
      </c>
      <c r="J42" s="216">
        <f t="shared" si="1"/>
        <v>2246.6576299608719</v>
      </c>
      <c r="K42" s="216">
        <f t="shared" si="1"/>
        <v>1776.7583845723871</v>
      </c>
      <c r="L42" s="216">
        <f t="shared" si="1"/>
        <v>1808.0710592509784</v>
      </c>
      <c r="M42" s="216">
        <f t="shared" si="1"/>
        <v>2010.948015651202</v>
      </c>
      <c r="N42" s="217">
        <f t="shared" si="1"/>
        <v>2209.8821967579652</v>
      </c>
    </row>
    <row r="43" spans="2:14" s="142" customFormat="1" x14ac:dyDescent="0.35">
      <c r="B43" s="231" t="s">
        <v>2485</v>
      </c>
      <c r="C43" s="221">
        <v>665</v>
      </c>
      <c r="D43" s="178">
        <f t="shared" si="1"/>
        <v>945.27389603130246</v>
      </c>
      <c r="E43" s="178">
        <f t="shared" si="1"/>
        <v>1031.9633873672442</v>
      </c>
      <c r="F43" s="178">
        <f t="shared" si="1"/>
        <v>1072.1855785354946</v>
      </c>
      <c r="G43" s="178">
        <f t="shared" si="1"/>
        <v>1069.6129122414757</v>
      </c>
      <c r="H43" s="178">
        <f t="shared" si="1"/>
        <v>1067.4722843301658</v>
      </c>
      <c r="I43" s="178">
        <f t="shared" si="1"/>
        <v>1199.0092230296254</v>
      </c>
      <c r="J43" s="178">
        <f t="shared" si="1"/>
        <v>1077.1646171045277</v>
      </c>
      <c r="K43" s="178">
        <f t="shared" si="1"/>
        <v>851.87045835662389</v>
      </c>
      <c r="L43" s="178">
        <f t="shared" si="1"/>
        <v>866.88338457238683</v>
      </c>
      <c r="M43" s="178">
        <f t="shared" si="1"/>
        <v>964.15315818893237</v>
      </c>
      <c r="N43" s="220">
        <f t="shared" si="1"/>
        <v>1059.5325600894355</v>
      </c>
    </row>
    <row r="44" spans="2:14" s="142" customFormat="1" x14ac:dyDescent="0.35">
      <c r="B44" s="230" t="s">
        <v>2486</v>
      </c>
      <c r="C44" s="215">
        <v>1622</v>
      </c>
      <c r="D44" s="216">
        <f t="shared" si="1"/>
        <v>2305.615427613192</v>
      </c>
      <c r="E44" s="216">
        <f t="shared" si="1"/>
        <v>2517.0595703904814</v>
      </c>
      <c r="F44" s="216">
        <f t="shared" si="1"/>
        <v>2615.1654261422141</v>
      </c>
      <c r="G44" s="216">
        <f t="shared" si="1"/>
        <v>2608.890441587479</v>
      </c>
      <c r="H44" s="216">
        <f t="shared" si="1"/>
        <v>2603.669240877487</v>
      </c>
      <c r="I44" s="216">
        <f t="shared" si="1"/>
        <v>2924.5006913594775</v>
      </c>
      <c r="J44" s="216">
        <f t="shared" si="1"/>
        <v>2627.3097878850285</v>
      </c>
      <c r="K44" s="216">
        <f t="shared" si="1"/>
        <v>2077.7953134653294</v>
      </c>
      <c r="L44" s="216">
        <f t="shared" si="1"/>
        <v>2114.4133079344533</v>
      </c>
      <c r="M44" s="216">
        <f t="shared" si="1"/>
        <v>2351.6637933570651</v>
      </c>
      <c r="N44" s="217">
        <f t="shared" si="1"/>
        <v>2584.303477391074</v>
      </c>
    </row>
    <row r="45" spans="2:14" s="142" customFormat="1" x14ac:dyDescent="0.35">
      <c r="B45" s="229" t="s">
        <v>2818</v>
      </c>
      <c r="C45" s="219">
        <v>1597</v>
      </c>
      <c r="D45" s="178">
        <f t="shared" si="1"/>
        <v>2270.0788149804362</v>
      </c>
      <c r="E45" s="178">
        <f t="shared" si="1"/>
        <v>2478.2639543240439</v>
      </c>
      <c r="F45" s="178">
        <f t="shared" si="1"/>
        <v>2574.8576976258419</v>
      </c>
      <c r="G45" s="178">
        <f t="shared" si="1"/>
        <v>2568.6794298490777</v>
      </c>
      <c r="H45" s="178">
        <f t="shared" si="1"/>
        <v>2563.5387038725935</v>
      </c>
      <c r="I45" s="178">
        <f t="shared" si="1"/>
        <v>2879.4251566591156</v>
      </c>
      <c r="J45" s="178">
        <f t="shared" si="1"/>
        <v>2586.8148774675651</v>
      </c>
      <c r="K45" s="178">
        <f t="shared" si="1"/>
        <v>2045.7701082639524</v>
      </c>
      <c r="L45" s="178">
        <f t="shared" si="1"/>
        <v>2081.8237070106793</v>
      </c>
      <c r="M45" s="178">
        <f t="shared" si="1"/>
        <v>2315.4174340266541</v>
      </c>
      <c r="N45" s="220">
        <f t="shared" si="1"/>
        <v>2544.4714262598923</v>
      </c>
    </row>
    <row r="46" spans="2:14" s="142" customFormat="1" x14ac:dyDescent="0.35">
      <c r="B46" s="214" t="s">
        <v>2267</v>
      </c>
      <c r="C46" s="215">
        <v>1670</v>
      </c>
      <c r="D46" s="216">
        <f t="shared" si="1"/>
        <v>2373.845723868083</v>
      </c>
      <c r="E46" s="216">
        <f t="shared" si="1"/>
        <v>2591.547153238042</v>
      </c>
      <c r="F46" s="216">
        <f t="shared" si="1"/>
        <v>2692.5562648936479</v>
      </c>
      <c r="G46" s="216">
        <f t="shared" si="1"/>
        <v>2686.0955841252098</v>
      </c>
      <c r="H46" s="216">
        <f t="shared" si="1"/>
        <v>2680.7198719268827</v>
      </c>
      <c r="I46" s="216">
        <f t="shared" si="1"/>
        <v>3011.0457179841719</v>
      </c>
      <c r="J46" s="216">
        <f t="shared" si="1"/>
        <v>2705.0600158865582</v>
      </c>
      <c r="K46" s="216">
        <f t="shared" si="1"/>
        <v>2139.283707451973</v>
      </c>
      <c r="L46" s="216">
        <f t="shared" si="1"/>
        <v>2176.9853417080994</v>
      </c>
      <c r="M46" s="216">
        <f t="shared" si="1"/>
        <v>2421.2568032714544</v>
      </c>
      <c r="N46" s="217">
        <f t="shared" si="1"/>
        <v>2660.7810155629431</v>
      </c>
    </row>
    <row r="47" spans="2:14" s="142" customFormat="1" x14ac:dyDescent="0.35">
      <c r="B47" s="218" t="s">
        <v>1366</v>
      </c>
      <c r="C47" s="219">
        <v>1555</v>
      </c>
      <c r="D47" s="178">
        <f t="shared" si="1"/>
        <v>2210.3773057574067</v>
      </c>
      <c r="E47" s="178">
        <f t="shared" si="1"/>
        <v>2413.0873193324283</v>
      </c>
      <c r="F47" s="178">
        <f t="shared" si="1"/>
        <v>2507.1407137183369</v>
      </c>
      <c r="G47" s="178">
        <f t="shared" si="1"/>
        <v>2501.1249301285634</v>
      </c>
      <c r="H47" s="178">
        <f t="shared" si="1"/>
        <v>2496.1194017043726</v>
      </c>
      <c r="I47" s="178">
        <f t="shared" si="1"/>
        <v>2803.6982583625077</v>
      </c>
      <c r="J47" s="178">
        <f t="shared" si="1"/>
        <v>2518.7834279662266</v>
      </c>
      <c r="K47" s="178">
        <f t="shared" si="1"/>
        <v>1991.9677635256394</v>
      </c>
      <c r="L47" s="178">
        <f t="shared" si="1"/>
        <v>2027.0731774587393</v>
      </c>
      <c r="M47" s="178">
        <f t="shared" si="1"/>
        <v>2254.5235503515637</v>
      </c>
      <c r="N47" s="220">
        <f t="shared" si="1"/>
        <v>2477.5535803595071</v>
      </c>
    </row>
    <row r="48" spans="2:14" s="142" customFormat="1" x14ac:dyDescent="0.35">
      <c r="B48" s="214" t="s">
        <v>2272</v>
      </c>
      <c r="C48" s="215">
        <v>1048</v>
      </c>
      <c r="D48" s="216">
        <f t="shared" si="1"/>
        <v>1489.6948015651203</v>
      </c>
      <c r="E48" s="216">
        <f t="shared" si="1"/>
        <v>1626.3122255050707</v>
      </c>
      <c r="F48" s="216">
        <f t="shared" si="1"/>
        <v>1689.6999794063133</v>
      </c>
      <c r="G48" s="216">
        <f t="shared" si="1"/>
        <v>1685.6456120737842</v>
      </c>
      <c r="H48" s="216">
        <f t="shared" si="1"/>
        <v>1682.2721112451336</v>
      </c>
      <c r="I48" s="216">
        <f t="shared" si="1"/>
        <v>1889.5664146391691</v>
      </c>
      <c r="J48" s="216">
        <f t="shared" si="1"/>
        <v>1697.5466447000676</v>
      </c>
      <c r="K48" s="216">
        <f t="shared" si="1"/>
        <v>1342.4966020417171</v>
      </c>
      <c r="L48" s="216">
        <f t="shared" si="1"/>
        <v>1366.1560707246038</v>
      </c>
      <c r="M48" s="216">
        <f t="shared" si="1"/>
        <v>1519.4473831308289</v>
      </c>
      <c r="N48" s="217">
        <f t="shared" si="1"/>
        <v>1669.7595834191404</v>
      </c>
    </row>
    <row r="49" spans="2:14" s="142" customFormat="1" x14ac:dyDescent="0.35">
      <c r="B49" s="229" t="s">
        <v>811</v>
      </c>
      <c r="C49" s="219">
        <v>1565</v>
      </c>
      <c r="D49" s="178">
        <f t="shared" si="1"/>
        <v>2224.5919508105089</v>
      </c>
      <c r="E49" s="178">
        <f t="shared" si="1"/>
        <v>2428.6055657590036</v>
      </c>
      <c r="F49" s="178">
        <f t="shared" si="1"/>
        <v>2523.2638051248859</v>
      </c>
      <c r="G49" s="178">
        <f t="shared" si="1"/>
        <v>2517.2093348239241</v>
      </c>
      <c r="H49" s="178">
        <f t="shared" si="1"/>
        <v>2512.1716165063299</v>
      </c>
      <c r="I49" s="178">
        <f t="shared" si="1"/>
        <v>2821.7284722426525</v>
      </c>
      <c r="J49" s="178">
        <f t="shared" si="1"/>
        <v>2534.981392133212</v>
      </c>
      <c r="K49" s="178">
        <f t="shared" si="1"/>
        <v>2004.7778456061901</v>
      </c>
      <c r="L49" s="178">
        <f t="shared" si="1"/>
        <v>2040.1090178282489</v>
      </c>
      <c r="M49" s="178">
        <f t="shared" si="1"/>
        <v>2269.022094083728</v>
      </c>
      <c r="N49" s="220">
        <f t="shared" si="1"/>
        <v>2493.4864008119798</v>
      </c>
    </row>
    <row r="50" spans="2:14" s="142" customFormat="1" x14ac:dyDescent="0.35">
      <c r="B50" s="214" t="s">
        <v>2819</v>
      </c>
      <c r="C50" s="222">
        <v>537</v>
      </c>
      <c r="D50" s="216">
        <f t="shared" ref="D50:N59" si="2">D$28/$C$28*$C50</f>
        <v>763.32643935159308</v>
      </c>
      <c r="E50" s="216">
        <f t="shared" si="2"/>
        <v>833.329833107083</v>
      </c>
      <c r="F50" s="216">
        <f t="shared" si="2"/>
        <v>865.81000853167006</v>
      </c>
      <c r="G50" s="216">
        <f t="shared" si="2"/>
        <v>863.73253214086083</v>
      </c>
      <c r="H50" s="216">
        <f t="shared" si="2"/>
        <v>862.00393486511132</v>
      </c>
      <c r="I50" s="216">
        <f t="shared" si="2"/>
        <v>968.22248536377276</v>
      </c>
      <c r="J50" s="216">
        <f t="shared" si="2"/>
        <v>869.83067576711483</v>
      </c>
      <c r="K50" s="216">
        <f t="shared" si="2"/>
        <v>687.90140772557447</v>
      </c>
      <c r="L50" s="216">
        <f t="shared" si="2"/>
        <v>700.02462784266424</v>
      </c>
      <c r="M50" s="216">
        <f t="shared" si="2"/>
        <v>778.57179841722814</v>
      </c>
      <c r="N50" s="217">
        <f t="shared" si="2"/>
        <v>855.59245829778467</v>
      </c>
    </row>
    <row r="51" spans="2:14" s="142" customFormat="1" x14ac:dyDescent="0.35">
      <c r="B51" s="218" t="s">
        <v>2820</v>
      </c>
      <c r="C51" s="219">
        <v>1665</v>
      </c>
      <c r="D51" s="178">
        <f t="shared" si="2"/>
        <v>2366.7384013415317</v>
      </c>
      <c r="E51" s="178">
        <f t="shared" si="2"/>
        <v>2583.7880300247543</v>
      </c>
      <c r="F51" s="178">
        <f t="shared" si="2"/>
        <v>2684.4947191903739</v>
      </c>
      <c r="G51" s="178">
        <f t="shared" si="2"/>
        <v>2678.0533817775295</v>
      </c>
      <c r="H51" s="178">
        <f t="shared" si="2"/>
        <v>2672.693764525904</v>
      </c>
      <c r="I51" s="178">
        <f t="shared" si="2"/>
        <v>3002.0306110440997</v>
      </c>
      <c r="J51" s="178">
        <f t="shared" si="2"/>
        <v>2696.9610338030657</v>
      </c>
      <c r="K51" s="178">
        <f t="shared" si="2"/>
        <v>2132.8786664116974</v>
      </c>
      <c r="L51" s="178">
        <f t="shared" si="2"/>
        <v>2170.4674215233445</v>
      </c>
      <c r="M51" s="178">
        <f t="shared" si="2"/>
        <v>2414.007531405372</v>
      </c>
      <c r="N51" s="220">
        <f t="shared" si="2"/>
        <v>2652.8146053367068</v>
      </c>
    </row>
    <row r="52" spans="2:14" s="142" customFormat="1" x14ac:dyDescent="0.35">
      <c r="B52" s="214" t="s">
        <v>812</v>
      </c>
      <c r="C52" s="215">
        <v>1730</v>
      </c>
      <c r="D52" s="216">
        <f t="shared" si="2"/>
        <v>2459.1335941866964</v>
      </c>
      <c r="E52" s="216">
        <f t="shared" si="2"/>
        <v>2684.6566317974925</v>
      </c>
      <c r="F52" s="216">
        <f t="shared" si="2"/>
        <v>2789.294813332941</v>
      </c>
      <c r="G52" s="216">
        <f t="shared" si="2"/>
        <v>2782.6020122973728</v>
      </c>
      <c r="H52" s="216">
        <f t="shared" si="2"/>
        <v>2777.033160738627</v>
      </c>
      <c r="I52" s="216">
        <f t="shared" si="2"/>
        <v>3119.2270012650406</v>
      </c>
      <c r="J52" s="216">
        <f t="shared" si="2"/>
        <v>2802.2478008884705</v>
      </c>
      <c r="K52" s="216">
        <f t="shared" si="2"/>
        <v>2216.1441999352774</v>
      </c>
      <c r="L52" s="216">
        <f t="shared" si="2"/>
        <v>2255.200383925157</v>
      </c>
      <c r="M52" s="216">
        <f t="shared" si="2"/>
        <v>2508.2480656644407</v>
      </c>
      <c r="N52" s="217">
        <f t="shared" si="2"/>
        <v>2756.3779382777793</v>
      </c>
    </row>
    <row r="53" spans="2:14" s="142" customFormat="1" x14ac:dyDescent="0.35">
      <c r="B53" s="218" t="s">
        <v>2273</v>
      </c>
      <c r="C53" s="219">
        <v>1916</v>
      </c>
      <c r="D53" s="178">
        <f t="shared" si="2"/>
        <v>2723.5259921743991</v>
      </c>
      <c r="E53" s="178">
        <f t="shared" si="2"/>
        <v>2973.2960153317895</v>
      </c>
      <c r="F53" s="178">
        <f t="shared" si="2"/>
        <v>3089.1843134947485</v>
      </c>
      <c r="G53" s="178">
        <f t="shared" si="2"/>
        <v>3081.771939631079</v>
      </c>
      <c r="H53" s="178">
        <f t="shared" si="2"/>
        <v>3075.6043560550343</v>
      </c>
      <c r="I53" s="178">
        <f t="shared" si="2"/>
        <v>3454.5889794357327</v>
      </c>
      <c r="J53" s="178">
        <f t="shared" si="2"/>
        <v>3103.5299343943984</v>
      </c>
      <c r="K53" s="178">
        <f t="shared" si="2"/>
        <v>2454.4117266335211</v>
      </c>
      <c r="L53" s="178">
        <f t="shared" si="2"/>
        <v>2497.6670147980349</v>
      </c>
      <c r="M53" s="178">
        <f t="shared" si="2"/>
        <v>2777.9209790826985</v>
      </c>
      <c r="N53" s="220">
        <f t="shared" si="2"/>
        <v>3052.7283986937719</v>
      </c>
    </row>
    <row r="54" spans="2:14" s="142" customFormat="1" x14ac:dyDescent="0.35">
      <c r="B54" s="230" t="s">
        <v>2821</v>
      </c>
      <c r="C54" s="222">
        <v>995</v>
      </c>
      <c r="D54" s="216">
        <f t="shared" si="2"/>
        <v>1414.3571827836781</v>
      </c>
      <c r="E54" s="216">
        <f t="shared" si="2"/>
        <v>1544.0655194442227</v>
      </c>
      <c r="F54" s="216">
        <f t="shared" si="2"/>
        <v>1604.2475949516047</v>
      </c>
      <c r="G54" s="216">
        <f t="shared" si="2"/>
        <v>1600.3982671883734</v>
      </c>
      <c r="H54" s="216">
        <f t="shared" si="2"/>
        <v>1597.1953727947594</v>
      </c>
      <c r="I54" s="216">
        <f t="shared" si="2"/>
        <v>1794.0062810744018</v>
      </c>
      <c r="J54" s="216">
        <f t="shared" si="2"/>
        <v>1611.6974346150453</v>
      </c>
      <c r="K54" s="216">
        <f t="shared" si="2"/>
        <v>1274.6031670147981</v>
      </c>
      <c r="L54" s="216">
        <f t="shared" si="2"/>
        <v>1297.0661167662029</v>
      </c>
      <c r="M54" s="216">
        <f t="shared" si="2"/>
        <v>1442.6051013503575</v>
      </c>
      <c r="N54" s="217">
        <f t="shared" si="2"/>
        <v>1585.315635021035</v>
      </c>
    </row>
    <row r="55" spans="2:14" s="142" customFormat="1" x14ac:dyDescent="0.35">
      <c r="B55" s="231" t="s">
        <v>2822</v>
      </c>
      <c r="C55" s="219">
        <v>2244</v>
      </c>
      <c r="D55" s="178">
        <f t="shared" si="2"/>
        <v>3189.7663499161545</v>
      </c>
      <c r="E55" s="178">
        <f t="shared" si="2"/>
        <v>3482.2944981234527</v>
      </c>
      <c r="F55" s="178">
        <f t="shared" si="2"/>
        <v>3618.0217116295485</v>
      </c>
      <c r="G55" s="178">
        <f t="shared" si="2"/>
        <v>3609.3404136389045</v>
      </c>
      <c r="H55" s="178">
        <f t="shared" si="2"/>
        <v>3602.1170015592361</v>
      </c>
      <c r="I55" s="178">
        <f t="shared" si="2"/>
        <v>4045.9799947044803</v>
      </c>
      <c r="J55" s="178">
        <f t="shared" si="2"/>
        <v>3634.8231590715191</v>
      </c>
      <c r="K55" s="178">
        <f t="shared" si="2"/>
        <v>2874.5824188755851</v>
      </c>
      <c r="L55" s="178">
        <f t="shared" si="2"/>
        <v>2925.2425789179492</v>
      </c>
      <c r="M55" s="178">
        <f t="shared" si="2"/>
        <v>3253.4732134976907</v>
      </c>
      <c r="N55" s="220">
        <f t="shared" si="2"/>
        <v>3575.324909534877</v>
      </c>
    </row>
    <row r="56" spans="2:14" s="142" customFormat="1" x14ac:dyDescent="0.35">
      <c r="B56" s="230" t="s">
        <v>2823</v>
      </c>
      <c r="C56" s="215">
        <v>1552</v>
      </c>
      <c r="D56" s="216">
        <f t="shared" si="2"/>
        <v>2206.1129122414759</v>
      </c>
      <c r="E56" s="216">
        <f t="shared" si="2"/>
        <v>2408.431845404456</v>
      </c>
      <c r="F56" s="216">
        <f t="shared" si="2"/>
        <v>2502.3037862963724</v>
      </c>
      <c r="G56" s="216">
        <f t="shared" si="2"/>
        <v>2496.2996087199554</v>
      </c>
      <c r="H56" s="216">
        <f t="shared" si="2"/>
        <v>2491.3037372637855</v>
      </c>
      <c r="I56" s="216">
        <f t="shared" si="2"/>
        <v>2798.289194198464</v>
      </c>
      <c r="J56" s="216">
        <f t="shared" si="2"/>
        <v>2513.9240387161308</v>
      </c>
      <c r="K56" s="216">
        <f t="shared" si="2"/>
        <v>1988.1247389014741</v>
      </c>
      <c r="L56" s="216">
        <f t="shared" si="2"/>
        <v>2023.1624253478863</v>
      </c>
      <c r="M56" s="216">
        <f t="shared" si="2"/>
        <v>2250.1739872319145</v>
      </c>
      <c r="N56" s="217">
        <f t="shared" si="2"/>
        <v>2472.7737342237651</v>
      </c>
    </row>
    <row r="57" spans="2:14" s="142" customFormat="1" x14ac:dyDescent="0.35">
      <c r="B57" s="231" t="s">
        <v>2824</v>
      </c>
      <c r="C57" s="219">
        <v>1015</v>
      </c>
      <c r="D57" s="178">
        <f t="shared" si="2"/>
        <v>1442.7864728898828</v>
      </c>
      <c r="E57" s="178">
        <f t="shared" si="2"/>
        <v>1575.1020122973728</v>
      </c>
      <c r="F57" s="178">
        <f t="shared" si="2"/>
        <v>1636.4937777647021</v>
      </c>
      <c r="G57" s="178">
        <f t="shared" si="2"/>
        <v>1632.5670765790944</v>
      </c>
      <c r="H57" s="178">
        <f t="shared" si="2"/>
        <v>1629.299802398674</v>
      </c>
      <c r="I57" s="178">
        <f t="shared" si="2"/>
        <v>1830.0667088346913</v>
      </c>
      <c r="J57" s="178">
        <f t="shared" si="2"/>
        <v>1644.093362949016</v>
      </c>
      <c r="K57" s="178">
        <f t="shared" si="2"/>
        <v>1300.2233311758996</v>
      </c>
      <c r="L57" s="178">
        <f t="shared" si="2"/>
        <v>1323.1377975052221</v>
      </c>
      <c r="M57" s="178">
        <f t="shared" si="2"/>
        <v>1471.6021888146863</v>
      </c>
      <c r="N57" s="220">
        <f t="shared" si="2"/>
        <v>1617.1812759259803</v>
      </c>
    </row>
    <row r="58" spans="2:14" s="142" customFormat="1" x14ac:dyDescent="0.35">
      <c r="B58" s="214" t="s">
        <v>1369</v>
      </c>
      <c r="C58" s="215">
        <v>2825</v>
      </c>
      <c r="D58" s="216">
        <f t="shared" si="2"/>
        <v>4015.6372275013978</v>
      </c>
      <c r="E58" s="216">
        <f t="shared" si="2"/>
        <v>4383.9046155074666</v>
      </c>
      <c r="F58" s="216">
        <f t="shared" si="2"/>
        <v>4554.7733223500336</v>
      </c>
      <c r="G58" s="216">
        <f t="shared" si="2"/>
        <v>4543.8443264393518</v>
      </c>
      <c r="H58" s="216">
        <f t="shared" si="2"/>
        <v>4534.7506815529605</v>
      </c>
      <c r="I58" s="216">
        <f t="shared" si="2"/>
        <v>5093.5354211408903</v>
      </c>
      <c r="J58" s="216">
        <f t="shared" si="2"/>
        <v>4575.9248771733692</v>
      </c>
      <c r="K58" s="216">
        <f t="shared" si="2"/>
        <v>3618.8481877555828</v>
      </c>
      <c r="L58" s="216">
        <f t="shared" si="2"/>
        <v>3682.6249043864555</v>
      </c>
      <c r="M58" s="216">
        <f t="shared" si="2"/>
        <v>4095.8386043364421</v>
      </c>
      <c r="N58" s="217">
        <f t="shared" si="2"/>
        <v>4501.0217778235419</v>
      </c>
    </row>
    <row r="59" spans="2:14" s="142" customFormat="1" x14ac:dyDescent="0.35">
      <c r="B59" s="218" t="s">
        <v>1370</v>
      </c>
      <c r="C59" s="219">
        <v>1672</v>
      </c>
      <c r="D59" s="178">
        <f t="shared" si="2"/>
        <v>2376.6886528787031</v>
      </c>
      <c r="E59" s="178">
        <f t="shared" si="2"/>
        <v>2594.650802523357</v>
      </c>
      <c r="F59" s="178">
        <f t="shared" si="2"/>
        <v>2695.7808831749576</v>
      </c>
      <c r="G59" s="178">
        <f t="shared" si="2"/>
        <v>2689.3124650642817</v>
      </c>
      <c r="H59" s="178">
        <f t="shared" si="2"/>
        <v>2683.9303148872741</v>
      </c>
      <c r="I59" s="178">
        <f t="shared" si="2"/>
        <v>3014.6517607602009</v>
      </c>
      <c r="J59" s="178">
        <f t="shared" si="2"/>
        <v>2708.2996087199554</v>
      </c>
      <c r="K59" s="178">
        <f t="shared" si="2"/>
        <v>2141.845723868083</v>
      </c>
      <c r="L59" s="178">
        <f t="shared" si="2"/>
        <v>2179.5925097820013</v>
      </c>
      <c r="M59" s="178">
        <f t="shared" si="2"/>
        <v>2424.1565120178871</v>
      </c>
      <c r="N59" s="220">
        <f t="shared" si="2"/>
        <v>2663.9675796534375</v>
      </c>
    </row>
    <row r="60" spans="2:14" s="142" customFormat="1" x14ac:dyDescent="0.35">
      <c r="B60" s="230" t="s">
        <v>2495</v>
      </c>
      <c r="C60" s="215">
        <v>2757</v>
      </c>
      <c r="D60" s="216">
        <f t="shared" ref="D60:N66" si="3">D$28/$C$28*$C60</f>
        <v>3918.9776411403022</v>
      </c>
      <c r="E60" s="216">
        <f t="shared" si="3"/>
        <v>4278.3805398067552</v>
      </c>
      <c r="F60" s="216">
        <f t="shared" si="3"/>
        <v>4445.1363007855016</v>
      </c>
      <c r="G60" s="216">
        <f t="shared" si="3"/>
        <v>4434.4703745109</v>
      </c>
      <c r="H60" s="216">
        <f t="shared" si="3"/>
        <v>4425.5956208996495</v>
      </c>
      <c r="I60" s="216">
        <f t="shared" si="3"/>
        <v>4970.9299667559053</v>
      </c>
      <c r="J60" s="216">
        <f t="shared" si="3"/>
        <v>4465.7787208378686</v>
      </c>
      <c r="K60" s="216">
        <f t="shared" si="3"/>
        <v>3531.7396296078377</v>
      </c>
      <c r="L60" s="216">
        <f t="shared" si="3"/>
        <v>3593.9811898737903</v>
      </c>
      <c r="M60" s="216">
        <f t="shared" si="3"/>
        <v>3997.2485069577242</v>
      </c>
      <c r="N60" s="217">
        <f t="shared" si="3"/>
        <v>4392.6785987467274</v>
      </c>
    </row>
    <row r="61" spans="2:14" s="142" customFormat="1" x14ac:dyDescent="0.35">
      <c r="B61" s="218" t="s">
        <v>2275</v>
      </c>
      <c r="C61" s="219">
        <v>1603</v>
      </c>
      <c r="D61" s="178">
        <f t="shared" si="3"/>
        <v>2278.6076020122973</v>
      </c>
      <c r="E61" s="178">
        <f t="shared" si="3"/>
        <v>2487.5749021799888</v>
      </c>
      <c r="F61" s="178">
        <f t="shared" si="3"/>
        <v>2584.5315524697712</v>
      </c>
      <c r="G61" s="178">
        <f t="shared" si="3"/>
        <v>2578.3300726662942</v>
      </c>
      <c r="H61" s="178">
        <f t="shared" si="3"/>
        <v>2573.1700327537683</v>
      </c>
      <c r="I61" s="178">
        <f t="shared" si="3"/>
        <v>2890.2432849872025</v>
      </c>
      <c r="J61" s="178">
        <f t="shared" si="3"/>
        <v>2596.5336559677562</v>
      </c>
      <c r="K61" s="178">
        <f t="shared" si="3"/>
        <v>2053.456157512283</v>
      </c>
      <c r="L61" s="178">
        <f t="shared" si="3"/>
        <v>2089.645211232385</v>
      </c>
      <c r="M61" s="178">
        <f t="shared" si="3"/>
        <v>2324.116560265953</v>
      </c>
      <c r="N61" s="220">
        <f t="shared" si="3"/>
        <v>2554.0311185313758</v>
      </c>
    </row>
    <row r="62" spans="2:14" s="142" customFormat="1" x14ac:dyDescent="0.35">
      <c r="B62" s="214" t="s">
        <v>1666</v>
      </c>
      <c r="C62" s="215">
        <v>1326</v>
      </c>
      <c r="D62" s="216">
        <f t="shared" si="3"/>
        <v>1884.8619340413641</v>
      </c>
      <c r="E62" s="216">
        <f t="shared" si="3"/>
        <v>2057.7194761638584</v>
      </c>
      <c r="F62" s="216">
        <f t="shared" si="3"/>
        <v>2137.9219205083696</v>
      </c>
      <c r="G62" s="216">
        <f t="shared" si="3"/>
        <v>2132.7920626048071</v>
      </c>
      <c r="H62" s="216">
        <f t="shared" si="3"/>
        <v>2128.5236827395488</v>
      </c>
      <c r="I62" s="216">
        <f t="shared" si="3"/>
        <v>2390.8063605071929</v>
      </c>
      <c r="J62" s="216">
        <f t="shared" si="3"/>
        <v>2147.8500485422614</v>
      </c>
      <c r="K62" s="216">
        <f t="shared" si="3"/>
        <v>1698.6168838810274</v>
      </c>
      <c r="L62" s="216">
        <f t="shared" si="3"/>
        <v>1728.5524329969699</v>
      </c>
      <c r="M62" s="216">
        <f t="shared" si="3"/>
        <v>1922.5068988849991</v>
      </c>
      <c r="N62" s="217">
        <f t="shared" si="3"/>
        <v>2112.6919919978818</v>
      </c>
    </row>
    <row r="63" spans="2:14" s="142" customFormat="1" x14ac:dyDescent="0.35">
      <c r="B63" s="218" t="s">
        <v>1373</v>
      </c>
      <c r="C63" s="219">
        <v>1365</v>
      </c>
      <c r="D63" s="178">
        <f t="shared" si="3"/>
        <v>1940.2990497484629</v>
      </c>
      <c r="E63" s="178">
        <f t="shared" si="3"/>
        <v>2118.2406372275013</v>
      </c>
      <c r="F63" s="178">
        <f t="shared" si="3"/>
        <v>2200.8019769939101</v>
      </c>
      <c r="G63" s="178">
        <f t="shared" si="3"/>
        <v>2195.5212409167134</v>
      </c>
      <c r="H63" s="178">
        <f t="shared" si="3"/>
        <v>2191.1273204671825</v>
      </c>
      <c r="I63" s="178">
        <f t="shared" si="3"/>
        <v>2461.1241946397577</v>
      </c>
      <c r="J63" s="178">
        <f t="shared" si="3"/>
        <v>2211.0221087935042</v>
      </c>
      <c r="K63" s="178">
        <f t="shared" si="3"/>
        <v>1748.5762039951753</v>
      </c>
      <c r="L63" s="178">
        <f t="shared" si="3"/>
        <v>1779.3922104380572</v>
      </c>
      <c r="M63" s="178">
        <f t="shared" si="3"/>
        <v>1979.0512194404403</v>
      </c>
      <c r="N63" s="220">
        <f t="shared" si="3"/>
        <v>2174.8299917625254</v>
      </c>
    </row>
    <row r="64" spans="2:14" s="142" customFormat="1" x14ac:dyDescent="0.35">
      <c r="B64" s="214" t="s">
        <v>1374</v>
      </c>
      <c r="C64" s="215">
        <v>1347</v>
      </c>
      <c r="D64" s="216">
        <f t="shared" si="3"/>
        <v>1914.7126886528788</v>
      </c>
      <c r="E64" s="216">
        <f t="shared" si="3"/>
        <v>2090.307793659666</v>
      </c>
      <c r="F64" s="216">
        <f t="shared" si="3"/>
        <v>2171.7804124621221</v>
      </c>
      <c r="G64" s="216">
        <f t="shared" si="3"/>
        <v>2166.5693124650643</v>
      </c>
      <c r="H64" s="216">
        <f t="shared" si="3"/>
        <v>2162.233333823659</v>
      </c>
      <c r="I64" s="216">
        <f t="shared" si="3"/>
        <v>2428.6698096554969</v>
      </c>
      <c r="J64" s="216">
        <f t="shared" si="3"/>
        <v>2181.8657732929305</v>
      </c>
      <c r="K64" s="216">
        <f t="shared" si="3"/>
        <v>1725.5180562501841</v>
      </c>
      <c r="L64" s="216">
        <f t="shared" si="3"/>
        <v>1755.9276977729401</v>
      </c>
      <c r="M64" s="216">
        <f t="shared" si="3"/>
        <v>1952.9538407225443</v>
      </c>
      <c r="N64" s="217">
        <f t="shared" si="3"/>
        <v>2146.1509149480744</v>
      </c>
    </row>
    <row r="65" spans="2:14" s="142" customFormat="1" x14ac:dyDescent="0.35">
      <c r="B65" s="218" t="s">
        <v>1757</v>
      </c>
      <c r="C65" s="219">
        <v>1285</v>
      </c>
      <c r="D65" s="178">
        <f t="shared" si="3"/>
        <v>1826.5818893236446</v>
      </c>
      <c r="E65" s="178">
        <f t="shared" si="3"/>
        <v>1994.0946658149005</v>
      </c>
      <c r="F65" s="178">
        <f t="shared" si="3"/>
        <v>2071.8172457415194</v>
      </c>
      <c r="G65" s="178">
        <f t="shared" si="3"/>
        <v>2066.846003353829</v>
      </c>
      <c r="H65" s="178">
        <f t="shared" si="3"/>
        <v>2062.7096020515232</v>
      </c>
      <c r="I65" s="178">
        <f t="shared" si="3"/>
        <v>2316.8824835985997</v>
      </c>
      <c r="J65" s="178">
        <f t="shared" si="3"/>
        <v>2081.438395457621</v>
      </c>
      <c r="K65" s="178">
        <f t="shared" si="3"/>
        <v>1646.0955473507695</v>
      </c>
      <c r="L65" s="178">
        <f t="shared" si="3"/>
        <v>1675.1054874819806</v>
      </c>
      <c r="M65" s="178">
        <f t="shared" si="3"/>
        <v>1863.0628695831251</v>
      </c>
      <c r="N65" s="220">
        <f t="shared" si="3"/>
        <v>2047.3674281427436</v>
      </c>
    </row>
    <row r="66" spans="2:14" s="142" customFormat="1" x14ac:dyDescent="0.35">
      <c r="B66" s="223" t="s">
        <v>32</v>
      </c>
      <c r="C66" s="224">
        <v>1709</v>
      </c>
      <c r="D66" s="225">
        <f t="shared" si="3"/>
        <v>2429.2828395751817</v>
      </c>
      <c r="E66" s="225">
        <f t="shared" si="3"/>
        <v>2652.0683143016849</v>
      </c>
      <c r="F66" s="225">
        <f t="shared" si="3"/>
        <v>2755.4363213791885</v>
      </c>
      <c r="G66" s="225">
        <f t="shared" si="3"/>
        <v>2748.8247624371156</v>
      </c>
      <c r="H66" s="225">
        <f t="shared" si="3"/>
        <v>2743.3235096545163</v>
      </c>
      <c r="I66" s="225">
        <f t="shared" si="3"/>
        <v>3081.3635521167366</v>
      </c>
      <c r="J66" s="225">
        <f t="shared" si="3"/>
        <v>2768.2320761378014</v>
      </c>
      <c r="K66" s="225">
        <f t="shared" si="3"/>
        <v>2189.2430275661209</v>
      </c>
      <c r="L66" s="225">
        <f t="shared" si="3"/>
        <v>2227.8251191491868</v>
      </c>
      <c r="M66" s="225">
        <f t="shared" si="3"/>
        <v>2477.8011238268955</v>
      </c>
      <c r="N66" s="226">
        <f t="shared" si="3"/>
        <v>2722.9190153275867</v>
      </c>
    </row>
    <row r="67" spans="2:14" s="142" customFormat="1" x14ac:dyDescent="0.35"/>
    <row r="68" spans="2:14" s="142" customFormat="1" ht="17.5" thickBot="1" x14ac:dyDescent="0.45">
      <c r="B68" s="176" t="s">
        <v>2825</v>
      </c>
      <c r="C68" s="176"/>
      <c r="D68" s="176"/>
      <c r="E68" s="176"/>
      <c r="F68" s="176"/>
      <c r="G68" s="176"/>
      <c r="H68" s="176"/>
      <c r="I68" s="176"/>
      <c r="J68" s="176"/>
      <c r="K68" s="176"/>
      <c r="L68" s="176"/>
      <c r="M68" s="176"/>
      <c r="N68" s="176"/>
    </row>
    <row r="69" spans="2:14" s="142" customFormat="1" ht="15" thickTop="1" x14ac:dyDescent="0.35">
      <c r="B69" s="179" t="s">
        <v>2826</v>
      </c>
      <c r="C69" s="180">
        <f>$G$25</f>
        <v>607</v>
      </c>
      <c r="D69" s="180">
        <f>VLOOKUP(D$70,HDD_CDD!$B$5:$F$15,4,FALSE)</f>
        <v>58.789473684210542</v>
      </c>
      <c r="E69" s="180">
        <f>VLOOKUP(E$70,HDD_CDD!$B$5:$F$15,4,FALSE)</f>
        <v>28.105263157894736</v>
      </c>
      <c r="F69" s="180">
        <f>VLOOKUP(F$70,HDD_CDD!$B$5:$F$15,4,FALSE)</f>
        <v>53.210526315789473</v>
      </c>
      <c r="G69" s="180">
        <f>VLOOKUP(G$70,HDD_CDD!$B$5:$F$15,4,FALSE)</f>
        <v>30.052631578947352</v>
      </c>
      <c r="H69" s="180">
        <f>VLOOKUP(H$70,HDD_CDD!$B$5:$F$15,4,FALSE)</f>
        <v>44.842105263157897</v>
      </c>
      <c r="I69" s="180">
        <f>VLOOKUP(I$70,HDD_CDD!$B$5:$F$15,4,FALSE)</f>
        <v>53.789473684210535</v>
      </c>
      <c r="J69" s="180">
        <f>VLOOKUP(J$70,HDD_CDD!$B$5:$F$15,4,FALSE)</f>
        <v>31.894736842105267</v>
      </c>
      <c r="K69" s="180">
        <f>VLOOKUP(K$70,HDD_CDD!$B$5:$F$15,4,FALSE)</f>
        <v>106.78947368421052</v>
      </c>
      <c r="L69" s="180">
        <f>VLOOKUP(L$70,HDD_CDD!$B$5:$F$15,4,FALSE)</f>
        <v>206.15789473684214</v>
      </c>
      <c r="M69" s="180">
        <f>VLOOKUP(M$70,HDD_CDD!$B$5:$F$15,4,FALSE)</f>
        <v>55.684210526315788</v>
      </c>
      <c r="N69" s="180">
        <f>VLOOKUP(N$70,HDD_CDD!$B$5:$F$15,4,FALSE)</f>
        <v>11.157894736842104</v>
      </c>
    </row>
    <row r="70" spans="2:14" s="142" customFormat="1" x14ac:dyDescent="0.35">
      <c r="B70" s="211" t="s">
        <v>2827</v>
      </c>
      <c r="C70" s="212" t="s">
        <v>2294</v>
      </c>
      <c r="D70" s="212" t="s">
        <v>1361</v>
      </c>
      <c r="E70" s="212" t="s">
        <v>1811</v>
      </c>
      <c r="F70" s="212" t="s">
        <v>1812</v>
      </c>
      <c r="G70" s="212" t="s">
        <v>1362</v>
      </c>
      <c r="H70" s="212" t="s">
        <v>1813</v>
      </c>
      <c r="I70" s="212" t="s">
        <v>1814</v>
      </c>
      <c r="J70" s="212" t="s">
        <v>1815</v>
      </c>
      <c r="K70" s="212" t="s">
        <v>1816</v>
      </c>
      <c r="L70" s="212" t="s">
        <v>1817</v>
      </c>
      <c r="M70" s="212" t="s">
        <v>1818</v>
      </c>
      <c r="N70" s="213" t="s">
        <v>1819</v>
      </c>
    </row>
    <row r="71" spans="2:14" s="142" customFormat="1" x14ac:dyDescent="0.35">
      <c r="B71" s="214" t="s">
        <v>2269</v>
      </c>
      <c r="C71" s="222">
        <v>725</v>
      </c>
      <c r="D71" s="216">
        <f t="shared" ref="D71:N80" si="4">D$69/$C$69*$C71</f>
        <v>70.21806988641292</v>
      </c>
      <c r="E71" s="216">
        <f t="shared" si="4"/>
        <v>33.568889274256478</v>
      </c>
      <c r="F71" s="216">
        <f t="shared" si="4"/>
        <v>63.554582502384456</v>
      </c>
      <c r="G71" s="216">
        <f t="shared" si="4"/>
        <v>35.894823549813559</v>
      </c>
      <c r="H71" s="216">
        <f t="shared" si="4"/>
        <v>53.559351426341799</v>
      </c>
      <c r="I71" s="216">
        <f t="shared" si="4"/>
        <v>64.246076476198752</v>
      </c>
      <c r="J71" s="216">
        <f t="shared" si="4"/>
        <v>38.095031648313544</v>
      </c>
      <c r="K71" s="216">
        <f t="shared" si="4"/>
        <v>127.54920662446891</v>
      </c>
      <c r="L71" s="216">
        <f t="shared" si="4"/>
        <v>246.23471776640946</v>
      </c>
      <c r="M71" s="216">
        <f t="shared" si="4"/>
        <v>66.509147663227253</v>
      </c>
      <c r="N71" s="217">
        <f t="shared" si="4"/>
        <v>13.32697476805688</v>
      </c>
    </row>
    <row r="72" spans="2:14" s="142" customFormat="1" x14ac:dyDescent="0.35">
      <c r="B72" s="218" t="s">
        <v>2270</v>
      </c>
      <c r="C72" s="219">
        <v>1475</v>
      </c>
      <c r="D72" s="178">
        <f t="shared" si="4"/>
        <v>142.85745252752974</v>
      </c>
      <c r="E72" s="178">
        <f t="shared" si="4"/>
        <v>68.295326454521799</v>
      </c>
      <c r="F72" s="178">
        <f t="shared" si="4"/>
        <v>129.30070233243734</v>
      </c>
      <c r="G72" s="178">
        <f t="shared" si="4"/>
        <v>73.027399635827578</v>
      </c>
      <c r="H72" s="178">
        <f t="shared" si="4"/>
        <v>108.96557703979883</v>
      </c>
      <c r="I72" s="178">
        <f t="shared" si="4"/>
        <v>130.70753489985262</v>
      </c>
      <c r="J72" s="178">
        <f t="shared" si="4"/>
        <v>77.503685077603407</v>
      </c>
      <c r="K72" s="178">
        <f t="shared" si="4"/>
        <v>259.49666175322983</v>
      </c>
      <c r="L72" s="178">
        <f t="shared" si="4"/>
        <v>500.9602878695917</v>
      </c>
      <c r="M72" s="178">
        <f t="shared" si="4"/>
        <v>135.31171421139339</v>
      </c>
      <c r="N72" s="220">
        <f t="shared" si="4"/>
        <v>27.113500390184686</v>
      </c>
    </row>
    <row r="73" spans="2:14" s="142" customFormat="1" x14ac:dyDescent="0.35">
      <c r="B73" s="228" t="s">
        <v>2816</v>
      </c>
      <c r="C73" s="222">
        <v>996</v>
      </c>
      <c r="D73" s="216">
        <f t="shared" si="4"/>
        <v>96.465100147403135</v>
      </c>
      <c r="E73" s="216">
        <f t="shared" si="4"/>
        <v>46.116708575392352</v>
      </c>
      <c r="F73" s="216">
        <f t="shared" si="4"/>
        <v>87.310847134310237</v>
      </c>
      <c r="G73" s="216">
        <f t="shared" si="4"/>
        <v>49.312061042226624</v>
      </c>
      <c r="H73" s="216">
        <f t="shared" si="4"/>
        <v>73.579467614670946</v>
      </c>
      <c r="I73" s="216">
        <f t="shared" si="4"/>
        <v>88.260816786612352</v>
      </c>
      <c r="J73" s="216">
        <f t="shared" si="4"/>
        <v>52.334691754096944</v>
      </c>
      <c r="K73" s="216">
        <f t="shared" si="4"/>
        <v>175.22622041099453</v>
      </c>
      <c r="L73" s="216">
        <f t="shared" si="4"/>
        <v>338.27555709702597</v>
      </c>
      <c r="M73" s="216">
        <f t="shared" si="4"/>
        <v>91.369808375964624</v>
      </c>
      <c r="N73" s="217">
        <f t="shared" si="4"/>
        <v>18.308506026185729</v>
      </c>
    </row>
    <row r="74" spans="2:14" s="142" customFormat="1" x14ac:dyDescent="0.35">
      <c r="B74" s="218" t="s">
        <v>1375</v>
      </c>
      <c r="C74" s="221">
        <v>572</v>
      </c>
      <c r="D74" s="178">
        <f t="shared" si="4"/>
        <v>55.39963582762509</v>
      </c>
      <c r="E74" s="178">
        <f t="shared" si="4"/>
        <v>26.484696089482352</v>
      </c>
      <c r="F74" s="178">
        <f t="shared" si="4"/>
        <v>50.142374057053665</v>
      </c>
      <c r="G74" s="178">
        <f t="shared" si="4"/>
        <v>28.319778028266697</v>
      </c>
      <c r="H74" s="178">
        <f t="shared" si="4"/>
        <v>42.256481401196567</v>
      </c>
      <c r="I74" s="178">
        <f t="shared" si="4"/>
        <v>50.687938957773355</v>
      </c>
      <c r="J74" s="178">
        <f t="shared" si="4"/>
        <v>30.055666348738406</v>
      </c>
      <c r="K74" s="178">
        <f t="shared" si="4"/>
        <v>100.63192577820168</v>
      </c>
      <c r="L74" s="178">
        <f t="shared" si="4"/>
        <v>194.2707014653603</v>
      </c>
      <c r="M74" s="178">
        <f t="shared" si="4"/>
        <v>52.473424087401369</v>
      </c>
      <c r="N74" s="220">
        <f t="shared" si="4"/>
        <v>10.514523541142808</v>
      </c>
    </row>
    <row r="75" spans="2:14" s="142" customFormat="1" x14ac:dyDescent="0.35">
      <c r="B75" s="214" t="s">
        <v>1665</v>
      </c>
      <c r="C75" s="215">
        <v>1088</v>
      </c>
      <c r="D75" s="216">
        <f t="shared" si="4"/>
        <v>105.37553108471346</v>
      </c>
      <c r="E75" s="216">
        <f t="shared" si="4"/>
        <v>50.376484869504893</v>
      </c>
      <c r="F75" s="216">
        <f t="shared" si="4"/>
        <v>95.375704500130055</v>
      </c>
      <c r="G75" s="216">
        <f t="shared" si="4"/>
        <v>53.866990375444345</v>
      </c>
      <c r="H75" s="216">
        <f t="shared" si="4"/>
        <v>80.375964623255001</v>
      </c>
      <c r="I75" s="216">
        <f t="shared" si="4"/>
        <v>96.413422353247228</v>
      </c>
      <c r="J75" s="216">
        <f t="shared" si="4"/>
        <v>57.168819908089837</v>
      </c>
      <c r="K75" s="216">
        <f t="shared" si="4"/>
        <v>191.41177490678922</v>
      </c>
      <c r="L75" s="216">
        <f t="shared" si="4"/>
        <v>369.52189369634965</v>
      </c>
      <c r="M75" s="216">
        <f t="shared" si="4"/>
        <v>99.809589872539661</v>
      </c>
      <c r="N75" s="217">
        <f t="shared" si="4"/>
        <v>19.999653169166738</v>
      </c>
    </row>
    <row r="76" spans="2:14" s="142" customFormat="1" x14ac:dyDescent="0.35">
      <c r="B76" s="229" t="s">
        <v>2817</v>
      </c>
      <c r="C76" s="221">
        <v>858</v>
      </c>
      <c r="D76" s="178">
        <f t="shared" si="4"/>
        <v>83.099453741437642</v>
      </c>
      <c r="E76" s="178">
        <f t="shared" si="4"/>
        <v>39.727044134223526</v>
      </c>
      <c r="F76" s="178">
        <f t="shared" si="4"/>
        <v>75.213561085580508</v>
      </c>
      <c r="G76" s="178">
        <f t="shared" si="4"/>
        <v>42.479667042400045</v>
      </c>
      <c r="H76" s="178">
        <f t="shared" si="4"/>
        <v>63.38472210179485</v>
      </c>
      <c r="I76" s="178">
        <f t="shared" si="4"/>
        <v>76.031908436660032</v>
      </c>
      <c r="J76" s="178">
        <f t="shared" si="4"/>
        <v>45.083499523107612</v>
      </c>
      <c r="K76" s="178">
        <f t="shared" si="4"/>
        <v>150.94788866730252</v>
      </c>
      <c r="L76" s="178">
        <f t="shared" si="4"/>
        <v>291.40605219804047</v>
      </c>
      <c r="M76" s="178">
        <f t="shared" si="4"/>
        <v>78.710136131102047</v>
      </c>
      <c r="N76" s="220">
        <f t="shared" si="4"/>
        <v>15.771785311714211</v>
      </c>
    </row>
    <row r="77" spans="2:14" s="142" customFormat="1" x14ac:dyDescent="0.35">
      <c r="B77" s="214" t="s">
        <v>1376</v>
      </c>
      <c r="C77" s="222">
        <v>834</v>
      </c>
      <c r="D77" s="216">
        <f t="shared" si="4"/>
        <v>80.774993496921908</v>
      </c>
      <c r="E77" s="216">
        <f t="shared" si="4"/>
        <v>38.615798144455042</v>
      </c>
      <c r="F77" s="216">
        <f t="shared" si="4"/>
        <v>73.109685251018803</v>
      </c>
      <c r="G77" s="216">
        <f t="shared" si="4"/>
        <v>41.291424607647592</v>
      </c>
      <c r="H77" s="216">
        <f t="shared" si="4"/>
        <v>61.611722882164223</v>
      </c>
      <c r="I77" s="216">
        <f t="shared" si="4"/>
        <v>73.905141767103117</v>
      </c>
      <c r="J77" s="216">
        <f t="shared" si="4"/>
        <v>43.822422613370335</v>
      </c>
      <c r="K77" s="216">
        <f t="shared" si="4"/>
        <v>146.72557010318218</v>
      </c>
      <c r="L77" s="216">
        <f t="shared" si="4"/>
        <v>283.25483395473861</v>
      </c>
      <c r="M77" s="216">
        <f t="shared" si="4"/>
        <v>76.508454001560736</v>
      </c>
      <c r="N77" s="217">
        <f t="shared" si="4"/>
        <v>15.33061649180612</v>
      </c>
    </row>
    <row r="78" spans="2:14" s="142" customFormat="1" x14ac:dyDescent="0.35">
      <c r="B78" s="218" t="s">
        <v>2271</v>
      </c>
      <c r="C78" s="221">
        <v>934</v>
      </c>
      <c r="D78" s="178">
        <f t="shared" si="4"/>
        <v>90.460244515737472</v>
      </c>
      <c r="E78" s="178">
        <f t="shared" si="4"/>
        <v>43.245989768490418</v>
      </c>
      <c r="F78" s="178">
        <f t="shared" si="4"/>
        <v>81.875834561692528</v>
      </c>
      <c r="G78" s="178">
        <f t="shared" si="4"/>
        <v>46.242434752449462</v>
      </c>
      <c r="H78" s="178">
        <f t="shared" si="4"/>
        <v>68.999219630625163</v>
      </c>
      <c r="I78" s="178">
        <f t="shared" si="4"/>
        <v>82.766669556923631</v>
      </c>
      <c r="J78" s="178">
        <f t="shared" si="4"/>
        <v>49.076909737275649</v>
      </c>
      <c r="K78" s="178">
        <f t="shared" si="4"/>
        <v>164.31856412035029</v>
      </c>
      <c r="L78" s="178">
        <f t="shared" si="4"/>
        <v>317.2182433018296</v>
      </c>
      <c r="M78" s="178">
        <f t="shared" si="4"/>
        <v>85.682129541316215</v>
      </c>
      <c r="N78" s="220">
        <f t="shared" si="4"/>
        <v>17.16881990808983</v>
      </c>
    </row>
    <row r="79" spans="2:14" s="142" customFormat="1" x14ac:dyDescent="0.35">
      <c r="B79" s="214" t="s">
        <v>1372</v>
      </c>
      <c r="C79" s="222">
        <v>826</v>
      </c>
      <c r="D79" s="216">
        <f t="shared" si="4"/>
        <v>80.000173415416654</v>
      </c>
      <c r="E79" s="216">
        <f t="shared" si="4"/>
        <v>38.245382814532206</v>
      </c>
      <c r="F79" s="216">
        <f t="shared" si="4"/>
        <v>72.408393306164911</v>
      </c>
      <c r="G79" s="216">
        <f t="shared" si="4"/>
        <v>40.895343796063443</v>
      </c>
      <c r="H79" s="216">
        <f t="shared" si="4"/>
        <v>61.020723142287345</v>
      </c>
      <c r="I79" s="216">
        <f t="shared" si="4"/>
        <v>73.196219543917465</v>
      </c>
      <c r="J79" s="216">
        <f t="shared" si="4"/>
        <v>43.402063643457907</v>
      </c>
      <c r="K79" s="216">
        <f t="shared" si="4"/>
        <v>145.31813058180873</v>
      </c>
      <c r="L79" s="216">
        <f t="shared" si="4"/>
        <v>280.53776120697137</v>
      </c>
      <c r="M79" s="216">
        <f t="shared" si="4"/>
        <v>75.774559958380294</v>
      </c>
      <c r="N79" s="217">
        <f t="shared" si="4"/>
        <v>15.183560218503425</v>
      </c>
    </row>
    <row r="80" spans="2:14" s="142" customFormat="1" x14ac:dyDescent="0.35">
      <c r="B80" s="218" t="s">
        <v>1365</v>
      </c>
      <c r="C80" s="219">
        <v>1220</v>
      </c>
      <c r="D80" s="178">
        <f t="shared" si="4"/>
        <v>118.16006242955002</v>
      </c>
      <c r="E80" s="178">
        <f t="shared" si="4"/>
        <v>56.488337813231588</v>
      </c>
      <c r="F80" s="178">
        <f t="shared" si="4"/>
        <v>106.94702159021936</v>
      </c>
      <c r="G80" s="178">
        <f t="shared" si="4"/>
        <v>60.402323766582811</v>
      </c>
      <c r="H80" s="178">
        <f t="shared" si="4"/>
        <v>90.127460331223446</v>
      </c>
      <c r="I80" s="178">
        <f t="shared" si="4"/>
        <v>108.11063903581031</v>
      </c>
      <c r="J80" s="178">
        <f t="shared" si="4"/>
        <v>64.104742911644848</v>
      </c>
      <c r="K80" s="178">
        <f t="shared" si="4"/>
        <v>214.63452700945115</v>
      </c>
      <c r="L80" s="178">
        <f t="shared" si="4"/>
        <v>414.35359403450974</v>
      </c>
      <c r="M80" s="178">
        <f t="shared" si="4"/>
        <v>111.91884158501691</v>
      </c>
      <c r="N80" s="220">
        <f t="shared" si="4"/>
        <v>22.426081678661234</v>
      </c>
    </row>
    <row r="81" spans="2:14" s="142" customFormat="1" x14ac:dyDescent="0.35">
      <c r="B81" s="214" t="s">
        <v>1377</v>
      </c>
      <c r="C81" s="222">
        <v>892</v>
      </c>
      <c r="D81" s="216">
        <f t="shared" ref="D81:N90" si="5">D$69/$C$69*$C81</f>
        <v>86.39243908783493</v>
      </c>
      <c r="E81" s="216">
        <f t="shared" si="5"/>
        <v>41.301309286395558</v>
      </c>
      <c r="F81" s="216">
        <f t="shared" si="5"/>
        <v>78.194051851209565</v>
      </c>
      <c r="G81" s="216">
        <f t="shared" si="5"/>
        <v>44.163010491632683</v>
      </c>
      <c r="H81" s="216">
        <f t="shared" si="5"/>
        <v>65.89647099627156</v>
      </c>
      <c r="I81" s="216">
        <f t="shared" si="5"/>
        <v>79.044827885199012</v>
      </c>
      <c r="J81" s="216">
        <f t="shared" si="5"/>
        <v>46.870025145235417</v>
      </c>
      <c r="K81" s="216">
        <f t="shared" si="5"/>
        <v>156.92950663313968</v>
      </c>
      <c r="L81" s="216">
        <f t="shared" si="5"/>
        <v>302.95361137605136</v>
      </c>
      <c r="M81" s="216">
        <f t="shared" si="5"/>
        <v>81.82918581461891</v>
      </c>
      <c r="N81" s="217">
        <f t="shared" si="5"/>
        <v>16.396774473250673</v>
      </c>
    </row>
    <row r="82" spans="2:14" s="142" customFormat="1" x14ac:dyDescent="0.35">
      <c r="B82" s="231" t="s">
        <v>1368</v>
      </c>
      <c r="C82" s="219">
        <v>1719</v>
      </c>
      <c r="D82" s="178">
        <f t="shared" si="5"/>
        <v>166.48946501343974</v>
      </c>
      <c r="E82" s="178">
        <f t="shared" si="5"/>
        <v>79.592994017168124</v>
      </c>
      <c r="F82" s="178">
        <f t="shared" si="5"/>
        <v>150.69010665048123</v>
      </c>
      <c r="G82" s="178">
        <f t="shared" si="5"/>
        <v>85.10786438914414</v>
      </c>
      <c r="H82" s="178">
        <f t="shared" si="5"/>
        <v>126.99106910604353</v>
      </c>
      <c r="I82" s="178">
        <f t="shared" si="5"/>
        <v>152.32966270701468</v>
      </c>
      <c r="J82" s="178">
        <f t="shared" si="5"/>
        <v>90.324633659932374</v>
      </c>
      <c r="K82" s="178">
        <f t="shared" si="5"/>
        <v>302.42356715512011</v>
      </c>
      <c r="L82" s="178">
        <f t="shared" si="5"/>
        <v>583.83100667649364</v>
      </c>
      <c r="M82" s="178">
        <f t="shared" si="5"/>
        <v>157.69548252839678</v>
      </c>
      <c r="N82" s="220">
        <f t="shared" si="5"/>
        <v>31.598716725916933</v>
      </c>
    </row>
    <row r="83" spans="2:14" s="142" customFormat="1" x14ac:dyDescent="0.35">
      <c r="B83" s="230" t="s">
        <v>2483</v>
      </c>
      <c r="C83" s="215">
        <v>1267</v>
      </c>
      <c r="D83" s="216">
        <f t="shared" si="5"/>
        <v>122.71213040839335</v>
      </c>
      <c r="E83" s="216">
        <f t="shared" si="5"/>
        <v>58.664527876528219</v>
      </c>
      <c r="F83" s="216">
        <f t="shared" si="5"/>
        <v>111.06711176623601</v>
      </c>
      <c r="G83" s="216">
        <f t="shared" si="5"/>
        <v>62.729298534639689</v>
      </c>
      <c r="H83" s="216">
        <f t="shared" si="5"/>
        <v>93.599583803000087</v>
      </c>
      <c r="I83" s="216">
        <f t="shared" si="5"/>
        <v>112.27555709702595</v>
      </c>
      <c r="J83" s="216">
        <f t="shared" si="5"/>
        <v>66.574351859880352</v>
      </c>
      <c r="K83" s="216">
        <f t="shared" si="5"/>
        <v>222.90323419752016</v>
      </c>
      <c r="L83" s="216">
        <f t="shared" si="5"/>
        <v>430.31639642764247</v>
      </c>
      <c r="M83" s="216">
        <f t="shared" si="5"/>
        <v>116.23046908870198</v>
      </c>
      <c r="N83" s="217">
        <f t="shared" si="5"/>
        <v>23.290037284314575</v>
      </c>
    </row>
    <row r="84" spans="2:14" s="142" customFormat="1" x14ac:dyDescent="0.35">
      <c r="B84" s="231" t="s">
        <v>2485</v>
      </c>
      <c r="C84" s="219">
        <v>3313</v>
      </c>
      <c r="D84" s="178">
        <f t="shared" si="5"/>
        <v>320.87236625336004</v>
      </c>
      <c r="E84" s="178">
        <f t="shared" si="5"/>
        <v>153.39824850429201</v>
      </c>
      <c r="F84" s="178">
        <f t="shared" si="5"/>
        <v>290.42252666262027</v>
      </c>
      <c r="G84" s="178">
        <f t="shared" si="5"/>
        <v>164.02696609728596</v>
      </c>
      <c r="H84" s="178">
        <f t="shared" si="5"/>
        <v>244.74776727651087</v>
      </c>
      <c r="I84" s="178">
        <f t="shared" si="5"/>
        <v>293.58241567675373</v>
      </c>
      <c r="J84" s="178">
        <f t="shared" si="5"/>
        <v>174.08115841498312</v>
      </c>
      <c r="K84" s="178">
        <f t="shared" si="5"/>
        <v>582.85589178878001</v>
      </c>
      <c r="L84" s="178">
        <f t="shared" si="5"/>
        <v>1125.2077516691236</v>
      </c>
      <c r="M84" s="178">
        <f t="shared" si="5"/>
        <v>303.92387063209918</v>
      </c>
      <c r="N84" s="220">
        <f t="shared" si="5"/>
        <v>60.899679181479229</v>
      </c>
    </row>
    <row r="85" spans="2:14" s="142" customFormat="1" x14ac:dyDescent="0.35">
      <c r="B85" s="230" t="s">
        <v>2486</v>
      </c>
      <c r="C85" s="215">
        <v>1575</v>
      </c>
      <c r="D85" s="216">
        <f t="shared" si="5"/>
        <v>152.54270354634531</v>
      </c>
      <c r="E85" s="216">
        <f t="shared" si="5"/>
        <v>72.925518078557175</v>
      </c>
      <c r="F85" s="216">
        <f t="shared" si="5"/>
        <v>138.06685164311105</v>
      </c>
      <c r="G85" s="216">
        <f t="shared" si="5"/>
        <v>77.978409780629448</v>
      </c>
      <c r="H85" s="216">
        <f t="shared" si="5"/>
        <v>116.35307378825978</v>
      </c>
      <c r="I85" s="216">
        <f t="shared" si="5"/>
        <v>139.56906268967313</v>
      </c>
      <c r="J85" s="216">
        <f t="shared" si="5"/>
        <v>82.758172201508728</v>
      </c>
      <c r="K85" s="216">
        <f t="shared" si="5"/>
        <v>277.089655770398</v>
      </c>
      <c r="L85" s="216">
        <f t="shared" si="5"/>
        <v>534.92369721668263</v>
      </c>
      <c r="M85" s="216">
        <f t="shared" si="5"/>
        <v>144.48538975114886</v>
      </c>
      <c r="N85" s="217">
        <f t="shared" si="5"/>
        <v>28.951703806468394</v>
      </c>
    </row>
    <row r="86" spans="2:14" s="142" customFormat="1" x14ac:dyDescent="0.35">
      <c r="B86" s="229" t="s">
        <v>2818</v>
      </c>
      <c r="C86" s="219">
        <v>1106</v>
      </c>
      <c r="D86" s="178">
        <f t="shared" si="5"/>
        <v>107.11887626810027</v>
      </c>
      <c r="E86" s="178">
        <f t="shared" si="5"/>
        <v>51.209919361831261</v>
      </c>
      <c r="F86" s="178">
        <f t="shared" si="5"/>
        <v>96.953611376051327</v>
      </c>
      <c r="G86" s="178">
        <f t="shared" si="5"/>
        <v>54.758172201508678</v>
      </c>
      <c r="H86" s="178">
        <f t="shared" si="5"/>
        <v>81.70571403797797</v>
      </c>
      <c r="I86" s="178">
        <f t="shared" si="5"/>
        <v>98.008497355414917</v>
      </c>
      <c r="J86" s="178">
        <f t="shared" si="5"/>
        <v>58.114627590392793</v>
      </c>
      <c r="K86" s="178">
        <f t="shared" si="5"/>
        <v>194.57851382987948</v>
      </c>
      <c r="L86" s="178">
        <f t="shared" si="5"/>
        <v>375.63530737882604</v>
      </c>
      <c r="M86" s="178">
        <f t="shared" si="5"/>
        <v>101.46085146969565</v>
      </c>
      <c r="N86" s="220">
        <f t="shared" si="5"/>
        <v>20.330529784097806</v>
      </c>
    </row>
    <row r="87" spans="2:14" s="142" customFormat="1" x14ac:dyDescent="0.35">
      <c r="B87" s="214" t="s">
        <v>2267</v>
      </c>
      <c r="C87" s="215">
        <v>1108</v>
      </c>
      <c r="D87" s="216">
        <f t="shared" si="5"/>
        <v>107.31258128847658</v>
      </c>
      <c r="E87" s="216">
        <f t="shared" si="5"/>
        <v>51.302523194311966</v>
      </c>
      <c r="F87" s="216">
        <f t="shared" si="5"/>
        <v>97.1289343622648</v>
      </c>
      <c r="G87" s="216">
        <f t="shared" si="5"/>
        <v>54.857192404404721</v>
      </c>
      <c r="H87" s="216">
        <f t="shared" si="5"/>
        <v>81.853463972947196</v>
      </c>
      <c r="I87" s="216">
        <f t="shared" si="5"/>
        <v>98.18572791121133</v>
      </c>
      <c r="J87" s="216">
        <f t="shared" si="5"/>
        <v>58.2197173328709</v>
      </c>
      <c r="K87" s="216">
        <f t="shared" si="5"/>
        <v>194.93037371022282</v>
      </c>
      <c r="L87" s="216">
        <f t="shared" si="5"/>
        <v>376.31457556576783</v>
      </c>
      <c r="M87" s="216">
        <f t="shared" si="5"/>
        <v>101.64432498049077</v>
      </c>
      <c r="N87" s="217">
        <f t="shared" si="5"/>
        <v>20.367293852423479</v>
      </c>
    </row>
    <row r="88" spans="2:14" s="142" customFormat="1" x14ac:dyDescent="0.35">
      <c r="B88" s="218" t="s">
        <v>1366</v>
      </c>
      <c r="C88" s="219">
        <v>1061</v>
      </c>
      <c r="D88" s="178">
        <f t="shared" si="5"/>
        <v>102.76051330963325</v>
      </c>
      <c r="E88" s="178">
        <f t="shared" si="5"/>
        <v>49.126333131015343</v>
      </c>
      <c r="F88" s="178">
        <f t="shared" si="5"/>
        <v>93.008844186248155</v>
      </c>
      <c r="G88" s="178">
        <f t="shared" si="5"/>
        <v>52.530217636347842</v>
      </c>
      <c r="H88" s="178">
        <f t="shared" si="5"/>
        <v>78.381340501170556</v>
      </c>
      <c r="I88" s="178">
        <f t="shared" si="5"/>
        <v>94.020809849995686</v>
      </c>
      <c r="J88" s="178">
        <f t="shared" si="5"/>
        <v>55.750108384635404</v>
      </c>
      <c r="K88" s="178">
        <f t="shared" si="5"/>
        <v>186.66166652215381</v>
      </c>
      <c r="L88" s="178">
        <f t="shared" si="5"/>
        <v>360.35177317263509</v>
      </c>
      <c r="M88" s="178">
        <f t="shared" si="5"/>
        <v>97.332697476805691</v>
      </c>
      <c r="N88" s="220">
        <f t="shared" si="5"/>
        <v>19.503338246770138</v>
      </c>
    </row>
    <row r="89" spans="2:14" s="142" customFormat="1" x14ac:dyDescent="0.35">
      <c r="B89" s="214" t="s">
        <v>2272</v>
      </c>
      <c r="C89" s="215">
        <v>1010</v>
      </c>
      <c r="D89" s="216">
        <f t="shared" si="5"/>
        <v>97.821035290037315</v>
      </c>
      <c r="E89" s="216">
        <f t="shared" si="5"/>
        <v>46.764935402757303</v>
      </c>
      <c r="F89" s="216">
        <f t="shared" si="5"/>
        <v>88.538108037804548</v>
      </c>
      <c r="G89" s="216">
        <f t="shared" si="5"/>
        <v>50.005202462498886</v>
      </c>
      <c r="H89" s="216">
        <f t="shared" si="5"/>
        <v>74.613717159455476</v>
      </c>
      <c r="I89" s="216">
        <f t="shared" si="5"/>
        <v>89.501430677187216</v>
      </c>
      <c r="J89" s="216">
        <f t="shared" si="5"/>
        <v>53.070319951443693</v>
      </c>
      <c r="K89" s="216">
        <f t="shared" si="5"/>
        <v>177.68923957339808</v>
      </c>
      <c r="L89" s="216">
        <f t="shared" si="5"/>
        <v>343.03043440561873</v>
      </c>
      <c r="M89" s="216">
        <f t="shared" si="5"/>
        <v>92.654122951530383</v>
      </c>
      <c r="N89" s="217">
        <f t="shared" si="5"/>
        <v>18.565854504465445</v>
      </c>
    </row>
    <row r="90" spans="2:14" s="142" customFormat="1" x14ac:dyDescent="0.35">
      <c r="B90" s="229" t="s">
        <v>811</v>
      </c>
      <c r="C90" s="221">
        <v>928</v>
      </c>
      <c r="D90" s="178">
        <f t="shared" si="5"/>
        <v>89.879129454608545</v>
      </c>
      <c r="E90" s="178">
        <f t="shared" si="5"/>
        <v>42.968178271048295</v>
      </c>
      <c r="F90" s="178">
        <f t="shared" si="5"/>
        <v>81.349865603052109</v>
      </c>
      <c r="G90" s="178">
        <f t="shared" si="5"/>
        <v>45.945374143761356</v>
      </c>
      <c r="H90" s="178">
        <f t="shared" si="5"/>
        <v>68.555969825717511</v>
      </c>
      <c r="I90" s="178">
        <f t="shared" si="5"/>
        <v>82.234977889534392</v>
      </c>
      <c r="J90" s="178">
        <f t="shared" si="5"/>
        <v>48.761640509841328</v>
      </c>
      <c r="K90" s="178">
        <f t="shared" si="5"/>
        <v>163.26298447932021</v>
      </c>
      <c r="L90" s="178">
        <f t="shared" si="5"/>
        <v>315.18043874100414</v>
      </c>
      <c r="M90" s="178">
        <f t="shared" si="5"/>
        <v>85.131709008930898</v>
      </c>
      <c r="N90" s="220">
        <f t="shared" si="5"/>
        <v>17.058527703112805</v>
      </c>
    </row>
    <row r="91" spans="2:14" s="142" customFormat="1" x14ac:dyDescent="0.35">
      <c r="B91" s="214" t="s">
        <v>2819</v>
      </c>
      <c r="C91" s="215">
        <v>1405</v>
      </c>
      <c r="D91" s="216">
        <f t="shared" ref="D91:N100" si="6">D$69/$C$69*$C91</f>
        <v>136.07777681435883</v>
      </c>
      <c r="E91" s="216">
        <f t="shared" si="6"/>
        <v>65.054192317697044</v>
      </c>
      <c r="F91" s="216">
        <f t="shared" si="6"/>
        <v>123.16439781496574</v>
      </c>
      <c r="G91" s="216">
        <f t="shared" si="6"/>
        <v>69.561692534466275</v>
      </c>
      <c r="H91" s="216">
        <f t="shared" si="6"/>
        <v>103.79432931587618</v>
      </c>
      <c r="I91" s="216">
        <f t="shared" si="6"/>
        <v>124.50446544697826</v>
      </c>
      <c r="J91" s="216">
        <f t="shared" si="6"/>
        <v>73.825544090869684</v>
      </c>
      <c r="K91" s="216">
        <f t="shared" si="6"/>
        <v>247.18156594121217</v>
      </c>
      <c r="L91" s="216">
        <f t="shared" si="6"/>
        <v>477.18590132662803</v>
      </c>
      <c r="M91" s="216">
        <f t="shared" si="6"/>
        <v>128.89014133356454</v>
      </c>
      <c r="N91" s="217">
        <f t="shared" si="6"/>
        <v>25.826757998786093</v>
      </c>
    </row>
    <row r="92" spans="2:14" s="142" customFormat="1" x14ac:dyDescent="0.35">
      <c r="B92" s="218" t="s">
        <v>2820</v>
      </c>
      <c r="C92" s="221">
        <v>764</v>
      </c>
      <c r="D92" s="178">
        <f t="shared" si="6"/>
        <v>73.995317783751005</v>
      </c>
      <c r="E92" s="178">
        <f t="shared" si="6"/>
        <v>35.374664007630273</v>
      </c>
      <c r="F92" s="178">
        <f t="shared" si="6"/>
        <v>66.973380733547202</v>
      </c>
      <c r="G92" s="178">
        <f t="shared" si="6"/>
        <v>37.825717506286288</v>
      </c>
      <c r="H92" s="178">
        <f t="shared" si="6"/>
        <v>56.440475158241568</v>
      </c>
      <c r="I92" s="178">
        <f t="shared" si="6"/>
        <v>67.702072314228744</v>
      </c>
      <c r="J92" s="178">
        <f t="shared" si="6"/>
        <v>40.144281626636612</v>
      </c>
      <c r="K92" s="178">
        <f t="shared" si="6"/>
        <v>134.41047429116449</v>
      </c>
      <c r="L92" s="178">
        <f t="shared" si="6"/>
        <v>259.48044741177495</v>
      </c>
      <c r="M92" s="178">
        <f t="shared" si="6"/>
        <v>70.086881123731899</v>
      </c>
      <c r="N92" s="220">
        <f t="shared" si="6"/>
        <v>14.043874100407526</v>
      </c>
    </row>
    <row r="93" spans="2:14" s="142" customFormat="1" x14ac:dyDescent="0.35">
      <c r="B93" s="214" t="s">
        <v>812</v>
      </c>
      <c r="C93" s="222">
        <v>787</v>
      </c>
      <c r="D93" s="216">
        <f t="shared" si="6"/>
        <v>76.222925518078583</v>
      </c>
      <c r="E93" s="216">
        <f t="shared" si="6"/>
        <v>36.439608081158411</v>
      </c>
      <c r="F93" s="216">
        <f t="shared" si="6"/>
        <v>68.989595075002157</v>
      </c>
      <c r="G93" s="216">
        <f t="shared" si="6"/>
        <v>38.964449839590714</v>
      </c>
      <c r="H93" s="216">
        <f t="shared" si="6"/>
        <v>58.139599410387582</v>
      </c>
      <c r="I93" s="216">
        <f t="shared" si="6"/>
        <v>69.740223705887473</v>
      </c>
      <c r="J93" s="216">
        <f t="shared" si="6"/>
        <v>41.352813665134839</v>
      </c>
      <c r="K93" s="216">
        <f t="shared" si="6"/>
        <v>138.45686291511316</v>
      </c>
      <c r="L93" s="216">
        <f t="shared" si="6"/>
        <v>267.29203156160588</v>
      </c>
      <c r="M93" s="216">
        <f t="shared" si="6"/>
        <v>72.196826497875662</v>
      </c>
      <c r="N93" s="217">
        <f t="shared" si="6"/>
        <v>14.466660886152779</v>
      </c>
    </row>
    <row r="94" spans="2:14" s="142" customFormat="1" x14ac:dyDescent="0.35">
      <c r="B94" s="218" t="s">
        <v>2273</v>
      </c>
      <c r="C94" s="221">
        <v>876</v>
      </c>
      <c r="D94" s="178">
        <f t="shared" si="6"/>
        <v>84.84279892482445</v>
      </c>
      <c r="E94" s="178">
        <f t="shared" si="6"/>
        <v>40.560478626549894</v>
      </c>
      <c r="F94" s="178">
        <f t="shared" si="6"/>
        <v>76.791467961501766</v>
      </c>
      <c r="G94" s="178">
        <f t="shared" si="6"/>
        <v>43.370848868464378</v>
      </c>
      <c r="H94" s="178">
        <f t="shared" si="6"/>
        <v>64.714471516517818</v>
      </c>
      <c r="I94" s="178">
        <f t="shared" si="6"/>
        <v>77.626983438827722</v>
      </c>
      <c r="J94" s="178">
        <f t="shared" si="6"/>
        <v>46.029307205410568</v>
      </c>
      <c r="K94" s="178">
        <f t="shared" si="6"/>
        <v>154.11462759039279</v>
      </c>
      <c r="L94" s="178">
        <f t="shared" si="6"/>
        <v>297.5194658805168</v>
      </c>
      <c r="M94" s="178">
        <f t="shared" si="6"/>
        <v>80.361397728258041</v>
      </c>
      <c r="N94" s="220">
        <f t="shared" si="6"/>
        <v>16.102661926645279</v>
      </c>
    </row>
    <row r="95" spans="2:14" s="142" customFormat="1" x14ac:dyDescent="0.35">
      <c r="B95" s="230" t="s">
        <v>2821</v>
      </c>
      <c r="C95" s="215">
        <v>1357</v>
      </c>
      <c r="D95" s="216">
        <f t="shared" si="6"/>
        <v>131.42885632532736</v>
      </c>
      <c r="E95" s="216">
        <f t="shared" si="6"/>
        <v>62.831700338160054</v>
      </c>
      <c r="F95" s="216">
        <f t="shared" si="6"/>
        <v>118.95664614584236</v>
      </c>
      <c r="G95" s="216">
        <f t="shared" si="6"/>
        <v>67.185207664961382</v>
      </c>
      <c r="H95" s="216">
        <f t="shared" si="6"/>
        <v>100.24833087661493</v>
      </c>
      <c r="I95" s="216">
        <f t="shared" si="6"/>
        <v>120.25093210786441</v>
      </c>
      <c r="J95" s="216">
        <f t="shared" si="6"/>
        <v>71.303390271395131</v>
      </c>
      <c r="K95" s="216">
        <f t="shared" si="6"/>
        <v>238.73692881297146</v>
      </c>
      <c r="L95" s="216">
        <f t="shared" si="6"/>
        <v>460.88346484002437</v>
      </c>
      <c r="M95" s="216">
        <f t="shared" si="6"/>
        <v>124.48677707448192</v>
      </c>
      <c r="N95" s="217">
        <f t="shared" si="6"/>
        <v>24.944420358969911</v>
      </c>
    </row>
    <row r="96" spans="2:14" s="142" customFormat="1" x14ac:dyDescent="0.35">
      <c r="B96" s="231" t="s">
        <v>2822</v>
      </c>
      <c r="C96" s="219">
        <v>3489</v>
      </c>
      <c r="D96" s="178">
        <f t="shared" si="6"/>
        <v>337.91840804647546</v>
      </c>
      <c r="E96" s="178">
        <f t="shared" si="6"/>
        <v>161.54738576259427</v>
      </c>
      <c r="F96" s="178">
        <f t="shared" si="6"/>
        <v>305.85094944940602</v>
      </c>
      <c r="G96" s="178">
        <f t="shared" si="6"/>
        <v>172.74074395213725</v>
      </c>
      <c r="H96" s="178">
        <f t="shared" si="6"/>
        <v>257.7497615538021</v>
      </c>
      <c r="I96" s="178">
        <f t="shared" si="6"/>
        <v>309.17870458683785</v>
      </c>
      <c r="J96" s="178">
        <f t="shared" si="6"/>
        <v>183.32905575305648</v>
      </c>
      <c r="K96" s="178">
        <f t="shared" si="6"/>
        <v>613.81956125899592</v>
      </c>
      <c r="L96" s="178">
        <f t="shared" si="6"/>
        <v>1184.9833521200037</v>
      </c>
      <c r="M96" s="178">
        <f t="shared" si="6"/>
        <v>320.06953958206884</v>
      </c>
      <c r="N96" s="220">
        <f t="shared" si="6"/>
        <v>64.134917194138552</v>
      </c>
    </row>
    <row r="97" spans="2:14" s="142" customFormat="1" x14ac:dyDescent="0.35">
      <c r="B97" s="230" t="s">
        <v>2823</v>
      </c>
      <c r="C97" s="222">
        <v>847</v>
      </c>
      <c r="D97" s="216">
        <f t="shared" si="6"/>
        <v>82.034076129367932</v>
      </c>
      <c r="E97" s="216">
        <f t="shared" si="6"/>
        <v>39.21772305557964</v>
      </c>
      <c r="F97" s="216">
        <f t="shared" si="6"/>
        <v>74.249284661406392</v>
      </c>
      <c r="G97" s="216">
        <f t="shared" si="6"/>
        <v>41.93505592647184</v>
      </c>
      <c r="H97" s="216">
        <f t="shared" si="6"/>
        <v>62.572097459464146</v>
      </c>
      <c r="I97" s="216">
        <f t="shared" si="6"/>
        <v>75.057140379779781</v>
      </c>
      <c r="J97" s="216">
        <f t="shared" si="6"/>
        <v>44.505505939478027</v>
      </c>
      <c r="K97" s="216">
        <f t="shared" si="6"/>
        <v>149.01265932541403</v>
      </c>
      <c r="L97" s="216">
        <f t="shared" si="6"/>
        <v>287.67007716986046</v>
      </c>
      <c r="M97" s="216">
        <f t="shared" si="6"/>
        <v>77.701031821728947</v>
      </c>
      <c r="N97" s="217">
        <f t="shared" si="6"/>
        <v>15.569582935923004</v>
      </c>
    </row>
    <row r="98" spans="2:14" s="142" customFormat="1" x14ac:dyDescent="0.35">
      <c r="B98" s="231" t="s">
        <v>2824</v>
      </c>
      <c r="C98" s="219">
        <v>1083</v>
      </c>
      <c r="D98" s="178">
        <f t="shared" si="6"/>
        <v>104.89126853377269</v>
      </c>
      <c r="E98" s="178">
        <f t="shared" si="6"/>
        <v>50.144975288303122</v>
      </c>
      <c r="F98" s="178">
        <f t="shared" si="6"/>
        <v>94.937397034596373</v>
      </c>
      <c r="G98" s="178">
        <f t="shared" si="6"/>
        <v>53.619439868204253</v>
      </c>
      <c r="H98" s="178">
        <f t="shared" si="6"/>
        <v>80.006589785831963</v>
      </c>
      <c r="I98" s="178">
        <f t="shared" si="6"/>
        <v>95.970345963756202</v>
      </c>
      <c r="J98" s="178">
        <f t="shared" si="6"/>
        <v>56.906095551894573</v>
      </c>
      <c r="K98" s="178">
        <f t="shared" si="6"/>
        <v>190.53212520593081</v>
      </c>
      <c r="L98" s="178">
        <f t="shared" si="6"/>
        <v>367.82372322899511</v>
      </c>
      <c r="M98" s="178">
        <f t="shared" si="6"/>
        <v>99.350906095551892</v>
      </c>
      <c r="N98" s="220">
        <f t="shared" si="6"/>
        <v>19.907742998352553</v>
      </c>
    </row>
    <row r="99" spans="2:14" s="142" customFormat="1" x14ac:dyDescent="0.35">
      <c r="B99" s="214" t="s">
        <v>1369</v>
      </c>
      <c r="C99" s="215">
        <v>1796</v>
      </c>
      <c r="D99" s="216">
        <f t="shared" si="6"/>
        <v>173.94710829792774</v>
      </c>
      <c r="E99" s="216">
        <f t="shared" si="6"/>
        <v>83.158241567675361</v>
      </c>
      <c r="F99" s="216">
        <f t="shared" si="6"/>
        <v>157.44004161969997</v>
      </c>
      <c r="G99" s="216">
        <f t="shared" si="6"/>
        <v>88.920142200641578</v>
      </c>
      <c r="H99" s="216">
        <f t="shared" si="6"/>
        <v>132.67944160235845</v>
      </c>
      <c r="I99" s="216">
        <f t="shared" si="6"/>
        <v>159.15303910517648</v>
      </c>
      <c r="J99" s="216">
        <f t="shared" si="6"/>
        <v>94.370588745339475</v>
      </c>
      <c r="K99" s="216">
        <f t="shared" si="6"/>
        <v>315.97017254833952</v>
      </c>
      <c r="L99" s="216">
        <f t="shared" si="6"/>
        <v>609.98283187375364</v>
      </c>
      <c r="M99" s="216">
        <f t="shared" si="6"/>
        <v>164.75921269400848</v>
      </c>
      <c r="N99" s="217">
        <f t="shared" si="6"/>
        <v>33.014133356455389</v>
      </c>
    </row>
    <row r="100" spans="2:14" s="142" customFormat="1" x14ac:dyDescent="0.35">
      <c r="B100" s="218" t="s">
        <v>1370</v>
      </c>
      <c r="C100" s="219">
        <v>1128</v>
      </c>
      <c r="D100" s="178">
        <f t="shared" si="6"/>
        <v>109.2496314922397</v>
      </c>
      <c r="E100" s="178">
        <f t="shared" si="6"/>
        <v>52.228561519119047</v>
      </c>
      <c r="F100" s="178">
        <f t="shared" si="6"/>
        <v>98.882164224399546</v>
      </c>
      <c r="G100" s="178">
        <f t="shared" si="6"/>
        <v>55.847394433365096</v>
      </c>
      <c r="H100" s="178">
        <f t="shared" si="6"/>
        <v>83.330963322639377</v>
      </c>
      <c r="I100" s="178">
        <f t="shared" si="6"/>
        <v>99.958033469175433</v>
      </c>
      <c r="J100" s="178">
        <f t="shared" si="6"/>
        <v>59.270614757651963</v>
      </c>
      <c r="K100" s="178">
        <f t="shared" si="6"/>
        <v>198.44897251365646</v>
      </c>
      <c r="L100" s="178">
        <f t="shared" si="6"/>
        <v>383.10725743518606</v>
      </c>
      <c r="M100" s="178">
        <f t="shared" si="6"/>
        <v>103.47906008844186</v>
      </c>
      <c r="N100" s="220">
        <f t="shared" si="6"/>
        <v>20.734934535680221</v>
      </c>
    </row>
    <row r="101" spans="2:14" s="142" customFormat="1" x14ac:dyDescent="0.35">
      <c r="B101" s="230" t="s">
        <v>2495</v>
      </c>
      <c r="C101" s="215">
        <v>2983</v>
      </c>
      <c r="D101" s="216">
        <f t="shared" ref="D101:N107" si="7">D$69/$C$69*$C101</f>
        <v>288.91103789126862</v>
      </c>
      <c r="E101" s="216">
        <f t="shared" si="7"/>
        <v>138.11861614497528</v>
      </c>
      <c r="F101" s="216">
        <f t="shared" si="7"/>
        <v>261.49423393739704</v>
      </c>
      <c r="G101" s="216">
        <f t="shared" si="7"/>
        <v>147.68863261943977</v>
      </c>
      <c r="H101" s="216">
        <f t="shared" si="7"/>
        <v>220.36902800658979</v>
      </c>
      <c r="I101" s="216">
        <f t="shared" si="7"/>
        <v>264.339373970346</v>
      </c>
      <c r="J101" s="216">
        <f t="shared" si="7"/>
        <v>156.74135090609556</v>
      </c>
      <c r="K101" s="216">
        <f t="shared" si="7"/>
        <v>524.79901153212518</v>
      </c>
      <c r="L101" s="216">
        <f t="shared" si="7"/>
        <v>1013.1285008237234</v>
      </c>
      <c r="M101" s="216">
        <f t="shared" si="7"/>
        <v>273.65074135090606</v>
      </c>
      <c r="N101" s="217">
        <f t="shared" si="7"/>
        <v>54.833607907742994</v>
      </c>
    </row>
    <row r="102" spans="2:14" s="142" customFormat="1" x14ac:dyDescent="0.35">
      <c r="B102" s="218" t="s">
        <v>2275</v>
      </c>
      <c r="C102" s="221">
        <v>861</v>
      </c>
      <c r="D102" s="178">
        <f t="shared" si="7"/>
        <v>83.390011272002113</v>
      </c>
      <c r="E102" s="178">
        <f t="shared" si="7"/>
        <v>39.865949882944591</v>
      </c>
      <c r="F102" s="178">
        <f t="shared" si="7"/>
        <v>75.476545564900718</v>
      </c>
      <c r="G102" s="178">
        <f t="shared" si="7"/>
        <v>42.628197346744102</v>
      </c>
      <c r="H102" s="178">
        <f t="shared" si="7"/>
        <v>63.606347004248676</v>
      </c>
      <c r="I102" s="178">
        <f t="shared" si="7"/>
        <v>76.297754270354645</v>
      </c>
      <c r="J102" s="178">
        <f t="shared" si="7"/>
        <v>45.241134136824769</v>
      </c>
      <c r="K102" s="178">
        <f t="shared" si="7"/>
        <v>151.47567848781756</v>
      </c>
      <c r="L102" s="178">
        <f t="shared" si="7"/>
        <v>292.42495447845317</v>
      </c>
      <c r="M102" s="178">
        <f t="shared" si="7"/>
        <v>78.98534639729472</v>
      </c>
      <c r="N102" s="220">
        <f t="shared" si="7"/>
        <v>15.826931414202722</v>
      </c>
    </row>
    <row r="103" spans="2:14" s="142" customFormat="1" x14ac:dyDescent="0.35">
      <c r="B103" s="214" t="s">
        <v>1666</v>
      </c>
      <c r="C103" s="222">
        <v>990</v>
      </c>
      <c r="D103" s="216">
        <f t="shared" si="7"/>
        <v>95.883985086274194</v>
      </c>
      <c r="E103" s="216">
        <f t="shared" si="7"/>
        <v>45.838897077950229</v>
      </c>
      <c r="F103" s="216">
        <f t="shared" si="7"/>
        <v>86.784878175669803</v>
      </c>
      <c r="G103" s="216">
        <f t="shared" si="7"/>
        <v>49.015000433538511</v>
      </c>
      <c r="H103" s="216">
        <f t="shared" si="7"/>
        <v>73.136217809763281</v>
      </c>
      <c r="I103" s="216">
        <f t="shared" si="7"/>
        <v>87.729125119223113</v>
      </c>
      <c r="J103" s="216">
        <f t="shared" si="7"/>
        <v>52.01942252666263</v>
      </c>
      <c r="K103" s="216">
        <f t="shared" si="7"/>
        <v>174.17064076996445</v>
      </c>
      <c r="L103" s="216">
        <f t="shared" si="7"/>
        <v>336.2377525362005</v>
      </c>
      <c r="M103" s="216">
        <f t="shared" si="7"/>
        <v>90.819387843579293</v>
      </c>
      <c r="N103" s="217">
        <f t="shared" si="7"/>
        <v>18.198213821208704</v>
      </c>
    </row>
    <row r="104" spans="2:14" s="142" customFormat="1" x14ac:dyDescent="0.35">
      <c r="B104" s="218" t="s">
        <v>1373</v>
      </c>
      <c r="C104" s="221">
        <v>639</v>
      </c>
      <c r="D104" s="178">
        <f t="shared" si="7"/>
        <v>61.88875401023153</v>
      </c>
      <c r="E104" s="178">
        <f t="shared" si="7"/>
        <v>29.586924477586056</v>
      </c>
      <c r="F104" s="178">
        <f t="shared" si="7"/>
        <v>56.015694095205056</v>
      </c>
      <c r="G104" s="178">
        <f t="shared" si="7"/>
        <v>31.636954825283947</v>
      </c>
      <c r="H104" s="178">
        <f t="shared" si="7"/>
        <v>47.206104222665395</v>
      </c>
      <c r="I104" s="178">
        <f t="shared" si="7"/>
        <v>56.625162576953102</v>
      </c>
      <c r="J104" s="178">
        <f t="shared" si="7"/>
        <v>33.576172721754972</v>
      </c>
      <c r="K104" s="178">
        <f t="shared" si="7"/>
        <v>112.41923176970433</v>
      </c>
      <c r="L104" s="178">
        <f t="shared" si="7"/>
        <v>217.02618572791124</v>
      </c>
      <c r="M104" s="178">
        <f t="shared" si="7"/>
        <v>58.61978669903754</v>
      </c>
      <c r="N104" s="220">
        <f t="shared" si="7"/>
        <v>11.746119830052891</v>
      </c>
    </row>
    <row r="105" spans="2:14" s="142" customFormat="1" x14ac:dyDescent="0.35">
      <c r="B105" s="214" t="s">
        <v>1374</v>
      </c>
      <c r="C105" s="222">
        <v>697</v>
      </c>
      <c r="D105" s="216">
        <f t="shared" si="7"/>
        <v>67.506199601144559</v>
      </c>
      <c r="E105" s="216">
        <f t="shared" si="7"/>
        <v>32.272435619526576</v>
      </c>
      <c r="F105" s="216">
        <f t="shared" si="7"/>
        <v>61.100060695395818</v>
      </c>
      <c r="G105" s="216">
        <f t="shared" si="7"/>
        <v>34.508540709269035</v>
      </c>
      <c r="H105" s="216">
        <f t="shared" si="7"/>
        <v>51.49085233677274</v>
      </c>
      <c r="I105" s="216">
        <f t="shared" si="7"/>
        <v>61.764848695049004</v>
      </c>
      <c r="J105" s="216">
        <f t="shared" si="7"/>
        <v>36.623775253620053</v>
      </c>
      <c r="K105" s="216">
        <f t="shared" si="7"/>
        <v>122.62316829966184</v>
      </c>
      <c r="L105" s="216">
        <f t="shared" si="7"/>
        <v>236.72496314922401</v>
      </c>
      <c r="M105" s="216">
        <f t="shared" si="7"/>
        <v>63.940518512095721</v>
      </c>
      <c r="N105" s="217">
        <f t="shared" si="7"/>
        <v>12.812277811497442</v>
      </c>
    </row>
    <row r="106" spans="2:14" s="142" customFormat="1" x14ac:dyDescent="0.35">
      <c r="B106" s="218" t="s">
        <v>1757</v>
      </c>
      <c r="C106" s="221">
        <v>252</v>
      </c>
      <c r="D106" s="178">
        <f t="shared" si="7"/>
        <v>24.40683256741525</v>
      </c>
      <c r="E106" s="178">
        <f t="shared" si="7"/>
        <v>11.668082892569148</v>
      </c>
      <c r="F106" s="178">
        <f t="shared" si="7"/>
        <v>22.090696262897769</v>
      </c>
      <c r="G106" s="178">
        <f t="shared" si="7"/>
        <v>12.476545564900713</v>
      </c>
      <c r="H106" s="178">
        <f t="shared" si="7"/>
        <v>18.616491806121562</v>
      </c>
      <c r="I106" s="178">
        <f t="shared" si="7"/>
        <v>22.331050030347704</v>
      </c>
      <c r="J106" s="178">
        <f t="shared" si="7"/>
        <v>13.241307552241397</v>
      </c>
      <c r="K106" s="178">
        <f t="shared" si="7"/>
        <v>44.334344923263679</v>
      </c>
      <c r="L106" s="178">
        <f t="shared" si="7"/>
        <v>85.587791554669224</v>
      </c>
      <c r="M106" s="178">
        <f t="shared" si="7"/>
        <v>23.117662360183818</v>
      </c>
      <c r="N106" s="220">
        <f t="shared" si="7"/>
        <v>4.6322726090349429</v>
      </c>
    </row>
    <row r="107" spans="2:14" s="142" customFormat="1" x14ac:dyDescent="0.35">
      <c r="B107" s="223" t="s">
        <v>32</v>
      </c>
      <c r="C107" s="224">
        <v>1003</v>
      </c>
      <c r="D107" s="225">
        <f t="shared" si="7"/>
        <v>97.143067718720218</v>
      </c>
      <c r="E107" s="225">
        <f t="shared" si="7"/>
        <v>46.440821989074827</v>
      </c>
      <c r="F107" s="225">
        <f t="shared" si="7"/>
        <v>87.924477586057392</v>
      </c>
      <c r="G107" s="225">
        <f t="shared" si="7"/>
        <v>49.658631752362759</v>
      </c>
      <c r="H107" s="225">
        <f t="shared" si="7"/>
        <v>74.096592387063211</v>
      </c>
      <c r="I107" s="225">
        <f t="shared" si="7"/>
        <v>88.881123731899791</v>
      </c>
      <c r="J107" s="225">
        <f t="shared" si="7"/>
        <v>52.702505852770315</v>
      </c>
      <c r="K107" s="225">
        <f t="shared" si="7"/>
        <v>176.45772999219631</v>
      </c>
      <c r="L107" s="225">
        <f t="shared" si="7"/>
        <v>340.65299575132235</v>
      </c>
      <c r="M107" s="225">
        <f t="shared" si="7"/>
        <v>92.011965663747503</v>
      </c>
      <c r="N107" s="226">
        <f t="shared" si="7"/>
        <v>18.437180265325587</v>
      </c>
    </row>
    <row r="108" spans="2:14" s="123" customFormat="1" x14ac:dyDescent="0.35"/>
    <row r="109" spans="2:14" s="142" customFormat="1" ht="17.5" thickBot="1" x14ac:dyDescent="0.45">
      <c r="B109" s="176" t="s">
        <v>2281</v>
      </c>
      <c r="C109" s="176"/>
      <c r="D109" s="176"/>
      <c r="E109" s="176"/>
      <c r="F109" s="176"/>
      <c r="G109" s="176"/>
      <c r="H109" s="176"/>
      <c r="I109" s="176"/>
      <c r="J109" s="176"/>
      <c r="K109" s="176"/>
      <c r="L109" s="176"/>
      <c r="M109" s="176"/>
      <c r="N109" s="176"/>
    </row>
    <row r="110" spans="2:14" s="142" customFormat="1" ht="15" thickTop="1" x14ac:dyDescent="0.35">
      <c r="B110" s="179" t="s">
        <v>2826</v>
      </c>
      <c r="C110" s="180">
        <f>$G$25</f>
        <v>607</v>
      </c>
      <c r="D110" s="180">
        <f>VLOOKUP(D$70,HDD_CDD!$B$5:$F$15,4,FALSE)</f>
        <v>58.789473684210542</v>
      </c>
      <c r="E110" s="180">
        <f>VLOOKUP(E$70,HDD_CDD!$B$5:$F$15,4,FALSE)</f>
        <v>28.105263157894736</v>
      </c>
      <c r="F110" s="180">
        <f>VLOOKUP(F$70,HDD_CDD!$B$5:$F$15,4,FALSE)</f>
        <v>53.210526315789473</v>
      </c>
      <c r="G110" s="180">
        <f>VLOOKUP(G$70,HDD_CDD!$B$5:$F$15,4,FALSE)</f>
        <v>30.052631578947352</v>
      </c>
      <c r="H110" s="180">
        <f>VLOOKUP(H$70,HDD_CDD!$B$5:$F$15,4,FALSE)</f>
        <v>44.842105263157897</v>
      </c>
      <c r="I110" s="180">
        <f>VLOOKUP(I$70,HDD_CDD!$B$5:$F$15,4,FALSE)</f>
        <v>53.789473684210535</v>
      </c>
      <c r="J110" s="180">
        <f>VLOOKUP(J$70,HDD_CDD!$B$5:$F$15,4,FALSE)</f>
        <v>31.894736842105267</v>
      </c>
      <c r="K110" s="180">
        <f>VLOOKUP(K$70,HDD_CDD!$B$5:$F$15,4,FALSE)</f>
        <v>106.78947368421052</v>
      </c>
      <c r="L110" s="180">
        <f>VLOOKUP(L$70,HDD_CDD!$B$5:$F$15,4,FALSE)</f>
        <v>206.15789473684214</v>
      </c>
      <c r="M110" s="180">
        <f>VLOOKUP(M$70,HDD_CDD!$B$5:$F$15,4,FALSE)</f>
        <v>55.684210526315788</v>
      </c>
      <c r="N110" s="180">
        <f>VLOOKUP(N$70,HDD_CDD!$B$5:$F$15,4,FALSE)</f>
        <v>11.157894736842104</v>
      </c>
    </row>
    <row r="111" spans="2:14" s="142" customFormat="1" ht="31.5" customHeight="1" x14ac:dyDescent="0.35">
      <c r="B111" s="211" t="s">
        <v>2815</v>
      </c>
      <c r="C111" s="212" t="s">
        <v>2294</v>
      </c>
      <c r="D111" s="212" t="s">
        <v>1361</v>
      </c>
      <c r="E111" s="212" t="s">
        <v>1811</v>
      </c>
      <c r="F111" s="212" t="s">
        <v>1812</v>
      </c>
      <c r="G111" s="212" t="s">
        <v>1362</v>
      </c>
      <c r="H111" s="212" t="s">
        <v>1813</v>
      </c>
      <c r="I111" s="212" t="s">
        <v>1814</v>
      </c>
      <c r="J111" s="212" t="s">
        <v>1815</v>
      </c>
      <c r="K111" s="212" t="s">
        <v>1816</v>
      </c>
      <c r="L111" s="212" t="s">
        <v>1817</v>
      </c>
      <c r="M111" s="212" t="s">
        <v>1818</v>
      </c>
      <c r="N111" s="213" t="s">
        <v>1819</v>
      </c>
    </row>
    <row r="112" spans="2:14" s="142" customFormat="1" x14ac:dyDescent="0.35">
      <c r="B112" s="214" t="s">
        <v>2269</v>
      </c>
      <c r="C112" s="216">
        <v>563</v>
      </c>
      <c r="D112" s="216">
        <f t="shared" ref="D112:N121" si="8">D$28/$C$28*$C112</f>
        <v>800.28451648965904</v>
      </c>
      <c r="E112" s="216">
        <f t="shared" si="8"/>
        <v>873.67727381617829</v>
      </c>
      <c r="F112" s="216">
        <f t="shared" si="8"/>
        <v>907.73004618869686</v>
      </c>
      <c r="G112" s="216">
        <f t="shared" si="8"/>
        <v>905.55198434879821</v>
      </c>
      <c r="H112" s="216">
        <f t="shared" si="8"/>
        <v>903.73969335020058</v>
      </c>
      <c r="I112" s="216">
        <f t="shared" si="8"/>
        <v>1015.101041452149</v>
      </c>
      <c r="J112" s="216">
        <f t="shared" si="8"/>
        <v>911.94538260127683</v>
      </c>
      <c r="K112" s="216">
        <f t="shared" si="8"/>
        <v>721.20762113500643</v>
      </c>
      <c r="L112" s="216">
        <f t="shared" si="8"/>
        <v>733.91781280338921</v>
      </c>
      <c r="M112" s="216">
        <f t="shared" si="8"/>
        <v>816.26801212085559</v>
      </c>
      <c r="N112" s="217">
        <f t="shared" si="8"/>
        <v>897.01779147421382</v>
      </c>
    </row>
    <row r="113" spans="2:14" s="142" customFormat="1" x14ac:dyDescent="0.35">
      <c r="B113" s="218" t="s">
        <v>2270</v>
      </c>
      <c r="C113" s="178" t="e">
        <v>#N/A</v>
      </c>
      <c r="D113" s="178" t="e">
        <f t="shared" si="8"/>
        <v>#N/A</v>
      </c>
      <c r="E113" s="178" t="e">
        <f t="shared" si="8"/>
        <v>#N/A</v>
      </c>
      <c r="F113" s="178" t="e">
        <f t="shared" si="8"/>
        <v>#N/A</v>
      </c>
      <c r="G113" s="178" t="e">
        <f t="shared" si="8"/>
        <v>#N/A</v>
      </c>
      <c r="H113" s="178" t="e">
        <f t="shared" si="8"/>
        <v>#N/A</v>
      </c>
      <c r="I113" s="178" t="e">
        <f t="shared" si="8"/>
        <v>#N/A</v>
      </c>
      <c r="J113" s="178" t="e">
        <f t="shared" si="8"/>
        <v>#N/A</v>
      </c>
      <c r="K113" s="178" t="e">
        <f t="shared" si="8"/>
        <v>#N/A</v>
      </c>
      <c r="L113" s="178" t="e">
        <f t="shared" si="8"/>
        <v>#N/A</v>
      </c>
      <c r="M113" s="178" t="e">
        <f t="shared" si="8"/>
        <v>#N/A</v>
      </c>
      <c r="N113" s="220" t="e">
        <f t="shared" si="8"/>
        <v>#N/A</v>
      </c>
    </row>
    <row r="114" spans="2:14" s="142" customFormat="1" x14ac:dyDescent="0.35">
      <c r="B114" s="228" t="s">
        <v>2816</v>
      </c>
      <c r="C114" s="216" t="e">
        <v>#N/A</v>
      </c>
      <c r="D114" s="216" t="e">
        <f t="shared" si="8"/>
        <v>#N/A</v>
      </c>
      <c r="E114" s="216" t="e">
        <f t="shared" si="8"/>
        <v>#N/A</v>
      </c>
      <c r="F114" s="216" t="e">
        <f t="shared" si="8"/>
        <v>#N/A</v>
      </c>
      <c r="G114" s="216" t="e">
        <f t="shared" si="8"/>
        <v>#N/A</v>
      </c>
      <c r="H114" s="216" t="e">
        <f t="shared" si="8"/>
        <v>#N/A</v>
      </c>
      <c r="I114" s="216" t="e">
        <f t="shared" si="8"/>
        <v>#N/A</v>
      </c>
      <c r="J114" s="216" t="e">
        <f t="shared" si="8"/>
        <v>#N/A</v>
      </c>
      <c r="K114" s="216" t="e">
        <f t="shared" si="8"/>
        <v>#N/A</v>
      </c>
      <c r="L114" s="216" t="e">
        <f t="shared" si="8"/>
        <v>#N/A</v>
      </c>
      <c r="M114" s="216" t="e">
        <f t="shared" si="8"/>
        <v>#N/A</v>
      </c>
      <c r="N114" s="217" t="e">
        <f t="shared" si="8"/>
        <v>#N/A</v>
      </c>
    </row>
    <row r="115" spans="2:14" s="142" customFormat="1" x14ac:dyDescent="0.35">
      <c r="B115" s="218" t="s">
        <v>1375</v>
      </c>
      <c r="C115" s="178">
        <v>400</v>
      </c>
      <c r="D115" s="178">
        <f t="shared" si="8"/>
        <v>568.58580212409174</v>
      </c>
      <c r="E115" s="178">
        <f t="shared" si="8"/>
        <v>620.72985706300403</v>
      </c>
      <c r="F115" s="178">
        <f t="shared" si="8"/>
        <v>644.92365626195158</v>
      </c>
      <c r="G115" s="178">
        <f t="shared" si="8"/>
        <v>643.37618781442143</v>
      </c>
      <c r="H115" s="178">
        <f t="shared" si="8"/>
        <v>642.08859207829528</v>
      </c>
      <c r="I115" s="178">
        <f t="shared" si="8"/>
        <v>721.20855520578971</v>
      </c>
      <c r="J115" s="178">
        <f t="shared" si="8"/>
        <v>647.91856667941511</v>
      </c>
      <c r="K115" s="178">
        <f t="shared" si="8"/>
        <v>512.40328322202936</v>
      </c>
      <c r="L115" s="178">
        <f t="shared" si="8"/>
        <v>521.4336147803831</v>
      </c>
      <c r="M115" s="178">
        <f t="shared" si="8"/>
        <v>579.94174928657594</v>
      </c>
      <c r="N115" s="220">
        <f t="shared" si="8"/>
        <v>637.31281809890856</v>
      </c>
    </row>
    <row r="116" spans="2:14" s="142" customFormat="1" x14ac:dyDescent="0.35">
      <c r="B116" s="214" t="s">
        <v>1665</v>
      </c>
      <c r="C116" s="216">
        <v>355</v>
      </c>
      <c r="D116" s="216">
        <f t="shared" si="8"/>
        <v>504.61989938513142</v>
      </c>
      <c r="E116" s="216">
        <f t="shared" si="8"/>
        <v>550.89774814341615</v>
      </c>
      <c r="F116" s="216">
        <f t="shared" si="8"/>
        <v>572.36974493248204</v>
      </c>
      <c r="G116" s="216">
        <f t="shared" si="8"/>
        <v>570.99636668529911</v>
      </c>
      <c r="H116" s="216">
        <f t="shared" si="8"/>
        <v>569.85362546948704</v>
      </c>
      <c r="I116" s="216">
        <f t="shared" si="8"/>
        <v>640.07259274513842</v>
      </c>
      <c r="J116" s="216">
        <f t="shared" si="8"/>
        <v>575.027727927981</v>
      </c>
      <c r="K116" s="216">
        <f t="shared" si="8"/>
        <v>454.75791385955108</v>
      </c>
      <c r="L116" s="216">
        <f t="shared" si="8"/>
        <v>462.77233311758999</v>
      </c>
      <c r="M116" s="216">
        <f t="shared" si="8"/>
        <v>514.6983024918361</v>
      </c>
      <c r="N116" s="217">
        <f t="shared" si="8"/>
        <v>565.61512606278131</v>
      </c>
    </row>
    <row r="117" spans="2:14" s="142" customFormat="1" x14ac:dyDescent="0.35">
      <c r="B117" s="229" t="s">
        <v>2817</v>
      </c>
      <c r="C117" s="178" t="e">
        <v>#N/A</v>
      </c>
      <c r="D117" s="178" t="e">
        <f t="shared" si="8"/>
        <v>#N/A</v>
      </c>
      <c r="E117" s="178" t="e">
        <f t="shared" si="8"/>
        <v>#N/A</v>
      </c>
      <c r="F117" s="178" t="e">
        <f t="shared" si="8"/>
        <v>#N/A</v>
      </c>
      <c r="G117" s="178" t="e">
        <f t="shared" si="8"/>
        <v>#N/A</v>
      </c>
      <c r="H117" s="178" t="e">
        <f t="shared" si="8"/>
        <v>#N/A</v>
      </c>
      <c r="I117" s="178" t="e">
        <f t="shared" si="8"/>
        <v>#N/A</v>
      </c>
      <c r="J117" s="178" t="e">
        <f t="shared" si="8"/>
        <v>#N/A</v>
      </c>
      <c r="K117" s="178" t="e">
        <f t="shared" si="8"/>
        <v>#N/A</v>
      </c>
      <c r="L117" s="178" t="e">
        <f t="shared" si="8"/>
        <v>#N/A</v>
      </c>
      <c r="M117" s="178" t="e">
        <f t="shared" si="8"/>
        <v>#N/A</v>
      </c>
      <c r="N117" s="220" t="e">
        <f t="shared" si="8"/>
        <v>#N/A</v>
      </c>
    </row>
    <row r="118" spans="2:14" s="142" customFormat="1" x14ac:dyDescent="0.35">
      <c r="B118" s="214" t="s">
        <v>1376</v>
      </c>
      <c r="C118" s="216">
        <v>358</v>
      </c>
      <c r="D118" s="216">
        <f t="shared" si="8"/>
        <v>508.88429290106205</v>
      </c>
      <c r="E118" s="216">
        <f t="shared" si="8"/>
        <v>555.55322207138863</v>
      </c>
      <c r="F118" s="216">
        <f t="shared" si="8"/>
        <v>577.20667235444671</v>
      </c>
      <c r="G118" s="216">
        <f t="shared" si="8"/>
        <v>575.82168809390726</v>
      </c>
      <c r="H118" s="216">
        <f t="shared" si="8"/>
        <v>574.66928991007421</v>
      </c>
      <c r="I118" s="216">
        <f t="shared" si="8"/>
        <v>645.48165690918177</v>
      </c>
      <c r="J118" s="216">
        <f t="shared" si="8"/>
        <v>579.88711717807655</v>
      </c>
      <c r="K118" s="216">
        <f t="shared" si="8"/>
        <v>458.60093848371633</v>
      </c>
      <c r="L118" s="216">
        <f t="shared" si="8"/>
        <v>466.68308522844285</v>
      </c>
      <c r="M118" s="216">
        <f t="shared" si="8"/>
        <v>519.04786561148546</v>
      </c>
      <c r="N118" s="217">
        <f t="shared" si="8"/>
        <v>570.39497219852319</v>
      </c>
    </row>
    <row r="119" spans="2:14" s="142" customFormat="1" x14ac:dyDescent="0.35">
      <c r="B119" s="218" t="s">
        <v>2271</v>
      </c>
      <c r="C119" s="178">
        <v>925</v>
      </c>
      <c r="D119" s="178">
        <f t="shared" si="8"/>
        <v>1314.8546674119621</v>
      </c>
      <c r="E119" s="178">
        <f t="shared" si="8"/>
        <v>1435.437794458197</v>
      </c>
      <c r="F119" s="178">
        <f t="shared" si="8"/>
        <v>1491.3859551057631</v>
      </c>
      <c r="G119" s="178">
        <f t="shared" si="8"/>
        <v>1487.8074343208496</v>
      </c>
      <c r="H119" s="178">
        <f t="shared" si="8"/>
        <v>1484.8298691810578</v>
      </c>
      <c r="I119" s="178">
        <f t="shared" si="8"/>
        <v>1667.7947839133888</v>
      </c>
      <c r="J119" s="178">
        <f t="shared" si="8"/>
        <v>1498.3116854461475</v>
      </c>
      <c r="K119" s="178">
        <f t="shared" si="8"/>
        <v>1184.932592450943</v>
      </c>
      <c r="L119" s="178">
        <f t="shared" si="8"/>
        <v>1205.8152341796358</v>
      </c>
      <c r="M119" s="178">
        <f t="shared" si="8"/>
        <v>1341.1152952252066</v>
      </c>
      <c r="N119" s="220">
        <f t="shared" si="8"/>
        <v>1473.7858918537261</v>
      </c>
    </row>
    <row r="120" spans="2:14" s="142" customFormat="1" x14ac:dyDescent="0.35">
      <c r="B120" s="214" t="s">
        <v>1372</v>
      </c>
      <c r="C120" s="216" t="e">
        <v>#N/A</v>
      </c>
      <c r="D120" s="216" t="e">
        <f t="shared" si="8"/>
        <v>#N/A</v>
      </c>
      <c r="E120" s="216" t="e">
        <f t="shared" si="8"/>
        <v>#N/A</v>
      </c>
      <c r="F120" s="216" t="e">
        <f t="shared" si="8"/>
        <v>#N/A</v>
      </c>
      <c r="G120" s="216" t="e">
        <f t="shared" si="8"/>
        <v>#N/A</v>
      </c>
      <c r="H120" s="216" t="e">
        <f t="shared" si="8"/>
        <v>#N/A</v>
      </c>
      <c r="I120" s="216" t="e">
        <f t="shared" si="8"/>
        <v>#N/A</v>
      </c>
      <c r="J120" s="216" t="e">
        <f t="shared" si="8"/>
        <v>#N/A</v>
      </c>
      <c r="K120" s="216" t="e">
        <f t="shared" si="8"/>
        <v>#N/A</v>
      </c>
      <c r="L120" s="216" t="e">
        <f t="shared" si="8"/>
        <v>#N/A</v>
      </c>
      <c r="M120" s="216" t="e">
        <f t="shared" si="8"/>
        <v>#N/A</v>
      </c>
      <c r="N120" s="217" t="e">
        <f t="shared" si="8"/>
        <v>#N/A</v>
      </c>
    </row>
    <row r="121" spans="2:14" s="142" customFormat="1" x14ac:dyDescent="0.35">
      <c r="B121" s="218" t="s">
        <v>1365</v>
      </c>
      <c r="C121" s="178">
        <v>349</v>
      </c>
      <c r="D121" s="178">
        <f t="shared" si="8"/>
        <v>496.09111235327003</v>
      </c>
      <c r="E121" s="178">
        <f t="shared" si="8"/>
        <v>541.58680028747108</v>
      </c>
      <c r="F121" s="178">
        <f t="shared" si="8"/>
        <v>562.6958900885528</v>
      </c>
      <c r="G121" s="178">
        <f t="shared" si="8"/>
        <v>561.3457238680827</v>
      </c>
      <c r="H121" s="178">
        <f t="shared" si="8"/>
        <v>560.22229658831259</v>
      </c>
      <c r="I121" s="178">
        <f t="shared" si="8"/>
        <v>629.25446441705151</v>
      </c>
      <c r="J121" s="178">
        <f t="shared" si="8"/>
        <v>565.30894942778968</v>
      </c>
      <c r="K121" s="178">
        <f t="shared" si="8"/>
        <v>447.07186461122069</v>
      </c>
      <c r="L121" s="178">
        <f t="shared" si="8"/>
        <v>454.95082889588423</v>
      </c>
      <c r="M121" s="178">
        <f t="shared" si="8"/>
        <v>505.99917625253744</v>
      </c>
      <c r="N121" s="220">
        <f t="shared" si="8"/>
        <v>556.05543379129767</v>
      </c>
    </row>
    <row r="122" spans="2:14" s="142" customFormat="1" x14ac:dyDescent="0.35">
      <c r="B122" s="214" t="s">
        <v>1377</v>
      </c>
      <c r="C122" s="216">
        <v>350</v>
      </c>
      <c r="D122" s="216">
        <f t="shared" ref="D122:N131" si="9">D$28/$C$28*$C122</f>
        <v>497.51257685858025</v>
      </c>
      <c r="E122" s="216">
        <f t="shared" si="9"/>
        <v>543.13862493012857</v>
      </c>
      <c r="F122" s="216">
        <f t="shared" si="9"/>
        <v>564.30819922920773</v>
      </c>
      <c r="G122" s="216">
        <f t="shared" si="9"/>
        <v>562.95416433761875</v>
      </c>
      <c r="H122" s="216">
        <f t="shared" si="9"/>
        <v>561.82751806850831</v>
      </c>
      <c r="I122" s="216">
        <f t="shared" si="9"/>
        <v>631.05748580506599</v>
      </c>
      <c r="J122" s="216">
        <f t="shared" si="9"/>
        <v>566.92874584448828</v>
      </c>
      <c r="K122" s="216">
        <f t="shared" si="9"/>
        <v>448.35287281927572</v>
      </c>
      <c r="L122" s="216">
        <f t="shared" si="9"/>
        <v>456.25441293283518</v>
      </c>
      <c r="M122" s="216">
        <f t="shared" si="9"/>
        <v>507.44903062575389</v>
      </c>
      <c r="N122" s="217">
        <f t="shared" si="9"/>
        <v>557.64871583654497</v>
      </c>
    </row>
    <row r="123" spans="2:14" s="142" customFormat="1" x14ac:dyDescent="0.35">
      <c r="B123" s="231" t="s">
        <v>1368</v>
      </c>
      <c r="C123" s="178" t="e">
        <v>#N/A</v>
      </c>
      <c r="D123" s="178" t="e">
        <f t="shared" si="9"/>
        <v>#N/A</v>
      </c>
      <c r="E123" s="178" t="e">
        <f t="shared" si="9"/>
        <v>#N/A</v>
      </c>
      <c r="F123" s="178" t="e">
        <f t="shared" si="9"/>
        <v>#N/A</v>
      </c>
      <c r="G123" s="178" t="e">
        <f t="shared" si="9"/>
        <v>#N/A</v>
      </c>
      <c r="H123" s="178" t="e">
        <f t="shared" si="9"/>
        <v>#N/A</v>
      </c>
      <c r="I123" s="178" t="e">
        <f t="shared" si="9"/>
        <v>#N/A</v>
      </c>
      <c r="J123" s="178" t="e">
        <f t="shared" si="9"/>
        <v>#N/A</v>
      </c>
      <c r="K123" s="178" t="e">
        <f t="shared" si="9"/>
        <v>#N/A</v>
      </c>
      <c r="L123" s="178" t="e">
        <f t="shared" si="9"/>
        <v>#N/A</v>
      </c>
      <c r="M123" s="178" t="e">
        <f t="shared" si="9"/>
        <v>#N/A</v>
      </c>
      <c r="N123" s="220" t="e">
        <f t="shared" si="9"/>
        <v>#N/A</v>
      </c>
    </row>
    <row r="124" spans="2:14" s="142" customFormat="1" x14ac:dyDescent="0.35">
      <c r="B124" s="230" t="s">
        <v>2483</v>
      </c>
      <c r="C124" s="216" t="e">
        <v>#N/A</v>
      </c>
      <c r="D124" s="216" t="e">
        <f t="shared" si="9"/>
        <v>#N/A</v>
      </c>
      <c r="E124" s="216" t="e">
        <f t="shared" si="9"/>
        <v>#N/A</v>
      </c>
      <c r="F124" s="216" t="e">
        <f t="shared" si="9"/>
        <v>#N/A</v>
      </c>
      <c r="G124" s="216" t="e">
        <f t="shared" si="9"/>
        <v>#N/A</v>
      </c>
      <c r="H124" s="216" t="e">
        <f t="shared" si="9"/>
        <v>#N/A</v>
      </c>
      <c r="I124" s="216" t="e">
        <f t="shared" si="9"/>
        <v>#N/A</v>
      </c>
      <c r="J124" s="216" t="e">
        <f t="shared" si="9"/>
        <v>#N/A</v>
      </c>
      <c r="K124" s="216" t="e">
        <f t="shared" si="9"/>
        <v>#N/A</v>
      </c>
      <c r="L124" s="216" t="e">
        <f t="shared" si="9"/>
        <v>#N/A</v>
      </c>
      <c r="M124" s="216" t="e">
        <f t="shared" si="9"/>
        <v>#N/A</v>
      </c>
      <c r="N124" s="217" t="e">
        <f t="shared" si="9"/>
        <v>#N/A</v>
      </c>
    </row>
    <row r="125" spans="2:14" s="142" customFormat="1" x14ac:dyDescent="0.35">
      <c r="B125" s="231" t="s">
        <v>2485</v>
      </c>
      <c r="C125" s="178" t="e">
        <v>#N/A</v>
      </c>
      <c r="D125" s="178" t="e">
        <f t="shared" si="9"/>
        <v>#N/A</v>
      </c>
      <c r="E125" s="178" t="e">
        <f t="shared" si="9"/>
        <v>#N/A</v>
      </c>
      <c r="F125" s="178" t="e">
        <f t="shared" si="9"/>
        <v>#N/A</v>
      </c>
      <c r="G125" s="178" t="e">
        <f t="shared" si="9"/>
        <v>#N/A</v>
      </c>
      <c r="H125" s="178" t="e">
        <f t="shared" si="9"/>
        <v>#N/A</v>
      </c>
      <c r="I125" s="178" t="e">
        <f t="shared" si="9"/>
        <v>#N/A</v>
      </c>
      <c r="J125" s="178" t="e">
        <f t="shared" si="9"/>
        <v>#N/A</v>
      </c>
      <c r="K125" s="178" t="e">
        <f t="shared" si="9"/>
        <v>#N/A</v>
      </c>
      <c r="L125" s="178" t="e">
        <f t="shared" si="9"/>
        <v>#N/A</v>
      </c>
      <c r="M125" s="178" t="e">
        <f t="shared" si="9"/>
        <v>#N/A</v>
      </c>
      <c r="N125" s="220" t="e">
        <f t="shared" si="9"/>
        <v>#N/A</v>
      </c>
    </row>
    <row r="126" spans="2:14" s="142" customFormat="1" x14ac:dyDescent="0.35">
      <c r="B126" s="230" t="s">
        <v>2486</v>
      </c>
      <c r="C126" s="216" t="e">
        <v>#N/A</v>
      </c>
      <c r="D126" s="216" t="e">
        <f t="shared" si="9"/>
        <v>#N/A</v>
      </c>
      <c r="E126" s="216" t="e">
        <f t="shared" si="9"/>
        <v>#N/A</v>
      </c>
      <c r="F126" s="216" t="e">
        <f t="shared" si="9"/>
        <v>#N/A</v>
      </c>
      <c r="G126" s="216" t="e">
        <f t="shared" si="9"/>
        <v>#N/A</v>
      </c>
      <c r="H126" s="216" t="e">
        <f t="shared" si="9"/>
        <v>#N/A</v>
      </c>
      <c r="I126" s="216" t="e">
        <f t="shared" si="9"/>
        <v>#N/A</v>
      </c>
      <c r="J126" s="216" t="e">
        <f t="shared" si="9"/>
        <v>#N/A</v>
      </c>
      <c r="K126" s="216" t="e">
        <f t="shared" si="9"/>
        <v>#N/A</v>
      </c>
      <c r="L126" s="216" t="e">
        <f t="shared" si="9"/>
        <v>#N/A</v>
      </c>
      <c r="M126" s="216" t="e">
        <f t="shared" si="9"/>
        <v>#N/A</v>
      </c>
      <c r="N126" s="217" t="e">
        <f t="shared" si="9"/>
        <v>#N/A</v>
      </c>
    </row>
    <row r="127" spans="2:14" s="142" customFormat="1" x14ac:dyDescent="0.35">
      <c r="B127" s="229" t="s">
        <v>2818</v>
      </c>
      <c r="C127" s="178" t="e">
        <v>#N/A</v>
      </c>
      <c r="D127" s="178" t="e">
        <f t="shared" si="9"/>
        <v>#N/A</v>
      </c>
      <c r="E127" s="178" t="e">
        <f t="shared" si="9"/>
        <v>#N/A</v>
      </c>
      <c r="F127" s="178" t="e">
        <f t="shared" si="9"/>
        <v>#N/A</v>
      </c>
      <c r="G127" s="178" t="e">
        <f t="shared" si="9"/>
        <v>#N/A</v>
      </c>
      <c r="H127" s="178" t="e">
        <f t="shared" si="9"/>
        <v>#N/A</v>
      </c>
      <c r="I127" s="178" t="e">
        <f t="shared" si="9"/>
        <v>#N/A</v>
      </c>
      <c r="J127" s="178" t="e">
        <f t="shared" si="9"/>
        <v>#N/A</v>
      </c>
      <c r="K127" s="178" t="e">
        <f t="shared" si="9"/>
        <v>#N/A</v>
      </c>
      <c r="L127" s="178" t="e">
        <f t="shared" si="9"/>
        <v>#N/A</v>
      </c>
      <c r="M127" s="178" t="e">
        <f t="shared" si="9"/>
        <v>#N/A</v>
      </c>
      <c r="N127" s="220" t="e">
        <f t="shared" si="9"/>
        <v>#N/A</v>
      </c>
    </row>
    <row r="128" spans="2:14" s="142" customFormat="1" x14ac:dyDescent="0.35">
      <c r="B128" s="214" t="s">
        <v>2267</v>
      </c>
      <c r="C128" s="216" t="e">
        <v>#N/A</v>
      </c>
      <c r="D128" s="216" t="e">
        <f t="shared" si="9"/>
        <v>#N/A</v>
      </c>
      <c r="E128" s="216" t="e">
        <f t="shared" si="9"/>
        <v>#N/A</v>
      </c>
      <c r="F128" s="216" t="e">
        <f t="shared" si="9"/>
        <v>#N/A</v>
      </c>
      <c r="G128" s="216" t="e">
        <f t="shared" si="9"/>
        <v>#N/A</v>
      </c>
      <c r="H128" s="216" t="e">
        <f t="shared" si="9"/>
        <v>#N/A</v>
      </c>
      <c r="I128" s="216" t="e">
        <f t="shared" si="9"/>
        <v>#N/A</v>
      </c>
      <c r="J128" s="216" t="e">
        <f t="shared" si="9"/>
        <v>#N/A</v>
      </c>
      <c r="K128" s="216" t="e">
        <f t="shared" si="9"/>
        <v>#N/A</v>
      </c>
      <c r="L128" s="216" t="e">
        <f t="shared" si="9"/>
        <v>#N/A</v>
      </c>
      <c r="M128" s="216" t="e">
        <f t="shared" si="9"/>
        <v>#N/A</v>
      </c>
      <c r="N128" s="217" t="e">
        <f t="shared" si="9"/>
        <v>#N/A</v>
      </c>
    </row>
    <row r="129" spans="2:14" s="142" customFormat="1" x14ac:dyDescent="0.35">
      <c r="B129" s="218" t="s">
        <v>1366</v>
      </c>
      <c r="C129" s="178" t="e">
        <v>#N/A</v>
      </c>
      <c r="D129" s="178" t="e">
        <f t="shared" si="9"/>
        <v>#N/A</v>
      </c>
      <c r="E129" s="178" t="e">
        <f t="shared" si="9"/>
        <v>#N/A</v>
      </c>
      <c r="F129" s="178" t="e">
        <f t="shared" si="9"/>
        <v>#N/A</v>
      </c>
      <c r="G129" s="178" t="e">
        <f t="shared" si="9"/>
        <v>#N/A</v>
      </c>
      <c r="H129" s="178" t="e">
        <f t="shared" si="9"/>
        <v>#N/A</v>
      </c>
      <c r="I129" s="178" t="e">
        <f t="shared" si="9"/>
        <v>#N/A</v>
      </c>
      <c r="J129" s="178" t="e">
        <f t="shared" si="9"/>
        <v>#N/A</v>
      </c>
      <c r="K129" s="178" t="e">
        <f t="shared" si="9"/>
        <v>#N/A</v>
      </c>
      <c r="L129" s="178" t="e">
        <f t="shared" si="9"/>
        <v>#N/A</v>
      </c>
      <c r="M129" s="178" t="e">
        <f t="shared" si="9"/>
        <v>#N/A</v>
      </c>
      <c r="N129" s="220" t="e">
        <f t="shared" si="9"/>
        <v>#N/A</v>
      </c>
    </row>
    <row r="130" spans="2:14" s="142" customFormat="1" x14ac:dyDescent="0.35">
      <c r="B130" s="214" t="s">
        <v>2272</v>
      </c>
      <c r="C130" s="216" t="e">
        <v>#N/A</v>
      </c>
      <c r="D130" s="216" t="e">
        <f t="shared" si="9"/>
        <v>#N/A</v>
      </c>
      <c r="E130" s="216" t="e">
        <f t="shared" si="9"/>
        <v>#N/A</v>
      </c>
      <c r="F130" s="216" t="e">
        <f t="shared" si="9"/>
        <v>#N/A</v>
      </c>
      <c r="G130" s="216" t="e">
        <f t="shared" si="9"/>
        <v>#N/A</v>
      </c>
      <c r="H130" s="216" t="e">
        <f t="shared" si="9"/>
        <v>#N/A</v>
      </c>
      <c r="I130" s="216" t="e">
        <f t="shared" si="9"/>
        <v>#N/A</v>
      </c>
      <c r="J130" s="216" t="e">
        <f t="shared" si="9"/>
        <v>#N/A</v>
      </c>
      <c r="K130" s="216" t="e">
        <f t="shared" si="9"/>
        <v>#N/A</v>
      </c>
      <c r="L130" s="216" t="e">
        <f t="shared" si="9"/>
        <v>#N/A</v>
      </c>
      <c r="M130" s="216" t="e">
        <f t="shared" si="9"/>
        <v>#N/A</v>
      </c>
      <c r="N130" s="217" t="e">
        <f t="shared" si="9"/>
        <v>#N/A</v>
      </c>
    </row>
    <row r="131" spans="2:14" s="142" customFormat="1" x14ac:dyDescent="0.35">
      <c r="B131" s="229" t="s">
        <v>811</v>
      </c>
      <c r="C131" s="178" t="e">
        <v>#N/A</v>
      </c>
      <c r="D131" s="178" t="e">
        <f t="shared" si="9"/>
        <v>#N/A</v>
      </c>
      <c r="E131" s="178" t="e">
        <f t="shared" si="9"/>
        <v>#N/A</v>
      </c>
      <c r="F131" s="178" t="e">
        <f t="shared" si="9"/>
        <v>#N/A</v>
      </c>
      <c r="G131" s="178" t="e">
        <f t="shared" si="9"/>
        <v>#N/A</v>
      </c>
      <c r="H131" s="178" t="e">
        <f t="shared" si="9"/>
        <v>#N/A</v>
      </c>
      <c r="I131" s="178" t="e">
        <f t="shared" si="9"/>
        <v>#N/A</v>
      </c>
      <c r="J131" s="178" t="e">
        <f t="shared" si="9"/>
        <v>#N/A</v>
      </c>
      <c r="K131" s="178" t="e">
        <f t="shared" si="9"/>
        <v>#N/A</v>
      </c>
      <c r="L131" s="178" t="e">
        <f t="shared" si="9"/>
        <v>#N/A</v>
      </c>
      <c r="M131" s="178" t="e">
        <f t="shared" si="9"/>
        <v>#N/A</v>
      </c>
      <c r="N131" s="220" t="e">
        <f t="shared" si="9"/>
        <v>#N/A</v>
      </c>
    </row>
    <row r="132" spans="2:14" s="142" customFormat="1" x14ac:dyDescent="0.35">
      <c r="B132" s="214" t="s">
        <v>2819</v>
      </c>
      <c r="C132" s="216" t="e">
        <v>#N/A</v>
      </c>
      <c r="D132" s="216" t="e">
        <f t="shared" ref="D132:N141" si="10">D$28/$C$28*$C132</f>
        <v>#N/A</v>
      </c>
      <c r="E132" s="216" t="e">
        <f t="shared" si="10"/>
        <v>#N/A</v>
      </c>
      <c r="F132" s="216" t="e">
        <f t="shared" si="10"/>
        <v>#N/A</v>
      </c>
      <c r="G132" s="216" t="e">
        <f t="shared" si="10"/>
        <v>#N/A</v>
      </c>
      <c r="H132" s="216" t="e">
        <f t="shared" si="10"/>
        <v>#N/A</v>
      </c>
      <c r="I132" s="216" t="e">
        <f t="shared" si="10"/>
        <v>#N/A</v>
      </c>
      <c r="J132" s="216" t="e">
        <f t="shared" si="10"/>
        <v>#N/A</v>
      </c>
      <c r="K132" s="216" t="e">
        <f t="shared" si="10"/>
        <v>#N/A</v>
      </c>
      <c r="L132" s="216" t="e">
        <f t="shared" si="10"/>
        <v>#N/A</v>
      </c>
      <c r="M132" s="216" t="e">
        <f t="shared" si="10"/>
        <v>#N/A</v>
      </c>
      <c r="N132" s="217" t="e">
        <f t="shared" si="10"/>
        <v>#N/A</v>
      </c>
    </row>
    <row r="133" spans="2:14" s="142" customFormat="1" x14ac:dyDescent="0.35">
      <c r="B133" s="218" t="s">
        <v>2820</v>
      </c>
      <c r="C133" s="178" t="e">
        <v>#N/A</v>
      </c>
      <c r="D133" s="178" t="e">
        <f t="shared" si="10"/>
        <v>#N/A</v>
      </c>
      <c r="E133" s="178" t="e">
        <f t="shared" si="10"/>
        <v>#N/A</v>
      </c>
      <c r="F133" s="178" t="e">
        <f t="shared" si="10"/>
        <v>#N/A</v>
      </c>
      <c r="G133" s="178" t="e">
        <f t="shared" si="10"/>
        <v>#N/A</v>
      </c>
      <c r="H133" s="178" t="e">
        <f t="shared" si="10"/>
        <v>#N/A</v>
      </c>
      <c r="I133" s="178" t="e">
        <f t="shared" si="10"/>
        <v>#N/A</v>
      </c>
      <c r="J133" s="178" t="e">
        <f t="shared" si="10"/>
        <v>#N/A</v>
      </c>
      <c r="K133" s="178" t="e">
        <f t="shared" si="10"/>
        <v>#N/A</v>
      </c>
      <c r="L133" s="178" t="e">
        <f t="shared" si="10"/>
        <v>#N/A</v>
      </c>
      <c r="M133" s="178" t="e">
        <f t="shared" si="10"/>
        <v>#N/A</v>
      </c>
      <c r="N133" s="220" t="e">
        <f t="shared" si="10"/>
        <v>#N/A</v>
      </c>
    </row>
    <row r="134" spans="2:14" s="142" customFormat="1" x14ac:dyDescent="0.35">
      <c r="B134" s="214" t="s">
        <v>812</v>
      </c>
      <c r="C134" s="216" t="e">
        <v>#N/A</v>
      </c>
      <c r="D134" s="216" t="e">
        <f t="shared" si="10"/>
        <v>#N/A</v>
      </c>
      <c r="E134" s="216" t="e">
        <f t="shared" si="10"/>
        <v>#N/A</v>
      </c>
      <c r="F134" s="216" t="e">
        <f t="shared" si="10"/>
        <v>#N/A</v>
      </c>
      <c r="G134" s="216" t="e">
        <f t="shared" si="10"/>
        <v>#N/A</v>
      </c>
      <c r="H134" s="216" t="e">
        <f t="shared" si="10"/>
        <v>#N/A</v>
      </c>
      <c r="I134" s="216" t="e">
        <f t="shared" si="10"/>
        <v>#N/A</v>
      </c>
      <c r="J134" s="216" t="e">
        <f t="shared" si="10"/>
        <v>#N/A</v>
      </c>
      <c r="K134" s="216" t="e">
        <f t="shared" si="10"/>
        <v>#N/A</v>
      </c>
      <c r="L134" s="216" t="e">
        <f t="shared" si="10"/>
        <v>#N/A</v>
      </c>
      <c r="M134" s="216" t="e">
        <f t="shared" si="10"/>
        <v>#N/A</v>
      </c>
      <c r="N134" s="217" t="e">
        <f t="shared" si="10"/>
        <v>#N/A</v>
      </c>
    </row>
    <row r="135" spans="2:14" s="142" customFormat="1" x14ac:dyDescent="0.35">
      <c r="B135" s="218" t="s">
        <v>2273</v>
      </c>
      <c r="C135" s="178" t="e">
        <v>#N/A</v>
      </c>
      <c r="D135" s="178" t="e">
        <f t="shared" si="10"/>
        <v>#N/A</v>
      </c>
      <c r="E135" s="178" t="e">
        <f t="shared" si="10"/>
        <v>#N/A</v>
      </c>
      <c r="F135" s="178" t="e">
        <f t="shared" si="10"/>
        <v>#N/A</v>
      </c>
      <c r="G135" s="178" t="e">
        <f t="shared" si="10"/>
        <v>#N/A</v>
      </c>
      <c r="H135" s="178" t="e">
        <f t="shared" si="10"/>
        <v>#N/A</v>
      </c>
      <c r="I135" s="178" t="e">
        <f t="shared" si="10"/>
        <v>#N/A</v>
      </c>
      <c r="J135" s="178" t="e">
        <f t="shared" si="10"/>
        <v>#N/A</v>
      </c>
      <c r="K135" s="178" t="e">
        <f t="shared" si="10"/>
        <v>#N/A</v>
      </c>
      <c r="L135" s="178" t="e">
        <f t="shared" si="10"/>
        <v>#N/A</v>
      </c>
      <c r="M135" s="178" t="e">
        <f t="shared" si="10"/>
        <v>#N/A</v>
      </c>
      <c r="N135" s="220" t="e">
        <f t="shared" si="10"/>
        <v>#N/A</v>
      </c>
    </row>
    <row r="136" spans="2:14" s="142" customFormat="1" x14ac:dyDescent="0.35">
      <c r="B136" s="230" t="s">
        <v>2821</v>
      </c>
      <c r="C136" s="216">
        <v>267</v>
      </c>
      <c r="D136" s="216">
        <f t="shared" si="10"/>
        <v>379.53102291783119</v>
      </c>
      <c r="E136" s="216">
        <f t="shared" si="10"/>
        <v>414.33717958955521</v>
      </c>
      <c r="F136" s="216">
        <f t="shared" si="10"/>
        <v>430.4865405548527</v>
      </c>
      <c r="G136" s="216">
        <f t="shared" si="10"/>
        <v>429.45360536612634</v>
      </c>
      <c r="H136" s="216">
        <f t="shared" si="10"/>
        <v>428.59413521226207</v>
      </c>
      <c r="I136" s="216">
        <f t="shared" si="10"/>
        <v>481.40671059986465</v>
      </c>
      <c r="J136" s="216">
        <f t="shared" si="10"/>
        <v>432.48564325850964</v>
      </c>
      <c r="K136" s="216">
        <f t="shared" si="10"/>
        <v>342.02919155070464</v>
      </c>
      <c r="L136" s="216">
        <f t="shared" si="10"/>
        <v>348.0569378659057</v>
      </c>
      <c r="M136" s="216">
        <f t="shared" si="10"/>
        <v>387.11111764878939</v>
      </c>
      <c r="N136" s="217">
        <f t="shared" si="10"/>
        <v>425.40630608102146</v>
      </c>
    </row>
    <row r="137" spans="2:14" s="142" customFormat="1" x14ac:dyDescent="0.35">
      <c r="B137" s="231" t="s">
        <v>2822</v>
      </c>
      <c r="C137" s="178" t="e">
        <v>#N/A</v>
      </c>
      <c r="D137" s="178" t="e">
        <f t="shared" si="10"/>
        <v>#N/A</v>
      </c>
      <c r="E137" s="178" t="e">
        <f t="shared" si="10"/>
        <v>#N/A</v>
      </c>
      <c r="F137" s="178" t="e">
        <f t="shared" si="10"/>
        <v>#N/A</v>
      </c>
      <c r="G137" s="178" t="e">
        <f t="shared" si="10"/>
        <v>#N/A</v>
      </c>
      <c r="H137" s="178" t="e">
        <f t="shared" si="10"/>
        <v>#N/A</v>
      </c>
      <c r="I137" s="178" t="e">
        <f t="shared" si="10"/>
        <v>#N/A</v>
      </c>
      <c r="J137" s="178" t="e">
        <f t="shared" si="10"/>
        <v>#N/A</v>
      </c>
      <c r="K137" s="178" t="e">
        <f t="shared" si="10"/>
        <v>#N/A</v>
      </c>
      <c r="L137" s="178" t="e">
        <f t="shared" si="10"/>
        <v>#N/A</v>
      </c>
      <c r="M137" s="178" t="e">
        <f t="shared" si="10"/>
        <v>#N/A</v>
      </c>
      <c r="N137" s="220" t="e">
        <f t="shared" si="10"/>
        <v>#N/A</v>
      </c>
    </row>
    <row r="138" spans="2:14" s="142" customFormat="1" x14ac:dyDescent="0.35">
      <c r="B138" s="230" t="s">
        <v>2823</v>
      </c>
      <c r="C138" s="216" t="e">
        <v>#N/A</v>
      </c>
      <c r="D138" s="216" t="e">
        <f t="shared" si="10"/>
        <v>#N/A</v>
      </c>
      <c r="E138" s="216" t="e">
        <f t="shared" si="10"/>
        <v>#N/A</v>
      </c>
      <c r="F138" s="216" t="e">
        <f t="shared" si="10"/>
        <v>#N/A</v>
      </c>
      <c r="G138" s="216" t="e">
        <f t="shared" si="10"/>
        <v>#N/A</v>
      </c>
      <c r="H138" s="216" t="e">
        <f t="shared" si="10"/>
        <v>#N/A</v>
      </c>
      <c r="I138" s="216" t="e">
        <f t="shared" si="10"/>
        <v>#N/A</v>
      </c>
      <c r="J138" s="216" t="e">
        <f t="shared" si="10"/>
        <v>#N/A</v>
      </c>
      <c r="K138" s="216" t="e">
        <f t="shared" si="10"/>
        <v>#N/A</v>
      </c>
      <c r="L138" s="216" t="e">
        <f t="shared" si="10"/>
        <v>#N/A</v>
      </c>
      <c r="M138" s="216" t="e">
        <f t="shared" si="10"/>
        <v>#N/A</v>
      </c>
      <c r="N138" s="217" t="e">
        <f t="shared" si="10"/>
        <v>#N/A</v>
      </c>
    </row>
    <row r="139" spans="2:14" s="142" customFormat="1" x14ac:dyDescent="0.35">
      <c r="B139" s="231" t="s">
        <v>2824</v>
      </c>
      <c r="C139" s="178" t="e">
        <v>#N/A</v>
      </c>
      <c r="D139" s="178" t="e">
        <f t="shared" si="10"/>
        <v>#N/A</v>
      </c>
      <c r="E139" s="178" t="e">
        <f t="shared" si="10"/>
        <v>#N/A</v>
      </c>
      <c r="F139" s="178" t="e">
        <f t="shared" si="10"/>
        <v>#N/A</v>
      </c>
      <c r="G139" s="178" t="e">
        <f t="shared" si="10"/>
        <v>#N/A</v>
      </c>
      <c r="H139" s="178" t="e">
        <f t="shared" si="10"/>
        <v>#N/A</v>
      </c>
      <c r="I139" s="178" t="e">
        <f t="shared" si="10"/>
        <v>#N/A</v>
      </c>
      <c r="J139" s="178" t="e">
        <f t="shared" si="10"/>
        <v>#N/A</v>
      </c>
      <c r="K139" s="178" t="e">
        <f t="shared" si="10"/>
        <v>#N/A</v>
      </c>
      <c r="L139" s="178" t="e">
        <f t="shared" si="10"/>
        <v>#N/A</v>
      </c>
      <c r="M139" s="178" t="e">
        <f t="shared" si="10"/>
        <v>#N/A</v>
      </c>
      <c r="N139" s="220" t="e">
        <f t="shared" si="10"/>
        <v>#N/A</v>
      </c>
    </row>
    <row r="140" spans="2:14" s="142" customFormat="1" x14ac:dyDescent="0.35">
      <c r="B140" s="214" t="s">
        <v>1369</v>
      </c>
      <c r="C140" s="216">
        <v>285</v>
      </c>
      <c r="D140" s="216">
        <f t="shared" si="10"/>
        <v>405.11738401341535</v>
      </c>
      <c r="E140" s="216">
        <f t="shared" si="10"/>
        <v>442.27002315739043</v>
      </c>
      <c r="F140" s="216">
        <f t="shared" si="10"/>
        <v>459.50810508664051</v>
      </c>
      <c r="G140" s="216">
        <f t="shared" si="10"/>
        <v>458.40553381777528</v>
      </c>
      <c r="H140" s="216">
        <f t="shared" si="10"/>
        <v>457.48812185578532</v>
      </c>
      <c r="I140" s="216">
        <f t="shared" si="10"/>
        <v>513.86109558412522</v>
      </c>
      <c r="J140" s="216">
        <f t="shared" si="10"/>
        <v>461.64197875908332</v>
      </c>
      <c r="K140" s="216">
        <f t="shared" si="10"/>
        <v>365.08733929569598</v>
      </c>
      <c r="L140" s="216">
        <f t="shared" si="10"/>
        <v>371.52145053102294</v>
      </c>
      <c r="M140" s="216">
        <f t="shared" si="10"/>
        <v>413.20849636668532</v>
      </c>
      <c r="N140" s="217">
        <f t="shared" si="10"/>
        <v>454.08538289547232</v>
      </c>
    </row>
    <row r="141" spans="2:14" s="142" customFormat="1" x14ac:dyDescent="0.35">
      <c r="B141" s="218" t="s">
        <v>1370</v>
      </c>
      <c r="C141" s="178">
        <v>225</v>
      </c>
      <c r="D141" s="178">
        <f t="shared" si="10"/>
        <v>319.82951369480156</v>
      </c>
      <c r="E141" s="178">
        <f t="shared" si="10"/>
        <v>349.1605445979398</v>
      </c>
      <c r="F141" s="178">
        <f t="shared" si="10"/>
        <v>362.76955664734777</v>
      </c>
      <c r="G141" s="178">
        <f t="shared" si="10"/>
        <v>361.89910564561205</v>
      </c>
      <c r="H141" s="178">
        <f t="shared" si="10"/>
        <v>361.17483304404107</v>
      </c>
      <c r="I141" s="178">
        <f t="shared" si="10"/>
        <v>405.67981230325671</v>
      </c>
      <c r="J141" s="178">
        <f t="shared" si="10"/>
        <v>364.45419375717103</v>
      </c>
      <c r="K141" s="178">
        <f t="shared" si="10"/>
        <v>288.22684681239156</v>
      </c>
      <c r="L141" s="178">
        <f t="shared" si="10"/>
        <v>293.30640831396551</v>
      </c>
      <c r="M141" s="178">
        <f t="shared" si="10"/>
        <v>326.21723397369897</v>
      </c>
      <c r="N141" s="220">
        <f t="shared" si="10"/>
        <v>358.48846018063608</v>
      </c>
    </row>
    <row r="142" spans="2:14" s="142" customFormat="1" x14ac:dyDescent="0.35">
      <c r="B142" s="230" t="s">
        <v>2495</v>
      </c>
      <c r="C142" s="216" t="e">
        <v>#N/A</v>
      </c>
      <c r="D142" s="216" t="e">
        <f t="shared" ref="D142:N148" si="11">D$28/$C$28*$C142</f>
        <v>#N/A</v>
      </c>
      <c r="E142" s="216" t="e">
        <f t="shared" si="11"/>
        <v>#N/A</v>
      </c>
      <c r="F142" s="216" t="e">
        <f t="shared" si="11"/>
        <v>#N/A</v>
      </c>
      <c r="G142" s="216" t="e">
        <f t="shared" si="11"/>
        <v>#N/A</v>
      </c>
      <c r="H142" s="216" t="e">
        <f t="shared" si="11"/>
        <v>#N/A</v>
      </c>
      <c r="I142" s="216" t="e">
        <f t="shared" si="11"/>
        <v>#N/A</v>
      </c>
      <c r="J142" s="216" t="e">
        <f t="shared" si="11"/>
        <v>#N/A</v>
      </c>
      <c r="K142" s="216" t="e">
        <f t="shared" si="11"/>
        <v>#N/A</v>
      </c>
      <c r="L142" s="216" t="e">
        <f t="shared" si="11"/>
        <v>#N/A</v>
      </c>
      <c r="M142" s="216" t="e">
        <f t="shared" si="11"/>
        <v>#N/A</v>
      </c>
      <c r="N142" s="217" t="e">
        <f t="shared" si="11"/>
        <v>#N/A</v>
      </c>
    </row>
    <row r="143" spans="2:14" s="142" customFormat="1" x14ac:dyDescent="0.35">
      <c r="B143" s="218" t="s">
        <v>2275</v>
      </c>
      <c r="C143" s="178">
        <v>763</v>
      </c>
      <c r="D143" s="178">
        <f t="shared" si="11"/>
        <v>1084.5774175517049</v>
      </c>
      <c r="E143" s="178">
        <f t="shared" si="11"/>
        <v>1184.0422023476804</v>
      </c>
      <c r="F143" s="178">
        <f t="shared" si="11"/>
        <v>1230.1918743196727</v>
      </c>
      <c r="G143" s="178">
        <f t="shared" si="11"/>
        <v>1227.2400782560089</v>
      </c>
      <c r="H143" s="178">
        <f t="shared" si="11"/>
        <v>1224.7839893893481</v>
      </c>
      <c r="I143" s="178">
        <f t="shared" si="11"/>
        <v>1375.7053190550439</v>
      </c>
      <c r="J143" s="178">
        <f t="shared" si="11"/>
        <v>1235.9046659409844</v>
      </c>
      <c r="K143" s="178">
        <f t="shared" si="11"/>
        <v>977.40926274602111</v>
      </c>
      <c r="L143" s="178">
        <f t="shared" si="11"/>
        <v>994.63462019358076</v>
      </c>
      <c r="M143" s="178">
        <f t="shared" si="11"/>
        <v>1106.2388867641434</v>
      </c>
      <c r="N143" s="220">
        <f t="shared" si="11"/>
        <v>1215.6742005236681</v>
      </c>
    </row>
    <row r="144" spans="2:14" s="142" customFormat="1" x14ac:dyDescent="0.35">
      <c r="B144" s="214" t="s">
        <v>1666</v>
      </c>
      <c r="C144" s="216">
        <v>498</v>
      </c>
      <c r="D144" s="216">
        <f t="shared" si="11"/>
        <v>707.8893236444942</v>
      </c>
      <c r="E144" s="216">
        <f t="shared" si="11"/>
        <v>772.80867204344008</v>
      </c>
      <c r="F144" s="216">
        <f t="shared" si="11"/>
        <v>802.92995204612976</v>
      </c>
      <c r="G144" s="216">
        <f t="shared" si="11"/>
        <v>801.00335382895469</v>
      </c>
      <c r="H144" s="216">
        <f t="shared" si="11"/>
        <v>799.40029713747754</v>
      </c>
      <c r="I144" s="216">
        <f t="shared" si="11"/>
        <v>897.90465123120816</v>
      </c>
      <c r="J144" s="216">
        <f t="shared" si="11"/>
        <v>806.65861551587193</v>
      </c>
      <c r="K144" s="216">
        <f t="shared" si="11"/>
        <v>637.94208761142659</v>
      </c>
      <c r="L144" s="216">
        <f t="shared" si="11"/>
        <v>649.18485040157691</v>
      </c>
      <c r="M144" s="216">
        <f t="shared" si="11"/>
        <v>722.02747786178702</v>
      </c>
      <c r="N144" s="217">
        <f t="shared" si="11"/>
        <v>793.45445853314118</v>
      </c>
    </row>
    <row r="145" spans="2:14" s="142" customFormat="1" x14ac:dyDescent="0.35">
      <c r="B145" s="218" t="s">
        <v>1373</v>
      </c>
      <c r="C145" s="178">
        <v>388</v>
      </c>
      <c r="D145" s="178">
        <f t="shared" si="11"/>
        <v>551.52822806036897</v>
      </c>
      <c r="E145" s="178">
        <f t="shared" si="11"/>
        <v>602.107961351114</v>
      </c>
      <c r="F145" s="178">
        <f t="shared" si="11"/>
        <v>625.57594657409311</v>
      </c>
      <c r="G145" s="178">
        <f t="shared" si="11"/>
        <v>624.07490217998884</v>
      </c>
      <c r="H145" s="178">
        <f t="shared" si="11"/>
        <v>622.82593431594637</v>
      </c>
      <c r="I145" s="178">
        <f t="shared" si="11"/>
        <v>699.57229854961599</v>
      </c>
      <c r="J145" s="178">
        <f t="shared" si="11"/>
        <v>628.4810096790327</v>
      </c>
      <c r="K145" s="178">
        <f t="shared" si="11"/>
        <v>497.03118472536852</v>
      </c>
      <c r="L145" s="178">
        <f t="shared" si="11"/>
        <v>505.79060633697156</v>
      </c>
      <c r="M145" s="178">
        <f t="shared" si="11"/>
        <v>562.54349680797861</v>
      </c>
      <c r="N145" s="220">
        <f t="shared" si="11"/>
        <v>618.19343355594128</v>
      </c>
    </row>
    <row r="146" spans="2:14" s="142" customFormat="1" x14ac:dyDescent="0.35">
      <c r="B146" s="214" t="s">
        <v>1374</v>
      </c>
      <c r="C146" s="216">
        <v>269</v>
      </c>
      <c r="D146" s="216">
        <f t="shared" si="11"/>
        <v>382.37395192845167</v>
      </c>
      <c r="E146" s="216">
        <f t="shared" si="11"/>
        <v>417.44082887487025</v>
      </c>
      <c r="F146" s="216">
        <f t="shared" si="11"/>
        <v>433.7111588361625</v>
      </c>
      <c r="G146" s="216">
        <f t="shared" si="11"/>
        <v>432.67048630519844</v>
      </c>
      <c r="H146" s="216">
        <f t="shared" si="11"/>
        <v>431.80457817265352</v>
      </c>
      <c r="I146" s="216">
        <f t="shared" si="11"/>
        <v>485.01275337589357</v>
      </c>
      <c r="J146" s="216">
        <f t="shared" si="11"/>
        <v>435.72523609190671</v>
      </c>
      <c r="K146" s="216">
        <f t="shared" si="11"/>
        <v>344.59120796681481</v>
      </c>
      <c r="L146" s="216">
        <f t="shared" si="11"/>
        <v>350.6641059398076</v>
      </c>
      <c r="M146" s="216">
        <f t="shared" si="11"/>
        <v>390.0108263952223</v>
      </c>
      <c r="N146" s="217">
        <f t="shared" si="11"/>
        <v>428.59287017151598</v>
      </c>
    </row>
    <row r="147" spans="2:14" s="142" customFormat="1" x14ac:dyDescent="0.35">
      <c r="B147" s="218" t="s">
        <v>1757</v>
      </c>
      <c r="C147" s="178" t="e">
        <v>#N/A</v>
      </c>
      <c r="D147" s="178" t="e">
        <f t="shared" si="11"/>
        <v>#N/A</v>
      </c>
      <c r="E147" s="178" t="e">
        <f t="shared" si="11"/>
        <v>#N/A</v>
      </c>
      <c r="F147" s="178" t="e">
        <f t="shared" si="11"/>
        <v>#N/A</v>
      </c>
      <c r="G147" s="178" t="e">
        <f t="shared" si="11"/>
        <v>#N/A</v>
      </c>
      <c r="H147" s="178" t="e">
        <f t="shared" si="11"/>
        <v>#N/A</v>
      </c>
      <c r="I147" s="178" t="e">
        <f t="shared" si="11"/>
        <v>#N/A</v>
      </c>
      <c r="J147" s="178" t="e">
        <f t="shared" si="11"/>
        <v>#N/A</v>
      </c>
      <c r="K147" s="178" t="e">
        <f t="shared" si="11"/>
        <v>#N/A</v>
      </c>
      <c r="L147" s="178" t="e">
        <f t="shared" si="11"/>
        <v>#N/A</v>
      </c>
      <c r="M147" s="178" t="e">
        <f t="shared" si="11"/>
        <v>#N/A</v>
      </c>
      <c r="N147" s="220" t="e">
        <f t="shared" si="11"/>
        <v>#N/A</v>
      </c>
    </row>
    <row r="148" spans="2:14" s="142" customFormat="1" x14ac:dyDescent="0.35">
      <c r="B148" s="223" t="s">
        <v>32</v>
      </c>
      <c r="C148" s="225">
        <v>377</v>
      </c>
      <c r="D148" s="225">
        <f t="shared" si="11"/>
        <v>535.89211850195647</v>
      </c>
      <c r="E148" s="225">
        <f t="shared" si="11"/>
        <v>585.03789028188135</v>
      </c>
      <c r="F148" s="225">
        <f t="shared" si="11"/>
        <v>607.84054602688946</v>
      </c>
      <c r="G148" s="225">
        <f t="shared" si="11"/>
        <v>606.38205701509219</v>
      </c>
      <c r="H148" s="225">
        <f t="shared" si="11"/>
        <v>605.1684980337933</v>
      </c>
      <c r="I148" s="225">
        <f t="shared" si="11"/>
        <v>679.73906328145677</v>
      </c>
      <c r="J148" s="225">
        <f t="shared" si="11"/>
        <v>610.66324909534876</v>
      </c>
      <c r="K148" s="225">
        <f t="shared" si="11"/>
        <v>482.94009443676271</v>
      </c>
      <c r="L148" s="225">
        <f t="shared" si="11"/>
        <v>491.45118193051104</v>
      </c>
      <c r="M148" s="225">
        <f t="shared" si="11"/>
        <v>546.59509870259774</v>
      </c>
      <c r="N148" s="226">
        <f t="shared" si="11"/>
        <v>600.66733105822129</v>
      </c>
    </row>
    <row r="149" spans="2:14" s="123" customFormat="1" x14ac:dyDescent="0.35">
      <c r="B149" s="125"/>
      <c r="C149" s="125"/>
      <c r="D149" s="125"/>
      <c r="E149" s="125"/>
      <c r="F149" s="125"/>
      <c r="G149" s="125"/>
    </row>
    <row r="150" spans="2:14" s="142" customFormat="1" ht="17.5" thickBot="1" x14ac:dyDescent="0.45">
      <c r="B150" s="176" t="s">
        <v>2284</v>
      </c>
      <c r="C150" s="176"/>
      <c r="D150" s="176"/>
      <c r="E150" s="176"/>
      <c r="F150" s="176"/>
      <c r="G150" s="176"/>
      <c r="H150" s="176"/>
      <c r="I150" s="176"/>
      <c r="J150" s="176"/>
      <c r="K150" s="176"/>
      <c r="L150" s="176"/>
      <c r="M150" s="176"/>
      <c r="N150" s="176"/>
    </row>
    <row r="151" spans="2:14" s="142" customFormat="1" ht="15" thickTop="1" x14ac:dyDescent="0.35">
      <c r="B151" s="179" t="s">
        <v>2292</v>
      </c>
      <c r="C151" s="180">
        <f>$F$25</f>
        <v>3578</v>
      </c>
      <c r="D151" s="180">
        <f>VLOOKUP(D$29,HDD_CDD!$B$5:$F$15,3,FALSE)</f>
        <v>5086</v>
      </c>
      <c r="E151" s="180">
        <f>VLOOKUP(E$29,HDD_CDD!$B$5:$F$15,3,FALSE)</f>
        <v>5552.4285714285716</v>
      </c>
      <c r="F151" s="180">
        <f>VLOOKUP(F$29,HDD_CDD!$B$5:$F$15,3,FALSE)</f>
        <v>5768.8421052631575</v>
      </c>
      <c r="G151" s="180">
        <f>VLOOKUP(G$29,HDD_CDD!$B$5:$F$15,3,FALSE)</f>
        <v>5755</v>
      </c>
      <c r="H151" s="180">
        <f>VLOOKUP(H$29,HDD_CDD!$B$5:$F$15,3,FALSE)</f>
        <v>5743.4824561403511</v>
      </c>
      <c r="I151" s="180">
        <f>VLOOKUP(I$29,HDD_CDD!$B$5:$F$15,3,FALSE)</f>
        <v>6451.2105263157891</v>
      </c>
      <c r="J151" s="180">
        <f>VLOOKUP(J$29,HDD_CDD!$B$5:$F$15,3,FALSE)</f>
        <v>5795.6315789473683</v>
      </c>
      <c r="K151" s="180">
        <f>VLOOKUP(K$29,HDD_CDD!$B$5:$F$15,3,FALSE)</f>
        <v>4583.4473684210534</v>
      </c>
      <c r="L151" s="180">
        <f>VLOOKUP(L$29,HDD_CDD!$B$5:$F$15,3,FALSE)</f>
        <v>4664.2236842105267</v>
      </c>
      <c r="M151" s="180">
        <f>VLOOKUP(M$29,HDD_CDD!$B$5:$F$15,3,FALSE)</f>
        <v>5187.5789473684217</v>
      </c>
      <c r="N151" s="180">
        <f>VLOOKUP(N$29,HDD_CDD!$B$5:$F$15,3,FALSE)</f>
        <v>5700.7631578947367</v>
      </c>
    </row>
    <row r="152" spans="2:14" s="142" customFormat="1" ht="31.5" customHeight="1" x14ac:dyDescent="0.35">
      <c r="B152" s="211" t="s">
        <v>2815</v>
      </c>
      <c r="C152" s="212" t="s">
        <v>2294</v>
      </c>
      <c r="D152" s="212" t="s">
        <v>1361</v>
      </c>
      <c r="E152" s="212" t="s">
        <v>1811</v>
      </c>
      <c r="F152" s="212" t="s">
        <v>1812</v>
      </c>
      <c r="G152" s="212" t="s">
        <v>1362</v>
      </c>
      <c r="H152" s="212" t="s">
        <v>1813</v>
      </c>
      <c r="I152" s="212" t="s">
        <v>1814</v>
      </c>
      <c r="J152" s="212" t="s">
        <v>1815</v>
      </c>
      <c r="K152" s="212" t="s">
        <v>1816</v>
      </c>
      <c r="L152" s="212" t="s">
        <v>1817</v>
      </c>
      <c r="M152" s="212" t="s">
        <v>1818</v>
      </c>
      <c r="N152" s="213" t="s">
        <v>1819</v>
      </c>
    </row>
    <row r="153" spans="2:14" s="142" customFormat="1" x14ac:dyDescent="0.35">
      <c r="B153" s="214" t="s">
        <v>2269</v>
      </c>
      <c r="C153" s="216">
        <v>1773</v>
      </c>
      <c r="D153" s="216">
        <f t="shared" ref="D153:N162" si="12">D$28/$C$28*$C153</f>
        <v>2520.2565679150366</v>
      </c>
      <c r="E153" s="216">
        <f t="shared" si="12"/>
        <v>2751.3850914317654</v>
      </c>
      <c r="F153" s="216">
        <f t="shared" si="12"/>
        <v>2858.6241063811008</v>
      </c>
      <c r="G153" s="216">
        <f t="shared" si="12"/>
        <v>2851.7649524874232</v>
      </c>
      <c r="H153" s="216">
        <f t="shared" si="12"/>
        <v>2846.0576843870435</v>
      </c>
      <c r="I153" s="216">
        <f t="shared" si="12"/>
        <v>3196.7569209496628</v>
      </c>
      <c r="J153" s="216">
        <f t="shared" si="12"/>
        <v>2871.8990468065076</v>
      </c>
      <c r="K153" s="216">
        <f t="shared" si="12"/>
        <v>2271.2275528816454</v>
      </c>
      <c r="L153" s="216">
        <f t="shared" si="12"/>
        <v>2311.2544975140481</v>
      </c>
      <c r="M153" s="216">
        <f t="shared" si="12"/>
        <v>2570.5918037127476</v>
      </c>
      <c r="N153" s="217">
        <f t="shared" si="12"/>
        <v>2824.8890662234121</v>
      </c>
    </row>
    <row r="154" spans="2:14" s="142" customFormat="1" x14ac:dyDescent="0.35">
      <c r="B154" s="218" t="s">
        <v>2270</v>
      </c>
      <c r="C154" s="178" t="e">
        <v>#N/A</v>
      </c>
      <c r="D154" s="178" t="e">
        <f t="shared" si="12"/>
        <v>#N/A</v>
      </c>
      <c r="E154" s="178" t="e">
        <f t="shared" si="12"/>
        <v>#N/A</v>
      </c>
      <c r="F154" s="178" t="e">
        <f t="shared" si="12"/>
        <v>#N/A</v>
      </c>
      <c r="G154" s="178" t="e">
        <f t="shared" si="12"/>
        <v>#N/A</v>
      </c>
      <c r="H154" s="178" t="e">
        <f t="shared" si="12"/>
        <v>#N/A</v>
      </c>
      <c r="I154" s="178" t="e">
        <f t="shared" si="12"/>
        <v>#N/A</v>
      </c>
      <c r="J154" s="178" t="e">
        <f t="shared" si="12"/>
        <v>#N/A</v>
      </c>
      <c r="K154" s="178" t="e">
        <f t="shared" si="12"/>
        <v>#N/A</v>
      </c>
      <c r="L154" s="178" t="e">
        <f t="shared" si="12"/>
        <v>#N/A</v>
      </c>
      <c r="M154" s="178" t="e">
        <f t="shared" si="12"/>
        <v>#N/A</v>
      </c>
      <c r="N154" s="220" t="e">
        <f t="shared" si="12"/>
        <v>#N/A</v>
      </c>
    </row>
    <row r="155" spans="2:14" s="142" customFormat="1" x14ac:dyDescent="0.35">
      <c r="B155" s="228" t="s">
        <v>2816</v>
      </c>
      <c r="C155" s="216" t="e">
        <v>#N/A</v>
      </c>
      <c r="D155" s="216" t="e">
        <f t="shared" si="12"/>
        <v>#N/A</v>
      </c>
      <c r="E155" s="216" t="e">
        <f t="shared" si="12"/>
        <v>#N/A</v>
      </c>
      <c r="F155" s="216" t="e">
        <f t="shared" si="12"/>
        <v>#N/A</v>
      </c>
      <c r="G155" s="216" t="e">
        <f t="shared" si="12"/>
        <v>#N/A</v>
      </c>
      <c r="H155" s="216" t="e">
        <f t="shared" si="12"/>
        <v>#N/A</v>
      </c>
      <c r="I155" s="216" t="e">
        <f t="shared" si="12"/>
        <v>#N/A</v>
      </c>
      <c r="J155" s="216" t="e">
        <f t="shared" si="12"/>
        <v>#N/A</v>
      </c>
      <c r="K155" s="216" t="e">
        <f t="shared" si="12"/>
        <v>#N/A</v>
      </c>
      <c r="L155" s="216" t="e">
        <f t="shared" si="12"/>
        <v>#N/A</v>
      </c>
      <c r="M155" s="216" t="e">
        <f t="shared" si="12"/>
        <v>#N/A</v>
      </c>
      <c r="N155" s="217" t="e">
        <f t="shared" si="12"/>
        <v>#N/A</v>
      </c>
    </row>
    <row r="156" spans="2:14" s="142" customFormat="1" x14ac:dyDescent="0.35">
      <c r="B156" s="218" t="s">
        <v>1375</v>
      </c>
      <c r="C156" s="178">
        <v>1267</v>
      </c>
      <c r="D156" s="178">
        <f t="shared" si="12"/>
        <v>1800.9955282280605</v>
      </c>
      <c r="E156" s="178">
        <f t="shared" si="12"/>
        <v>1966.1618222470654</v>
      </c>
      <c r="F156" s="178">
        <f t="shared" si="12"/>
        <v>2042.7956812097318</v>
      </c>
      <c r="G156" s="178">
        <f t="shared" si="12"/>
        <v>2037.8940749021799</v>
      </c>
      <c r="H156" s="178">
        <f t="shared" si="12"/>
        <v>2033.8156154080002</v>
      </c>
      <c r="I156" s="178">
        <f t="shared" si="12"/>
        <v>2284.428098614339</v>
      </c>
      <c r="J156" s="178">
        <f t="shared" si="12"/>
        <v>2052.2820599570477</v>
      </c>
      <c r="K156" s="178">
        <f t="shared" si="12"/>
        <v>1623.0373996057781</v>
      </c>
      <c r="L156" s="178">
        <f t="shared" si="12"/>
        <v>1651.6409748168635</v>
      </c>
      <c r="M156" s="178">
        <f t="shared" si="12"/>
        <v>1836.9654908652292</v>
      </c>
      <c r="N156" s="220">
        <f t="shared" si="12"/>
        <v>2018.6883513282928</v>
      </c>
    </row>
    <row r="157" spans="2:14" s="142" customFormat="1" x14ac:dyDescent="0.35">
      <c r="B157" s="214" t="s">
        <v>1665</v>
      </c>
      <c r="C157" s="216">
        <v>180</v>
      </c>
      <c r="D157" s="216">
        <f t="shared" si="12"/>
        <v>255.86361095584127</v>
      </c>
      <c r="E157" s="216">
        <f t="shared" si="12"/>
        <v>279.32843567835181</v>
      </c>
      <c r="F157" s="216">
        <f t="shared" si="12"/>
        <v>290.21564531787823</v>
      </c>
      <c r="G157" s="216">
        <f t="shared" si="12"/>
        <v>289.51928451648968</v>
      </c>
      <c r="H157" s="216">
        <f t="shared" si="12"/>
        <v>288.93986643523283</v>
      </c>
      <c r="I157" s="216">
        <f t="shared" si="12"/>
        <v>324.54384984260537</v>
      </c>
      <c r="J157" s="216">
        <f t="shared" si="12"/>
        <v>291.56335500573681</v>
      </c>
      <c r="K157" s="216">
        <f t="shared" si="12"/>
        <v>230.58147744991322</v>
      </c>
      <c r="L157" s="216">
        <f t="shared" si="12"/>
        <v>234.64512665117238</v>
      </c>
      <c r="M157" s="216">
        <f t="shared" si="12"/>
        <v>260.97378717895913</v>
      </c>
      <c r="N157" s="217">
        <f t="shared" si="12"/>
        <v>286.79076814450883</v>
      </c>
    </row>
    <row r="158" spans="2:14" s="142" customFormat="1" x14ac:dyDescent="0.35">
      <c r="B158" s="229" t="s">
        <v>2817</v>
      </c>
      <c r="C158" s="178" t="e">
        <v>#N/A</v>
      </c>
      <c r="D158" s="178" t="e">
        <f t="shared" si="12"/>
        <v>#N/A</v>
      </c>
      <c r="E158" s="178" t="e">
        <f t="shared" si="12"/>
        <v>#N/A</v>
      </c>
      <c r="F158" s="178" t="e">
        <f t="shared" si="12"/>
        <v>#N/A</v>
      </c>
      <c r="G158" s="178" t="e">
        <f t="shared" si="12"/>
        <v>#N/A</v>
      </c>
      <c r="H158" s="178" t="e">
        <f t="shared" si="12"/>
        <v>#N/A</v>
      </c>
      <c r="I158" s="178" t="e">
        <f t="shared" si="12"/>
        <v>#N/A</v>
      </c>
      <c r="J158" s="178" t="e">
        <f t="shared" si="12"/>
        <v>#N/A</v>
      </c>
      <c r="K158" s="178" t="e">
        <f t="shared" si="12"/>
        <v>#N/A</v>
      </c>
      <c r="L158" s="178" t="e">
        <f t="shared" si="12"/>
        <v>#N/A</v>
      </c>
      <c r="M158" s="178" t="e">
        <f t="shared" si="12"/>
        <v>#N/A</v>
      </c>
      <c r="N158" s="220" t="e">
        <f t="shared" si="12"/>
        <v>#N/A</v>
      </c>
    </row>
    <row r="159" spans="2:14" s="142" customFormat="1" x14ac:dyDescent="0.35">
      <c r="B159" s="214" t="s">
        <v>1376</v>
      </c>
      <c r="C159" s="216">
        <v>657</v>
      </c>
      <c r="D159" s="216">
        <f t="shared" si="12"/>
        <v>933.90217998882065</v>
      </c>
      <c r="E159" s="216">
        <f t="shared" si="12"/>
        <v>1019.5487902259842</v>
      </c>
      <c r="F159" s="216">
        <f t="shared" si="12"/>
        <v>1059.2871054102554</v>
      </c>
      <c r="G159" s="216">
        <f t="shared" si="12"/>
        <v>1056.7453884851873</v>
      </c>
      <c r="H159" s="216">
        <f t="shared" si="12"/>
        <v>1054.6305124885998</v>
      </c>
      <c r="I159" s="216">
        <f t="shared" si="12"/>
        <v>1184.5850519255096</v>
      </c>
      <c r="J159" s="216">
        <f t="shared" si="12"/>
        <v>1064.2062457709394</v>
      </c>
      <c r="K159" s="216">
        <f t="shared" si="12"/>
        <v>841.62239269218333</v>
      </c>
      <c r="L159" s="216">
        <f t="shared" si="12"/>
        <v>856.45471227677922</v>
      </c>
      <c r="M159" s="216">
        <f t="shared" si="12"/>
        <v>952.55432320320085</v>
      </c>
      <c r="N159" s="217">
        <f t="shared" si="12"/>
        <v>1046.7863037274574</v>
      </c>
    </row>
    <row r="160" spans="2:14" s="142" customFormat="1" x14ac:dyDescent="0.35">
      <c r="B160" s="218" t="s">
        <v>2271</v>
      </c>
      <c r="C160" s="178">
        <v>0</v>
      </c>
      <c r="D160" s="178">
        <f t="shared" si="12"/>
        <v>0</v>
      </c>
      <c r="E160" s="178">
        <f t="shared" si="12"/>
        <v>0</v>
      </c>
      <c r="F160" s="178">
        <f t="shared" si="12"/>
        <v>0</v>
      </c>
      <c r="G160" s="178">
        <f t="shared" si="12"/>
        <v>0</v>
      </c>
      <c r="H160" s="178">
        <f t="shared" si="12"/>
        <v>0</v>
      </c>
      <c r="I160" s="178">
        <f t="shared" si="12"/>
        <v>0</v>
      </c>
      <c r="J160" s="178">
        <f t="shared" si="12"/>
        <v>0</v>
      </c>
      <c r="K160" s="178">
        <f t="shared" si="12"/>
        <v>0</v>
      </c>
      <c r="L160" s="178">
        <f t="shared" si="12"/>
        <v>0</v>
      </c>
      <c r="M160" s="178">
        <f t="shared" si="12"/>
        <v>0</v>
      </c>
      <c r="N160" s="220">
        <f t="shared" si="12"/>
        <v>0</v>
      </c>
    </row>
    <row r="161" spans="2:14" s="142" customFormat="1" x14ac:dyDescent="0.35">
      <c r="B161" s="214" t="s">
        <v>1372</v>
      </c>
      <c r="C161" s="216" t="e">
        <v>#N/A</v>
      </c>
      <c r="D161" s="216" t="e">
        <f t="shared" si="12"/>
        <v>#N/A</v>
      </c>
      <c r="E161" s="216" t="e">
        <f t="shared" si="12"/>
        <v>#N/A</v>
      </c>
      <c r="F161" s="216" t="e">
        <f t="shared" si="12"/>
        <v>#N/A</v>
      </c>
      <c r="G161" s="216" t="e">
        <f t="shared" si="12"/>
        <v>#N/A</v>
      </c>
      <c r="H161" s="216" t="e">
        <f t="shared" si="12"/>
        <v>#N/A</v>
      </c>
      <c r="I161" s="216" t="e">
        <f t="shared" si="12"/>
        <v>#N/A</v>
      </c>
      <c r="J161" s="216" t="e">
        <f t="shared" si="12"/>
        <v>#N/A</v>
      </c>
      <c r="K161" s="216" t="e">
        <f t="shared" si="12"/>
        <v>#N/A</v>
      </c>
      <c r="L161" s="216" t="e">
        <f t="shared" si="12"/>
        <v>#N/A</v>
      </c>
      <c r="M161" s="216" t="e">
        <f t="shared" si="12"/>
        <v>#N/A</v>
      </c>
      <c r="N161" s="217" t="e">
        <f t="shared" si="12"/>
        <v>#N/A</v>
      </c>
    </row>
    <row r="162" spans="2:14" s="142" customFormat="1" x14ac:dyDescent="0.35">
      <c r="B162" s="218" t="s">
        <v>1365</v>
      </c>
      <c r="C162" s="178">
        <v>447</v>
      </c>
      <c r="D162" s="178">
        <f t="shared" si="12"/>
        <v>635.39463387367243</v>
      </c>
      <c r="E162" s="178">
        <f t="shared" si="12"/>
        <v>693.66561526790701</v>
      </c>
      <c r="F162" s="178">
        <f t="shared" si="12"/>
        <v>720.70218587273098</v>
      </c>
      <c r="G162" s="178">
        <f t="shared" si="12"/>
        <v>718.97288988261596</v>
      </c>
      <c r="H162" s="178">
        <f t="shared" si="12"/>
        <v>717.53400164749496</v>
      </c>
      <c r="I162" s="178">
        <f t="shared" si="12"/>
        <v>805.95056044246996</v>
      </c>
      <c r="J162" s="178">
        <f t="shared" si="12"/>
        <v>724.04899826424639</v>
      </c>
      <c r="K162" s="178">
        <f t="shared" si="12"/>
        <v>572.61066900061792</v>
      </c>
      <c r="L162" s="178">
        <f t="shared" si="12"/>
        <v>582.70206451707804</v>
      </c>
      <c r="M162" s="178">
        <f t="shared" si="12"/>
        <v>648.08490482774857</v>
      </c>
      <c r="N162" s="220">
        <f t="shared" si="12"/>
        <v>712.19707422553029</v>
      </c>
    </row>
    <row r="163" spans="2:14" s="142" customFormat="1" x14ac:dyDescent="0.35">
      <c r="B163" s="214" t="s">
        <v>1377</v>
      </c>
      <c r="C163" s="216">
        <v>641</v>
      </c>
      <c r="D163" s="216">
        <f t="shared" ref="D163:N172" si="13">D$28/$C$28*$C163</f>
        <v>911.15874790385692</v>
      </c>
      <c r="E163" s="216">
        <f t="shared" si="13"/>
        <v>994.71959594346401</v>
      </c>
      <c r="F163" s="216">
        <f t="shared" si="13"/>
        <v>1033.4901591597775</v>
      </c>
      <c r="G163" s="216">
        <f t="shared" si="13"/>
        <v>1031.0103409726105</v>
      </c>
      <c r="H163" s="216">
        <f t="shared" si="13"/>
        <v>1028.946968805468</v>
      </c>
      <c r="I163" s="216">
        <f t="shared" si="13"/>
        <v>1155.736709717278</v>
      </c>
      <c r="J163" s="216">
        <f t="shared" si="13"/>
        <v>1038.2895031037629</v>
      </c>
      <c r="K163" s="216">
        <f t="shared" si="13"/>
        <v>821.12626136330209</v>
      </c>
      <c r="L163" s="216">
        <f t="shared" si="13"/>
        <v>835.59736768556388</v>
      </c>
      <c r="M163" s="216">
        <f t="shared" si="13"/>
        <v>929.35665323173782</v>
      </c>
      <c r="N163" s="217">
        <f t="shared" si="13"/>
        <v>1021.2937910035009</v>
      </c>
    </row>
    <row r="164" spans="2:14" s="142" customFormat="1" x14ac:dyDescent="0.35">
      <c r="B164" s="231" t="s">
        <v>1368</v>
      </c>
      <c r="C164" s="178" t="e">
        <v>#N/A</v>
      </c>
      <c r="D164" s="178" t="e">
        <f t="shared" si="13"/>
        <v>#N/A</v>
      </c>
      <c r="E164" s="178" t="e">
        <f t="shared" si="13"/>
        <v>#N/A</v>
      </c>
      <c r="F164" s="178" t="e">
        <f t="shared" si="13"/>
        <v>#N/A</v>
      </c>
      <c r="G164" s="178" t="e">
        <f t="shared" si="13"/>
        <v>#N/A</v>
      </c>
      <c r="H164" s="178" t="e">
        <f t="shared" si="13"/>
        <v>#N/A</v>
      </c>
      <c r="I164" s="178" t="e">
        <f t="shared" si="13"/>
        <v>#N/A</v>
      </c>
      <c r="J164" s="178" t="e">
        <f t="shared" si="13"/>
        <v>#N/A</v>
      </c>
      <c r="K164" s="178" t="e">
        <f t="shared" si="13"/>
        <v>#N/A</v>
      </c>
      <c r="L164" s="178" t="e">
        <f t="shared" si="13"/>
        <v>#N/A</v>
      </c>
      <c r="M164" s="178" t="e">
        <f t="shared" si="13"/>
        <v>#N/A</v>
      </c>
      <c r="N164" s="220" t="e">
        <f t="shared" si="13"/>
        <v>#N/A</v>
      </c>
    </row>
    <row r="165" spans="2:14" s="142" customFormat="1" x14ac:dyDescent="0.35">
      <c r="B165" s="230" t="s">
        <v>2483</v>
      </c>
      <c r="C165" s="216" t="e">
        <v>#N/A</v>
      </c>
      <c r="D165" s="216" t="e">
        <f t="shared" si="13"/>
        <v>#N/A</v>
      </c>
      <c r="E165" s="216" t="e">
        <f t="shared" si="13"/>
        <v>#N/A</v>
      </c>
      <c r="F165" s="216" t="e">
        <f t="shared" si="13"/>
        <v>#N/A</v>
      </c>
      <c r="G165" s="216" t="e">
        <f t="shared" si="13"/>
        <v>#N/A</v>
      </c>
      <c r="H165" s="216" t="e">
        <f t="shared" si="13"/>
        <v>#N/A</v>
      </c>
      <c r="I165" s="216" t="e">
        <f t="shared" si="13"/>
        <v>#N/A</v>
      </c>
      <c r="J165" s="216" t="e">
        <f t="shared" si="13"/>
        <v>#N/A</v>
      </c>
      <c r="K165" s="216" t="e">
        <f t="shared" si="13"/>
        <v>#N/A</v>
      </c>
      <c r="L165" s="216" t="e">
        <f t="shared" si="13"/>
        <v>#N/A</v>
      </c>
      <c r="M165" s="216" t="e">
        <f t="shared" si="13"/>
        <v>#N/A</v>
      </c>
      <c r="N165" s="217" t="e">
        <f t="shared" si="13"/>
        <v>#N/A</v>
      </c>
    </row>
    <row r="166" spans="2:14" s="142" customFormat="1" x14ac:dyDescent="0.35">
      <c r="B166" s="231" t="s">
        <v>2485</v>
      </c>
      <c r="C166" s="178" t="e">
        <v>#N/A</v>
      </c>
      <c r="D166" s="178" t="e">
        <f t="shared" si="13"/>
        <v>#N/A</v>
      </c>
      <c r="E166" s="178" t="e">
        <f t="shared" si="13"/>
        <v>#N/A</v>
      </c>
      <c r="F166" s="178" t="e">
        <f t="shared" si="13"/>
        <v>#N/A</v>
      </c>
      <c r="G166" s="178" t="e">
        <f t="shared" si="13"/>
        <v>#N/A</v>
      </c>
      <c r="H166" s="178" t="e">
        <f t="shared" si="13"/>
        <v>#N/A</v>
      </c>
      <c r="I166" s="178" t="e">
        <f t="shared" si="13"/>
        <v>#N/A</v>
      </c>
      <c r="J166" s="178" t="e">
        <f t="shared" si="13"/>
        <v>#N/A</v>
      </c>
      <c r="K166" s="178" t="e">
        <f t="shared" si="13"/>
        <v>#N/A</v>
      </c>
      <c r="L166" s="178" t="e">
        <f t="shared" si="13"/>
        <v>#N/A</v>
      </c>
      <c r="M166" s="178" t="e">
        <f t="shared" si="13"/>
        <v>#N/A</v>
      </c>
      <c r="N166" s="220" t="e">
        <f t="shared" si="13"/>
        <v>#N/A</v>
      </c>
    </row>
    <row r="167" spans="2:14" s="142" customFormat="1" x14ac:dyDescent="0.35">
      <c r="B167" s="230" t="s">
        <v>2486</v>
      </c>
      <c r="C167" s="216" t="e">
        <v>#N/A</v>
      </c>
      <c r="D167" s="216" t="e">
        <f t="shared" si="13"/>
        <v>#N/A</v>
      </c>
      <c r="E167" s="216" t="e">
        <f t="shared" si="13"/>
        <v>#N/A</v>
      </c>
      <c r="F167" s="216" t="e">
        <f t="shared" si="13"/>
        <v>#N/A</v>
      </c>
      <c r="G167" s="216" t="e">
        <f t="shared" si="13"/>
        <v>#N/A</v>
      </c>
      <c r="H167" s="216" t="e">
        <f t="shared" si="13"/>
        <v>#N/A</v>
      </c>
      <c r="I167" s="216" t="e">
        <f t="shared" si="13"/>
        <v>#N/A</v>
      </c>
      <c r="J167" s="216" t="e">
        <f t="shared" si="13"/>
        <v>#N/A</v>
      </c>
      <c r="K167" s="216" t="e">
        <f t="shared" si="13"/>
        <v>#N/A</v>
      </c>
      <c r="L167" s="216" t="e">
        <f t="shared" si="13"/>
        <v>#N/A</v>
      </c>
      <c r="M167" s="216" t="e">
        <f t="shared" si="13"/>
        <v>#N/A</v>
      </c>
      <c r="N167" s="217" t="e">
        <f t="shared" si="13"/>
        <v>#N/A</v>
      </c>
    </row>
    <row r="168" spans="2:14" s="142" customFormat="1" x14ac:dyDescent="0.35">
      <c r="B168" s="229" t="s">
        <v>2818</v>
      </c>
      <c r="C168" s="178" t="e">
        <v>#N/A</v>
      </c>
      <c r="D168" s="178" t="e">
        <f t="shared" si="13"/>
        <v>#N/A</v>
      </c>
      <c r="E168" s="178" t="e">
        <f t="shared" si="13"/>
        <v>#N/A</v>
      </c>
      <c r="F168" s="178" t="e">
        <f t="shared" si="13"/>
        <v>#N/A</v>
      </c>
      <c r="G168" s="178" t="e">
        <f t="shared" si="13"/>
        <v>#N/A</v>
      </c>
      <c r="H168" s="178" t="e">
        <f t="shared" si="13"/>
        <v>#N/A</v>
      </c>
      <c r="I168" s="178" t="e">
        <f t="shared" si="13"/>
        <v>#N/A</v>
      </c>
      <c r="J168" s="178" t="e">
        <f t="shared" si="13"/>
        <v>#N/A</v>
      </c>
      <c r="K168" s="178" t="e">
        <f t="shared" si="13"/>
        <v>#N/A</v>
      </c>
      <c r="L168" s="178" t="e">
        <f t="shared" si="13"/>
        <v>#N/A</v>
      </c>
      <c r="M168" s="178" t="e">
        <f t="shared" si="13"/>
        <v>#N/A</v>
      </c>
      <c r="N168" s="220" t="e">
        <f t="shared" si="13"/>
        <v>#N/A</v>
      </c>
    </row>
    <row r="169" spans="2:14" s="142" customFormat="1" x14ac:dyDescent="0.35">
      <c r="B169" s="214" t="s">
        <v>2267</v>
      </c>
      <c r="C169" s="216" t="e">
        <v>#N/A</v>
      </c>
      <c r="D169" s="216" t="e">
        <f t="shared" si="13"/>
        <v>#N/A</v>
      </c>
      <c r="E169" s="216" t="e">
        <f t="shared" si="13"/>
        <v>#N/A</v>
      </c>
      <c r="F169" s="216" t="e">
        <f t="shared" si="13"/>
        <v>#N/A</v>
      </c>
      <c r="G169" s="216" t="e">
        <f t="shared" si="13"/>
        <v>#N/A</v>
      </c>
      <c r="H169" s="216" t="e">
        <f t="shared" si="13"/>
        <v>#N/A</v>
      </c>
      <c r="I169" s="216" t="e">
        <f t="shared" si="13"/>
        <v>#N/A</v>
      </c>
      <c r="J169" s="216" t="e">
        <f t="shared" si="13"/>
        <v>#N/A</v>
      </c>
      <c r="K169" s="216" t="e">
        <f t="shared" si="13"/>
        <v>#N/A</v>
      </c>
      <c r="L169" s="216" t="e">
        <f t="shared" si="13"/>
        <v>#N/A</v>
      </c>
      <c r="M169" s="216" t="e">
        <f t="shared" si="13"/>
        <v>#N/A</v>
      </c>
      <c r="N169" s="217" t="e">
        <f t="shared" si="13"/>
        <v>#N/A</v>
      </c>
    </row>
    <row r="170" spans="2:14" s="142" customFormat="1" x14ac:dyDescent="0.35">
      <c r="B170" s="218" t="s">
        <v>1366</v>
      </c>
      <c r="C170" s="178" t="e">
        <v>#N/A</v>
      </c>
      <c r="D170" s="178" t="e">
        <f t="shared" si="13"/>
        <v>#N/A</v>
      </c>
      <c r="E170" s="178" t="e">
        <f t="shared" si="13"/>
        <v>#N/A</v>
      </c>
      <c r="F170" s="178" t="e">
        <f t="shared" si="13"/>
        <v>#N/A</v>
      </c>
      <c r="G170" s="178" t="e">
        <f t="shared" si="13"/>
        <v>#N/A</v>
      </c>
      <c r="H170" s="178" t="e">
        <f t="shared" si="13"/>
        <v>#N/A</v>
      </c>
      <c r="I170" s="178" t="e">
        <f t="shared" si="13"/>
        <v>#N/A</v>
      </c>
      <c r="J170" s="178" t="e">
        <f t="shared" si="13"/>
        <v>#N/A</v>
      </c>
      <c r="K170" s="178" t="e">
        <f t="shared" si="13"/>
        <v>#N/A</v>
      </c>
      <c r="L170" s="178" t="e">
        <f t="shared" si="13"/>
        <v>#N/A</v>
      </c>
      <c r="M170" s="178" t="e">
        <f t="shared" si="13"/>
        <v>#N/A</v>
      </c>
      <c r="N170" s="220" t="e">
        <f t="shared" si="13"/>
        <v>#N/A</v>
      </c>
    </row>
    <row r="171" spans="2:14" s="142" customFormat="1" x14ac:dyDescent="0.35">
      <c r="B171" s="214" t="s">
        <v>2272</v>
      </c>
      <c r="C171" s="216" t="e">
        <v>#N/A</v>
      </c>
      <c r="D171" s="216" t="e">
        <f t="shared" si="13"/>
        <v>#N/A</v>
      </c>
      <c r="E171" s="216" t="e">
        <f t="shared" si="13"/>
        <v>#N/A</v>
      </c>
      <c r="F171" s="216" t="e">
        <f t="shared" si="13"/>
        <v>#N/A</v>
      </c>
      <c r="G171" s="216" t="e">
        <f t="shared" si="13"/>
        <v>#N/A</v>
      </c>
      <c r="H171" s="216" t="e">
        <f t="shared" si="13"/>
        <v>#N/A</v>
      </c>
      <c r="I171" s="216" t="e">
        <f t="shared" si="13"/>
        <v>#N/A</v>
      </c>
      <c r="J171" s="216" t="e">
        <f t="shared" si="13"/>
        <v>#N/A</v>
      </c>
      <c r="K171" s="216" t="e">
        <f t="shared" si="13"/>
        <v>#N/A</v>
      </c>
      <c r="L171" s="216" t="e">
        <f t="shared" si="13"/>
        <v>#N/A</v>
      </c>
      <c r="M171" s="216" t="e">
        <f t="shared" si="13"/>
        <v>#N/A</v>
      </c>
      <c r="N171" s="217" t="e">
        <f t="shared" si="13"/>
        <v>#N/A</v>
      </c>
    </row>
    <row r="172" spans="2:14" s="142" customFormat="1" x14ac:dyDescent="0.35">
      <c r="B172" s="229" t="s">
        <v>811</v>
      </c>
      <c r="C172" s="178" t="e">
        <v>#N/A</v>
      </c>
      <c r="D172" s="178" t="e">
        <f t="shared" si="13"/>
        <v>#N/A</v>
      </c>
      <c r="E172" s="178" t="e">
        <f t="shared" si="13"/>
        <v>#N/A</v>
      </c>
      <c r="F172" s="178" t="e">
        <f t="shared" si="13"/>
        <v>#N/A</v>
      </c>
      <c r="G172" s="178" t="e">
        <f t="shared" si="13"/>
        <v>#N/A</v>
      </c>
      <c r="H172" s="178" t="e">
        <f t="shared" si="13"/>
        <v>#N/A</v>
      </c>
      <c r="I172" s="178" t="e">
        <f t="shared" si="13"/>
        <v>#N/A</v>
      </c>
      <c r="J172" s="178" t="e">
        <f t="shared" si="13"/>
        <v>#N/A</v>
      </c>
      <c r="K172" s="178" t="e">
        <f t="shared" si="13"/>
        <v>#N/A</v>
      </c>
      <c r="L172" s="178" t="e">
        <f t="shared" si="13"/>
        <v>#N/A</v>
      </c>
      <c r="M172" s="178" t="e">
        <f t="shared" si="13"/>
        <v>#N/A</v>
      </c>
      <c r="N172" s="220" t="e">
        <f t="shared" si="13"/>
        <v>#N/A</v>
      </c>
    </row>
    <row r="173" spans="2:14" s="142" customFormat="1" x14ac:dyDescent="0.35">
      <c r="B173" s="214" t="s">
        <v>2819</v>
      </c>
      <c r="C173" s="216" t="e">
        <v>#N/A</v>
      </c>
      <c r="D173" s="216" t="e">
        <f t="shared" ref="D173:N182" si="14">D$28/$C$28*$C173</f>
        <v>#N/A</v>
      </c>
      <c r="E173" s="216" t="e">
        <f t="shared" si="14"/>
        <v>#N/A</v>
      </c>
      <c r="F173" s="216" t="e">
        <f t="shared" si="14"/>
        <v>#N/A</v>
      </c>
      <c r="G173" s="216" t="e">
        <f t="shared" si="14"/>
        <v>#N/A</v>
      </c>
      <c r="H173" s="216" t="e">
        <f t="shared" si="14"/>
        <v>#N/A</v>
      </c>
      <c r="I173" s="216" t="e">
        <f t="shared" si="14"/>
        <v>#N/A</v>
      </c>
      <c r="J173" s="216" t="e">
        <f t="shared" si="14"/>
        <v>#N/A</v>
      </c>
      <c r="K173" s="216" t="e">
        <f t="shared" si="14"/>
        <v>#N/A</v>
      </c>
      <c r="L173" s="216" t="e">
        <f t="shared" si="14"/>
        <v>#N/A</v>
      </c>
      <c r="M173" s="216" t="e">
        <f t="shared" si="14"/>
        <v>#N/A</v>
      </c>
      <c r="N173" s="217" t="e">
        <f t="shared" si="14"/>
        <v>#N/A</v>
      </c>
    </row>
    <row r="174" spans="2:14" s="142" customFormat="1" x14ac:dyDescent="0.35">
      <c r="B174" s="218" t="s">
        <v>2820</v>
      </c>
      <c r="C174" s="178" t="e">
        <v>#N/A</v>
      </c>
      <c r="D174" s="178" t="e">
        <f t="shared" si="14"/>
        <v>#N/A</v>
      </c>
      <c r="E174" s="178" t="e">
        <f t="shared" si="14"/>
        <v>#N/A</v>
      </c>
      <c r="F174" s="178" t="e">
        <f t="shared" si="14"/>
        <v>#N/A</v>
      </c>
      <c r="G174" s="178" t="e">
        <f t="shared" si="14"/>
        <v>#N/A</v>
      </c>
      <c r="H174" s="178" t="e">
        <f t="shared" si="14"/>
        <v>#N/A</v>
      </c>
      <c r="I174" s="178" t="e">
        <f t="shared" si="14"/>
        <v>#N/A</v>
      </c>
      <c r="J174" s="178" t="e">
        <f t="shared" si="14"/>
        <v>#N/A</v>
      </c>
      <c r="K174" s="178" t="e">
        <f t="shared" si="14"/>
        <v>#N/A</v>
      </c>
      <c r="L174" s="178" t="e">
        <f t="shared" si="14"/>
        <v>#N/A</v>
      </c>
      <c r="M174" s="178" t="e">
        <f t="shared" si="14"/>
        <v>#N/A</v>
      </c>
      <c r="N174" s="220" t="e">
        <f t="shared" si="14"/>
        <v>#N/A</v>
      </c>
    </row>
    <row r="175" spans="2:14" s="142" customFormat="1" x14ac:dyDescent="0.35">
      <c r="B175" s="214" t="s">
        <v>812</v>
      </c>
      <c r="C175" s="216" t="e">
        <v>#N/A</v>
      </c>
      <c r="D175" s="216" t="e">
        <f t="shared" si="14"/>
        <v>#N/A</v>
      </c>
      <c r="E175" s="216" t="e">
        <f t="shared" si="14"/>
        <v>#N/A</v>
      </c>
      <c r="F175" s="216" t="e">
        <f t="shared" si="14"/>
        <v>#N/A</v>
      </c>
      <c r="G175" s="216" t="e">
        <f t="shared" si="14"/>
        <v>#N/A</v>
      </c>
      <c r="H175" s="216" t="e">
        <f t="shared" si="14"/>
        <v>#N/A</v>
      </c>
      <c r="I175" s="216" t="e">
        <f t="shared" si="14"/>
        <v>#N/A</v>
      </c>
      <c r="J175" s="216" t="e">
        <f t="shared" si="14"/>
        <v>#N/A</v>
      </c>
      <c r="K175" s="216" t="e">
        <f t="shared" si="14"/>
        <v>#N/A</v>
      </c>
      <c r="L175" s="216" t="e">
        <f t="shared" si="14"/>
        <v>#N/A</v>
      </c>
      <c r="M175" s="216" t="e">
        <f t="shared" si="14"/>
        <v>#N/A</v>
      </c>
      <c r="N175" s="217" t="e">
        <f t="shared" si="14"/>
        <v>#N/A</v>
      </c>
    </row>
    <row r="176" spans="2:14" s="142" customFormat="1" x14ac:dyDescent="0.35">
      <c r="B176" s="218" t="s">
        <v>2273</v>
      </c>
      <c r="C176" s="178" t="e">
        <v>#N/A</v>
      </c>
      <c r="D176" s="178" t="e">
        <f t="shared" si="14"/>
        <v>#N/A</v>
      </c>
      <c r="E176" s="178" t="e">
        <f t="shared" si="14"/>
        <v>#N/A</v>
      </c>
      <c r="F176" s="178" t="e">
        <f t="shared" si="14"/>
        <v>#N/A</v>
      </c>
      <c r="G176" s="178" t="e">
        <f t="shared" si="14"/>
        <v>#N/A</v>
      </c>
      <c r="H176" s="178" t="e">
        <f t="shared" si="14"/>
        <v>#N/A</v>
      </c>
      <c r="I176" s="178" t="e">
        <f t="shared" si="14"/>
        <v>#N/A</v>
      </c>
      <c r="J176" s="178" t="e">
        <f t="shared" si="14"/>
        <v>#N/A</v>
      </c>
      <c r="K176" s="178" t="e">
        <f t="shared" si="14"/>
        <v>#N/A</v>
      </c>
      <c r="L176" s="178" t="e">
        <f t="shared" si="14"/>
        <v>#N/A</v>
      </c>
      <c r="M176" s="178" t="e">
        <f t="shared" si="14"/>
        <v>#N/A</v>
      </c>
      <c r="N176" s="220" t="e">
        <f t="shared" si="14"/>
        <v>#N/A</v>
      </c>
    </row>
    <row r="177" spans="2:14" s="142" customFormat="1" x14ac:dyDescent="0.35">
      <c r="B177" s="230" t="s">
        <v>1371</v>
      </c>
      <c r="C177" s="216">
        <v>211</v>
      </c>
      <c r="D177" s="216">
        <f t="shared" si="14"/>
        <v>299.92901062045837</v>
      </c>
      <c r="E177" s="216">
        <f t="shared" si="14"/>
        <v>327.43499960073467</v>
      </c>
      <c r="F177" s="216">
        <f t="shared" si="14"/>
        <v>340.1972286781795</v>
      </c>
      <c r="G177" s="216">
        <f t="shared" si="14"/>
        <v>339.38093907210731</v>
      </c>
      <c r="H177" s="216">
        <f t="shared" si="14"/>
        <v>338.70173232130071</v>
      </c>
      <c r="I177" s="216">
        <f t="shared" si="14"/>
        <v>380.43751287105408</v>
      </c>
      <c r="J177" s="216">
        <f t="shared" si="14"/>
        <v>341.77704392339149</v>
      </c>
      <c r="K177" s="216">
        <f t="shared" si="14"/>
        <v>270.29273189962049</v>
      </c>
      <c r="L177" s="216">
        <f t="shared" si="14"/>
        <v>275.05623179665207</v>
      </c>
      <c r="M177" s="216">
        <f t="shared" si="14"/>
        <v>305.91927274866879</v>
      </c>
      <c r="N177" s="217">
        <f t="shared" si="14"/>
        <v>336.18251154717427</v>
      </c>
    </row>
    <row r="178" spans="2:14" s="142" customFormat="1" x14ac:dyDescent="0.35">
      <c r="B178" s="231" t="s">
        <v>2822</v>
      </c>
      <c r="C178" s="178" t="e">
        <v>#N/A</v>
      </c>
      <c r="D178" s="178" t="e">
        <f t="shared" si="14"/>
        <v>#N/A</v>
      </c>
      <c r="E178" s="178" t="e">
        <f t="shared" si="14"/>
        <v>#N/A</v>
      </c>
      <c r="F178" s="178" t="e">
        <f t="shared" si="14"/>
        <v>#N/A</v>
      </c>
      <c r="G178" s="178" t="e">
        <f t="shared" si="14"/>
        <v>#N/A</v>
      </c>
      <c r="H178" s="178" t="e">
        <f t="shared" si="14"/>
        <v>#N/A</v>
      </c>
      <c r="I178" s="178" t="e">
        <f t="shared" si="14"/>
        <v>#N/A</v>
      </c>
      <c r="J178" s="178" t="e">
        <f t="shared" si="14"/>
        <v>#N/A</v>
      </c>
      <c r="K178" s="178" t="e">
        <f t="shared" si="14"/>
        <v>#N/A</v>
      </c>
      <c r="L178" s="178" t="e">
        <f t="shared" si="14"/>
        <v>#N/A</v>
      </c>
      <c r="M178" s="178" t="e">
        <f t="shared" si="14"/>
        <v>#N/A</v>
      </c>
      <c r="N178" s="220" t="e">
        <f t="shared" si="14"/>
        <v>#N/A</v>
      </c>
    </row>
    <row r="179" spans="2:14" s="142" customFormat="1" x14ac:dyDescent="0.35">
      <c r="B179" s="230" t="s">
        <v>2823</v>
      </c>
      <c r="C179" s="216" t="e">
        <v>#N/A</v>
      </c>
      <c r="D179" s="216" t="e">
        <f t="shared" si="14"/>
        <v>#N/A</v>
      </c>
      <c r="E179" s="216" t="e">
        <f t="shared" si="14"/>
        <v>#N/A</v>
      </c>
      <c r="F179" s="216" t="e">
        <f t="shared" si="14"/>
        <v>#N/A</v>
      </c>
      <c r="G179" s="216" t="e">
        <f t="shared" si="14"/>
        <v>#N/A</v>
      </c>
      <c r="H179" s="216" t="e">
        <f t="shared" si="14"/>
        <v>#N/A</v>
      </c>
      <c r="I179" s="216" t="e">
        <f t="shared" si="14"/>
        <v>#N/A</v>
      </c>
      <c r="J179" s="216" t="e">
        <f t="shared" si="14"/>
        <v>#N/A</v>
      </c>
      <c r="K179" s="216" t="e">
        <f t="shared" si="14"/>
        <v>#N/A</v>
      </c>
      <c r="L179" s="216" t="e">
        <f t="shared" si="14"/>
        <v>#N/A</v>
      </c>
      <c r="M179" s="216" t="e">
        <f t="shared" si="14"/>
        <v>#N/A</v>
      </c>
      <c r="N179" s="217" t="e">
        <f t="shared" si="14"/>
        <v>#N/A</v>
      </c>
    </row>
    <row r="180" spans="2:14" s="142" customFormat="1" x14ac:dyDescent="0.35">
      <c r="B180" s="231" t="s">
        <v>2824</v>
      </c>
      <c r="C180" s="178" t="e">
        <v>#N/A</v>
      </c>
      <c r="D180" s="178" t="e">
        <f t="shared" si="14"/>
        <v>#N/A</v>
      </c>
      <c r="E180" s="178" t="e">
        <f t="shared" si="14"/>
        <v>#N/A</v>
      </c>
      <c r="F180" s="178" t="e">
        <f t="shared" si="14"/>
        <v>#N/A</v>
      </c>
      <c r="G180" s="178" t="e">
        <f t="shared" si="14"/>
        <v>#N/A</v>
      </c>
      <c r="H180" s="178" t="e">
        <f t="shared" si="14"/>
        <v>#N/A</v>
      </c>
      <c r="I180" s="178" t="e">
        <f t="shared" si="14"/>
        <v>#N/A</v>
      </c>
      <c r="J180" s="178" t="e">
        <f t="shared" si="14"/>
        <v>#N/A</v>
      </c>
      <c r="K180" s="178" t="e">
        <f t="shared" si="14"/>
        <v>#N/A</v>
      </c>
      <c r="L180" s="178" t="e">
        <f t="shared" si="14"/>
        <v>#N/A</v>
      </c>
      <c r="M180" s="178" t="e">
        <f t="shared" si="14"/>
        <v>#N/A</v>
      </c>
      <c r="N180" s="220" t="e">
        <f t="shared" si="14"/>
        <v>#N/A</v>
      </c>
    </row>
    <row r="181" spans="2:14" s="142" customFormat="1" x14ac:dyDescent="0.35">
      <c r="B181" s="214" t="s">
        <v>1369</v>
      </c>
      <c r="C181" s="216">
        <v>234</v>
      </c>
      <c r="D181" s="216">
        <f t="shared" si="14"/>
        <v>332.62269424259364</v>
      </c>
      <c r="E181" s="216">
        <f t="shared" si="14"/>
        <v>363.12696638185736</v>
      </c>
      <c r="F181" s="216">
        <f t="shared" si="14"/>
        <v>377.28033891324168</v>
      </c>
      <c r="G181" s="216">
        <f t="shared" si="14"/>
        <v>376.37506987143655</v>
      </c>
      <c r="H181" s="216">
        <f t="shared" si="14"/>
        <v>375.62182636580269</v>
      </c>
      <c r="I181" s="216">
        <f t="shared" si="14"/>
        <v>421.90700479538697</v>
      </c>
      <c r="J181" s="216">
        <f t="shared" si="14"/>
        <v>379.03236150745789</v>
      </c>
      <c r="K181" s="216">
        <f t="shared" si="14"/>
        <v>299.7559206848872</v>
      </c>
      <c r="L181" s="216">
        <f t="shared" si="14"/>
        <v>305.03866464652413</v>
      </c>
      <c r="M181" s="216">
        <f t="shared" si="14"/>
        <v>339.26592333264688</v>
      </c>
      <c r="N181" s="217">
        <f t="shared" si="14"/>
        <v>372.82799858786149</v>
      </c>
    </row>
    <row r="182" spans="2:14" s="142" customFormat="1" x14ac:dyDescent="0.35">
      <c r="B182" s="218" t="s">
        <v>1370</v>
      </c>
      <c r="C182" s="178">
        <v>157</v>
      </c>
      <c r="D182" s="178">
        <f t="shared" si="14"/>
        <v>223.169927333706</v>
      </c>
      <c r="E182" s="178">
        <f t="shared" si="14"/>
        <v>243.63646889722909</v>
      </c>
      <c r="F182" s="178">
        <f t="shared" si="14"/>
        <v>253.13253508281602</v>
      </c>
      <c r="G182" s="178">
        <f t="shared" si="14"/>
        <v>252.52515371716044</v>
      </c>
      <c r="H182" s="178">
        <f t="shared" si="14"/>
        <v>252.01977239073088</v>
      </c>
      <c r="I182" s="178">
        <f t="shared" si="14"/>
        <v>283.07435791827248</v>
      </c>
      <c r="J182" s="178">
        <f t="shared" si="14"/>
        <v>254.30803742167046</v>
      </c>
      <c r="K182" s="178">
        <f t="shared" si="14"/>
        <v>201.11828866464654</v>
      </c>
      <c r="L182" s="178">
        <f t="shared" si="14"/>
        <v>204.66269380130035</v>
      </c>
      <c r="M182" s="178">
        <f t="shared" si="14"/>
        <v>227.62713659498104</v>
      </c>
      <c r="N182" s="220">
        <f t="shared" si="14"/>
        <v>250.14528110382159</v>
      </c>
    </row>
    <row r="183" spans="2:14" s="142" customFormat="1" x14ac:dyDescent="0.35">
      <c r="B183" s="230" t="s">
        <v>2495</v>
      </c>
      <c r="C183" s="216" t="e">
        <v>#N/A</v>
      </c>
      <c r="D183" s="216" t="e">
        <f t="shared" ref="D183:N189" si="15">D$28/$C$28*$C183</f>
        <v>#N/A</v>
      </c>
      <c r="E183" s="216" t="e">
        <f t="shared" si="15"/>
        <v>#N/A</v>
      </c>
      <c r="F183" s="216" t="e">
        <f t="shared" si="15"/>
        <v>#N/A</v>
      </c>
      <c r="G183" s="216" t="e">
        <f t="shared" si="15"/>
        <v>#N/A</v>
      </c>
      <c r="H183" s="216" t="e">
        <f t="shared" si="15"/>
        <v>#N/A</v>
      </c>
      <c r="I183" s="216" t="e">
        <f t="shared" si="15"/>
        <v>#N/A</v>
      </c>
      <c r="J183" s="216" t="e">
        <f t="shared" si="15"/>
        <v>#N/A</v>
      </c>
      <c r="K183" s="216" t="e">
        <f t="shared" si="15"/>
        <v>#N/A</v>
      </c>
      <c r="L183" s="216" t="e">
        <f t="shared" si="15"/>
        <v>#N/A</v>
      </c>
      <c r="M183" s="216" t="e">
        <f t="shared" si="15"/>
        <v>#N/A</v>
      </c>
      <c r="N183" s="217" t="e">
        <f t="shared" si="15"/>
        <v>#N/A</v>
      </c>
    </row>
    <row r="184" spans="2:14" s="142" customFormat="1" x14ac:dyDescent="0.35">
      <c r="B184" s="218" t="s">
        <v>2275</v>
      </c>
      <c r="C184" s="178">
        <v>1508</v>
      </c>
      <c r="D184" s="178">
        <f t="shared" si="15"/>
        <v>2143.5684740078259</v>
      </c>
      <c r="E184" s="178">
        <f t="shared" si="15"/>
        <v>2340.1515611275254</v>
      </c>
      <c r="F184" s="178">
        <f t="shared" si="15"/>
        <v>2431.3621841075578</v>
      </c>
      <c r="G184" s="178">
        <f t="shared" si="15"/>
        <v>2425.5282280603687</v>
      </c>
      <c r="H184" s="178">
        <f t="shared" si="15"/>
        <v>2420.6739921351732</v>
      </c>
      <c r="I184" s="178">
        <f t="shared" si="15"/>
        <v>2718.9562531258271</v>
      </c>
      <c r="J184" s="178">
        <f t="shared" si="15"/>
        <v>2442.652996381395</v>
      </c>
      <c r="K184" s="178">
        <f t="shared" si="15"/>
        <v>1931.7603777470508</v>
      </c>
      <c r="L184" s="178">
        <f t="shared" si="15"/>
        <v>1965.8047277220442</v>
      </c>
      <c r="M184" s="178">
        <f t="shared" si="15"/>
        <v>2186.380394810391</v>
      </c>
      <c r="N184" s="220">
        <f t="shared" si="15"/>
        <v>2402.6693242328852</v>
      </c>
    </row>
    <row r="185" spans="2:14" s="142" customFormat="1" x14ac:dyDescent="0.35">
      <c r="B185" s="214" t="s">
        <v>1666</v>
      </c>
      <c r="C185" s="216">
        <v>1067</v>
      </c>
      <c r="D185" s="216">
        <f t="shared" si="15"/>
        <v>1516.7026271660147</v>
      </c>
      <c r="E185" s="216">
        <f t="shared" si="15"/>
        <v>1655.7968937155633</v>
      </c>
      <c r="F185" s="216">
        <f t="shared" si="15"/>
        <v>1720.333853078756</v>
      </c>
      <c r="G185" s="216">
        <f t="shared" si="15"/>
        <v>1716.2059809949692</v>
      </c>
      <c r="H185" s="216">
        <f t="shared" si="15"/>
        <v>1712.7713193688526</v>
      </c>
      <c r="I185" s="216">
        <f t="shared" si="15"/>
        <v>1923.8238210114441</v>
      </c>
      <c r="J185" s="216">
        <f t="shared" si="15"/>
        <v>1728.32277661734</v>
      </c>
      <c r="K185" s="216">
        <f t="shared" si="15"/>
        <v>1366.8357579947635</v>
      </c>
      <c r="L185" s="216">
        <f t="shared" si="15"/>
        <v>1390.9241674266718</v>
      </c>
      <c r="M185" s="216">
        <f t="shared" si="15"/>
        <v>1546.9946162219412</v>
      </c>
      <c r="N185" s="217">
        <f t="shared" si="15"/>
        <v>1700.0319422788386</v>
      </c>
    </row>
    <row r="186" spans="2:14" s="142" customFormat="1" x14ac:dyDescent="0.35">
      <c r="B186" s="218" t="s">
        <v>1373</v>
      </c>
      <c r="C186" s="178">
        <v>368</v>
      </c>
      <c r="D186" s="178">
        <f t="shared" si="15"/>
        <v>523.0989379541644</v>
      </c>
      <c r="E186" s="178">
        <f t="shared" si="15"/>
        <v>571.07146849796379</v>
      </c>
      <c r="F186" s="178">
        <f t="shared" si="15"/>
        <v>593.32976376099555</v>
      </c>
      <c r="G186" s="178">
        <f t="shared" si="15"/>
        <v>591.90609278926775</v>
      </c>
      <c r="H186" s="178">
        <f t="shared" si="15"/>
        <v>590.72150471203156</v>
      </c>
      <c r="I186" s="178">
        <f t="shared" si="15"/>
        <v>663.51187078932651</v>
      </c>
      <c r="J186" s="178">
        <f t="shared" si="15"/>
        <v>596.08508134506201</v>
      </c>
      <c r="K186" s="178">
        <f t="shared" si="15"/>
        <v>471.41102056426706</v>
      </c>
      <c r="L186" s="178">
        <f t="shared" si="15"/>
        <v>479.71892559795242</v>
      </c>
      <c r="M186" s="178">
        <f t="shared" si="15"/>
        <v>533.54640934364977</v>
      </c>
      <c r="N186" s="220">
        <f t="shared" si="15"/>
        <v>586.32779265099589</v>
      </c>
    </row>
    <row r="187" spans="2:14" s="142" customFormat="1" x14ac:dyDescent="0.35">
      <c r="B187" s="214" t="s">
        <v>1374</v>
      </c>
      <c r="C187" s="216">
        <v>246</v>
      </c>
      <c r="D187" s="216">
        <f t="shared" si="15"/>
        <v>349.68026830631641</v>
      </c>
      <c r="E187" s="216">
        <f t="shared" si="15"/>
        <v>381.7488620937475</v>
      </c>
      <c r="F187" s="216">
        <f t="shared" si="15"/>
        <v>396.62804860110026</v>
      </c>
      <c r="G187" s="216">
        <f t="shared" si="15"/>
        <v>395.6763555058692</v>
      </c>
      <c r="H187" s="216">
        <f t="shared" si="15"/>
        <v>394.88448412815154</v>
      </c>
      <c r="I187" s="216">
        <f t="shared" si="15"/>
        <v>443.54326145156068</v>
      </c>
      <c r="J187" s="216">
        <f t="shared" si="15"/>
        <v>398.4699185078403</v>
      </c>
      <c r="K187" s="216">
        <f t="shared" si="15"/>
        <v>315.1280191815481</v>
      </c>
      <c r="L187" s="216">
        <f t="shared" si="15"/>
        <v>320.6816730899356</v>
      </c>
      <c r="M187" s="216">
        <f t="shared" si="15"/>
        <v>356.66417581124415</v>
      </c>
      <c r="N187" s="217">
        <f t="shared" si="15"/>
        <v>391.94738313082877</v>
      </c>
    </row>
    <row r="188" spans="2:14" s="142" customFormat="1" x14ac:dyDescent="0.35">
      <c r="B188" s="218" t="s">
        <v>1757</v>
      </c>
      <c r="C188" s="178" t="e">
        <v>#N/A</v>
      </c>
      <c r="D188" s="178" t="e">
        <f t="shared" si="15"/>
        <v>#N/A</v>
      </c>
      <c r="E188" s="178" t="e">
        <f t="shared" si="15"/>
        <v>#N/A</v>
      </c>
      <c r="F188" s="178" t="e">
        <f t="shared" si="15"/>
        <v>#N/A</v>
      </c>
      <c r="G188" s="178" t="e">
        <f t="shared" si="15"/>
        <v>#N/A</v>
      </c>
      <c r="H188" s="178" t="e">
        <f t="shared" si="15"/>
        <v>#N/A</v>
      </c>
      <c r="I188" s="178" t="e">
        <f t="shared" si="15"/>
        <v>#N/A</v>
      </c>
      <c r="J188" s="178" t="e">
        <f t="shared" si="15"/>
        <v>#N/A</v>
      </c>
      <c r="K188" s="178" t="e">
        <f t="shared" si="15"/>
        <v>#N/A</v>
      </c>
      <c r="L188" s="178" t="e">
        <f t="shared" si="15"/>
        <v>#N/A</v>
      </c>
      <c r="M188" s="178" t="e">
        <f t="shared" si="15"/>
        <v>#N/A</v>
      </c>
      <c r="N188" s="220" t="e">
        <f t="shared" si="15"/>
        <v>#N/A</v>
      </c>
    </row>
    <row r="189" spans="2:14" s="142" customFormat="1" x14ac:dyDescent="0.35">
      <c r="B189" s="223" t="s">
        <v>32</v>
      </c>
      <c r="C189" s="225">
        <v>606</v>
      </c>
      <c r="D189" s="225">
        <f t="shared" si="15"/>
        <v>861.407490217999</v>
      </c>
      <c r="E189" s="225">
        <f t="shared" si="15"/>
        <v>940.40573345045118</v>
      </c>
      <c r="F189" s="225">
        <f t="shared" si="15"/>
        <v>977.05933923685677</v>
      </c>
      <c r="G189" s="225">
        <f t="shared" si="15"/>
        <v>974.71492453884855</v>
      </c>
      <c r="H189" s="225">
        <f t="shared" si="15"/>
        <v>972.76421699861726</v>
      </c>
      <c r="I189" s="225">
        <f t="shared" si="15"/>
        <v>1092.6309611367715</v>
      </c>
      <c r="J189" s="225">
        <f t="shared" si="15"/>
        <v>981.59662851931398</v>
      </c>
      <c r="K189" s="225">
        <f t="shared" si="15"/>
        <v>776.29097408137454</v>
      </c>
      <c r="L189" s="225">
        <f t="shared" si="15"/>
        <v>789.97192639228035</v>
      </c>
      <c r="M189" s="225">
        <f t="shared" si="15"/>
        <v>878.61175016916252</v>
      </c>
      <c r="N189" s="226">
        <f t="shared" si="15"/>
        <v>965.52891941984649</v>
      </c>
    </row>
    <row r="190" spans="2:14" s="123" customFormat="1" x14ac:dyDescent="0.35">
      <c r="B190" s="125"/>
      <c r="C190" s="125"/>
      <c r="D190" s="125"/>
      <c r="E190" s="125"/>
      <c r="F190" s="125"/>
      <c r="G190" s="125"/>
    </row>
    <row r="191" spans="2:14" s="142" customFormat="1" ht="17.5" thickBot="1" x14ac:dyDescent="0.45">
      <c r="B191" s="176" t="s">
        <v>2286</v>
      </c>
      <c r="C191" s="176"/>
      <c r="D191" s="176"/>
      <c r="E191" s="176"/>
      <c r="F191" s="176"/>
      <c r="G191" s="176"/>
      <c r="H191" s="176"/>
      <c r="I191" s="176"/>
      <c r="J191" s="176"/>
      <c r="K191" s="176"/>
      <c r="L191" s="176"/>
      <c r="M191" s="176"/>
      <c r="N191" s="176"/>
    </row>
    <row r="192" spans="2:14" s="142" customFormat="1" ht="15" thickTop="1" x14ac:dyDescent="0.35">
      <c r="B192" s="179" t="s">
        <v>2292</v>
      </c>
      <c r="C192" s="180">
        <f>$F$25</f>
        <v>3578</v>
      </c>
      <c r="D192" s="180">
        <f>VLOOKUP(D$29,HDD_CDD!$B$5:$F$15,3,FALSE)</f>
        <v>5086</v>
      </c>
      <c r="E192" s="180">
        <f>VLOOKUP(E$29,HDD_CDD!$B$5:$F$15,3,FALSE)</f>
        <v>5552.4285714285716</v>
      </c>
      <c r="F192" s="180">
        <f>VLOOKUP(F$29,HDD_CDD!$B$5:$F$15,3,FALSE)</f>
        <v>5768.8421052631575</v>
      </c>
      <c r="G192" s="180">
        <f>VLOOKUP(G$29,HDD_CDD!$B$5:$F$15,3,FALSE)</f>
        <v>5755</v>
      </c>
      <c r="H192" s="180">
        <f>VLOOKUP(H$29,HDD_CDD!$B$5:$F$15,3,FALSE)</f>
        <v>5743.4824561403511</v>
      </c>
      <c r="I192" s="180">
        <f>VLOOKUP(I$29,HDD_CDD!$B$5:$F$15,3,FALSE)</f>
        <v>6451.2105263157891</v>
      </c>
      <c r="J192" s="180">
        <f>VLOOKUP(J$29,HDD_CDD!$B$5:$F$15,3,FALSE)</f>
        <v>5795.6315789473683</v>
      </c>
      <c r="K192" s="180">
        <f>VLOOKUP(K$29,HDD_CDD!$B$5:$F$15,3,FALSE)</f>
        <v>4583.4473684210534</v>
      </c>
      <c r="L192" s="180">
        <f>VLOOKUP(L$29,HDD_CDD!$B$5:$F$15,3,FALSE)</f>
        <v>4664.2236842105267</v>
      </c>
      <c r="M192" s="180">
        <f>VLOOKUP(M$29,HDD_CDD!$B$5:$F$15,3,FALSE)</f>
        <v>5187.5789473684217</v>
      </c>
      <c r="N192" s="180">
        <f>VLOOKUP(N$29,HDD_CDD!$B$5:$F$15,3,FALSE)</f>
        <v>5700.7631578947367</v>
      </c>
    </row>
    <row r="193" spans="2:14" s="142" customFormat="1" ht="31.5" customHeight="1" x14ac:dyDescent="0.35">
      <c r="B193" s="211" t="s">
        <v>2815</v>
      </c>
      <c r="C193" s="212" t="s">
        <v>2294</v>
      </c>
      <c r="D193" s="212" t="s">
        <v>1361</v>
      </c>
      <c r="E193" s="212" t="s">
        <v>1811</v>
      </c>
      <c r="F193" s="212" t="s">
        <v>1812</v>
      </c>
      <c r="G193" s="212" t="s">
        <v>1362</v>
      </c>
      <c r="H193" s="212" t="s">
        <v>1813</v>
      </c>
      <c r="I193" s="212" t="s">
        <v>1814</v>
      </c>
      <c r="J193" s="212" t="s">
        <v>1815</v>
      </c>
      <c r="K193" s="212" t="s">
        <v>1816</v>
      </c>
      <c r="L193" s="212" t="s">
        <v>1817</v>
      </c>
      <c r="M193" s="212" t="s">
        <v>1818</v>
      </c>
      <c r="N193" s="213" t="s">
        <v>1819</v>
      </c>
    </row>
    <row r="194" spans="2:14" s="142" customFormat="1" x14ac:dyDescent="0.35">
      <c r="B194" s="214" t="s">
        <v>2269</v>
      </c>
      <c r="C194" s="216" t="e">
        <v>#N/A</v>
      </c>
      <c r="D194" s="216" t="e">
        <f t="shared" ref="D194:N203" si="16">D$28/$C$28*$C194</f>
        <v>#N/A</v>
      </c>
      <c r="E194" s="216" t="e">
        <f t="shared" si="16"/>
        <v>#N/A</v>
      </c>
      <c r="F194" s="216" t="e">
        <f t="shared" si="16"/>
        <v>#N/A</v>
      </c>
      <c r="G194" s="216" t="e">
        <f t="shared" si="16"/>
        <v>#N/A</v>
      </c>
      <c r="H194" s="216" t="e">
        <f t="shared" si="16"/>
        <v>#N/A</v>
      </c>
      <c r="I194" s="216" t="e">
        <f t="shared" si="16"/>
        <v>#N/A</v>
      </c>
      <c r="J194" s="216" t="e">
        <f t="shared" si="16"/>
        <v>#N/A</v>
      </c>
      <c r="K194" s="216" t="e">
        <f t="shared" si="16"/>
        <v>#N/A</v>
      </c>
      <c r="L194" s="216" t="e">
        <f t="shared" si="16"/>
        <v>#N/A</v>
      </c>
      <c r="M194" s="216" t="e">
        <f t="shared" si="16"/>
        <v>#N/A</v>
      </c>
      <c r="N194" s="217" t="e">
        <f t="shared" si="16"/>
        <v>#N/A</v>
      </c>
    </row>
    <row r="195" spans="2:14" s="142" customFormat="1" x14ac:dyDescent="0.35">
      <c r="B195" s="218" t="s">
        <v>2270</v>
      </c>
      <c r="C195" s="178" t="e">
        <v>#N/A</v>
      </c>
      <c r="D195" s="178" t="e">
        <f t="shared" si="16"/>
        <v>#N/A</v>
      </c>
      <c r="E195" s="178" t="e">
        <f t="shared" si="16"/>
        <v>#N/A</v>
      </c>
      <c r="F195" s="178" t="e">
        <f t="shared" si="16"/>
        <v>#N/A</v>
      </c>
      <c r="G195" s="178" t="e">
        <f t="shared" si="16"/>
        <v>#N/A</v>
      </c>
      <c r="H195" s="178" t="e">
        <f t="shared" si="16"/>
        <v>#N/A</v>
      </c>
      <c r="I195" s="178" t="e">
        <f t="shared" si="16"/>
        <v>#N/A</v>
      </c>
      <c r="J195" s="178" t="e">
        <f t="shared" si="16"/>
        <v>#N/A</v>
      </c>
      <c r="K195" s="178" t="e">
        <f t="shared" si="16"/>
        <v>#N/A</v>
      </c>
      <c r="L195" s="178" t="e">
        <f t="shared" si="16"/>
        <v>#N/A</v>
      </c>
      <c r="M195" s="178" t="e">
        <f t="shared" si="16"/>
        <v>#N/A</v>
      </c>
      <c r="N195" s="220" t="e">
        <f t="shared" si="16"/>
        <v>#N/A</v>
      </c>
    </row>
    <row r="196" spans="2:14" s="142" customFormat="1" x14ac:dyDescent="0.35">
      <c r="B196" s="228" t="s">
        <v>2816</v>
      </c>
      <c r="C196" s="216" t="e">
        <v>#N/A</v>
      </c>
      <c r="D196" s="216" t="e">
        <f t="shared" si="16"/>
        <v>#N/A</v>
      </c>
      <c r="E196" s="216" t="e">
        <f t="shared" si="16"/>
        <v>#N/A</v>
      </c>
      <c r="F196" s="216" t="e">
        <f t="shared" si="16"/>
        <v>#N/A</v>
      </c>
      <c r="G196" s="216" t="e">
        <f t="shared" si="16"/>
        <v>#N/A</v>
      </c>
      <c r="H196" s="216" t="e">
        <f t="shared" si="16"/>
        <v>#N/A</v>
      </c>
      <c r="I196" s="216" t="e">
        <f t="shared" si="16"/>
        <v>#N/A</v>
      </c>
      <c r="J196" s="216" t="e">
        <f t="shared" si="16"/>
        <v>#N/A</v>
      </c>
      <c r="K196" s="216" t="e">
        <f t="shared" si="16"/>
        <v>#N/A</v>
      </c>
      <c r="L196" s="216" t="e">
        <f t="shared" si="16"/>
        <v>#N/A</v>
      </c>
      <c r="M196" s="216" t="e">
        <f t="shared" si="16"/>
        <v>#N/A</v>
      </c>
      <c r="N196" s="217" t="e">
        <f t="shared" si="16"/>
        <v>#N/A</v>
      </c>
    </row>
    <row r="197" spans="2:14" s="142" customFormat="1" x14ac:dyDescent="0.35">
      <c r="B197" s="218" t="s">
        <v>1375</v>
      </c>
      <c r="C197" s="178">
        <v>3801</v>
      </c>
      <c r="D197" s="178">
        <f t="shared" si="16"/>
        <v>5402.9865846841813</v>
      </c>
      <c r="E197" s="178">
        <f t="shared" si="16"/>
        <v>5898.4854667411964</v>
      </c>
      <c r="F197" s="178">
        <f t="shared" si="16"/>
        <v>6128.3870436291954</v>
      </c>
      <c r="G197" s="178">
        <f t="shared" si="16"/>
        <v>6113.6822247065402</v>
      </c>
      <c r="H197" s="178">
        <f t="shared" si="16"/>
        <v>6101.4468462240002</v>
      </c>
      <c r="I197" s="178">
        <f t="shared" si="16"/>
        <v>6853.2842958430165</v>
      </c>
      <c r="J197" s="178">
        <f t="shared" si="16"/>
        <v>6156.8461798711423</v>
      </c>
      <c r="K197" s="178">
        <f t="shared" si="16"/>
        <v>4869.1121988173345</v>
      </c>
      <c r="L197" s="178">
        <f t="shared" si="16"/>
        <v>4954.9229244505905</v>
      </c>
      <c r="M197" s="178">
        <f t="shared" si="16"/>
        <v>5510.8964725956876</v>
      </c>
      <c r="N197" s="220">
        <f t="shared" si="16"/>
        <v>6056.0650539848784</v>
      </c>
    </row>
    <row r="198" spans="2:14" s="142" customFormat="1" x14ac:dyDescent="0.35">
      <c r="B198" s="214" t="s">
        <v>1665</v>
      </c>
      <c r="C198" s="216">
        <v>541</v>
      </c>
      <c r="D198" s="216">
        <f t="shared" si="16"/>
        <v>769.01229737283404</v>
      </c>
      <c r="E198" s="216">
        <f t="shared" si="16"/>
        <v>839.53713167771298</v>
      </c>
      <c r="F198" s="216">
        <f t="shared" si="16"/>
        <v>872.25924509428955</v>
      </c>
      <c r="G198" s="216">
        <f t="shared" si="16"/>
        <v>870.16629401900502</v>
      </c>
      <c r="H198" s="216">
        <f t="shared" si="16"/>
        <v>868.42482078589433</v>
      </c>
      <c r="I198" s="216">
        <f t="shared" si="16"/>
        <v>975.43457091583059</v>
      </c>
      <c r="J198" s="216">
        <f t="shared" si="16"/>
        <v>876.30986143390896</v>
      </c>
      <c r="K198" s="216">
        <f t="shared" si="16"/>
        <v>693.02544055779481</v>
      </c>
      <c r="L198" s="216">
        <f t="shared" si="16"/>
        <v>705.23896399046816</v>
      </c>
      <c r="M198" s="216">
        <f t="shared" si="16"/>
        <v>784.37121591009384</v>
      </c>
      <c r="N198" s="217">
        <f t="shared" si="16"/>
        <v>861.96558647877384</v>
      </c>
    </row>
    <row r="199" spans="2:14" s="142" customFormat="1" x14ac:dyDescent="0.35">
      <c r="B199" s="229" t="s">
        <v>2817</v>
      </c>
      <c r="C199" s="178" t="e">
        <v>#N/A</v>
      </c>
      <c r="D199" s="178" t="e">
        <f t="shared" si="16"/>
        <v>#N/A</v>
      </c>
      <c r="E199" s="178" t="e">
        <f t="shared" si="16"/>
        <v>#N/A</v>
      </c>
      <c r="F199" s="178" t="e">
        <f t="shared" si="16"/>
        <v>#N/A</v>
      </c>
      <c r="G199" s="178" t="e">
        <f t="shared" si="16"/>
        <v>#N/A</v>
      </c>
      <c r="H199" s="178" t="e">
        <f t="shared" si="16"/>
        <v>#N/A</v>
      </c>
      <c r="I199" s="178" t="e">
        <f t="shared" si="16"/>
        <v>#N/A</v>
      </c>
      <c r="J199" s="178" t="e">
        <f t="shared" si="16"/>
        <v>#N/A</v>
      </c>
      <c r="K199" s="178" t="e">
        <f t="shared" si="16"/>
        <v>#N/A</v>
      </c>
      <c r="L199" s="178" t="e">
        <f t="shared" si="16"/>
        <v>#N/A</v>
      </c>
      <c r="M199" s="178" t="e">
        <f t="shared" si="16"/>
        <v>#N/A</v>
      </c>
      <c r="N199" s="220" t="e">
        <f t="shared" si="16"/>
        <v>#N/A</v>
      </c>
    </row>
    <row r="200" spans="2:14" s="142" customFormat="1" x14ac:dyDescent="0.35">
      <c r="B200" s="214" t="s">
        <v>1376</v>
      </c>
      <c r="C200" s="216">
        <v>1972</v>
      </c>
      <c r="D200" s="216">
        <f t="shared" si="16"/>
        <v>2803.1280044717723</v>
      </c>
      <c r="E200" s="216">
        <f t="shared" si="16"/>
        <v>3060.19819532061</v>
      </c>
      <c r="F200" s="216">
        <f t="shared" si="16"/>
        <v>3179.4736253714213</v>
      </c>
      <c r="G200" s="216">
        <f t="shared" si="16"/>
        <v>3171.8446059250978</v>
      </c>
      <c r="H200" s="216">
        <f t="shared" si="16"/>
        <v>3165.4967589459957</v>
      </c>
      <c r="I200" s="216">
        <f t="shared" si="16"/>
        <v>3555.5581771645434</v>
      </c>
      <c r="J200" s="216">
        <f t="shared" si="16"/>
        <v>3194.2385337295168</v>
      </c>
      <c r="K200" s="216">
        <f t="shared" si="16"/>
        <v>2526.1481862846049</v>
      </c>
      <c r="L200" s="216">
        <f t="shared" si="16"/>
        <v>2570.6677208672886</v>
      </c>
      <c r="M200" s="216">
        <f t="shared" si="16"/>
        <v>2859.112823982819</v>
      </c>
      <c r="N200" s="217">
        <f t="shared" si="16"/>
        <v>3141.9521932276193</v>
      </c>
    </row>
    <row r="201" spans="2:14" s="142" customFormat="1" x14ac:dyDescent="0.35">
      <c r="B201" s="218" t="s">
        <v>2271</v>
      </c>
      <c r="C201" s="178" t="e">
        <v>#N/A</v>
      </c>
      <c r="D201" s="178" t="e">
        <f t="shared" si="16"/>
        <v>#N/A</v>
      </c>
      <c r="E201" s="178" t="e">
        <f t="shared" si="16"/>
        <v>#N/A</v>
      </c>
      <c r="F201" s="178" t="e">
        <f t="shared" si="16"/>
        <v>#N/A</v>
      </c>
      <c r="G201" s="178" t="e">
        <f t="shared" si="16"/>
        <v>#N/A</v>
      </c>
      <c r="H201" s="178" t="e">
        <f t="shared" si="16"/>
        <v>#N/A</v>
      </c>
      <c r="I201" s="178" t="e">
        <f t="shared" si="16"/>
        <v>#N/A</v>
      </c>
      <c r="J201" s="178" t="e">
        <f t="shared" si="16"/>
        <v>#N/A</v>
      </c>
      <c r="K201" s="178" t="e">
        <f t="shared" si="16"/>
        <v>#N/A</v>
      </c>
      <c r="L201" s="178" t="e">
        <f t="shared" si="16"/>
        <v>#N/A</v>
      </c>
      <c r="M201" s="178" t="e">
        <f t="shared" si="16"/>
        <v>#N/A</v>
      </c>
      <c r="N201" s="220" t="e">
        <f t="shared" si="16"/>
        <v>#N/A</v>
      </c>
    </row>
    <row r="202" spans="2:14" s="142" customFormat="1" x14ac:dyDescent="0.35">
      <c r="B202" s="214" t="s">
        <v>1372</v>
      </c>
      <c r="C202" s="216" t="e">
        <v>#N/A</v>
      </c>
      <c r="D202" s="216" t="e">
        <f t="shared" si="16"/>
        <v>#N/A</v>
      </c>
      <c r="E202" s="216" t="e">
        <f t="shared" si="16"/>
        <v>#N/A</v>
      </c>
      <c r="F202" s="216" t="e">
        <f t="shared" si="16"/>
        <v>#N/A</v>
      </c>
      <c r="G202" s="216" t="e">
        <f t="shared" si="16"/>
        <v>#N/A</v>
      </c>
      <c r="H202" s="216" t="e">
        <f t="shared" si="16"/>
        <v>#N/A</v>
      </c>
      <c r="I202" s="216" t="e">
        <f t="shared" si="16"/>
        <v>#N/A</v>
      </c>
      <c r="J202" s="216" t="e">
        <f t="shared" si="16"/>
        <v>#N/A</v>
      </c>
      <c r="K202" s="216" t="e">
        <f t="shared" si="16"/>
        <v>#N/A</v>
      </c>
      <c r="L202" s="216" t="e">
        <f t="shared" si="16"/>
        <v>#N/A</v>
      </c>
      <c r="M202" s="216" t="e">
        <f t="shared" si="16"/>
        <v>#N/A</v>
      </c>
      <c r="N202" s="217" t="e">
        <f t="shared" si="16"/>
        <v>#N/A</v>
      </c>
    </row>
    <row r="203" spans="2:14" s="142" customFormat="1" x14ac:dyDescent="0.35">
      <c r="B203" s="218" t="s">
        <v>1365</v>
      </c>
      <c r="C203" s="178" t="e">
        <v>#N/A</v>
      </c>
      <c r="D203" s="178" t="e">
        <f t="shared" si="16"/>
        <v>#N/A</v>
      </c>
      <c r="E203" s="178" t="e">
        <f t="shared" si="16"/>
        <v>#N/A</v>
      </c>
      <c r="F203" s="178" t="e">
        <f t="shared" si="16"/>
        <v>#N/A</v>
      </c>
      <c r="G203" s="178" t="e">
        <f t="shared" si="16"/>
        <v>#N/A</v>
      </c>
      <c r="H203" s="178" t="e">
        <f t="shared" si="16"/>
        <v>#N/A</v>
      </c>
      <c r="I203" s="178" t="e">
        <f t="shared" si="16"/>
        <v>#N/A</v>
      </c>
      <c r="J203" s="178" t="e">
        <f t="shared" si="16"/>
        <v>#N/A</v>
      </c>
      <c r="K203" s="178" t="e">
        <f t="shared" si="16"/>
        <v>#N/A</v>
      </c>
      <c r="L203" s="178" t="e">
        <f t="shared" si="16"/>
        <v>#N/A</v>
      </c>
      <c r="M203" s="178" t="e">
        <f t="shared" si="16"/>
        <v>#N/A</v>
      </c>
      <c r="N203" s="220" t="e">
        <f t="shared" si="16"/>
        <v>#N/A</v>
      </c>
    </row>
    <row r="204" spans="2:14" s="142" customFormat="1" x14ac:dyDescent="0.35">
      <c r="B204" s="214" t="s">
        <v>1377</v>
      </c>
      <c r="C204" s="216">
        <v>1924</v>
      </c>
      <c r="D204" s="216">
        <f t="shared" ref="D204:N213" si="17">D$28/$C$28*$C204</f>
        <v>2734.8977082168813</v>
      </c>
      <c r="E204" s="216">
        <f t="shared" si="17"/>
        <v>2985.7106124730494</v>
      </c>
      <c r="F204" s="216">
        <f t="shared" si="17"/>
        <v>3102.0827866199875</v>
      </c>
      <c r="G204" s="216">
        <f t="shared" si="17"/>
        <v>3094.6394633873674</v>
      </c>
      <c r="H204" s="216">
        <f t="shared" si="17"/>
        <v>3088.4461278966</v>
      </c>
      <c r="I204" s="216">
        <f t="shared" si="17"/>
        <v>3469.0131505398485</v>
      </c>
      <c r="J204" s="216">
        <f t="shared" si="17"/>
        <v>3116.4883057279872</v>
      </c>
      <c r="K204" s="216">
        <f t="shared" si="17"/>
        <v>2464.6597922979613</v>
      </c>
      <c r="L204" s="216">
        <f t="shared" si="17"/>
        <v>2508.0956870936425</v>
      </c>
      <c r="M204" s="216">
        <f t="shared" si="17"/>
        <v>2789.5198140684302</v>
      </c>
      <c r="N204" s="217">
        <f t="shared" si="17"/>
        <v>3065.4746550557502</v>
      </c>
    </row>
    <row r="205" spans="2:14" s="142" customFormat="1" x14ac:dyDescent="0.35">
      <c r="B205" s="231" t="s">
        <v>1368</v>
      </c>
      <c r="C205" s="178" t="e">
        <v>#N/A</v>
      </c>
      <c r="D205" s="178" t="e">
        <f t="shared" si="17"/>
        <v>#N/A</v>
      </c>
      <c r="E205" s="178" t="e">
        <f t="shared" si="17"/>
        <v>#N/A</v>
      </c>
      <c r="F205" s="178" t="e">
        <f t="shared" si="17"/>
        <v>#N/A</v>
      </c>
      <c r="G205" s="178" t="e">
        <f t="shared" si="17"/>
        <v>#N/A</v>
      </c>
      <c r="H205" s="178" t="e">
        <f t="shared" si="17"/>
        <v>#N/A</v>
      </c>
      <c r="I205" s="178" t="e">
        <f t="shared" si="17"/>
        <v>#N/A</v>
      </c>
      <c r="J205" s="178" t="e">
        <f t="shared" si="17"/>
        <v>#N/A</v>
      </c>
      <c r="K205" s="178" t="e">
        <f t="shared" si="17"/>
        <v>#N/A</v>
      </c>
      <c r="L205" s="178" t="e">
        <f t="shared" si="17"/>
        <v>#N/A</v>
      </c>
      <c r="M205" s="178" t="e">
        <f t="shared" si="17"/>
        <v>#N/A</v>
      </c>
      <c r="N205" s="220" t="e">
        <f t="shared" si="17"/>
        <v>#N/A</v>
      </c>
    </row>
    <row r="206" spans="2:14" s="142" customFormat="1" x14ac:dyDescent="0.35">
      <c r="B206" s="230" t="s">
        <v>2483</v>
      </c>
      <c r="C206" s="216" t="e">
        <v>#N/A</v>
      </c>
      <c r="D206" s="216" t="e">
        <f t="shared" si="17"/>
        <v>#N/A</v>
      </c>
      <c r="E206" s="216" t="e">
        <f t="shared" si="17"/>
        <v>#N/A</v>
      </c>
      <c r="F206" s="216" t="e">
        <f t="shared" si="17"/>
        <v>#N/A</v>
      </c>
      <c r="G206" s="216" t="e">
        <f t="shared" si="17"/>
        <v>#N/A</v>
      </c>
      <c r="H206" s="216" t="e">
        <f t="shared" si="17"/>
        <v>#N/A</v>
      </c>
      <c r="I206" s="216" t="e">
        <f t="shared" si="17"/>
        <v>#N/A</v>
      </c>
      <c r="J206" s="216" t="e">
        <f t="shared" si="17"/>
        <v>#N/A</v>
      </c>
      <c r="K206" s="216" t="e">
        <f t="shared" si="17"/>
        <v>#N/A</v>
      </c>
      <c r="L206" s="216" t="e">
        <f t="shared" si="17"/>
        <v>#N/A</v>
      </c>
      <c r="M206" s="216" t="e">
        <f t="shared" si="17"/>
        <v>#N/A</v>
      </c>
      <c r="N206" s="217" t="e">
        <f t="shared" si="17"/>
        <v>#N/A</v>
      </c>
    </row>
    <row r="207" spans="2:14" s="142" customFormat="1" x14ac:dyDescent="0.35">
      <c r="B207" s="231" t="s">
        <v>2485</v>
      </c>
      <c r="C207" s="178" t="e">
        <v>#N/A</v>
      </c>
      <c r="D207" s="178" t="e">
        <f t="shared" si="17"/>
        <v>#N/A</v>
      </c>
      <c r="E207" s="178" t="e">
        <f t="shared" si="17"/>
        <v>#N/A</v>
      </c>
      <c r="F207" s="178" t="e">
        <f t="shared" si="17"/>
        <v>#N/A</v>
      </c>
      <c r="G207" s="178" t="e">
        <f t="shared" si="17"/>
        <v>#N/A</v>
      </c>
      <c r="H207" s="178" t="e">
        <f t="shared" si="17"/>
        <v>#N/A</v>
      </c>
      <c r="I207" s="178" t="e">
        <f t="shared" si="17"/>
        <v>#N/A</v>
      </c>
      <c r="J207" s="178" t="e">
        <f t="shared" si="17"/>
        <v>#N/A</v>
      </c>
      <c r="K207" s="178" t="e">
        <f t="shared" si="17"/>
        <v>#N/A</v>
      </c>
      <c r="L207" s="178" t="e">
        <f t="shared" si="17"/>
        <v>#N/A</v>
      </c>
      <c r="M207" s="178" t="e">
        <f t="shared" si="17"/>
        <v>#N/A</v>
      </c>
      <c r="N207" s="220" t="e">
        <f t="shared" si="17"/>
        <v>#N/A</v>
      </c>
    </row>
    <row r="208" spans="2:14" s="142" customFormat="1" x14ac:dyDescent="0.35">
      <c r="B208" s="230" t="s">
        <v>2486</v>
      </c>
      <c r="C208" s="216" t="e">
        <v>#N/A</v>
      </c>
      <c r="D208" s="216" t="e">
        <f t="shared" si="17"/>
        <v>#N/A</v>
      </c>
      <c r="E208" s="216" t="e">
        <f t="shared" si="17"/>
        <v>#N/A</v>
      </c>
      <c r="F208" s="216" t="e">
        <f t="shared" si="17"/>
        <v>#N/A</v>
      </c>
      <c r="G208" s="216" t="e">
        <f t="shared" si="17"/>
        <v>#N/A</v>
      </c>
      <c r="H208" s="216" t="e">
        <f t="shared" si="17"/>
        <v>#N/A</v>
      </c>
      <c r="I208" s="216" t="e">
        <f t="shared" si="17"/>
        <v>#N/A</v>
      </c>
      <c r="J208" s="216" t="e">
        <f t="shared" si="17"/>
        <v>#N/A</v>
      </c>
      <c r="K208" s="216" t="e">
        <f t="shared" si="17"/>
        <v>#N/A</v>
      </c>
      <c r="L208" s="216" t="e">
        <f t="shared" si="17"/>
        <v>#N/A</v>
      </c>
      <c r="M208" s="216" t="e">
        <f t="shared" si="17"/>
        <v>#N/A</v>
      </c>
      <c r="N208" s="217" t="e">
        <f t="shared" si="17"/>
        <v>#N/A</v>
      </c>
    </row>
    <row r="209" spans="2:14" s="142" customFormat="1" x14ac:dyDescent="0.35">
      <c r="B209" s="229" t="s">
        <v>2818</v>
      </c>
      <c r="C209" s="178" t="e">
        <v>#N/A</v>
      </c>
      <c r="D209" s="178" t="e">
        <f t="shared" si="17"/>
        <v>#N/A</v>
      </c>
      <c r="E209" s="178" t="e">
        <f t="shared" si="17"/>
        <v>#N/A</v>
      </c>
      <c r="F209" s="178" t="e">
        <f t="shared" si="17"/>
        <v>#N/A</v>
      </c>
      <c r="G209" s="178" t="e">
        <f t="shared" si="17"/>
        <v>#N/A</v>
      </c>
      <c r="H209" s="178" t="e">
        <f t="shared" si="17"/>
        <v>#N/A</v>
      </c>
      <c r="I209" s="178" t="e">
        <f t="shared" si="17"/>
        <v>#N/A</v>
      </c>
      <c r="J209" s="178" t="e">
        <f t="shared" si="17"/>
        <v>#N/A</v>
      </c>
      <c r="K209" s="178" t="e">
        <f t="shared" si="17"/>
        <v>#N/A</v>
      </c>
      <c r="L209" s="178" t="e">
        <f t="shared" si="17"/>
        <v>#N/A</v>
      </c>
      <c r="M209" s="178" t="e">
        <f t="shared" si="17"/>
        <v>#N/A</v>
      </c>
      <c r="N209" s="220" t="e">
        <f t="shared" si="17"/>
        <v>#N/A</v>
      </c>
    </row>
    <row r="210" spans="2:14" s="142" customFormat="1" x14ac:dyDescent="0.35">
      <c r="B210" s="214" t="s">
        <v>2267</v>
      </c>
      <c r="C210" s="216" t="e">
        <v>#N/A</v>
      </c>
      <c r="D210" s="216" t="e">
        <f t="shared" si="17"/>
        <v>#N/A</v>
      </c>
      <c r="E210" s="216" t="e">
        <f t="shared" si="17"/>
        <v>#N/A</v>
      </c>
      <c r="F210" s="216" t="e">
        <f t="shared" si="17"/>
        <v>#N/A</v>
      </c>
      <c r="G210" s="216" t="e">
        <f t="shared" si="17"/>
        <v>#N/A</v>
      </c>
      <c r="H210" s="216" t="e">
        <f t="shared" si="17"/>
        <v>#N/A</v>
      </c>
      <c r="I210" s="216" t="e">
        <f t="shared" si="17"/>
        <v>#N/A</v>
      </c>
      <c r="J210" s="216" t="e">
        <f t="shared" si="17"/>
        <v>#N/A</v>
      </c>
      <c r="K210" s="216" t="e">
        <f t="shared" si="17"/>
        <v>#N/A</v>
      </c>
      <c r="L210" s="216" t="e">
        <f t="shared" si="17"/>
        <v>#N/A</v>
      </c>
      <c r="M210" s="216" t="e">
        <f t="shared" si="17"/>
        <v>#N/A</v>
      </c>
      <c r="N210" s="217" t="e">
        <f t="shared" si="17"/>
        <v>#N/A</v>
      </c>
    </row>
    <row r="211" spans="2:14" s="142" customFormat="1" x14ac:dyDescent="0.35">
      <c r="B211" s="218" t="s">
        <v>1366</v>
      </c>
      <c r="C211" s="178" t="e">
        <v>#N/A</v>
      </c>
      <c r="D211" s="178" t="e">
        <f t="shared" si="17"/>
        <v>#N/A</v>
      </c>
      <c r="E211" s="178" t="e">
        <f t="shared" si="17"/>
        <v>#N/A</v>
      </c>
      <c r="F211" s="178" t="e">
        <f t="shared" si="17"/>
        <v>#N/A</v>
      </c>
      <c r="G211" s="178" t="e">
        <f t="shared" si="17"/>
        <v>#N/A</v>
      </c>
      <c r="H211" s="178" t="e">
        <f t="shared" si="17"/>
        <v>#N/A</v>
      </c>
      <c r="I211" s="178" t="e">
        <f t="shared" si="17"/>
        <v>#N/A</v>
      </c>
      <c r="J211" s="178" t="e">
        <f t="shared" si="17"/>
        <v>#N/A</v>
      </c>
      <c r="K211" s="178" t="e">
        <f t="shared" si="17"/>
        <v>#N/A</v>
      </c>
      <c r="L211" s="178" t="e">
        <f t="shared" si="17"/>
        <v>#N/A</v>
      </c>
      <c r="M211" s="178" t="e">
        <f t="shared" si="17"/>
        <v>#N/A</v>
      </c>
      <c r="N211" s="220" t="e">
        <f t="shared" si="17"/>
        <v>#N/A</v>
      </c>
    </row>
    <row r="212" spans="2:14" s="142" customFormat="1" x14ac:dyDescent="0.35">
      <c r="B212" s="214" t="s">
        <v>2272</v>
      </c>
      <c r="C212" s="216" t="e">
        <v>#N/A</v>
      </c>
      <c r="D212" s="216" t="e">
        <f t="shared" si="17"/>
        <v>#N/A</v>
      </c>
      <c r="E212" s="216" t="e">
        <f t="shared" si="17"/>
        <v>#N/A</v>
      </c>
      <c r="F212" s="216" t="e">
        <f t="shared" si="17"/>
        <v>#N/A</v>
      </c>
      <c r="G212" s="216" t="e">
        <f t="shared" si="17"/>
        <v>#N/A</v>
      </c>
      <c r="H212" s="216" t="e">
        <f t="shared" si="17"/>
        <v>#N/A</v>
      </c>
      <c r="I212" s="216" t="e">
        <f t="shared" si="17"/>
        <v>#N/A</v>
      </c>
      <c r="J212" s="216" t="e">
        <f t="shared" si="17"/>
        <v>#N/A</v>
      </c>
      <c r="K212" s="216" t="e">
        <f t="shared" si="17"/>
        <v>#N/A</v>
      </c>
      <c r="L212" s="216" t="e">
        <f t="shared" si="17"/>
        <v>#N/A</v>
      </c>
      <c r="M212" s="216" t="e">
        <f t="shared" si="17"/>
        <v>#N/A</v>
      </c>
      <c r="N212" s="217" t="e">
        <f t="shared" si="17"/>
        <v>#N/A</v>
      </c>
    </row>
    <row r="213" spans="2:14" s="142" customFormat="1" x14ac:dyDescent="0.35">
      <c r="B213" s="229" t="s">
        <v>811</v>
      </c>
      <c r="C213" s="178" t="e">
        <v>#N/A</v>
      </c>
      <c r="D213" s="178" t="e">
        <f t="shared" si="17"/>
        <v>#N/A</v>
      </c>
      <c r="E213" s="178" t="e">
        <f t="shared" si="17"/>
        <v>#N/A</v>
      </c>
      <c r="F213" s="178" t="e">
        <f t="shared" si="17"/>
        <v>#N/A</v>
      </c>
      <c r="G213" s="178" t="e">
        <f t="shared" si="17"/>
        <v>#N/A</v>
      </c>
      <c r="H213" s="178" t="e">
        <f t="shared" si="17"/>
        <v>#N/A</v>
      </c>
      <c r="I213" s="178" t="e">
        <f t="shared" si="17"/>
        <v>#N/A</v>
      </c>
      <c r="J213" s="178" t="e">
        <f t="shared" si="17"/>
        <v>#N/A</v>
      </c>
      <c r="K213" s="178" t="e">
        <f t="shared" si="17"/>
        <v>#N/A</v>
      </c>
      <c r="L213" s="178" t="e">
        <f t="shared" si="17"/>
        <v>#N/A</v>
      </c>
      <c r="M213" s="178" t="e">
        <f t="shared" si="17"/>
        <v>#N/A</v>
      </c>
      <c r="N213" s="220" t="e">
        <f t="shared" si="17"/>
        <v>#N/A</v>
      </c>
    </row>
    <row r="214" spans="2:14" s="142" customFormat="1" x14ac:dyDescent="0.35">
      <c r="B214" s="214" t="s">
        <v>2819</v>
      </c>
      <c r="C214" s="216" t="e">
        <v>#N/A</v>
      </c>
      <c r="D214" s="216" t="e">
        <f t="shared" ref="D214:N223" si="18">D$28/$C$28*$C214</f>
        <v>#N/A</v>
      </c>
      <c r="E214" s="216" t="e">
        <f t="shared" si="18"/>
        <v>#N/A</v>
      </c>
      <c r="F214" s="216" t="e">
        <f t="shared" si="18"/>
        <v>#N/A</v>
      </c>
      <c r="G214" s="216" t="e">
        <f t="shared" si="18"/>
        <v>#N/A</v>
      </c>
      <c r="H214" s="216" t="e">
        <f t="shared" si="18"/>
        <v>#N/A</v>
      </c>
      <c r="I214" s="216" t="e">
        <f t="shared" si="18"/>
        <v>#N/A</v>
      </c>
      <c r="J214" s="216" t="e">
        <f t="shared" si="18"/>
        <v>#N/A</v>
      </c>
      <c r="K214" s="216" t="e">
        <f t="shared" si="18"/>
        <v>#N/A</v>
      </c>
      <c r="L214" s="216" t="e">
        <f t="shared" si="18"/>
        <v>#N/A</v>
      </c>
      <c r="M214" s="216" t="e">
        <f t="shared" si="18"/>
        <v>#N/A</v>
      </c>
      <c r="N214" s="217" t="e">
        <f t="shared" si="18"/>
        <v>#N/A</v>
      </c>
    </row>
    <row r="215" spans="2:14" s="142" customFormat="1" x14ac:dyDescent="0.35">
      <c r="B215" s="218" t="s">
        <v>2820</v>
      </c>
      <c r="C215" s="178" t="e">
        <v>#N/A</v>
      </c>
      <c r="D215" s="178" t="e">
        <f t="shared" si="18"/>
        <v>#N/A</v>
      </c>
      <c r="E215" s="178" t="e">
        <f t="shared" si="18"/>
        <v>#N/A</v>
      </c>
      <c r="F215" s="178" t="e">
        <f t="shared" si="18"/>
        <v>#N/A</v>
      </c>
      <c r="G215" s="178" t="e">
        <f t="shared" si="18"/>
        <v>#N/A</v>
      </c>
      <c r="H215" s="178" t="e">
        <f t="shared" si="18"/>
        <v>#N/A</v>
      </c>
      <c r="I215" s="178" t="e">
        <f t="shared" si="18"/>
        <v>#N/A</v>
      </c>
      <c r="J215" s="178" t="e">
        <f t="shared" si="18"/>
        <v>#N/A</v>
      </c>
      <c r="K215" s="178" t="e">
        <f t="shared" si="18"/>
        <v>#N/A</v>
      </c>
      <c r="L215" s="178" t="e">
        <f t="shared" si="18"/>
        <v>#N/A</v>
      </c>
      <c r="M215" s="178" t="e">
        <f t="shared" si="18"/>
        <v>#N/A</v>
      </c>
      <c r="N215" s="220" t="e">
        <f t="shared" si="18"/>
        <v>#N/A</v>
      </c>
    </row>
    <row r="216" spans="2:14" s="142" customFormat="1" x14ac:dyDescent="0.35">
      <c r="B216" s="214" t="s">
        <v>812</v>
      </c>
      <c r="C216" s="216" t="e">
        <v>#N/A</v>
      </c>
      <c r="D216" s="216" t="e">
        <f t="shared" si="18"/>
        <v>#N/A</v>
      </c>
      <c r="E216" s="216" t="e">
        <f t="shared" si="18"/>
        <v>#N/A</v>
      </c>
      <c r="F216" s="216" t="e">
        <f t="shared" si="18"/>
        <v>#N/A</v>
      </c>
      <c r="G216" s="216" t="e">
        <f t="shared" si="18"/>
        <v>#N/A</v>
      </c>
      <c r="H216" s="216" t="e">
        <f t="shared" si="18"/>
        <v>#N/A</v>
      </c>
      <c r="I216" s="216" t="e">
        <f t="shared" si="18"/>
        <v>#N/A</v>
      </c>
      <c r="J216" s="216" t="e">
        <f t="shared" si="18"/>
        <v>#N/A</v>
      </c>
      <c r="K216" s="216" t="e">
        <f t="shared" si="18"/>
        <v>#N/A</v>
      </c>
      <c r="L216" s="216" t="e">
        <f t="shared" si="18"/>
        <v>#N/A</v>
      </c>
      <c r="M216" s="216" t="e">
        <f t="shared" si="18"/>
        <v>#N/A</v>
      </c>
      <c r="N216" s="217" t="e">
        <f t="shared" si="18"/>
        <v>#N/A</v>
      </c>
    </row>
    <row r="217" spans="2:14" s="142" customFormat="1" x14ac:dyDescent="0.35">
      <c r="B217" s="218" t="s">
        <v>2273</v>
      </c>
      <c r="C217" s="178" t="e">
        <v>#N/A</v>
      </c>
      <c r="D217" s="178" t="e">
        <f t="shared" si="18"/>
        <v>#N/A</v>
      </c>
      <c r="E217" s="178" t="e">
        <f t="shared" si="18"/>
        <v>#N/A</v>
      </c>
      <c r="F217" s="178" t="e">
        <f t="shared" si="18"/>
        <v>#N/A</v>
      </c>
      <c r="G217" s="178" t="e">
        <f t="shared" si="18"/>
        <v>#N/A</v>
      </c>
      <c r="H217" s="178" t="e">
        <f t="shared" si="18"/>
        <v>#N/A</v>
      </c>
      <c r="I217" s="178" t="e">
        <f t="shared" si="18"/>
        <v>#N/A</v>
      </c>
      <c r="J217" s="178" t="e">
        <f t="shared" si="18"/>
        <v>#N/A</v>
      </c>
      <c r="K217" s="178" t="e">
        <f t="shared" si="18"/>
        <v>#N/A</v>
      </c>
      <c r="L217" s="178" t="e">
        <f t="shared" si="18"/>
        <v>#N/A</v>
      </c>
      <c r="M217" s="178" t="e">
        <f t="shared" si="18"/>
        <v>#N/A</v>
      </c>
      <c r="N217" s="220" t="e">
        <f t="shared" si="18"/>
        <v>#N/A</v>
      </c>
    </row>
    <row r="218" spans="2:14" s="142" customFormat="1" x14ac:dyDescent="0.35">
      <c r="B218" s="230" t="s">
        <v>1371</v>
      </c>
      <c r="C218" s="216">
        <v>633</v>
      </c>
      <c r="D218" s="216">
        <f t="shared" si="18"/>
        <v>899.78703186137511</v>
      </c>
      <c r="E218" s="216">
        <f t="shared" si="18"/>
        <v>982.30499880220395</v>
      </c>
      <c r="F218" s="216">
        <f t="shared" si="18"/>
        <v>1020.5916860345385</v>
      </c>
      <c r="G218" s="216">
        <f t="shared" si="18"/>
        <v>1018.142817216322</v>
      </c>
      <c r="H218" s="216">
        <f t="shared" si="18"/>
        <v>1016.1051969639022</v>
      </c>
      <c r="I218" s="216">
        <f t="shared" si="18"/>
        <v>1141.3125386131621</v>
      </c>
      <c r="J218" s="216">
        <f t="shared" si="18"/>
        <v>1025.3311317701746</v>
      </c>
      <c r="K218" s="216">
        <f t="shared" si="18"/>
        <v>810.87819569886153</v>
      </c>
      <c r="L218" s="216">
        <f t="shared" si="18"/>
        <v>825.16869538995627</v>
      </c>
      <c r="M218" s="216">
        <f t="shared" si="18"/>
        <v>917.75781824600631</v>
      </c>
      <c r="N218" s="217">
        <f t="shared" si="18"/>
        <v>1008.5475346415228</v>
      </c>
    </row>
    <row r="219" spans="2:14" s="142" customFormat="1" x14ac:dyDescent="0.35">
      <c r="B219" s="231" t="s">
        <v>2822</v>
      </c>
      <c r="C219" s="178" t="e">
        <v>#N/A</v>
      </c>
      <c r="D219" s="178" t="e">
        <f t="shared" si="18"/>
        <v>#N/A</v>
      </c>
      <c r="E219" s="178" t="e">
        <f t="shared" si="18"/>
        <v>#N/A</v>
      </c>
      <c r="F219" s="178" t="e">
        <f t="shared" si="18"/>
        <v>#N/A</v>
      </c>
      <c r="G219" s="178" t="e">
        <f t="shared" si="18"/>
        <v>#N/A</v>
      </c>
      <c r="H219" s="178" t="e">
        <f t="shared" si="18"/>
        <v>#N/A</v>
      </c>
      <c r="I219" s="178" t="e">
        <f t="shared" si="18"/>
        <v>#N/A</v>
      </c>
      <c r="J219" s="178" t="e">
        <f t="shared" si="18"/>
        <v>#N/A</v>
      </c>
      <c r="K219" s="178" t="e">
        <f t="shared" si="18"/>
        <v>#N/A</v>
      </c>
      <c r="L219" s="178" t="e">
        <f t="shared" si="18"/>
        <v>#N/A</v>
      </c>
      <c r="M219" s="178" t="e">
        <f t="shared" si="18"/>
        <v>#N/A</v>
      </c>
      <c r="N219" s="220" t="e">
        <f t="shared" si="18"/>
        <v>#N/A</v>
      </c>
    </row>
    <row r="220" spans="2:14" s="142" customFormat="1" x14ac:dyDescent="0.35">
      <c r="B220" s="230" t="s">
        <v>2823</v>
      </c>
      <c r="C220" s="216" t="e">
        <v>#N/A</v>
      </c>
      <c r="D220" s="216" t="e">
        <f t="shared" si="18"/>
        <v>#N/A</v>
      </c>
      <c r="E220" s="216" t="e">
        <f t="shared" si="18"/>
        <v>#N/A</v>
      </c>
      <c r="F220" s="216" t="e">
        <f t="shared" si="18"/>
        <v>#N/A</v>
      </c>
      <c r="G220" s="216" t="e">
        <f t="shared" si="18"/>
        <v>#N/A</v>
      </c>
      <c r="H220" s="216" t="e">
        <f t="shared" si="18"/>
        <v>#N/A</v>
      </c>
      <c r="I220" s="216" t="e">
        <f t="shared" si="18"/>
        <v>#N/A</v>
      </c>
      <c r="J220" s="216" t="e">
        <f t="shared" si="18"/>
        <v>#N/A</v>
      </c>
      <c r="K220" s="216" t="e">
        <f t="shared" si="18"/>
        <v>#N/A</v>
      </c>
      <c r="L220" s="216" t="e">
        <f t="shared" si="18"/>
        <v>#N/A</v>
      </c>
      <c r="M220" s="216" t="e">
        <f t="shared" si="18"/>
        <v>#N/A</v>
      </c>
      <c r="N220" s="217" t="e">
        <f t="shared" si="18"/>
        <v>#N/A</v>
      </c>
    </row>
    <row r="221" spans="2:14" s="142" customFormat="1" x14ac:dyDescent="0.35">
      <c r="B221" s="231" t="s">
        <v>2824</v>
      </c>
      <c r="C221" s="178" t="e">
        <v>#N/A</v>
      </c>
      <c r="D221" s="178" t="e">
        <f t="shared" si="18"/>
        <v>#N/A</v>
      </c>
      <c r="E221" s="178" t="e">
        <f t="shared" si="18"/>
        <v>#N/A</v>
      </c>
      <c r="F221" s="178" t="e">
        <f t="shared" si="18"/>
        <v>#N/A</v>
      </c>
      <c r="G221" s="178" t="e">
        <f t="shared" si="18"/>
        <v>#N/A</v>
      </c>
      <c r="H221" s="178" t="e">
        <f t="shared" si="18"/>
        <v>#N/A</v>
      </c>
      <c r="I221" s="178" t="e">
        <f t="shared" si="18"/>
        <v>#N/A</v>
      </c>
      <c r="J221" s="178" t="e">
        <f t="shared" si="18"/>
        <v>#N/A</v>
      </c>
      <c r="K221" s="178" t="e">
        <f t="shared" si="18"/>
        <v>#N/A</v>
      </c>
      <c r="L221" s="178" t="e">
        <f t="shared" si="18"/>
        <v>#N/A</v>
      </c>
      <c r="M221" s="178" t="e">
        <f t="shared" si="18"/>
        <v>#N/A</v>
      </c>
      <c r="N221" s="220" t="e">
        <f t="shared" si="18"/>
        <v>#N/A</v>
      </c>
    </row>
    <row r="222" spans="2:14" s="142" customFormat="1" x14ac:dyDescent="0.35">
      <c r="B222" s="214" t="s">
        <v>1369</v>
      </c>
      <c r="C222" s="216">
        <v>703</v>
      </c>
      <c r="D222" s="216">
        <f t="shared" si="18"/>
        <v>999.28954723309118</v>
      </c>
      <c r="E222" s="216">
        <f t="shared" si="18"/>
        <v>1090.9327237882296</v>
      </c>
      <c r="F222" s="216">
        <f t="shared" si="18"/>
        <v>1133.4533258803799</v>
      </c>
      <c r="G222" s="216">
        <f t="shared" si="18"/>
        <v>1130.7336500838458</v>
      </c>
      <c r="H222" s="216">
        <f t="shared" si="18"/>
        <v>1128.4707005776038</v>
      </c>
      <c r="I222" s="216">
        <f t="shared" si="18"/>
        <v>1267.5240357741754</v>
      </c>
      <c r="J222" s="216">
        <f t="shared" si="18"/>
        <v>1138.7168809390721</v>
      </c>
      <c r="K222" s="216">
        <f t="shared" si="18"/>
        <v>900.54877026271674</v>
      </c>
      <c r="L222" s="216">
        <f t="shared" si="18"/>
        <v>916.41957797652321</v>
      </c>
      <c r="M222" s="216">
        <f t="shared" si="18"/>
        <v>1019.2476243711571</v>
      </c>
      <c r="N222" s="217">
        <f t="shared" si="18"/>
        <v>1120.0772778088317</v>
      </c>
    </row>
    <row r="223" spans="2:14" s="142" customFormat="1" x14ac:dyDescent="0.35">
      <c r="B223" s="218" t="s">
        <v>1370</v>
      </c>
      <c r="C223" s="178">
        <v>471</v>
      </c>
      <c r="D223" s="178">
        <f t="shared" si="18"/>
        <v>669.50978200111797</v>
      </c>
      <c r="E223" s="178">
        <f t="shared" si="18"/>
        <v>730.90940669168731</v>
      </c>
      <c r="F223" s="178">
        <f t="shared" si="18"/>
        <v>759.39760524844803</v>
      </c>
      <c r="G223" s="178">
        <f t="shared" si="18"/>
        <v>757.57546115148125</v>
      </c>
      <c r="H223" s="178">
        <f t="shared" si="18"/>
        <v>756.05931717219266</v>
      </c>
      <c r="I223" s="178">
        <f t="shared" si="18"/>
        <v>849.22307375481739</v>
      </c>
      <c r="J223" s="178">
        <f t="shared" si="18"/>
        <v>762.92411226501133</v>
      </c>
      <c r="K223" s="178">
        <f t="shared" si="18"/>
        <v>603.3548659939396</v>
      </c>
      <c r="L223" s="178">
        <f t="shared" si="18"/>
        <v>613.98808140390111</v>
      </c>
      <c r="M223" s="178">
        <f t="shared" si="18"/>
        <v>682.88140978494312</v>
      </c>
      <c r="N223" s="220">
        <f t="shared" si="18"/>
        <v>750.43584331146485</v>
      </c>
    </row>
    <row r="224" spans="2:14" s="142" customFormat="1" x14ac:dyDescent="0.35">
      <c r="B224" s="230" t="s">
        <v>2495</v>
      </c>
      <c r="C224" s="216" t="e">
        <v>#N/A</v>
      </c>
      <c r="D224" s="216" t="e">
        <f t="shared" ref="D224:N230" si="19">D$28/$C$28*$C224</f>
        <v>#N/A</v>
      </c>
      <c r="E224" s="216" t="e">
        <f t="shared" si="19"/>
        <v>#N/A</v>
      </c>
      <c r="F224" s="216" t="e">
        <f t="shared" si="19"/>
        <v>#N/A</v>
      </c>
      <c r="G224" s="216" t="e">
        <f t="shared" si="19"/>
        <v>#N/A</v>
      </c>
      <c r="H224" s="216" t="e">
        <f t="shared" si="19"/>
        <v>#N/A</v>
      </c>
      <c r="I224" s="216" t="e">
        <f t="shared" si="19"/>
        <v>#N/A</v>
      </c>
      <c r="J224" s="216" t="e">
        <f t="shared" si="19"/>
        <v>#N/A</v>
      </c>
      <c r="K224" s="216" t="e">
        <f t="shared" si="19"/>
        <v>#N/A</v>
      </c>
      <c r="L224" s="216" t="e">
        <f t="shared" si="19"/>
        <v>#N/A</v>
      </c>
      <c r="M224" s="216" t="e">
        <f t="shared" si="19"/>
        <v>#N/A</v>
      </c>
      <c r="N224" s="217" t="e">
        <f t="shared" si="19"/>
        <v>#N/A</v>
      </c>
    </row>
    <row r="225" spans="2:14" s="142" customFormat="1" x14ac:dyDescent="0.35">
      <c r="B225" s="218" t="s">
        <v>2275</v>
      </c>
      <c r="C225" s="178">
        <v>4523</v>
      </c>
      <c r="D225" s="178">
        <f t="shared" si="19"/>
        <v>6429.283957518167</v>
      </c>
      <c r="E225" s="178">
        <f t="shared" si="19"/>
        <v>7018.9028587399189</v>
      </c>
      <c r="F225" s="178">
        <f t="shared" si="19"/>
        <v>7292.4742431820177</v>
      </c>
      <c r="G225" s="178">
        <f t="shared" si="19"/>
        <v>7274.9762437115705</v>
      </c>
      <c r="H225" s="178">
        <f t="shared" si="19"/>
        <v>7260.4167549253234</v>
      </c>
      <c r="I225" s="178">
        <f t="shared" si="19"/>
        <v>8155.0657379894674</v>
      </c>
      <c r="J225" s="178">
        <f t="shared" si="19"/>
        <v>7326.339192727487</v>
      </c>
      <c r="K225" s="178">
        <f t="shared" si="19"/>
        <v>5794.0001250330979</v>
      </c>
      <c r="L225" s="178">
        <f t="shared" si="19"/>
        <v>5896.1105991291815</v>
      </c>
      <c r="M225" s="178">
        <f t="shared" si="19"/>
        <v>6557.6913300579572</v>
      </c>
      <c r="N225" s="220">
        <f t="shared" si="19"/>
        <v>7206.4146906534079</v>
      </c>
    </row>
    <row r="226" spans="2:14" s="142" customFormat="1" x14ac:dyDescent="0.35">
      <c r="B226" s="214" t="s">
        <v>1666</v>
      </c>
      <c r="C226" s="216">
        <v>3201</v>
      </c>
      <c r="D226" s="216">
        <f t="shared" si="19"/>
        <v>4550.1078814980438</v>
      </c>
      <c r="E226" s="216">
        <f t="shared" si="19"/>
        <v>4967.3906811466904</v>
      </c>
      <c r="F226" s="216">
        <f t="shared" si="19"/>
        <v>5161.0015592362679</v>
      </c>
      <c r="G226" s="216">
        <f t="shared" si="19"/>
        <v>5148.617942984908</v>
      </c>
      <c r="H226" s="216">
        <f t="shared" si="19"/>
        <v>5138.3139581065579</v>
      </c>
      <c r="I226" s="216">
        <f t="shared" si="19"/>
        <v>5771.4714630343324</v>
      </c>
      <c r="J226" s="216">
        <f t="shared" si="19"/>
        <v>5184.9683298520195</v>
      </c>
      <c r="K226" s="216">
        <f t="shared" si="19"/>
        <v>4100.5072739842908</v>
      </c>
      <c r="L226" s="216">
        <f t="shared" si="19"/>
        <v>4172.7725022800159</v>
      </c>
      <c r="M226" s="216">
        <f t="shared" si="19"/>
        <v>4640.9838486658236</v>
      </c>
      <c r="N226" s="217">
        <f t="shared" si="19"/>
        <v>5100.0958268365157</v>
      </c>
    </row>
    <row r="227" spans="2:14" s="142" customFormat="1" x14ac:dyDescent="0.35">
      <c r="B227" s="218" t="s">
        <v>1373</v>
      </c>
      <c r="C227" s="178">
        <v>1103</v>
      </c>
      <c r="D227" s="178">
        <f t="shared" si="19"/>
        <v>1567.8753493571828</v>
      </c>
      <c r="E227" s="178">
        <f t="shared" si="19"/>
        <v>1711.6625808512338</v>
      </c>
      <c r="F227" s="178">
        <f t="shared" si="19"/>
        <v>1778.3769821423316</v>
      </c>
      <c r="G227" s="178">
        <f t="shared" si="19"/>
        <v>1774.1098378982672</v>
      </c>
      <c r="H227" s="178">
        <f t="shared" si="19"/>
        <v>1770.5592926558991</v>
      </c>
      <c r="I227" s="178">
        <f t="shared" si="19"/>
        <v>1988.7325909799652</v>
      </c>
      <c r="J227" s="178">
        <f t="shared" si="19"/>
        <v>1786.6354476184872</v>
      </c>
      <c r="K227" s="178">
        <f t="shared" si="19"/>
        <v>1412.9520534847461</v>
      </c>
      <c r="L227" s="178">
        <f t="shared" si="19"/>
        <v>1437.8531927569063</v>
      </c>
      <c r="M227" s="178">
        <f t="shared" si="19"/>
        <v>1599.1893736577331</v>
      </c>
      <c r="N227" s="220">
        <f t="shared" si="19"/>
        <v>1757.3900959077403</v>
      </c>
    </row>
    <row r="228" spans="2:14" s="142" customFormat="1" x14ac:dyDescent="0.35">
      <c r="B228" s="214" t="s">
        <v>1374</v>
      </c>
      <c r="C228" s="216">
        <v>738</v>
      </c>
      <c r="D228" s="216">
        <f t="shared" si="19"/>
        <v>1049.0408049189491</v>
      </c>
      <c r="E228" s="216">
        <f t="shared" si="19"/>
        <v>1145.2465862812426</v>
      </c>
      <c r="F228" s="216">
        <f t="shared" si="19"/>
        <v>1189.8841458033007</v>
      </c>
      <c r="G228" s="216">
        <f t="shared" si="19"/>
        <v>1187.0290665176076</v>
      </c>
      <c r="H228" s="216">
        <f t="shared" si="19"/>
        <v>1184.6534523844548</v>
      </c>
      <c r="I228" s="216">
        <f t="shared" si="19"/>
        <v>1330.629784354682</v>
      </c>
      <c r="J228" s="216">
        <f t="shared" si="19"/>
        <v>1195.409755523521</v>
      </c>
      <c r="K228" s="216">
        <f t="shared" si="19"/>
        <v>945.38405754464429</v>
      </c>
      <c r="L228" s="216">
        <f t="shared" si="19"/>
        <v>962.04501926980674</v>
      </c>
      <c r="M228" s="216">
        <f t="shared" si="19"/>
        <v>1069.9925274337324</v>
      </c>
      <c r="N228" s="217">
        <f t="shared" si="19"/>
        <v>1175.8421493924864</v>
      </c>
    </row>
    <row r="229" spans="2:14" s="142" customFormat="1" x14ac:dyDescent="0.35">
      <c r="B229" s="218" t="s">
        <v>1757</v>
      </c>
      <c r="C229" s="178" t="e">
        <v>#N/A</v>
      </c>
      <c r="D229" s="178" t="e">
        <f t="shared" si="19"/>
        <v>#N/A</v>
      </c>
      <c r="E229" s="178" t="e">
        <f t="shared" si="19"/>
        <v>#N/A</v>
      </c>
      <c r="F229" s="178" t="e">
        <f t="shared" si="19"/>
        <v>#N/A</v>
      </c>
      <c r="G229" s="178" t="e">
        <f t="shared" si="19"/>
        <v>#N/A</v>
      </c>
      <c r="H229" s="178" t="e">
        <f t="shared" si="19"/>
        <v>#N/A</v>
      </c>
      <c r="I229" s="178" t="e">
        <f t="shared" si="19"/>
        <v>#N/A</v>
      </c>
      <c r="J229" s="178" t="e">
        <f t="shared" si="19"/>
        <v>#N/A</v>
      </c>
      <c r="K229" s="178" t="e">
        <f t="shared" si="19"/>
        <v>#N/A</v>
      </c>
      <c r="L229" s="178" t="e">
        <f t="shared" si="19"/>
        <v>#N/A</v>
      </c>
      <c r="M229" s="178" t="e">
        <f t="shared" si="19"/>
        <v>#N/A</v>
      </c>
      <c r="N229" s="220" t="e">
        <f t="shared" si="19"/>
        <v>#N/A</v>
      </c>
    </row>
    <row r="230" spans="2:14" s="142" customFormat="1" x14ac:dyDescent="0.35">
      <c r="B230" s="223" t="s">
        <v>32</v>
      </c>
      <c r="C230" s="225" t="e">
        <v>#N/A</v>
      </c>
      <c r="D230" s="225" t="e">
        <f t="shared" si="19"/>
        <v>#N/A</v>
      </c>
      <c r="E230" s="225" t="e">
        <f t="shared" si="19"/>
        <v>#N/A</v>
      </c>
      <c r="F230" s="225" t="e">
        <f t="shared" si="19"/>
        <v>#N/A</v>
      </c>
      <c r="G230" s="225" t="e">
        <f t="shared" si="19"/>
        <v>#N/A</v>
      </c>
      <c r="H230" s="225" t="e">
        <f t="shared" si="19"/>
        <v>#N/A</v>
      </c>
      <c r="I230" s="225" t="e">
        <f t="shared" si="19"/>
        <v>#N/A</v>
      </c>
      <c r="J230" s="225" t="e">
        <f t="shared" si="19"/>
        <v>#N/A</v>
      </c>
      <c r="K230" s="225" t="e">
        <f t="shared" si="19"/>
        <v>#N/A</v>
      </c>
      <c r="L230" s="225" t="e">
        <f t="shared" si="19"/>
        <v>#N/A</v>
      </c>
      <c r="M230" s="225" t="e">
        <f t="shared" si="19"/>
        <v>#N/A</v>
      </c>
      <c r="N230" s="226" t="e">
        <f t="shared" si="19"/>
        <v>#N/A</v>
      </c>
    </row>
    <row r="231" spans="2:14" s="123" customFormat="1" x14ac:dyDescent="0.35">
      <c r="B231" s="125"/>
      <c r="C231" s="125"/>
      <c r="D231" s="125"/>
      <c r="E231" s="125"/>
      <c r="F231" s="125"/>
      <c r="G231" s="125"/>
    </row>
    <row r="232" spans="2:14" s="142" customFormat="1" ht="17.5" thickBot="1" x14ac:dyDescent="0.45">
      <c r="B232" s="176" t="s">
        <v>2288</v>
      </c>
      <c r="C232" s="176"/>
      <c r="D232" s="176"/>
      <c r="E232" s="176"/>
      <c r="F232" s="176"/>
      <c r="G232" s="176"/>
      <c r="H232" s="176"/>
      <c r="I232" s="176"/>
      <c r="J232" s="176"/>
      <c r="K232" s="176"/>
      <c r="L232" s="176"/>
      <c r="M232" s="176"/>
      <c r="N232" s="176"/>
    </row>
    <row r="233" spans="2:14" s="142" customFormat="1" ht="15" thickTop="1" x14ac:dyDescent="0.35">
      <c r="B233" s="179" t="s">
        <v>2292</v>
      </c>
      <c r="C233" s="180">
        <f>$F$25</f>
        <v>3578</v>
      </c>
      <c r="D233" s="180">
        <f>VLOOKUP(D$29,HDD_CDD!$B$5:$F$15,3,FALSE)</f>
        <v>5086</v>
      </c>
      <c r="E233" s="180">
        <f>VLOOKUP(E$29,HDD_CDD!$B$5:$F$15,3,FALSE)</f>
        <v>5552.4285714285716</v>
      </c>
      <c r="F233" s="180">
        <f>VLOOKUP(F$29,HDD_CDD!$B$5:$F$15,3,FALSE)</f>
        <v>5768.8421052631575</v>
      </c>
      <c r="G233" s="180">
        <f>VLOOKUP(G$29,HDD_CDD!$B$5:$F$15,3,FALSE)</f>
        <v>5755</v>
      </c>
      <c r="H233" s="180">
        <f>VLOOKUP(H$29,HDD_CDD!$B$5:$F$15,3,FALSE)</f>
        <v>5743.4824561403511</v>
      </c>
      <c r="I233" s="180">
        <f>VLOOKUP(I$29,HDD_CDD!$B$5:$F$15,3,FALSE)</f>
        <v>6451.2105263157891</v>
      </c>
      <c r="J233" s="180">
        <f>VLOOKUP(J$29,HDD_CDD!$B$5:$F$15,3,FALSE)</f>
        <v>5795.6315789473683</v>
      </c>
      <c r="K233" s="180">
        <f>VLOOKUP(K$29,HDD_CDD!$B$5:$F$15,3,FALSE)</f>
        <v>4583.4473684210534</v>
      </c>
      <c r="L233" s="180">
        <f>VLOOKUP(L$29,HDD_CDD!$B$5:$F$15,3,FALSE)</f>
        <v>4664.2236842105267</v>
      </c>
      <c r="M233" s="180">
        <f>VLOOKUP(M$29,HDD_CDD!$B$5:$F$15,3,FALSE)</f>
        <v>5187.5789473684217</v>
      </c>
      <c r="N233" s="180">
        <f>VLOOKUP(N$29,HDD_CDD!$B$5:$F$15,3,FALSE)</f>
        <v>5700.7631578947367</v>
      </c>
    </row>
    <row r="234" spans="2:14" s="142" customFormat="1" ht="31.5" customHeight="1" x14ac:dyDescent="0.35">
      <c r="B234" s="211" t="s">
        <v>2815</v>
      </c>
      <c r="C234" s="212" t="s">
        <v>2294</v>
      </c>
      <c r="D234" s="212" t="s">
        <v>1361</v>
      </c>
      <c r="E234" s="212" t="s">
        <v>1811</v>
      </c>
      <c r="F234" s="212" t="s">
        <v>1812</v>
      </c>
      <c r="G234" s="212" t="s">
        <v>1362</v>
      </c>
      <c r="H234" s="212" t="s">
        <v>1813</v>
      </c>
      <c r="I234" s="212" t="s">
        <v>1814</v>
      </c>
      <c r="J234" s="212" t="s">
        <v>1815</v>
      </c>
      <c r="K234" s="212" t="s">
        <v>1816</v>
      </c>
      <c r="L234" s="212" t="s">
        <v>1817</v>
      </c>
      <c r="M234" s="212" t="s">
        <v>1818</v>
      </c>
      <c r="N234" s="213" t="s">
        <v>1819</v>
      </c>
    </row>
    <row r="235" spans="2:14" s="142" customFormat="1" x14ac:dyDescent="0.35">
      <c r="B235" s="214" t="s">
        <v>2269</v>
      </c>
      <c r="C235" s="216">
        <v>23.948499999999999</v>
      </c>
      <c r="D235" s="216">
        <f t="shared" ref="D235:N244" si="20">D$28/$C$28*$C235</f>
        <v>34.041942705422024</v>
      </c>
      <c r="E235" s="216">
        <f t="shared" si="20"/>
        <v>37.163872454683379</v>
      </c>
      <c r="F235" s="216">
        <f t="shared" si="20"/>
        <v>38.612385454973371</v>
      </c>
      <c r="G235" s="216">
        <f t="shared" si="20"/>
        <v>38.519736584684182</v>
      </c>
      <c r="H235" s="216">
        <f t="shared" si="20"/>
        <v>38.442646618467634</v>
      </c>
      <c r="I235" s="216">
        <f t="shared" si="20"/>
        <v>43.179657710864639</v>
      </c>
      <c r="J235" s="216">
        <f t="shared" si="20"/>
        <v>38.791694485304937</v>
      </c>
      <c r="K235" s="216">
        <f t="shared" si="20"/>
        <v>30.678225070606928</v>
      </c>
      <c r="L235" s="216">
        <f t="shared" si="20"/>
        <v>31.218882308920008</v>
      </c>
      <c r="M235" s="216">
        <f t="shared" si="20"/>
        <v>34.721837456973908</v>
      </c>
      <c r="N235" s="217">
        <f t="shared" si="20"/>
        <v>38.156715060604277</v>
      </c>
    </row>
    <row r="236" spans="2:14" s="142" customFormat="1" x14ac:dyDescent="0.35">
      <c r="B236" s="218" t="s">
        <v>2270</v>
      </c>
      <c r="C236" s="178" t="e">
        <v>#N/A</v>
      </c>
      <c r="D236" s="178" t="e">
        <f t="shared" si="20"/>
        <v>#N/A</v>
      </c>
      <c r="E236" s="178" t="e">
        <f t="shared" si="20"/>
        <v>#N/A</v>
      </c>
      <c r="F236" s="178" t="e">
        <f t="shared" si="20"/>
        <v>#N/A</v>
      </c>
      <c r="G236" s="178" t="e">
        <f t="shared" si="20"/>
        <v>#N/A</v>
      </c>
      <c r="H236" s="178" t="e">
        <f t="shared" si="20"/>
        <v>#N/A</v>
      </c>
      <c r="I236" s="178" t="e">
        <f t="shared" si="20"/>
        <v>#N/A</v>
      </c>
      <c r="J236" s="178" t="e">
        <f t="shared" si="20"/>
        <v>#N/A</v>
      </c>
      <c r="K236" s="178" t="e">
        <f t="shared" si="20"/>
        <v>#N/A</v>
      </c>
      <c r="L236" s="178" t="e">
        <f t="shared" si="20"/>
        <v>#N/A</v>
      </c>
      <c r="M236" s="178" t="e">
        <f t="shared" si="20"/>
        <v>#N/A</v>
      </c>
      <c r="N236" s="220" t="e">
        <f t="shared" si="20"/>
        <v>#N/A</v>
      </c>
    </row>
    <row r="237" spans="2:14" s="142" customFormat="1" x14ac:dyDescent="0.35">
      <c r="B237" s="228" t="s">
        <v>2816</v>
      </c>
      <c r="C237" s="216" t="e">
        <v>#N/A</v>
      </c>
      <c r="D237" s="216" t="e">
        <f t="shared" si="20"/>
        <v>#N/A</v>
      </c>
      <c r="E237" s="216" t="e">
        <f t="shared" si="20"/>
        <v>#N/A</v>
      </c>
      <c r="F237" s="216" t="e">
        <f t="shared" si="20"/>
        <v>#N/A</v>
      </c>
      <c r="G237" s="216" t="e">
        <f t="shared" si="20"/>
        <v>#N/A</v>
      </c>
      <c r="H237" s="216" t="e">
        <f t="shared" si="20"/>
        <v>#N/A</v>
      </c>
      <c r="I237" s="216" t="e">
        <f t="shared" si="20"/>
        <v>#N/A</v>
      </c>
      <c r="J237" s="216" t="e">
        <f t="shared" si="20"/>
        <v>#N/A</v>
      </c>
      <c r="K237" s="216" t="e">
        <f t="shared" si="20"/>
        <v>#N/A</v>
      </c>
      <c r="L237" s="216" t="e">
        <f t="shared" si="20"/>
        <v>#N/A</v>
      </c>
      <c r="M237" s="216" t="e">
        <f t="shared" si="20"/>
        <v>#N/A</v>
      </c>
      <c r="N237" s="217" t="e">
        <f t="shared" si="20"/>
        <v>#N/A</v>
      </c>
    </row>
    <row r="238" spans="2:14" s="142" customFormat="1" x14ac:dyDescent="0.35">
      <c r="B238" s="218" t="s">
        <v>1375</v>
      </c>
      <c r="C238" s="178">
        <v>17.091000000000001</v>
      </c>
      <c r="D238" s="178">
        <f t="shared" si="20"/>
        <v>24.294249860257128</v>
      </c>
      <c r="E238" s="178">
        <f t="shared" si="20"/>
        <v>26.522234967659507</v>
      </c>
      <c r="F238" s="178">
        <f t="shared" si="20"/>
        <v>27.555975522932538</v>
      </c>
      <c r="G238" s="178">
        <f t="shared" si="20"/>
        <v>27.489856064840694</v>
      </c>
      <c r="H238" s="178">
        <f t="shared" si="20"/>
        <v>27.434840318025362</v>
      </c>
      <c r="I238" s="178">
        <f t="shared" si="20"/>
        <v>30.815438542555384</v>
      </c>
      <c r="J238" s="178">
        <f t="shared" si="20"/>
        <v>27.683940557794713</v>
      </c>
      <c r="K238" s="178">
        <f t="shared" si="20"/>
        <v>21.893711283869262</v>
      </c>
      <c r="L238" s="178">
        <f t="shared" si="20"/>
        <v>22.279554775528819</v>
      </c>
      <c r="M238" s="178">
        <f t="shared" si="20"/>
        <v>24.779461092642173</v>
      </c>
      <c r="N238" s="220">
        <f t="shared" si="20"/>
        <v>27.230783435321115</v>
      </c>
    </row>
    <row r="239" spans="2:14" s="142" customFormat="1" x14ac:dyDescent="0.35">
      <c r="B239" s="214" t="s">
        <v>1665</v>
      </c>
      <c r="C239" s="216">
        <v>2.4264999999999999</v>
      </c>
      <c r="D239" s="216">
        <f t="shared" si="20"/>
        <v>3.449183622135271</v>
      </c>
      <c r="E239" s="216">
        <f t="shared" si="20"/>
        <v>3.7655024954084482</v>
      </c>
      <c r="F239" s="216">
        <f t="shared" si="20"/>
        <v>3.912268129799064</v>
      </c>
      <c r="G239" s="216">
        <f t="shared" si="20"/>
        <v>3.902880799329234</v>
      </c>
      <c r="H239" s="216">
        <f t="shared" si="20"/>
        <v>3.895069921694958</v>
      </c>
      <c r="I239" s="216">
        <f t="shared" si="20"/>
        <v>4.3750313980171214</v>
      </c>
      <c r="J239" s="216">
        <f t="shared" si="20"/>
        <v>3.9304360051190019</v>
      </c>
      <c r="K239" s="216">
        <f t="shared" si="20"/>
        <v>3.108366416845636</v>
      </c>
      <c r="L239" s="216">
        <f t="shared" si="20"/>
        <v>3.1631466656614986</v>
      </c>
      <c r="M239" s="216">
        <f t="shared" si="20"/>
        <v>3.5180716366096907</v>
      </c>
      <c r="N239" s="217">
        <f t="shared" si="20"/>
        <v>3.8660988827925036</v>
      </c>
    </row>
    <row r="240" spans="2:14" s="142" customFormat="1" x14ac:dyDescent="0.35">
      <c r="B240" s="229" t="s">
        <v>2817</v>
      </c>
      <c r="C240" s="178" t="e">
        <v>#N/A</v>
      </c>
      <c r="D240" s="178" t="e">
        <f t="shared" si="20"/>
        <v>#N/A</v>
      </c>
      <c r="E240" s="178" t="e">
        <f t="shared" si="20"/>
        <v>#N/A</v>
      </c>
      <c r="F240" s="178" t="e">
        <f t="shared" si="20"/>
        <v>#N/A</v>
      </c>
      <c r="G240" s="178" t="e">
        <f t="shared" si="20"/>
        <v>#N/A</v>
      </c>
      <c r="H240" s="178" t="e">
        <f t="shared" si="20"/>
        <v>#N/A</v>
      </c>
      <c r="I240" s="178" t="e">
        <f t="shared" si="20"/>
        <v>#N/A</v>
      </c>
      <c r="J240" s="178" t="e">
        <f t="shared" si="20"/>
        <v>#N/A</v>
      </c>
      <c r="K240" s="178" t="e">
        <f t="shared" si="20"/>
        <v>#N/A</v>
      </c>
      <c r="L240" s="178" t="e">
        <f t="shared" si="20"/>
        <v>#N/A</v>
      </c>
      <c r="M240" s="178" t="e">
        <f t="shared" si="20"/>
        <v>#N/A</v>
      </c>
      <c r="N240" s="220" t="e">
        <f t="shared" si="20"/>
        <v>#N/A</v>
      </c>
    </row>
    <row r="241" spans="2:14" s="142" customFormat="1" x14ac:dyDescent="0.35">
      <c r="B241" s="214" t="s">
        <v>1376</v>
      </c>
      <c r="C241" s="216">
        <v>8.8620000000000001</v>
      </c>
      <c r="D241" s="216">
        <f t="shared" si="20"/>
        <v>12.597018446059252</v>
      </c>
      <c r="E241" s="216">
        <f t="shared" si="20"/>
        <v>13.752269983230855</v>
      </c>
      <c r="F241" s="216">
        <f t="shared" si="20"/>
        <v>14.288283604483539</v>
      </c>
      <c r="G241" s="216">
        <f t="shared" si="20"/>
        <v>14.253999441028508</v>
      </c>
      <c r="H241" s="216">
        <f t="shared" si="20"/>
        <v>14.22547275749463</v>
      </c>
      <c r="I241" s="216">
        <f t="shared" si="20"/>
        <v>15.978375540584272</v>
      </c>
      <c r="J241" s="216">
        <f t="shared" si="20"/>
        <v>14.354635844782443</v>
      </c>
      <c r="K241" s="216">
        <f t="shared" si="20"/>
        <v>11.352294739784062</v>
      </c>
      <c r="L241" s="216">
        <f t="shared" si="20"/>
        <v>11.552361735459387</v>
      </c>
      <c r="M241" s="216">
        <f t="shared" si="20"/>
        <v>12.848609455444089</v>
      </c>
      <c r="N241" s="217">
        <f t="shared" si="20"/>
        <v>14.119665484981319</v>
      </c>
    </row>
    <row r="242" spans="2:14" s="142" customFormat="1" x14ac:dyDescent="0.35">
      <c r="B242" s="218" t="s">
        <v>2271</v>
      </c>
      <c r="C242" s="178" t="e">
        <v>#N/A</v>
      </c>
      <c r="D242" s="178" t="e">
        <f t="shared" si="20"/>
        <v>#N/A</v>
      </c>
      <c r="E242" s="178" t="e">
        <f t="shared" si="20"/>
        <v>#N/A</v>
      </c>
      <c r="F242" s="178" t="e">
        <f t="shared" si="20"/>
        <v>#N/A</v>
      </c>
      <c r="G242" s="178" t="e">
        <f t="shared" si="20"/>
        <v>#N/A</v>
      </c>
      <c r="H242" s="178" t="e">
        <f t="shared" si="20"/>
        <v>#N/A</v>
      </c>
      <c r="I242" s="178" t="e">
        <f t="shared" si="20"/>
        <v>#N/A</v>
      </c>
      <c r="J242" s="178" t="e">
        <f t="shared" si="20"/>
        <v>#N/A</v>
      </c>
      <c r="K242" s="178" t="e">
        <f t="shared" si="20"/>
        <v>#N/A</v>
      </c>
      <c r="L242" s="178" t="e">
        <f t="shared" si="20"/>
        <v>#N/A</v>
      </c>
      <c r="M242" s="178" t="e">
        <f t="shared" si="20"/>
        <v>#N/A</v>
      </c>
      <c r="N242" s="220" t="e">
        <f t="shared" si="20"/>
        <v>#N/A</v>
      </c>
    </row>
    <row r="243" spans="2:14" s="142" customFormat="1" x14ac:dyDescent="0.35">
      <c r="B243" s="214" t="s">
        <v>1372</v>
      </c>
      <c r="C243" s="216" t="e">
        <v>#N/A</v>
      </c>
      <c r="D243" s="216" t="e">
        <f t="shared" si="20"/>
        <v>#N/A</v>
      </c>
      <c r="E243" s="216" t="e">
        <f t="shared" si="20"/>
        <v>#N/A</v>
      </c>
      <c r="F243" s="216" t="e">
        <f t="shared" si="20"/>
        <v>#N/A</v>
      </c>
      <c r="G243" s="216" t="e">
        <f t="shared" si="20"/>
        <v>#N/A</v>
      </c>
      <c r="H243" s="216" t="e">
        <f t="shared" si="20"/>
        <v>#N/A</v>
      </c>
      <c r="I243" s="216" t="e">
        <f t="shared" si="20"/>
        <v>#N/A</v>
      </c>
      <c r="J243" s="216" t="e">
        <f t="shared" si="20"/>
        <v>#N/A</v>
      </c>
      <c r="K243" s="216" t="e">
        <f t="shared" si="20"/>
        <v>#N/A</v>
      </c>
      <c r="L243" s="216" t="e">
        <f t="shared" si="20"/>
        <v>#N/A</v>
      </c>
      <c r="M243" s="216" t="e">
        <f t="shared" si="20"/>
        <v>#N/A</v>
      </c>
      <c r="N243" s="217" t="e">
        <f t="shared" si="20"/>
        <v>#N/A</v>
      </c>
    </row>
    <row r="244" spans="2:14" s="142" customFormat="1" x14ac:dyDescent="0.35">
      <c r="B244" s="218" t="s">
        <v>1365</v>
      </c>
      <c r="C244" s="178">
        <v>6.0134999999999996</v>
      </c>
      <c r="D244" s="178">
        <f t="shared" si="20"/>
        <v>8.5479768026830634</v>
      </c>
      <c r="E244" s="178">
        <f t="shared" si="20"/>
        <v>9.3318974886209372</v>
      </c>
      <c r="F244" s="178">
        <f t="shared" si="20"/>
        <v>9.695621017328115</v>
      </c>
      <c r="G244" s="178">
        <f t="shared" si="20"/>
        <v>9.672356763555058</v>
      </c>
      <c r="H244" s="178">
        <f t="shared" si="20"/>
        <v>9.6529993711570707</v>
      </c>
      <c r="I244" s="178">
        <f t="shared" si="20"/>
        <v>10.84246911682504</v>
      </c>
      <c r="J244" s="178">
        <f t="shared" si="20"/>
        <v>9.7406457518166576</v>
      </c>
      <c r="K244" s="178">
        <f t="shared" si="20"/>
        <v>7.7033428591391839</v>
      </c>
      <c r="L244" s="178">
        <f t="shared" si="20"/>
        <v>7.8391026062045839</v>
      </c>
      <c r="M244" s="178">
        <f t="shared" si="20"/>
        <v>8.7186992733370605</v>
      </c>
      <c r="N244" s="220">
        <f t="shared" si="20"/>
        <v>9.5812015790944649</v>
      </c>
    </row>
    <row r="245" spans="2:14" s="142" customFormat="1" x14ac:dyDescent="0.35">
      <c r="B245" s="214" t="s">
        <v>1377</v>
      </c>
      <c r="C245" s="216">
        <v>8.6509999999999998</v>
      </c>
      <c r="D245" s="216">
        <f t="shared" ref="D245:N254" si="21">D$28/$C$28*$C245</f>
        <v>12.297089435438794</v>
      </c>
      <c r="E245" s="216">
        <f t="shared" si="21"/>
        <v>13.42483498363012</v>
      </c>
      <c r="F245" s="216">
        <f t="shared" si="21"/>
        <v>13.948086375805358</v>
      </c>
      <c r="G245" s="216">
        <f t="shared" si="21"/>
        <v>13.914618501956401</v>
      </c>
      <c r="H245" s="216">
        <f t="shared" si="21"/>
        <v>13.88677102517333</v>
      </c>
      <c r="I245" s="216">
        <f t="shared" si="21"/>
        <v>15.597938027713218</v>
      </c>
      <c r="J245" s="216">
        <f t="shared" si="21"/>
        <v>14.012858800859052</v>
      </c>
      <c r="K245" s="216">
        <f t="shared" si="21"/>
        <v>11.082002007884441</v>
      </c>
      <c r="L245" s="216">
        <f t="shared" si="21"/>
        <v>11.277305503662735</v>
      </c>
      <c r="M245" s="216">
        <f t="shared" si="21"/>
        <v>12.54269018269542</v>
      </c>
      <c r="N245" s="217">
        <f t="shared" si="21"/>
        <v>13.783482973434143</v>
      </c>
    </row>
    <row r="246" spans="2:14" s="142" customFormat="1" x14ac:dyDescent="0.35">
      <c r="B246" s="231" t="s">
        <v>1368</v>
      </c>
      <c r="C246" s="178" t="e">
        <v>#N/A</v>
      </c>
      <c r="D246" s="178" t="e">
        <f t="shared" si="21"/>
        <v>#N/A</v>
      </c>
      <c r="E246" s="178" t="e">
        <f t="shared" si="21"/>
        <v>#N/A</v>
      </c>
      <c r="F246" s="178" t="e">
        <f t="shared" si="21"/>
        <v>#N/A</v>
      </c>
      <c r="G246" s="178" t="e">
        <f t="shared" si="21"/>
        <v>#N/A</v>
      </c>
      <c r="H246" s="178" t="e">
        <f t="shared" si="21"/>
        <v>#N/A</v>
      </c>
      <c r="I246" s="178" t="e">
        <f t="shared" si="21"/>
        <v>#N/A</v>
      </c>
      <c r="J246" s="178" t="e">
        <f t="shared" si="21"/>
        <v>#N/A</v>
      </c>
      <c r="K246" s="178" t="e">
        <f t="shared" si="21"/>
        <v>#N/A</v>
      </c>
      <c r="L246" s="178" t="e">
        <f t="shared" si="21"/>
        <v>#N/A</v>
      </c>
      <c r="M246" s="178" t="e">
        <f t="shared" si="21"/>
        <v>#N/A</v>
      </c>
      <c r="N246" s="220" t="e">
        <f t="shared" si="21"/>
        <v>#N/A</v>
      </c>
    </row>
    <row r="247" spans="2:14" s="142" customFormat="1" x14ac:dyDescent="0.35">
      <c r="B247" s="230" t="s">
        <v>2483</v>
      </c>
      <c r="C247" s="216" t="e">
        <v>#N/A</v>
      </c>
      <c r="D247" s="216" t="e">
        <f t="shared" si="21"/>
        <v>#N/A</v>
      </c>
      <c r="E247" s="216" t="e">
        <f t="shared" si="21"/>
        <v>#N/A</v>
      </c>
      <c r="F247" s="216" t="e">
        <f t="shared" si="21"/>
        <v>#N/A</v>
      </c>
      <c r="G247" s="216" t="e">
        <f t="shared" si="21"/>
        <v>#N/A</v>
      </c>
      <c r="H247" s="216" t="e">
        <f t="shared" si="21"/>
        <v>#N/A</v>
      </c>
      <c r="I247" s="216" t="e">
        <f t="shared" si="21"/>
        <v>#N/A</v>
      </c>
      <c r="J247" s="216" t="e">
        <f t="shared" si="21"/>
        <v>#N/A</v>
      </c>
      <c r="K247" s="216" t="e">
        <f t="shared" si="21"/>
        <v>#N/A</v>
      </c>
      <c r="L247" s="216" t="e">
        <f t="shared" si="21"/>
        <v>#N/A</v>
      </c>
      <c r="M247" s="216" t="e">
        <f t="shared" si="21"/>
        <v>#N/A</v>
      </c>
      <c r="N247" s="217" t="e">
        <f t="shared" si="21"/>
        <v>#N/A</v>
      </c>
    </row>
    <row r="248" spans="2:14" s="142" customFormat="1" x14ac:dyDescent="0.35">
      <c r="B248" s="231" t="s">
        <v>2485</v>
      </c>
      <c r="C248" s="178" t="e">
        <v>#N/A</v>
      </c>
      <c r="D248" s="178" t="e">
        <f t="shared" si="21"/>
        <v>#N/A</v>
      </c>
      <c r="E248" s="178" t="e">
        <f t="shared" si="21"/>
        <v>#N/A</v>
      </c>
      <c r="F248" s="178" t="e">
        <f t="shared" si="21"/>
        <v>#N/A</v>
      </c>
      <c r="G248" s="178" t="e">
        <f t="shared" si="21"/>
        <v>#N/A</v>
      </c>
      <c r="H248" s="178" t="e">
        <f t="shared" si="21"/>
        <v>#N/A</v>
      </c>
      <c r="I248" s="178" t="e">
        <f t="shared" si="21"/>
        <v>#N/A</v>
      </c>
      <c r="J248" s="178" t="e">
        <f t="shared" si="21"/>
        <v>#N/A</v>
      </c>
      <c r="K248" s="178" t="e">
        <f t="shared" si="21"/>
        <v>#N/A</v>
      </c>
      <c r="L248" s="178" t="e">
        <f t="shared" si="21"/>
        <v>#N/A</v>
      </c>
      <c r="M248" s="178" t="e">
        <f t="shared" si="21"/>
        <v>#N/A</v>
      </c>
      <c r="N248" s="220" t="e">
        <f t="shared" si="21"/>
        <v>#N/A</v>
      </c>
    </row>
    <row r="249" spans="2:14" s="142" customFormat="1" x14ac:dyDescent="0.35">
      <c r="B249" s="230" t="s">
        <v>2486</v>
      </c>
      <c r="C249" s="216" t="e">
        <v>#N/A</v>
      </c>
      <c r="D249" s="216" t="e">
        <f t="shared" si="21"/>
        <v>#N/A</v>
      </c>
      <c r="E249" s="216" t="e">
        <f t="shared" si="21"/>
        <v>#N/A</v>
      </c>
      <c r="F249" s="216" t="e">
        <f t="shared" si="21"/>
        <v>#N/A</v>
      </c>
      <c r="G249" s="216" t="e">
        <f t="shared" si="21"/>
        <v>#N/A</v>
      </c>
      <c r="H249" s="216" t="e">
        <f t="shared" si="21"/>
        <v>#N/A</v>
      </c>
      <c r="I249" s="216" t="e">
        <f t="shared" si="21"/>
        <v>#N/A</v>
      </c>
      <c r="J249" s="216" t="e">
        <f t="shared" si="21"/>
        <v>#N/A</v>
      </c>
      <c r="K249" s="216" t="e">
        <f t="shared" si="21"/>
        <v>#N/A</v>
      </c>
      <c r="L249" s="216" t="e">
        <f t="shared" si="21"/>
        <v>#N/A</v>
      </c>
      <c r="M249" s="216" t="e">
        <f t="shared" si="21"/>
        <v>#N/A</v>
      </c>
      <c r="N249" s="217" t="e">
        <f t="shared" si="21"/>
        <v>#N/A</v>
      </c>
    </row>
    <row r="250" spans="2:14" s="142" customFormat="1" x14ac:dyDescent="0.35">
      <c r="B250" s="229" t="s">
        <v>2818</v>
      </c>
      <c r="C250" s="178" t="e">
        <v>#N/A</v>
      </c>
      <c r="D250" s="178" t="e">
        <f t="shared" si="21"/>
        <v>#N/A</v>
      </c>
      <c r="E250" s="178" t="e">
        <f t="shared" si="21"/>
        <v>#N/A</v>
      </c>
      <c r="F250" s="178" t="e">
        <f t="shared" si="21"/>
        <v>#N/A</v>
      </c>
      <c r="G250" s="178" t="e">
        <f t="shared" si="21"/>
        <v>#N/A</v>
      </c>
      <c r="H250" s="178" t="e">
        <f t="shared" si="21"/>
        <v>#N/A</v>
      </c>
      <c r="I250" s="178" t="e">
        <f t="shared" si="21"/>
        <v>#N/A</v>
      </c>
      <c r="J250" s="178" t="e">
        <f t="shared" si="21"/>
        <v>#N/A</v>
      </c>
      <c r="K250" s="178" t="e">
        <f t="shared" si="21"/>
        <v>#N/A</v>
      </c>
      <c r="L250" s="178" t="e">
        <f t="shared" si="21"/>
        <v>#N/A</v>
      </c>
      <c r="M250" s="178" t="e">
        <f t="shared" si="21"/>
        <v>#N/A</v>
      </c>
      <c r="N250" s="220" t="e">
        <f t="shared" si="21"/>
        <v>#N/A</v>
      </c>
    </row>
    <row r="251" spans="2:14" s="142" customFormat="1" x14ac:dyDescent="0.35">
      <c r="B251" s="214" t="s">
        <v>2267</v>
      </c>
      <c r="C251" s="216" t="e">
        <v>#N/A</v>
      </c>
      <c r="D251" s="216" t="e">
        <f t="shared" si="21"/>
        <v>#N/A</v>
      </c>
      <c r="E251" s="216" t="e">
        <f t="shared" si="21"/>
        <v>#N/A</v>
      </c>
      <c r="F251" s="216" t="e">
        <f t="shared" si="21"/>
        <v>#N/A</v>
      </c>
      <c r="G251" s="216" t="e">
        <f t="shared" si="21"/>
        <v>#N/A</v>
      </c>
      <c r="H251" s="216" t="e">
        <f t="shared" si="21"/>
        <v>#N/A</v>
      </c>
      <c r="I251" s="216" t="e">
        <f t="shared" si="21"/>
        <v>#N/A</v>
      </c>
      <c r="J251" s="216" t="e">
        <f t="shared" si="21"/>
        <v>#N/A</v>
      </c>
      <c r="K251" s="216" t="e">
        <f t="shared" si="21"/>
        <v>#N/A</v>
      </c>
      <c r="L251" s="216" t="e">
        <f t="shared" si="21"/>
        <v>#N/A</v>
      </c>
      <c r="M251" s="216" t="e">
        <f t="shared" si="21"/>
        <v>#N/A</v>
      </c>
      <c r="N251" s="217" t="e">
        <f t="shared" si="21"/>
        <v>#N/A</v>
      </c>
    </row>
    <row r="252" spans="2:14" s="142" customFormat="1" x14ac:dyDescent="0.35">
      <c r="B252" s="218" t="s">
        <v>1366</v>
      </c>
      <c r="C252" s="178" t="e">
        <v>#N/A</v>
      </c>
      <c r="D252" s="178" t="e">
        <f t="shared" si="21"/>
        <v>#N/A</v>
      </c>
      <c r="E252" s="178" t="e">
        <f t="shared" si="21"/>
        <v>#N/A</v>
      </c>
      <c r="F252" s="178" t="e">
        <f t="shared" si="21"/>
        <v>#N/A</v>
      </c>
      <c r="G252" s="178" t="e">
        <f t="shared" si="21"/>
        <v>#N/A</v>
      </c>
      <c r="H252" s="178" t="e">
        <f t="shared" si="21"/>
        <v>#N/A</v>
      </c>
      <c r="I252" s="178" t="e">
        <f t="shared" si="21"/>
        <v>#N/A</v>
      </c>
      <c r="J252" s="178" t="e">
        <f t="shared" si="21"/>
        <v>#N/A</v>
      </c>
      <c r="K252" s="178" t="e">
        <f t="shared" si="21"/>
        <v>#N/A</v>
      </c>
      <c r="L252" s="178" t="e">
        <f t="shared" si="21"/>
        <v>#N/A</v>
      </c>
      <c r="M252" s="178" t="e">
        <f t="shared" si="21"/>
        <v>#N/A</v>
      </c>
      <c r="N252" s="220" t="e">
        <f t="shared" si="21"/>
        <v>#N/A</v>
      </c>
    </row>
    <row r="253" spans="2:14" s="142" customFormat="1" x14ac:dyDescent="0.35">
      <c r="B253" s="214" t="s">
        <v>2272</v>
      </c>
      <c r="C253" s="216" t="e">
        <v>#N/A</v>
      </c>
      <c r="D253" s="216" t="e">
        <f t="shared" si="21"/>
        <v>#N/A</v>
      </c>
      <c r="E253" s="216" t="e">
        <f t="shared" si="21"/>
        <v>#N/A</v>
      </c>
      <c r="F253" s="216" t="e">
        <f t="shared" si="21"/>
        <v>#N/A</v>
      </c>
      <c r="G253" s="216" t="e">
        <f t="shared" si="21"/>
        <v>#N/A</v>
      </c>
      <c r="H253" s="216" t="e">
        <f t="shared" si="21"/>
        <v>#N/A</v>
      </c>
      <c r="I253" s="216" t="e">
        <f t="shared" si="21"/>
        <v>#N/A</v>
      </c>
      <c r="J253" s="216" t="e">
        <f t="shared" si="21"/>
        <v>#N/A</v>
      </c>
      <c r="K253" s="216" t="e">
        <f t="shared" si="21"/>
        <v>#N/A</v>
      </c>
      <c r="L253" s="216" t="e">
        <f t="shared" si="21"/>
        <v>#N/A</v>
      </c>
      <c r="M253" s="216" t="e">
        <f t="shared" si="21"/>
        <v>#N/A</v>
      </c>
      <c r="N253" s="217" t="e">
        <f t="shared" si="21"/>
        <v>#N/A</v>
      </c>
    </row>
    <row r="254" spans="2:14" s="142" customFormat="1" x14ac:dyDescent="0.35">
      <c r="B254" s="229" t="s">
        <v>811</v>
      </c>
      <c r="C254" s="178" t="e">
        <v>#N/A</v>
      </c>
      <c r="D254" s="178" t="e">
        <f t="shared" si="21"/>
        <v>#N/A</v>
      </c>
      <c r="E254" s="178" t="e">
        <f t="shared" si="21"/>
        <v>#N/A</v>
      </c>
      <c r="F254" s="178" t="e">
        <f t="shared" si="21"/>
        <v>#N/A</v>
      </c>
      <c r="G254" s="178" t="e">
        <f t="shared" si="21"/>
        <v>#N/A</v>
      </c>
      <c r="H254" s="178" t="e">
        <f t="shared" si="21"/>
        <v>#N/A</v>
      </c>
      <c r="I254" s="178" t="e">
        <f t="shared" si="21"/>
        <v>#N/A</v>
      </c>
      <c r="J254" s="178" t="e">
        <f t="shared" si="21"/>
        <v>#N/A</v>
      </c>
      <c r="K254" s="178" t="e">
        <f t="shared" si="21"/>
        <v>#N/A</v>
      </c>
      <c r="L254" s="178" t="e">
        <f t="shared" si="21"/>
        <v>#N/A</v>
      </c>
      <c r="M254" s="178" t="e">
        <f t="shared" si="21"/>
        <v>#N/A</v>
      </c>
      <c r="N254" s="220" t="e">
        <f t="shared" si="21"/>
        <v>#N/A</v>
      </c>
    </row>
    <row r="255" spans="2:14" s="142" customFormat="1" x14ac:dyDescent="0.35">
      <c r="B255" s="214" t="s">
        <v>2819</v>
      </c>
      <c r="C255" s="216" t="e">
        <v>#N/A</v>
      </c>
      <c r="D255" s="216" t="e">
        <f t="shared" ref="D255:N264" si="22">D$28/$C$28*$C255</f>
        <v>#N/A</v>
      </c>
      <c r="E255" s="216" t="e">
        <f t="shared" si="22"/>
        <v>#N/A</v>
      </c>
      <c r="F255" s="216" t="e">
        <f t="shared" si="22"/>
        <v>#N/A</v>
      </c>
      <c r="G255" s="216" t="e">
        <f t="shared" si="22"/>
        <v>#N/A</v>
      </c>
      <c r="H255" s="216" t="e">
        <f t="shared" si="22"/>
        <v>#N/A</v>
      </c>
      <c r="I255" s="216" t="e">
        <f t="shared" si="22"/>
        <v>#N/A</v>
      </c>
      <c r="J255" s="216" t="e">
        <f t="shared" si="22"/>
        <v>#N/A</v>
      </c>
      <c r="K255" s="216" t="e">
        <f t="shared" si="22"/>
        <v>#N/A</v>
      </c>
      <c r="L255" s="216" t="e">
        <f t="shared" si="22"/>
        <v>#N/A</v>
      </c>
      <c r="M255" s="216" t="e">
        <f t="shared" si="22"/>
        <v>#N/A</v>
      </c>
      <c r="N255" s="217" t="e">
        <f t="shared" si="22"/>
        <v>#N/A</v>
      </c>
    </row>
    <row r="256" spans="2:14" s="142" customFormat="1" x14ac:dyDescent="0.35">
      <c r="B256" s="218" t="s">
        <v>2820</v>
      </c>
      <c r="C256" s="178" t="e">
        <v>#N/A</v>
      </c>
      <c r="D256" s="178" t="e">
        <f t="shared" si="22"/>
        <v>#N/A</v>
      </c>
      <c r="E256" s="178" t="e">
        <f t="shared" si="22"/>
        <v>#N/A</v>
      </c>
      <c r="F256" s="178" t="e">
        <f t="shared" si="22"/>
        <v>#N/A</v>
      </c>
      <c r="G256" s="178" t="e">
        <f t="shared" si="22"/>
        <v>#N/A</v>
      </c>
      <c r="H256" s="178" t="e">
        <f t="shared" si="22"/>
        <v>#N/A</v>
      </c>
      <c r="I256" s="178" t="e">
        <f t="shared" si="22"/>
        <v>#N/A</v>
      </c>
      <c r="J256" s="178" t="e">
        <f t="shared" si="22"/>
        <v>#N/A</v>
      </c>
      <c r="K256" s="178" t="e">
        <f t="shared" si="22"/>
        <v>#N/A</v>
      </c>
      <c r="L256" s="178" t="e">
        <f t="shared" si="22"/>
        <v>#N/A</v>
      </c>
      <c r="M256" s="178" t="e">
        <f t="shared" si="22"/>
        <v>#N/A</v>
      </c>
      <c r="N256" s="220" t="e">
        <f t="shared" si="22"/>
        <v>#N/A</v>
      </c>
    </row>
    <row r="257" spans="2:14" s="142" customFormat="1" x14ac:dyDescent="0.35">
      <c r="B257" s="214" t="s">
        <v>812</v>
      </c>
      <c r="C257" s="216" t="e">
        <v>#N/A</v>
      </c>
      <c r="D257" s="216" t="e">
        <f t="shared" si="22"/>
        <v>#N/A</v>
      </c>
      <c r="E257" s="216" t="e">
        <f t="shared" si="22"/>
        <v>#N/A</v>
      </c>
      <c r="F257" s="216" t="e">
        <f t="shared" si="22"/>
        <v>#N/A</v>
      </c>
      <c r="G257" s="216" t="e">
        <f t="shared" si="22"/>
        <v>#N/A</v>
      </c>
      <c r="H257" s="216" t="e">
        <f t="shared" si="22"/>
        <v>#N/A</v>
      </c>
      <c r="I257" s="216" t="e">
        <f t="shared" si="22"/>
        <v>#N/A</v>
      </c>
      <c r="J257" s="216" t="e">
        <f t="shared" si="22"/>
        <v>#N/A</v>
      </c>
      <c r="K257" s="216" t="e">
        <f t="shared" si="22"/>
        <v>#N/A</v>
      </c>
      <c r="L257" s="216" t="e">
        <f t="shared" si="22"/>
        <v>#N/A</v>
      </c>
      <c r="M257" s="216" t="e">
        <f t="shared" si="22"/>
        <v>#N/A</v>
      </c>
      <c r="N257" s="217" t="e">
        <f t="shared" si="22"/>
        <v>#N/A</v>
      </c>
    </row>
    <row r="258" spans="2:14" s="142" customFormat="1" x14ac:dyDescent="0.35">
      <c r="B258" s="218" t="s">
        <v>2273</v>
      </c>
      <c r="C258" s="178" t="e">
        <v>#N/A</v>
      </c>
      <c r="D258" s="178" t="e">
        <f t="shared" si="22"/>
        <v>#N/A</v>
      </c>
      <c r="E258" s="178" t="e">
        <f t="shared" si="22"/>
        <v>#N/A</v>
      </c>
      <c r="F258" s="178" t="e">
        <f t="shared" si="22"/>
        <v>#N/A</v>
      </c>
      <c r="G258" s="178" t="e">
        <f t="shared" si="22"/>
        <v>#N/A</v>
      </c>
      <c r="H258" s="178" t="e">
        <f t="shared" si="22"/>
        <v>#N/A</v>
      </c>
      <c r="I258" s="178" t="e">
        <f t="shared" si="22"/>
        <v>#N/A</v>
      </c>
      <c r="J258" s="178" t="e">
        <f t="shared" si="22"/>
        <v>#N/A</v>
      </c>
      <c r="K258" s="178" t="e">
        <f t="shared" si="22"/>
        <v>#N/A</v>
      </c>
      <c r="L258" s="178" t="e">
        <f t="shared" si="22"/>
        <v>#N/A</v>
      </c>
      <c r="M258" s="178" t="e">
        <f t="shared" si="22"/>
        <v>#N/A</v>
      </c>
      <c r="N258" s="220" t="e">
        <f t="shared" si="22"/>
        <v>#N/A</v>
      </c>
    </row>
    <row r="259" spans="2:14" s="142" customFormat="1" x14ac:dyDescent="0.35">
      <c r="B259" s="230" t="s">
        <v>2821</v>
      </c>
      <c r="C259" s="216">
        <v>2.8485</v>
      </c>
      <c r="D259" s="216">
        <f t="shared" si="22"/>
        <v>4.0490416433761878</v>
      </c>
      <c r="E259" s="216">
        <f t="shared" si="22"/>
        <v>4.4203724946099179</v>
      </c>
      <c r="F259" s="216">
        <f t="shared" si="22"/>
        <v>4.5926625871554227</v>
      </c>
      <c r="G259" s="216">
        <f t="shared" si="22"/>
        <v>4.5816426774734493</v>
      </c>
      <c r="H259" s="216">
        <f t="shared" si="22"/>
        <v>4.5724733863375597</v>
      </c>
      <c r="I259" s="216">
        <f t="shared" si="22"/>
        <v>5.1359064237592298</v>
      </c>
      <c r="J259" s="216">
        <f t="shared" si="22"/>
        <v>4.6139900929657855</v>
      </c>
      <c r="K259" s="216">
        <f t="shared" si="22"/>
        <v>3.6489518806448769</v>
      </c>
      <c r="L259" s="216">
        <f t="shared" si="22"/>
        <v>3.7132591292548032</v>
      </c>
      <c r="M259" s="216">
        <f t="shared" si="22"/>
        <v>4.1299101821070288</v>
      </c>
      <c r="N259" s="217">
        <f t="shared" si="22"/>
        <v>4.5384639058868528</v>
      </c>
    </row>
    <row r="260" spans="2:14" s="142" customFormat="1" x14ac:dyDescent="0.35">
      <c r="B260" s="231" t="s">
        <v>2822</v>
      </c>
      <c r="C260" s="178" t="e">
        <v>#N/A</v>
      </c>
      <c r="D260" s="178" t="e">
        <f t="shared" si="22"/>
        <v>#N/A</v>
      </c>
      <c r="E260" s="178" t="e">
        <f t="shared" si="22"/>
        <v>#N/A</v>
      </c>
      <c r="F260" s="178" t="e">
        <f t="shared" si="22"/>
        <v>#N/A</v>
      </c>
      <c r="G260" s="178" t="e">
        <f t="shared" si="22"/>
        <v>#N/A</v>
      </c>
      <c r="H260" s="178" t="e">
        <f t="shared" si="22"/>
        <v>#N/A</v>
      </c>
      <c r="I260" s="178" t="e">
        <f t="shared" si="22"/>
        <v>#N/A</v>
      </c>
      <c r="J260" s="178" t="e">
        <f t="shared" si="22"/>
        <v>#N/A</v>
      </c>
      <c r="K260" s="178" t="e">
        <f t="shared" si="22"/>
        <v>#N/A</v>
      </c>
      <c r="L260" s="178" t="e">
        <f t="shared" si="22"/>
        <v>#N/A</v>
      </c>
      <c r="M260" s="178" t="e">
        <f t="shared" si="22"/>
        <v>#N/A</v>
      </c>
      <c r="N260" s="220" t="e">
        <f t="shared" si="22"/>
        <v>#N/A</v>
      </c>
    </row>
    <row r="261" spans="2:14" s="142" customFormat="1" x14ac:dyDescent="0.35">
      <c r="B261" s="230" t="s">
        <v>2823</v>
      </c>
      <c r="C261" s="216" t="e">
        <v>#N/A</v>
      </c>
      <c r="D261" s="216" t="e">
        <f t="shared" si="22"/>
        <v>#N/A</v>
      </c>
      <c r="E261" s="216" t="e">
        <f t="shared" si="22"/>
        <v>#N/A</v>
      </c>
      <c r="F261" s="216" t="e">
        <f t="shared" si="22"/>
        <v>#N/A</v>
      </c>
      <c r="G261" s="216" t="e">
        <f t="shared" si="22"/>
        <v>#N/A</v>
      </c>
      <c r="H261" s="216" t="e">
        <f t="shared" si="22"/>
        <v>#N/A</v>
      </c>
      <c r="I261" s="216" t="e">
        <f t="shared" si="22"/>
        <v>#N/A</v>
      </c>
      <c r="J261" s="216" t="e">
        <f t="shared" si="22"/>
        <v>#N/A</v>
      </c>
      <c r="K261" s="216" t="e">
        <f t="shared" si="22"/>
        <v>#N/A</v>
      </c>
      <c r="L261" s="216" t="e">
        <f t="shared" si="22"/>
        <v>#N/A</v>
      </c>
      <c r="M261" s="216" t="e">
        <f t="shared" si="22"/>
        <v>#N/A</v>
      </c>
      <c r="N261" s="217" t="e">
        <f t="shared" si="22"/>
        <v>#N/A</v>
      </c>
    </row>
    <row r="262" spans="2:14" s="142" customFormat="1" x14ac:dyDescent="0.35">
      <c r="B262" s="231" t="s">
        <v>2824</v>
      </c>
      <c r="C262" s="178" t="e">
        <v>#N/A</v>
      </c>
      <c r="D262" s="178" t="e">
        <f t="shared" si="22"/>
        <v>#N/A</v>
      </c>
      <c r="E262" s="178" t="e">
        <f t="shared" si="22"/>
        <v>#N/A</v>
      </c>
      <c r="F262" s="178" t="e">
        <f t="shared" si="22"/>
        <v>#N/A</v>
      </c>
      <c r="G262" s="178" t="e">
        <f t="shared" si="22"/>
        <v>#N/A</v>
      </c>
      <c r="H262" s="178" t="e">
        <f t="shared" si="22"/>
        <v>#N/A</v>
      </c>
      <c r="I262" s="178" t="e">
        <f t="shared" si="22"/>
        <v>#N/A</v>
      </c>
      <c r="J262" s="178" t="e">
        <f t="shared" si="22"/>
        <v>#N/A</v>
      </c>
      <c r="K262" s="178" t="e">
        <f t="shared" si="22"/>
        <v>#N/A</v>
      </c>
      <c r="L262" s="178" t="e">
        <f t="shared" si="22"/>
        <v>#N/A</v>
      </c>
      <c r="M262" s="178" t="e">
        <f t="shared" si="22"/>
        <v>#N/A</v>
      </c>
      <c r="N262" s="220" t="e">
        <f t="shared" si="22"/>
        <v>#N/A</v>
      </c>
    </row>
    <row r="263" spans="2:14" s="142" customFormat="1" x14ac:dyDescent="0.35">
      <c r="B263" s="214" t="s">
        <v>1369</v>
      </c>
      <c r="C263" s="216">
        <v>3.165</v>
      </c>
      <c r="D263" s="216">
        <f t="shared" si="22"/>
        <v>4.4989351593068756</v>
      </c>
      <c r="E263" s="216">
        <f t="shared" si="22"/>
        <v>4.9115249940110202</v>
      </c>
      <c r="F263" s="216">
        <f t="shared" si="22"/>
        <v>5.1029584301726922</v>
      </c>
      <c r="G263" s="216">
        <f t="shared" si="22"/>
        <v>5.0907140860816096</v>
      </c>
      <c r="H263" s="216">
        <f t="shared" si="22"/>
        <v>5.080525984819511</v>
      </c>
      <c r="I263" s="216">
        <f t="shared" si="22"/>
        <v>5.7065626930658109</v>
      </c>
      <c r="J263" s="216">
        <f t="shared" si="22"/>
        <v>5.1266556588508729</v>
      </c>
      <c r="K263" s="216">
        <f t="shared" si="22"/>
        <v>4.0543909784943075</v>
      </c>
      <c r="L263" s="216">
        <f t="shared" si="22"/>
        <v>4.1258434769497816</v>
      </c>
      <c r="M263" s="216">
        <f t="shared" si="22"/>
        <v>4.5887890912300318</v>
      </c>
      <c r="N263" s="217">
        <f t="shared" si="22"/>
        <v>5.0427376732076139</v>
      </c>
    </row>
    <row r="264" spans="2:14" s="142" customFormat="1" x14ac:dyDescent="0.35">
      <c r="B264" s="218" t="s">
        <v>1370</v>
      </c>
      <c r="C264" s="178">
        <v>2.11</v>
      </c>
      <c r="D264" s="178">
        <f t="shared" si="22"/>
        <v>2.9992901062045836</v>
      </c>
      <c r="E264" s="178">
        <f t="shared" si="22"/>
        <v>3.2743499960073463</v>
      </c>
      <c r="F264" s="178">
        <f t="shared" si="22"/>
        <v>3.4019722867817945</v>
      </c>
      <c r="G264" s="178">
        <f t="shared" si="22"/>
        <v>3.3938093907210729</v>
      </c>
      <c r="H264" s="178">
        <f t="shared" si="22"/>
        <v>3.3870173232130072</v>
      </c>
      <c r="I264" s="178">
        <f t="shared" si="22"/>
        <v>3.8043751287105407</v>
      </c>
      <c r="J264" s="178">
        <f t="shared" si="22"/>
        <v>3.417770439233915</v>
      </c>
      <c r="K264" s="178">
        <f t="shared" si="22"/>
        <v>2.7029273189962049</v>
      </c>
      <c r="L264" s="178">
        <f t="shared" si="22"/>
        <v>2.7505623179665206</v>
      </c>
      <c r="M264" s="178">
        <f t="shared" si="22"/>
        <v>3.0591927274866877</v>
      </c>
      <c r="N264" s="220">
        <f t="shared" si="22"/>
        <v>3.3618251154717425</v>
      </c>
    </row>
    <row r="265" spans="2:14" s="142" customFormat="1" x14ac:dyDescent="0.35">
      <c r="B265" s="230" t="s">
        <v>2495</v>
      </c>
      <c r="C265" s="216" t="e">
        <v>#N/A</v>
      </c>
      <c r="D265" s="216" t="e">
        <f t="shared" ref="D265:N271" si="23">D$28/$C$28*$C265</f>
        <v>#N/A</v>
      </c>
      <c r="E265" s="216" t="e">
        <f t="shared" si="23"/>
        <v>#N/A</v>
      </c>
      <c r="F265" s="216" t="e">
        <f t="shared" si="23"/>
        <v>#N/A</v>
      </c>
      <c r="G265" s="216" t="e">
        <f t="shared" si="23"/>
        <v>#N/A</v>
      </c>
      <c r="H265" s="216" t="e">
        <f t="shared" si="23"/>
        <v>#N/A</v>
      </c>
      <c r="I265" s="216" t="e">
        <f t="shared" si="23"/>
        <v>#N/A</v>
      </c>
      <c r="J265" s="216" t="e">
        <f t="shared" si="23"/>
        <v>#N/A</v>
      </c>
      <c r="K265" s="216" t="e">
        <f t="shared" si="23"/>
        <v>#N/A</v>
      </c>
      <c r="L265" s="216" t="e">
        <f t="shared" si="23"/>
        <v>#N/A</v>
      </c>
      <c r="M265" s="216" t="e">
        <f t="shared" si="23"/>
        <v>#N/A</v>
      </c>
      <c r="N265" s="217" t="e">
        <f t="shared" si="23"/>
        <v>#N/A</v>
      </c>
    </row>
    <row r="266" spans="2:14" s="142" customFormat="1" x14ac:dyDescent="0.35">
      <c r="B266" s="218" t="s">
        <v>2275</v>
      </c>
      <c r="C266" s="178" t="e">
        <v>#N/A</v>
      </c>
      <c r="D266" s="178" t="e">
        <f t="shared" si="23"/>
        <v>#N/A</v>
      </c>
      <c r="E266" s="178" t="e">
        <f t="shared" si="23"/>
        <v>#N/A</v>
      </c>
      <c r="F266" s="178" t="e">
        <f t="shared" si="23"/>
        <v>#N/A</v>
      </c>
      <c r="G266" s="178" t="e">
        <f t="shared" si="23"/>
        <v>#N/A</v>
      </c>
      <c r="H266" s="178" t="e">
        <f t="shared" si="23"/>
        <v>#N/A</v>
      </c>
      <c r="I266" s="178" t="e">
        <f t="shared" si="23"/>
        <v>#N/A</v>
      </c>
      <c r="J266" s="178" t="e">
        <f t="shared" si="23"/>
        <v>#N/A</v>
      </c>
      <c r="K266" s="178" t="e">
        <f t="shared" si="23"/>
        <v>#N/A</v>
      </c>
      <c r="L266" s="178" t="e">
        <f t="shared" si="23"/>
        <v>#N/A</v>
      </c>
      <c r="M266" s="178" t="e">
        <f t="shared" si="23"/>
        <v>#N/A</v>
      </c>
      <c r="N266" s="220" t="e">
        <f t="shared" si="23"/>
        <v>#N/A</v>
      </c>
    </row>
    <row r="267" spans="2:14" s="142" customFormat="1" x14ac:dyDescent="0.35">
      <c r="B267" s="214" t="s">
        <v>1666</v>
      </c>
      <c r="C267" s="216">
        <v>14.4535</v>
      </c>
      <c r="D267" s="216">
        <f t="shared" si="23"/>
        <v>20.545137227501399</v>
      </c>
      <c r="E267" s="216">
        <f t="shared" si="23"/>
        <v>22.429297472650322</v>
      </c>
      <c r="F267" s="216">
        <f t="shared" si="23"/>
        <v>23.303510164455293</v>
      </c>
      <c r="G267" s="216">
        <f t="shared" si="23"/>
        <v>23.247594326439351</v>
      </c>
      <c r="H267" s="216">
        <f t="shared" si="23"/>
        <v>23.2010686640091</v>
      </c>
      <c r="I267" s="216">
        <f t="shared" si="23"/>
        <v>26.059969631667204</v>
      </c>
      <c r="J267" s="216">
        <f t="shared" si="23"/>
        <v>23.411727508752318</v>
      </c>
      <c r="K267" s="216">
        <f t="shared" si="23"/>
        <v>18.515052135124005</v>
      </c>
      <c r="L267" s="216">
        <f t="shared" si="23"/>
        <v>18.841351878070668</v>
      </c>
      <c r="M267" s="216">
        <f t="shared" si="23"/>
        <v>20.955470183283811</v>
      </c>
      <c r="N267" s="217">
        <f t="shared" si="23"/>
        <v>23.028502040981436</v>
      </c>
    </row>
    <row r="268" spans="2:14" s="142" customFormat="1" x14ac:dyDescent="0.35">
      <c r="B268" s="218" t="s">
        <v>1373</v>
      </c>
      <c r="C268" s="178">
        <v>4.9584999999999999</v>
      </c>
      <c r="D268" s="178">
        <f t="shared" si="23"/>
        <v>7.0483317495807718</v>
      </c>
      <c r="E268" s="178">
        <f t="shared" si="23"/>
        <v>7.6947224906172638</v>
      </c>
      <c r="F268" s="178">
        <f t="shared" si="23"/>
        <v>7.9946348739372173</v>
      </c>
      <c r="G268" s="178">
        <f t="shared" si="23"/>
        <v>7.9754520681945218</v>
      </c>
      <c r="H268" s="178">
        <f t="shared" si="23"/>
        <v>7.9594907095505674</v>
      </c>
      <c r="I268" s="178">
        <f t="shared" si="23"/>
        <v>8.9402815524697701</v>
      </c>
      <c r="J268" s="178">
        <f t="shared" si="23"/>
        <v>8.0317605321996997</v>
      </c>
      <c r="K268" s="178">
        <f t="shared" si="23"/>
        <v>6.3518791996410817</v>
      </c>
      <c r="L268" s="178">
        <f t="shared" si="23"/>
        <v>6.4638214472213233</v>
      </c>
      <c r="M268" s="178">
        <f t="shared" si="23"/>
        <v>7.189102909593716</v>
      </c>
      <c r="N268" s="220">
        <f t="shared" si="23"/>
        <v>7.9002890213585948</v>
      </c>
    </row>
    <row r="269" spans="2:14" s="142" customFormat="1" x14ac:dyDescent="0.35">
      <c r="B269" s="214" t="s">
        <v>1374</v>
      </c>
      <c r="C269" s="216">
        <v>3.2704999999999997</v>
      </c>
      <c r="D269" s="216">
        <f t="shared" si="23"/>
        <v>4.6488996646171046</v>
      </c>
      <c r="E269" s="216">
        <f t="shared" si="23"/>
        <v>5.0752424938113867</v>
      </c>
      <c r="F269" s="216">
        <f t="shared" si="23"/>
        <v>5.2730570445117815</v>
      </c>
      <c r="G269" s="216">
        <f t="shared" si="23"/>
        <v>5.2604045556176633</v>
      </c>
      <c r="H269" s="216">
        <f t="shared" si="23"/>
        <v>5.2498768509801605</v>
      </c>
      <c r="I269" s="216">
        <f t="shared" si="23"/>
        <v>5.8967814495013382</v>
      </c>
      <c r="J269" s="216">
        <f t="shared" si="23"/>
        <v>5.2975441808125678</v>
      </c>
      <c r="K269" s="216">
        <f t="shared" si="23"/>
        <v>4.1895373444441173</v>
      </c>
      <c r="L269" s="216">
        <f t="shared" si="23"/>
        <v>4.2633715928481069</v>
      </c>
      <c r="M269" s="216">
        <f t="shared" si="23"/>
        <v>4.7417487276043655</v>
      </c>
      <c r="N269" s="217">
        <f t="shared" si="23"/>
        <v>5.2108289289812006</v>
      </c>
    </row>
    <row r="270" spans="2:14" s="142" customFormat="1" x14ac:dyDescent="0.35">
      <c r="B270" s="218" t="s">
        <v>1757</v>
      </c>
      <c r="C270" s="178" t="e">
        <v>#N/A</v>
      </c>
      <c r="D270" s="178" t="e">
        <f t="shared" si="23"/>
        <v>#N/A</v>
      </c>
      <c r="E270" s="178" t="e">
        <f t="shared" si="23"/>
        <v>#N/A</v>
      </c>
      <c r="F270" s="178" t="e">
        <f t="shared" si="23"/>
        <v>#N/A</v>
      </c>
      <c r="G270" s="178" t="e">
        <f t="shared" si="23"/>
        <v>#N/A</v>
      </c>
      <c r="H270" s="178" t="e">
        <f t="shared" si="23"/>
        <v>#N/A</v>
      </c>
      <c r="I270" s="178" t="e">
        <f t="shared" si="23"/>
        <v>#N/A</v>
      </c>
      <c r="J270" s="178" t="e">
        <f t="shared" si="23"/>
        <v>#N/A</v>
      </c>
      <c r="K270" s="178" t="e">
        <f t="shared" si="23"/>
        <v>#N/A</v>
      </c>
      <c r="L270" s="178" t="e">
        <f t="shared" si="23"/>
        <v>#N/A</v>
      </c>
      <c r="M270" s="178" t="e">
        <f t="shared" si="23"/>
        <v>#N/A</v>
      </c>
      <c r="N270" s="220" t="e">
        <f t="shared" si="23"/>
        <v>#N/A</v>
      </c>
    </row>
    <row r="271" spans="2:14" s="142" customFormat="1" x14ac:dyDescent="0.35">
      <c r="B271" s="223" t="s">
        <v>32</v>
      </c>
      <c r="C271" s="225">
        <v>8.2289999999999992</v>
      </c>
      <c r="D271" s="225">
        <f t="shared" si="23"/>
        <v>11.697231414197876</v>
      </c>
      <c r="E271" s="225">
        <f t="shared" si="23"/>
        <v>12.76996498442865</v>
      </c>
      <c r="F271" s="225">
        <f t="shared" si="23"/>
        <v>13.267691918448998</v>
      </c>
      <c r="G271" s="225">
        <f t="shared" si="23"/>
        <v>13.235856623812184</v>
      </c>
      <c r="H271" s="225">
        <f t="shared" si="23"/>
        <v>13.209367560530728</v>
      </c>
      <c r="I271" s="225">
        <f t="shared" si="23"/>
        <v>14.837063001971108</v>
      </c>
      <c r="J271" s="225">
        <f t="shared" si="23"/>
        <v>13.329304713012267</v>
      </c>
      <c r="K271" s="225">
        <f t="shared" si="23"/>
        <v>10.5414165440852</v>
      </c>
      <c r="L271" s="225">
        <f t="shared" si="23"/>
        <v>10.72719304006943</v>
      </c>
      <c r="M271" s="225">
        <f t="shared" si="23"/>
        <v>11.930851637198082</v>
      </c>
      <c r="N271" s="226">
        <f t="shared" si="23"/>
        <v>13.111117950339795</v>
      </c>
    </row>
    <row r="272" spans="2:14" s="123" customFormat="1" x14ac:dyDescent="0.35">
      <c r="B272" s="125"/>
      <c r="C272" s="125"/>
      <c r="D272" s="125"/>
      <c r="E272" s="125"/>
      <c r="F272" s="125"/>
      <c r="G272" s="125"/>
    </row>
    <row r="280" spans="2:7" s="123" customFormat="1" x14ac:dyDescent="0.35">
      <c r="B280" s="125"/>
      <c r="C280" s="125"/>
      <c r="D280" s="125"/>
      <c r="E280" s="125"/>
      <c r="F280" s="125"/>
      <c r="G280" s="125"/>
    </row>
    <row r="281" spans="2:7" s="123" customFormat="1" x14ac:dyDescent="0.35">
      <c r="B281" s="125"/>
      <c r="C281" s="125"/>
      <c r="D281" s="125"/>
      <c r="E281" s="125"/>
      <c r="F281" s="125"/>
      <c r="G281" s="125"/>
    </row>
    <row r="282" spans="2:7" s="123" customFormat="1" x14ac:dyDescent="0.35">
      <c r="B282" s="125"/>
      <c r="C282" s="125"/>
      <c r="D282" s="125"/>
      <c r="E282" s="125"/>
      <c r="F282" s="125"/>
      <c r="G282" s="125"/>
    </row>
    <row r="283" spans="2:7" s="123" customFormat="1" x14ac:dyDescent="0.35">
      <c r="B283" s="125"/>
      <c r="C283" s="125"/>
      <c r="D283" s="125"/>
      <c r="E283" s="125"/>
      <c r="F283" s="125"/>
      <c r="G283" s="125"/>
    </row>
    <row r="284" spans="2:7" s="123" customFormat="1" x14ac:dyDescent="0.35">
      <c r="B284" s="125"/>
      <c r="C284" s="125"/>
      <c r="D284" s="125"/>
      <c r="E284" s="125"/>
      <c r="F284" s="125"/>
      <c r="G284" s="125"/>
    </row>
    <row r="285" spans="2:7" s="123" customFormat="1" x14ac:dyDescent="0.35">
      <c r="B285" s="125"/>
      <c r="C285" s="125"/>
      <c r="D285" s="125"/>
      <c r="E285" s="125"/>
      <c r="F285" s="125"/>
      <c r="G285" s="125"/>
    </row>
    <row r="286" spans="2:7" s="123" customFormat="1" x14ac:dyDescent="0.35">
      <c r="B286" s="125"/>
      <c r="C286" s="125"/>
      <c r="D286" s="125"/>
      <c r="E286" s="125"/>
      <c r="F286" s="125"/>
      <c r="G286" s="125"/>
    </row>
    <row r="287" spans="2:7" s="123" customFormat="1" x14ac:dyDescent="0.35">
      <c r="B287" s="125"/>
      <c r="C287" s="125"/>
      <c r="D287" s="125"/>
      <c r="E287" s="125"/>
      <c r="F287" s="125"/>
      <c r="G287" s="125"/>
    </row>
    <row r="288" spans="2:7" s="123" customFormat="1" x14ac:dyDescent="0.35">
      <c r="B288" s="125"/>
      <c r="C288" s="125"/>
      <c r="D288" s="125"/>
      <c r="E288" s="125"/>
      <c r="F288" s="125"/>
      <c r="G288" s="125"/>
    </row>
    <row r="289" spans="2:7" s="123" customFormat="1" x14ac:dyDescent="0.35">
      <c r="B289" s="125"/>
      <c r="C289" s="125"/>
      <c r="D289" s="125"/>
      <c r="E289" s="125"/>
      <c r="F289" s="125"/>
      <c r="G289" s="125"/>
    </row>
    <row r="290" spans="2:7" s="123" customFormat="1" x14ac:dyDescent="0.35">
      <c r="B290" s="125"/>
      <c r="C290" s="125"/>
      <c r="D290" s="125"/>
      <c r="E290" s="125"/>
      <c r="F290" s="125"/>
      <c r="G290" s="125"/>
    </row>
    <row r="291" spans="2:7" s="123" customFormat="1" x14ac:dyDescent="0.35">
      <c r="B291" s="125"/>
      <c r="C291" s="125"/>
      <c r="D291" s="125"/>
      <c r="E291" s="125"/>
      <c r="F291" s="125"/>
      <c r="G291" s="125"/>
    </row>
    <row r="292" spans="2:7" s="123" customFormat="1" x14ac:dyDescent="0.35">
      <c r="B292" s="125"/>
      <c r="C292" s="125"/>
      <c r="D292" s="125"/>
      <c r="E292" s="125"/>
      <c r="F292" s="125"/>
      <c r="G292" s="125"/>
    </row>
    <row r="293" spans="2:7" s="123" customFormat="1" x14ac:dyDescent="0.35">
      <c r="B293" s="125"/>
      <c r="C293" s="125"/>
      <c r="D293" s="125"/>
      <c r="E293" s="125"/>
      <c r="F293" s="125"/>
      <c r="G293" s="125"/>
    </row>
    <row r="294" spans="2:7" s="123" customFormat="1" x14ac:dyDescent="0.35">
      <c r="B294" s="125"/>
      <c r="C294" s="125"/>
      <c r="D294" s="125"/>
      <c r="E294" s="125"/>
      <c r="F294" s="125"/>
      <c r="G294" s="125"/>
    </row>
    <row r="295" spans="2:7" s="123" customFormat="1" x14ac:dyDescent="0.35">
      <c r="B295" s="125"/>
      <c r="C295" s="125"/>
      <c r="D295" s="125"/>
      <c r="E295" s="125"/>
      <c r="F295" s="125"/>
      <c r="G295" s="125"/>
    </row>
    <row r="296" spans="2:7" s="123" customFormat="1" x14ac:dyDescent="0.35">
      <c r="B296" s="125"/>
      <c r="C296" s="125"/>
      <c r="D296" s="125"/>
      <c r="E296" s="125"/>
      <c r="F296" s="125"/>
      <c r="G296" s="125"/>
    </row>
    <row r="297" spans="2:7" s="123" customFormat="1" x14ac:dyDescent="0.35">
      <c r="B297" s="125"/>
      <c r="C297" s="125"/>
      <c r="D297" s="125"/>
      <c r="E297" s="125"/>
      <c r="F297" s="125"/>
      <c r="G297" s="125"/>
    </row>
    <row r="298" spans="2:7" s="123" customFormat="1" x14ac:dyDescent="0.35">
      <c r="B298" s="125"/>
      <c r="C298" s="125"/>
      <c r="D298" s="125"/>
      <c r="E298" s="125"/>
      <c r="F298" s="125"/>
      <c r="G298" s="125"/>
    </row>
    <row r="299" spans="2:7" s="123" customFormat="1" x14ac:dyDescent="0.35">
      <c r="B299" s="125"/>
      <c r="C299" s="125"/>
      <c r="D299" s="125"/>
      <c r="E299" s="125"/>
      <c r="F299" s="125"/>
      <c r="G299" s="125"/>
    </row>
    <row r="300" spans="2:7" s="123" customFormat="1" x14ac:dyDescent="0.35">
      <c r="B300" s="125"/>
      <c r="C300" s="125"/>
      <c r="D300" s="125"/>
      <c r="E300" s="125"/>
      <c r="F300" s="125"/>
      <c r="G300" s="125"/>
    </row>
    <row r="301" spans="2:7" s="123" customFormat="1" x14ac:dyDescent="0.35">
      <c r="B301" s="125"/>
      <c r="C301" s="125"/>
      <c r="D301" s="125"/>
      <c r="E301" s="125"/>
      <c r="F301" s="125"/>
      <c r="G301" s="125"/>
    </row>
    <row r="302" spans="2:7" s="123" customFormat="1" x14ac:dyDescent="0.35">
      <c r="B302" s="125"/>
      <c r="C302" s="125"/>
      <c r="D302" s="125"/>
      <c r="E302" s="125"/>
      <c r="F302" s="125"/>
      <c r="G302" s="125"/>
    </row>
    <row r="303" spans="2:7" s="123" customFormat="1" x14ac:dyDescent="0.35">
      <c r="B303" s="125"/>
      <c r="C303" s="125"/>
      <c r="D303" s="125"/>
      <c r="E303" s="125"/>
      <c r="F303" s="125"/>
      <c r="G303" s="125"/>
    </row>
    <row r="304" spans="2:7" s="123" customFormat="1" x14ac:dyDescent="0.35">
      <c r="B304" s="125"/>
      <c r="C304" s="125"/>
      <c r="D304" s="125"/>
      <c r="E304" s="125"/>
      <c r="F304" s="125"/>
      <c r="G304" s="125"/>
    </row>
    <row r="305" spans="2:7" s="123" customFormat="1" x14ac:dyDescent="0.35">
      <c r="B305" s="125"/>
      <c r="C305" s="125"/>
      <c r="D305" s="125"/>
      <c r="E305" s="125"/>
      <c r="F305" s="125"/>
      <c r="G305" s="125"/>
    </row>
    <row r="306" spans="2:7" s="123" customFormat="1" x14ac:dyDescent="0.35">
      <c r="B306" s="125"/>
      <c r="C306" s="125"/>
      <c r="D306" s="125"/>
      <c r="E306" s="125"/>
      <c r="F306" s="125"/>
      <c r="G306" s="125"/>
    </row>
    <row r="307" spans="2:7" s="123" customFormat="1" x14ac:dyDescent="0.35">
      <c r="B307" s="125"/>
      <c r="C307" s="125"/>
      <c r="D307" s="125"/>
      <c r="E307" s="125"/>
      <c r="F307" s="125"/>
      <c r="G307" s="125"/>
    </row>
    <row r="308" spans="2:7" s="123" customFormat="1" x14ac:dyDescent="0.35">
      <c r="B308" s="125"/>
      <c r="C308" s="125"/>
      <c r="D308" s="125"/>
      <c r="E308" s="125"/>
      <c r="F308" s="125"/>
      <c r="G308" s="125"/>
    </row>
    <row r="309" spans="2:7" s="123" customFormat="1" x14ac:dyDescent="0.35">
      <c r="B309" s="125"/>
      <c r="C309" s="125"/>
      <c r="D309" s="125"/>
      <c r="E309" s="125"/>
      <c r="F309" s="125"/>
      <c r="G309" s="125"/>
    </row>
    <row r="310" spans="2:7" s="123" customFormat="1" x14ac:dyDescent="0.35">
      <c r="B310" s="125"/>
      <c r="C310" s="125"/>
      <c r="D310" s="125"/>
      <c r="E310" s="125"/>
      <c r="F310" s="125"/>
      <c r="G310" s="125"/>
    </row>
    <row r="311" spans="2:7" s="123" customFormat="1" x14ac:dyDescent="0.35">
      <c r="B311" s="125"/>
      <c r="C311" s="125"/>
      <c r="D311" s="125"/>
      <c r="E311" s="125"/>
      <c r="F311" s="125"/>
      <c r="G311" s="125"/>
    </row>
    <row r="312" spans="2:7" s="123" customFormat="1" x14ac:dyDescent="0.35">
      <c r="B312" s="125"/>
      <c r="C312" s="125"/>
      <c r="D312" s="125"/>
      <c r="E312" s="125"/>
      <c r="F312" s="125"/>
      <c r="G312" s="125"/>
    </row>
    <row r="313" spans="2:7" s="123" customFormat="1" x14ac:dyDescent="0.35">
      <c r="B313" s="125"/>
      <c r="C313" s="125"/>
      <c r="D313" s="125"/>
      <c r="E313" s="125"/>
      <c r="F313" s="125"/>
      <c r="G313" s="125"/>
    </row>
    <row r="314" spans="2:7" s="123" customFormat="1" x14ac:dyDescent="0.35">
      <c r="B314" s="125"/>
      <c r="C314" s="125"/>
      <c r="D314" s="125"/>
      <c r="E314" s="125"/>
      <c r="F314" s="125"/>
      <c r="G314" s="125"/>
    </row>
    <row r="315" spans="2:7" s="123" customFormat="1" x14ac:dyDescent="0.35">
      <c r="B315" s="125"/>
      <c r="C315" s="125"/>
      <c r="D315" s="125"/>
      <c r="E315" s="125"/>
      <c r="F315" s="125"/>
      <c r="G315" s="125"/>
    </row>
    <row r="316" spans="2:7" s="123" customFormat="1" x14ac:dyDescent="0.35">
      <c r="B316" s="125"/>
      <c r="C316" s="125"/>
      <c r="D316" s="125"/>
      <c r="E316" s="125"/>
      <c r="F316" s="125"/>
      <c r="G316" s="125"/>
    </row>
    <row r="317" spans="2:7" s="123" customFormat="1" x14ac:dyDescent="0.35">
      <c r="B317" s="125"/>
      <c r="C317" s="125"/>
      <c r="D317" s="125"/>
      <c r="E317" s="125"/>
      <c r="F317" s="125"/>
      <c r="G317" s="125"/>
    </row>
    <row r="318" spans="2:7" s="123" customFormat="1" x14ac:dyDescent="0.35">
      <c r="B318" s="125"/>
      <c r="C318" s="125"/>
      <c r="D318" s="125"/>
      <c r="E318" s="125"/>
      <c r="F318" s="125"/>
      <c r="G318" s="125"/>
    </row>
    <row r="319" spans="2:7" s="123" customFormat="1" x14ac:dyDescent="0.35">
      <c r="B319" s="125"/>
      <c r="C319" s="125"/>
      <c r="D319" s="125"/>
      <c r="E319" s="125"/>
      <c r="F319" s="125"/>
      <c r="G319" s="125"/>
    </row>
    <row r="320" spans="2:7" s="123" customFormat="1" x14ac:dyDescent="0.35">
      <c r="B320" s="125"/>
      <c r="C320" s="125"/>
      <c r="D320" s="125"/>
      <c r="E320" s="125"/>
      <c r="F320" s="125"/>
      <c r="G320" s="125"/>
    </row>
    <row r="321" spans="2:7" s="123" customFormat="1" x14ac:dyDescent="0.35">
      <c r="B321" s="125"/>
      <c r="C321" s="125"/>
      <c r="D321" s="125"/>
      <c r="E321" s="125"/>
      <c r="F321" s="125"/>
      <c r="G321" s="125"/>
    </row>
    <row r="322" spans="2:7" s="123" customFormat="1" x14ac:dyDescent="0.35">
      <c r="B322" s="125"/>
      <c r="C322" s="125"/>
      <c r="D322" s="125"/>
      <c r="E322" s="125"/>
      <c r="F322" s="125"/>
      <c r="G322" s="125"/>
    </row>
    <row r="323" spans="2:7" s="123" customFormat="1" x14ac:dyDescent="0.35">
      <c r="B323" s="125"/>
      <c r="C323" s="125"/>
      <c r="D323" s="125"/>
      <c r="E323" s="125"/>
      <c r="F323" s="125"/>
      <c r="G323" s="125"/>
    </row>
    <row r="324" spans="2:7" s="123" customFormat="1" x14ac:dyDescent="0.35">
      <c r="B324" s="125"/>
      <c r="C324" s="125"/>
      <c r="D324" s="125"/>
      <c r="E324" s="125"/>
      <c r="F324" s="125"/>
      <c r="G324" s="125"/>
    </row>
    <row r="325" spans="2:7" s="123" customFormat="1" x14ac:dyDescent="0.35">
      <c r="B325" s="125"/>
      <c r="C325" s="125"/>
      <c r="D325" s="125"/>
      <c r="E325" s="125"/>
      <c r="F325" s="125"/>
      <c r="G325" s="125"/>
    </row>
    <row r="326" spans="2:7" s="123" customFormat="1" x14ac:dyDescent="0.35">
      <c r="B326" s="125"/>
      <c r="C326" s="125"/>
      <c r="D326" s="125"/>
      <c r="E326" s="125"/>
      <c r="F326" s="125"/>
      <c r="G326" s="125"/>
    </row>
    <row r="327" spans="2:7" s="123" customFormat="1" x14ac:dyDescent="0.35">
      <c r="B327" s="125"/>
      <c r="C327" s="125"/>
      <c r="D327" s="125"/>
      <c r="E327" s="125"/>
      <c r="F327" s="125"/>
      <c r="G327" s="125"/>
    </row>
    <row r="328" spans="2:7" s="123" customFormat="1" x14ac:dyDescent="0.35">
      <c r="B328" s="125"/>
      <c r="C328" s="125"/>
      <c r="D328" s="125"/>
      <c r="E328" s="125"/>
      <c r="F328" s="125"/>
      <c r="G328" s="125"/>
    </row>
    <row r="329" spans="2:7" s="123" customFormat="1" x14ac:dyDescent="0.35">
      <c r="B329" s="125"/>
      <c r="C329" s="125"/>
      <c r="D329" s="125"/>
      <c r="E329" s="125"/>
      <c r="F329" s="125"/>
      <c r="G329" s="125"/>
    </row>
    <row r="330" spans="2:7" s="123" customFormat="1" x14ac:dyDescent="0.35">
      <c r="B330" s="125"/>
      <c r="C330" s="125"/>
      <c r="D330" s="125"/>
      <c r="E330" s="125"/>
      <c r="F330" s="125"/>
      <c r="G330" s="125"/>
    </row>
    <row r="331" spans="2:7" s="123" customFormat="1" x14ac:dyDescent="0.35">
      <c r="B331" s="125"/>
      <c r="C331" s="125"/>
      <c r="D331" s="125"/>
      <c r="E331" s="125"/>
      <c r="F331" s="125"/>
      <c r="G331" s="125"/>
    </row>
    <row r="332" spans="2:7" s="123" customFormat="1" x14ac:dyDescent="0.35">
      <c r="B332" s="125"/>
      <c r="C332" s="125"/>
      <c r="D332" s="125"/>
      <c r="E332" s="125"/>
      <c r="F332" s="125"/>
      <c r="G332" s="125"/>
    </row>
    <row r="333" spans="2:7" s="123" customFormat="1" x14ac:dyDescent="0.35">
      <c r="B333" s="125"/>
      <c r="C333" s="125"/>
      <c r="D333" s="125"/>
      <c r="E333" s="125"/>
      <c r="F333" s="125"/>
      <c r="G333" s="125"/>
    </row>
    <row r="334" spans="2:7" s="123" customFormat="1" x14ac:dyDescent="0.35">
      <c r="B334" s="125"/>
      <c r="C334" s="125"/>
      <c r="D334" s="125"/>
      <c r="E334" s="125"/>
      <c r="F334" s="125"/>
      <c r="G334" s="125"/>
    </row>
    <row r="335" spans="2:7" s="123" customFormat="1" x14ac:dyDescent="0.35">
      <c r="B335" s="125"/>
      <c r="C335" s="125"/>
      <c r="D335" s="125"/>
      <c r="E335" s="125"/>
      <c r="F335" s="125"/>
      <c r="G335" s="125"/>
    </row>
    <row r="336" spans="2:7" s="123" customFormat="1" x14ac:dyDescent="0.35">
      <c r="B336" s="125"/>
      <c r="C336" s="125"/>
      <c r="D336" s="125"/>
      <c r="E336" s="125"/>
      <c r="F336" s="125"/>
      <c r="G336" s="125"/>
    </row>
    <row r="337" spans="2:7" s="123" customFormat="1" x14ac:dyDescent="0.35">
      <c r="B337" s="125"/>
      <c r="C337" s="125"/>
      <c r="D337" s="125"/>
      <c r="E337" s="125"/>
      <c r="F337" s="125"/>
      <c r="G337" s="125"/>
    </row>
    <row r="338" spans="2:7" s="123" customFormat="1" x14ac:dyDescent="0.35">
      <c r="B338" s="125"/>
      <c r="C338" s="125"/>
      <c r="D338" s="125"/>
      <c r="E338" s="125"/>
      <c r="F338" s="125"/>
      <c r="G338" s="125"/>
    </row>
    <row r="339" spans="2:7" s="123" customFormat="1" x14ac:dyDescent="0.35">
      <c r="B339" s="125"/>
      <c r="C339" s="125"/>
      <c r="D339" s="125"/>
      <c r="E339" s="125"/>
      <c r="F339" s="125"/>
      <c r="G339" s="125"/>
    </row>
    <row r="340" spans="2:7" s="123" customFormat="1" x14ac:dyDescent="0.35">
      <c r="B340" s="125"/>
      <c r="C340" s="125"/>
      <c r="D340" s="125"/>
      <c r="E340" s="125"/>
      <c r="F340" s="125"/>
      <c r="G340" s="125"/>
    </row>
    <row r="341" spans="2:7" s="123" customFormat="1" x14ac:dyDescent="0.35">
      <c r="B341" s="125"/>
      <c r="C341" s="125"/>
      <c r="D341" s="125"/>
      <c r="E341" s="125"/>
      <c r="F341" s="125"/>
      <c r="G341" s="125"/>
    </row>
    <row r="342" spans="2:7" s="123" customFormat="1" x14ac:dyDescent="0.35">
      <c r="B342" s="125"/>
      <c r="C342" s="125"/>
      <c r="D342" s="125"/>
      <c r="E342" s="125"/>
      <c r="F342" s="125"/>
      <c r="G342" s="125"/>
    </row>
    <row r="343" spans="2:7" s="123" customFormat="1" x14ac:dyDescent="0.35">
      <c r="B343" s="125"/>
      <c r="C343" s="125"/>
      <c r="D343" s="125"/>
      <c r="E343" s="125"/>
      <c r="F343" s="125"/>
      <c r="G343" s="125"/>
    </row>
    <row r="344" spans="2:7" s="123" customFormat="1" x14ac:dyDescent="0.35">
      <c r="B344" s="125"/>
      <c r="C344" s="125"/>
      <c r="D344" s="125"/>
      <c r="E344" s="125"/>
      <c r="F344" s="125"/>
      <c r="G344" s="125"/>
    </row>
    <row r="345" spans="2:7" s="123" customFormat="1" x14ac:dyDescent="0.35">
      <c r="B345" s="125"/>
      <c r="C345" s="125"/>
      <c r="D345" s="125"/>
      <c r="E345" s="125"/>
      <c r="F345" s="125"/>
      <c r="G345" s="125"/>
    </row>
    <row r="346" spans="2:7" s="123" customFormat="1" x14ac:dyDescent="0.35">
      <c r="B346" s="125"/>
      <c r="C346" s="125"/>
      <c r="D346" s="125"/>
      <c r="E346" s="125"/>
      <c r="F346" s="125"/>
      <c r="G346" s="125"/>
    </row>
    <row r="347" spans="2:7" s="123" customFormat="1" x14ac:dyDescent="0.35">
      <c r="B347" s="125"/>
      <c r="C347" s="125"/>
      <c r="D347" s="125"/>
      <c r="E347" s="125"/>
      <c r="F347" s="125"/>
      <c r="G347" s="125"/>
    </row>
    <row r="348" spans="2:7" s="123" customFormat="1" x14ac:dyDescent="0.35">
      <c r="B348" s="125"/>
      <c r="C348" s="125"/>
      <c r="D348" s="125"/>
      <c r="E348" s="125"/>
      <c r="F348" s="125"/>
      <c r="G348" s="125"/>
    </row>
    <row r="349" spans="2:7" s="123" customFormat="1" x14ac:dyDescent="0.35">
      <c r="B349" s="125"/>
      <c r="C349" s="125"/>
      <c r="D349" s="125"/>
      <c r="E349" s="125"/>
      <c r="F349" s="125"/>
      <c r="G349" s="125"/>
    </row>
    <row r="350" spans="2:7" s="123" customFormat="1" x14ac:dyDescent="0.35">
      <c r="B350" s="125"/>
      <c r="C350" s="125"/>
      <c r="D350" s="125"/>
      <c r="E350" s="125"/>
      <c r="F350" s="125"/>
      <c r="G350" s="125"/>
    </row>
    <row r="351" spans="2:7" s="123" customFormat="1" x14ac:dyDescent="0.35">
      <c r="B351" s="125"/>
      <c r="C351" s="125"/>
      <c r="D351" s="125"/>
      <c r="E351" s="125"/>
      <c r="F351" s="125"/>
      <c r="G351" s="125"/>
    </row>
    <row r="352" spans="2:7" s="123" customFormat="1" x14ac:dyDescent="0.35">
      <c r="B352" s="125"/>
      <c r="C352" s="125"/>
      <c r="D352" s="125"/>
      <c r="E352" s="125"/>
      <c r="F352" s="125"/>
      <c r="G352" s="125"/>
    </row>
    <row r="353" spans="2:7" s="123" customFormat="1" x14ac:dyDescent="0.35">
      <c r="B353" s="125"/>
      <c r="C353" s="125"/>
      <c r="D353" s="125"/>
      <c r="E353" s="125"/>
      <c r="F353" s="125"/>
      <c r="G353" s="125"/>
    </row>
    <row r="354" spans="2:7" s="123" customFormat="1" x14ac:dyDescent="0.35">
      <c r="B354" s="125"/>
      <c r="C354" s="125"/>
      <c r="D354" s="125"/>
      <c r="E354" s="125"/>
      <c r="F354" s="125"/>
      <c r="G354" s="125"/>
    </row>
    <row r="355" spans="2:7" s="123" customFormat="1" x14ac:dyDescent="0.35">
      <c r="B355" s="125"/>
      <c r="C355" s="125"/>
      <c r="D355" s="125"/>
      <c r="E355" s="125"/>
      <c r="F355" s="125"/>
      <c r="G355" s="125"/>
    </row>
    <row r="356" spans="2:7" s="123" customFormat="1" x14ac:dyDescent="0.35">
      <c r="B356" s="125"/>
      <c r="C356" s="125"/>
      <c r="D356" s="125"/>
      <c r="E356" s="125"/>
      <c r="F356" s="125"/>
      <c r="G356" s="125"/>
    </row>
    <row r="357" spans="2:7" s="123" customFormat="1" x14ac:dyDescent="0.35">
      <c r="B357" s="125"/>
      <c r="C357" s="125"/>
      <c r="D357" s="125"/>
      <c r="E357" s="125"/>
      <c r="F357" s="125"/>
      <c r="G357" s="125"/>
    </row>
    <row r="358" spans="2:7" s="123" customFormat="1" x14ac:dyDescent="0.35">
      <c r="B358" s="125"/>
      <c r="C358" s="125"/>
      <c r="D358" s="125"/>
      <c r="E358" s="125"/>
      <c r="F358" s="125"/>
      <c r="G358" s="125"/>
    </row>
    <row r="359" spans="2:7" s="123" customFormat="1" x14ac:dyDescent="0.35">
      <c r="B359" s="125"/>
      <c r="C359" s="125"/>
      <c r="D359" s="125"/>
      <c r="E359" s="125"/>
      <c r="F359" s="125"/>
      <c r="G359" s="125"/>
    </row>
    <row r="360" spans="2:7" s="123" customFormat="1" x14ac:dyDescent="0.35">
      <c r="B360" s="125"/>
      <c r="C360" s="125"/>
      <c r="D360" s="125"/>
      <c r="E360" s="125"/>
      <c r="F360" s="125"/>
      <c r="G360" s="125"/>
    </row>
    <row r="361" spans="2:7" s="123" customFormat="1" x14ac:dyDescent="0.35">
      <c r="B361" s="125"/>
      <c r="C361" s="125"/>
      <c r="D361" s="125"/>
      <c r="E361" s="125"/>
      <c r="F361" s="125"/>
      <c r="G361" s="125"/>
    </row>
    <row r="362" spans="2:7" s="123" customFormat="1" x14ac:dyDescent="0.35">
      <c r="B362" s="125"/>
      <c r="C362" s="125"/>
      <c r="D362" s="125"/>
      <c r="E362" s="125"/>
      <c r="F362" s="125"/>
      <c r="G362" s="125"/>
    </row>
    <row r="363" spans="2:7" s="123" customFormat="1" x14ac:dyDescent="0.35">
      <c r="B363" s="125"/>
      <c r="C363" s="125"/>
      <c r="D363" s="125"/>
      <c r="E363" s="125"/>
      <c r="F363" s="125"/>
      <c r="G363" s="125"/>
    </row>
    <row r="364" spans="2:7" s="123" customFormat="1" x14ac:dyDescent="0.35">
      <c r="B364" s="125"/>
      <c r="C364" s="125"/>
      <c r="D364" s="125"/>
      <c r="E364" s="125"/>
      <c r="F364" s="125"/>
      <c r="G364" s="125"/>
    </row>
    <row r="365" spans="2:7" s="123" customFormat="1" x14ac:dyDescent="0.35">
      <c r="B365" s="125"/>
      <c r="C365" s="125"/>
      <c r="D365" s="125"/>
      <c r="E365" s="125"/>
      <c r="F365" s="125"/>
      <c r="G365" s="125"/>
    </row>
    <row r="366" spans="2:7" s="123" customFormat="1" x14ac:dyDescent="0.35">
      <c r="B366" s="125"/>
      <c r="C366" s="125"/>
      <c r="D366" s="125"/>
      <c r="E366" s="125"/>
      <c r="F366" s="125"/>
      <c r="G366" s="125"/>
    </row>
    <row r="367" spans="2:7" s="123" customFormat="1" x14ac:dyDescent="0.35">
      <c r="B367" s="125"/>
      <c r="C367" s="125"/>
      <c r="D367" s="125"/>
      <c r="E367" s="125"/>
      <c r="F367" s="125"/>
      <c r="G367" s="125"/>
    </row>
    <row r="368" spans="2:7" s="123" customFormat="1" x14ac:dyDescent="0.35">
      <c r="B368" s="125"/>
      <c r="C368" s="125"/>
      <c r="D368" s="125"/>
      <c r="E368" s="125"/>
      <c r="F368" s="125"/>
      <c r="G368" s="125"/>
    </row>
    <row r="369" spans="2:7" s="123" customFormat="1" x14ac:dyDescent="0.35">
      <c r="B369" s="125"/>
      <c r="C369" s="125"/>
      <c r="D369" s="125"/>
      <c r="E369" s="125"/>
      <c r="F369" s="125"/>
      <c r="G369" s="125"/>
    </row>
    <row r="370" spans="2:7" s="123" customFormat="1" x14ac:dyDescent="0.35">
      <c r="B370" s="125"/>
      <c r="C370" s="125"/>
      <c r="D370" s="125"/>
      <c r="E370" s="125"/>
      <c r="F370" s="125"/>
      <c r="G370" s="125"/>
    </row>
    <row r="371" spans="2:7" s="123" customFormat="1" x14ac:dyDescent="0.35">
      <c r="B371" s="125"/>
      <c r="C371" s="125"/>
      <c r="D371" s="125"/>
      <c r="E371" s="125"/>
      <c r="F371" s="125"/>
      <c r="G371" s="125"/>
    </row>
    <row r="372" spans="2:7" s="123" customFormat="1" x14ac:dyDescent="0.35">
      <c r="B372" s="125"/>
      <c r="C372" s="125"/>
      <c r="D372" s="125"/>
      <c r="E372" s="125"/>
      <c r="F372" s="125"/>
      <c r="G372" s="125"/>
    </row>
    <row r="373" spans="2:7" s="123" customFormat="1" x14ac:dyDescent="0.35">
      <c r="B373" s="125"/>
      <c r="C373" s="125"/>
      <c r="D373" s="125"/>
      <c r="E373" s="125"/>
      <c r="F373" s="125"/>
      <c r="G373" s="125"/>
    </row>
    <row r="374" spans="2:7" s="123" customFormat="1" x14ac:dyDescent="0.35">
      <c r="B374" s="125"/>
      <c r="C374" s="125"/>
      <c r="D374" s="125"/>
      <c r="E374" s="125"/>
      <c r="F374" s="125"/>
      <c r="G374" s="125"/>
    </row>
    <row r="375" spans="2:7" s="123" customFormat="1" x14ac:dyDescent="0.35">
      <c r="B375" s="125"/>
      <c r="C375" s="125"/>
      <c r="D375" s="125"/>
      <c r="E375" s="125"/>
      <c r="F375" s="125"/>
      <c r="G375" s="125"/>
    </row>
    <row r="376" spans="2:7" s="123" customFormat="1" x14ac:dyDescent="0.35">
      <c r="B376" s="125"/>
      <c r="C376" s="125"/>
      <c r="D376" s="125"/>
      <c r="E376" s="125"/>
      <c r="F376" s="125"/>
      <c r="G376" s="125"/>
    </row>
    <row r="377" spans="2:7" s="123" customFormat="1" x14ac:dyDescent="0.35">
      <c r="B377" s="125"/>
      <c r="C377" s="125"/>
      <c r="D377" s="125"/>
      <c r="E377" s="125"/>
      <c r="F377" s="125"/>
      <c r="G377" s="125"/>
    </row>
    <row r="378" spans="2:7" s="123" customFormat="1" x14ac:dyDescent="0.35">
      <c r="B378" s="125"/>
      <c r="C378" s="125"/>
      <c r="D378" s="125"/>
      <c r="E378" s="125"/>
      <c r="F378" s="125"/>
      <c r="G378" s="125"/>
    </row>
    <row r="379" spans="2:7" s="123" customFormat="1" x14ac:dyDescent="0.35">
      <c r="B379" s="125"/>
      <c r="C379" s="125"/>
      <c r="D379" s="125"/>
      <c r="E379" s="125"/>
      <c r="F379" s="125"/>
      <c r="G379" s="125"/>
    </row>
    <row r="380" spans="2:7" s="123" customFormat="1" x14ac:dyDescent="0.35">
      <c r="B380" s="125"/>
      <c r="C380" s="125"/>
      <c r="D380" s="125"/>
      <c r="E380" s="125"/>
      <c r="F380" s="125"/>
      <c r="G380" s="125"/>
    </row>
    <row r="381" spans="2:7" s="123" customFormat="1" x14ac:dyDescent="0.35">
      <c r="B381" s="125"/>
      <c r="C381" s="125"/>
      <c r="D381" s="125"/>
      <c r="E381" s="125"/>
      <c r="F381" s="125"/>
      <c r="G381" s="125"/>
    </row>
    <row r="382" spans="2:7" s="123" customFormat="1" x14ac:dyDescent="0.35">
      <c r="B382" s="125"/>
      <c r="C382" s="125"/>
      <c r="D382" s="125"/>
      <c r="E382" s="125"/>
      <c r="F382" s="125"/>
      <c r="G382" s="125"/>
    </row>
    <row r="383" spans="2:7" s="123" customFormat="1" x14ac:dyDescent="0.35">
      <c r="B383" s="125"/>
      <c r="C383" s="125"/>
      <c r="D383" s="125"/>
      <c r="E383" s="125"/>
      <c r="F383" s="125"/>
      <c r="G383" s="125"/>
    </row>
    <row r="384" spans="2:7" s="123" customFormat="1" x14ac:dyDescent="0.35">
      <c r="B384" s="125"/>
      <c r="C384" s="125"/>
      <c r="D384" s="125"/>
      <c r="E384" s="125"/>
      <c r="F384" s="125"/>
      <c r="G384" s="125"/>
    </row>
    <row r="385" spans="2:7" s="123" customFormat="1" x14ac:dyDescent="0.35">
      <c r="B385" s="125"/>
      <c r="C385" s="125"/>
      <c r="D385" s="125"/>
      <c r="E385" s="125"/>
      <c r="F385" s="125"/>
      <c r="G385" s="125"/>
    </row>
    <row r="386" spans="2:7" s="123" customFormat="1" x14ac:dyDescent="0.35">
      <c r="B386" s="125"/>
      <c r="C386" s="125"/>
      <c r="D386" s="125"/>
      <c r="E386" s="125"/>
      <c r="F386" s="125"/>
      <c r="G386" s="125"/>
    </row>
    <row r="387" spans="2:7" s="123" customFormat="1" x14ac:dyDescent="0.35">
      <c r="B387" s="125"/>
      <c r="C387" s="125"/>
      <c r="D387" s="125"/>
      <c r="E387" s="125"/>
      <c r="F387" s="125"/>
      <c r="G387" s="125"/>
    </row>
    <row r="388" spans="2:7" s="123" customFormat="1" x14ac:dyDescent="0.35">
      <c r="B388" s="125"/>
      <c r="C388" s="125"/>
      <c r="D388" s="125"/>
      <c r="E388" s="125"/>
      <c r="F388" s="125"/>
      <c r="G388" s="125"/>
    </row>
    <row r="389" spans="2:7" s="123" customFormat="1" x14ac:dyDescent="0.35">
      <c r="B389" s="125"/>
      <c r="C389" s="125"/>
      <c r="D389" s="125"/>
      <c r="E389" s="125"/>
      <c r="F389" s="125"/>
      <c r="G389" s="125"/>
    </row>
    <row r="390" spans="2:7" s="123" customFormat="1" x14ac:dyDescent="0.35">
      <c r="B390" s="125"/>
      <c r="C390" s="125"/>
      <c r="D390" s="125"/>
      <c r="E390" s="125"/>
      <c r="F390" s="125"/>
      <c r="G390" s="125"/>
    </row>
    <row r="391" spans="2:7" s="123" customFormat="1" x14ac:dyDescent="0.35">
      <c r="B391" s="125"/>
      <c r="C391" s="125"/>
      <c r="D391" s="125"/>
      <c r="E391" s="125"/>
      <c r="F391" s="125"/>
      <c r="G391" s="125"/>
    </row>
    <row r="392" spans="2:7" s="123" customFormat="1" x14ac:dyDescent="0.35">
      <c r="B392" s="125"/>
      <c r="C392" s="125"/>
      <c r="D392" s="125"/>
      <c r="E392" s="125"/>
      <c r="F392" s="125"/>
      <c r="G392" s="125"/>
    </row>
    <row r="393" spans="2:7" s="123" customFormat="1" x14ac:dyDescent="0.35">
      <c r="B393" s="125"/>
      <c r="C393" s="125"/>
      <c r="D393" s="125"/>
      <c r="E393" s="125"/>
      <c r="F393" s="125"/>
      <c r="G393" s="125"/>
    </row>
    <row r="394" spans="2:7" s="123" customFormat="1" x14ac:dyDescent="0.35">
      <c r="B394" s="125"/>
      <c r="C394" s="125"/>
      <c r="D394" s="125"/>
      <c r="E394" s="125"/>
      <c r="F394" s="125"/>
      <c r="G394" s="125"/>
    </row>
    <row r="395" spans="2:7" s="123" customFormat="1" x14ac:dyDescent="0.35">
      <c r="B395" s="125"/>
      <c r="C395" s="125"/>
      <c r="D395" s="125"/>
      <c r="E395" s="125"/>
      <c r="F395" s="125"/>
      <c r="G395" s="125"/>
    </row>
    <row r="396" spans="2:7" s="123" customFormat="1" x14ac:dyDescent="0.35">
      <c r="B396" s="125"/>
      <c r="C396" s="125"/>
      <c r="D396" s="125"/>
      <c r="E396" s="125"/>
      <c r="F396" s="125"/>
      <c r="G396" s="125"/>
    </row>
    <row r="397" spans="2:7" s="123" customFormat="1" x14ac:dyDescent="0.35">
      <c r="B397" s="125"/>
      <c r="C397" s="125"/>
      <c r="D397" s="125"/>
      <c r="E397" s="125"/>
      <c r="F397" s="125"/>
      <c r="G397" s="125"/>
    </row>
    <row r="398" spans="2:7" s="123" customFormat="1" x14ac:dyDescent="0.35">
      <c r="B398" s="125"/>
      <c r="C398" s="125"/>
      <c r="D398" s="125"/>
      <c r="E398" s="125"/>
      <c r="F398" s="125"/>
      <c r="G398" s="125"/>
    </row>
    <row r="399" spans="2:7" s="123" customFormat="1" x14ac:dyDescent="0.35">
      <c r="B399" s="125"/>
      <c r="C399" s="125"/>
      <c r="D399" s="125"/>
      <c r="E399" s="125"/>
      <c r="F399" s="125"/>
      <c r="G399" s="125"/>
    </row>
    <row r="400" spans="2:7" s="123" customFormat="1" x14ac:dyDescent="0.35">
      <c r="B400" s="125"/>
      <c r="C400" s="125"/>
      <c r="D400" s="125"/>
      <c r="E400" s="125"/>
      <c r="F400" s="125"/>
      <c r="G400" s="125"/>
    </row>
    <row r="401" spans="2:7" s="123" customFormat="1" x14ac:dyDescent="0.35">
      <c r="B401" s="125"/>
      <c r="C401" s="125"/>
      <c r="D401" s="125"/>
      <c r="E401" s="125"/>
      <c r="F401" s="125"/>
      <c r="G401" s="125"/>
    </row>
    <row r="402" spans="2:7" s="123" customFormat="1" x14ac:dyDescent="0.35">
      <c r="B402" s="125"/>
      <c r="C402" s="125"/>
      <c r="D402" s="125"/>
      <c r="E402" s="125"/>
      <c r="F402" s="125"/>
      <c r="G402" s="125"/>
    </row>
    <row r="403" spans="2:7" s="123" customFormat="1" x14ac:dyDescent="0.35">
      <c r="B403" s="125"/>
      <c r="C403" s="125"/>
      <c r="D403" s="125"/>
      <c r="E403" s="125"/>
      <c r="F403" s="125"/>
      <c r="G403" s="125"/>
    </row>
    <row r="404" spans="2:7" s="123" customFormat="1" x14ac:dyDescent="0.35">
      <c r="B404" s="125"/>
      <c r="C404" s="125"/>
      <c r="D404" s="125"/>
      <c r="E404" s="125"/>
      <c r="F404" s="125"/>
      <c r="G404" s="125"/>
    </row>
    <row r="405" spans="2:7" s="123" customFormat="1" x14ac:dyDescent="0.35">
      <c r="B405" s="125"/>
      <c r="C405" s="125"/>
      <c r="D405" s="125"/>
      <c r="E405" s="125"/>
      <c r="F405" s="125"/>
      <c r="G405" s="125"/>
    </row>
    <row r="406" spans="2:7" s="123" customFormat="1" x14ac:dyDescent="0.35">
      <c r="B406" s="125"/>
      <c r="C406" s="125"/>
      <c r="D406" s="125"/>
      <c r="E406" s="125"/>
      <c r="F406" s="125"/>
      <c r="G406" s="125"/>
    </row>
    <row r="407" spans="2:7" s="123" customFormat="1" x14ac:dyDescent="0.35">
      <c r="B407" s="125"/>
      <c r="C407" s="125"/>
      <c r="D407" s="125"/>
      <c r="E407" s="125"/>
      <c r="F407" s="125"/>
      <c r="G407" s="125"/>
    </row>
    <row r="408" spans="2:7" s="123" customFormat="1" x14ac:dyDescent="0.35">
      <c r="B408" s="125"/>
      <c r="C408" s="125"/>
      <c r="D408" s="125"/>
      <c r="E408" s="125"/>
      <c r="F408" s="125"/>
      <c r="G408" s="125"/>
    </row>
    <row r="409" spans="2:7" s="123" customFormat="1" x14ac:dyDescent="0.35">
      <c r="B409" s="125"/>
      <c r="C409" s="125"/>
      <c r="D409" s="125"/>
      <c r="E409" s="125"/>
      <c r="F409" s="125"/>
      <c r="G409" s="125"/>
    </row>
    <row r="410" spans="2:7" s="123" customFormat="1" x14ac:dyDescent="0.35">
      <c r="B410" s="125"/>
      <c r="C410" s="125"/>
      <c r="D410" s="125"/>
      <c r="E410" s="125"/>
      <c r="F410" s="125"/>
      <c r="G410" s="125"/>
    </row>
    <row r="411" spans="2:7" s="123" customFormat="1" x14ac:dyDescent="0.35">
      <c r="B411" s="125"/>
      <c r="C411" s="125"/>
      <c r="D411" s="125"/>
      <c r="E411" s="125"/>
      <c r="F411" s="125"/>
      <c r="G411" s="125"/>
    </row>
    <row r="412" spans="2:7" s="123" customFormat="1" x14ac:dyDescent="0.35">
      <c r="B412" s="125"/>
      <c r="C412" s="125"/>
      <c r="D412" s="125"/>
      <c r="E412" s="125"/>
      <c r="F412" s="125"/>
      <c r="G412" s="125"/>
    </row>
    <row r="413" spans="2:7" s="123" customFormat="1" x14ac:dyDescent="0.35">
      <c r="B413" s="125"/>
      <c r="C413" s="125"/>
      <c r="D413" s="125"/>
      <c r="E413" s="125"/>
      <c r="F413" s="125"/>
      <c r="G413" s="125"/>
    </row>
    <row r="414" spans="2:7" s="123" customFormat="1" x14ac:dyDescent="0.35">
      <c r="B414" s="125"/>
      <c r="C414" s="125"/>
      <c r="D414" s="125"/>
      <c r="E414" s="125"/>
      <c r="F414" s="125"/>
      <c r="G414" s="125"/>
    </row>
    <row r="415" spans="2:7" s="123" customFormat="1" x14ac:dyDescent="0.35">
      <c r="B415" s="125"/>
      <c r="C415" s="125"/>
      <c r="D415" s="125"/>
      <c r="E415" s="125"/>
      <c r="F415" s="125"/>
      <c r="G415" s="125"/>
    </row>
    <row r="416" spans="2:7" s="123" customFormat="1" x14ac:dyDescent="0.35">
      <c r="B416" s="125"/>
      <c r="C416" s="125"/>
      <c r="D416" s="125"/>
      <c r="E416" s="125"/>
      <c r="F416" s="125"/>
      <c r="G416" s="125"/>
    </row>
    <row r="417" spans="2:7" s="123" customFormat="1" x14ac:dyDescent="0.35">
      <c r="B417" s="125"/>
      <c r="C417" s="125"/>
      <c r="D417" s="125"/>
      <c r="E417" s="125"/>
      <c r="F417" s="125"/>
      <c r="G417" s="125"/>
    </row>
    <row r="418" spans="2:7" s="123" customFormat="1" x14ac:dyDescent="0.35">
      <c r="B418" s="125"/>
      <c r="C418" s="125"/>
      <c r="D418" s="125"/>
      <c r="E418" s="125"/>
      <c r="F418" s="125"/>
      <c r="G418" s="125"/>
    </row>
    <row r="419" spans="2:7" s="123" customFormat="1" x14ac:dyDescent="0.35">
      <c r="B419" s="125"/>
      <c r="C419" s="125"/>
      <c r="D419" s="125"/>
      <c r="E419" s="125"/>
      <c r="F419" s="125"/>
      <c r="G419" s="125"/>
    </row>
    <row r="420" spans="2:7" s="123" customFormat="1" x14ac:dyDescent="0.35">
      <c r="B420" s="125"/>
      <c r="C420" s="125"/>
      <c r="D420" s="125"/>
      <c r="E420" s="125"/>
      <c r="F420" s="125"/>
      <c r="G420" s="125"/>
    </row>
    <row r="421" spans="2:7" s="123" customFormat="1" x14ac:dyDescent="0.35">
      <c r="B421" s="125"/>
      <c r="C421" s="125"/>
      <c r="D421" s="125"/>
      <c r="E421" s="125"/>
      <c r="F421" s="125"/>
      <c r="G421" s="125"/>
    </row>
    <row r="422" spans="2:7" s="123" customFormat="1" x14ac:dyDescent="0.35">
      <c r="B422" s="125"/>
      <c r="C422" s="125"/>
      <c r="D422" s="125"/>
      <c r="E422" s="125"/>
      <c r="F422" s="125"/>
      <c r="G422" s="125"/>
    </row>
    <row r="423" spans="2:7" s="123" customFormat="1" x14ac:dyDescent="0.35">
      <c r="B423" s="125"/>
      <c r="C423" s="125"/>
      <c r="D423" s="125"/>
      <c r="E423" s="125"/>
      <c r="F423" s="125"/>
      <c r="G423" s="125"/>
    </row>
    <row r="424" spans="2:7" s="123" customFormat="1" x14ac:dyDescent="0.35">
      <c r="B424" s="125"/>
      <c r="C424" s="125"/>
      <c r="D424" s="125"/>
      <c r="E424" s="125"/>
      <c r="F424" s="125"/>
      <c r="G424" s="125"/>
    </row>
    <row r="425" spans="2:7" s="123" customFormat="1" x14ac:dyDescent="0.35">
      <c r="B425" s="125"/>
      <c r="C425" s="125"/>
      <c r="D425" s="125"/>
      <c r="E425" s="125"/>
      <c r="F425" s="125"/>
      <c r="G425" s="125"/>
    </row>
    <row r="426" spans="2:7" s="123" customFormat="1" x14ac:dyDescent="0.35">
      <c r="B426" s="125"/>
      <c r="C426" s="125"/>
      <c r="D426" s="125"/>
      <c r="E426" s="125"/>
      <c r="F426" s="125"/>
      <c r="G426" s="125"/>
    </row>
    <row r="427" spans="2:7" s="123" customFormat="1" x14ac:dyDescent="0.35">
      <c r="B427" s="125"/>
      <c r="C427" s="125"/>
      <c r="D427" s="125"/>
      <c r="E427" s="125"/>
      <c r="F427" s="125"/>
      <c r="G427" s="125"/>
    </row>
    <row r="428" spans="2:7" s="123" customFormat="1" x14ac:dyDescent="0.35">
      <c r="B428" s="125"/>
      <c r="C428" s="125"/>
      <c r="D428" s="125"/>
      <c r="E428" s="125"/>
      <c r="F428" s="125"/>
      <c r="G428" s="125"/>
    </row>
    <row r="429" spans="2:7" s="123" customFormat="1" x14ac:dyDescent="0.35">
      <c r="B429" s="125"/>
      <c r="C429" s="125"/>
      <c r="D429" s="125"/>
      <c r="E429" s="125"/>
      <c r="F429" s="125"/>
      <c r="G429" s="125"/>
    </row>
    <row r="430" spans="2:7" s="123" customFormat="1" x14ac:dyDescent="0.35">
      <c r="B430" s="125"/>
      <c r="C430" s="125"/>
      <c r="D430" s="125"/>
      <c r="E430" s="125"/>
      <c r="F430" s="125"/>
      <c r="G430" s="125"/>
    </row>
    <row r="431" spans="2:7" s="123" customFormat="1" x14ac:dyDescent="0.35">
      <c r="B431" s="125"/>
      <c r="C431" s="125"/>
      <c r="D431" s="125"/>
      <c r="E431" s="125"/>
      <c r="F431" s="125"/>
      <c r="G431" s="125"/>
    </row>
    <row r="432" spans="2:7" s="123" customFormat="1" x14ac:dyDescent="0.35">
      <c r="B432" s="125"/>
      <c r="C432" s="125"/>
      <c r="D432" s="125"/>
      <c r="E432" s="125"/>
      <c r="F432" s="125"/>
      <c r="G432" s="125"/>
    </row>
    <row r="433" spans="2:7" s="123" customFormat="1" x14ac:dyDescent="0.35">
      <c r="B433" s="125"/>
      <c r="C433" s="125"/>
      <c r="D433" s="125"/>
      <c r="E433" s="125"/>
      <c r="F433" s="125"/>
      <c r="G433" s="125"/>
    </row>
    <row r="434" spans="2:7" s="123" customFormat="1" x14ac:dyDescent="0.35">
      <c r="B434" s="125"/>
      <c r="C434" s="125"/>
      <c r="D434" s="125"/>
      <c r="E434" s="125"/>
      <c r="F434" s="125"/>
      <c r="G434" s="125"/>
    </row>
    <row r="435" spans="2:7" s="123" customFormat="1" x14ac:dyDescent="0.35">
      <c r="B435" s="125"/>
      <c r="C435" s="125"/>
      <c r="D435" s="125"/>
      <c r="E435" s="125"/>
      <c r="F435" s="125"/>
      <c r="G435" s="125"/>
    </row>
    <row r="436" spans="2:7" s="123" customFormat="1" x14ac:dyDescent="0.35">
      <c r="B436" s="125"/>
      <c r="C436" s="125"/>
      <c r="D436" s="125"/>
      <c r="E436" s="125"/>
      <c r="F436" s="125"/>
      <c r="G436" s="125"/>
    </row>
    <row r="437" spans="2:7" s="123" customFormat="1" x14ac:dyDescent="0.35">
      <c r="B437" s="125"/>
      <c r="C437" s="125"/>
      <c r="D437" s="125"/>
      <c r="E437" s="125"/>
      <c r="F437" s="125"/>
      <c r="G437" s="125"/>
    </row>
    <row r="438" spans="2:7" s="123" customFormat="1" x14ac:dyDescent="0.35">
      <c r="B438" s="125"/>
      <c r="C438" s="125"/>
      <c r="D438" s="125"/>
      <c r="E438" s="125"/>
      <c r="F438" s="125"/>
      <c r="G438" s="125"/>
    </row>
    <row r="439" spans="2:7" s="123" customFormat="1" x14ac:dyDescent="0.35">
      <c r="B439" s="125"/>
      <c r="C439" s="125"/>
      <c r="D439" s="125"/>
      <c r="E439" s="125"/>
      <c r="F439" s="125"/>
      <c r="G439" s="125"/>
    </row>
    <row r="440" spans="2:7" s="123" customFormat="1" x14ac:dyDescent="0.35">
      <c r="B440" s="125"/>
      <c r="C440" s="125"/>
      <c r="D440" s="125"/>
      <c r="E440" s="125"/>
      <c r="F440" s="125"/>
      <c r="G440" s="125"/>
    </row>
    <row r="441" spans="2:7" s="123" customFormat="1" x14ac:dyDescent="0.35">
      <c r="B441" s="125"/>
      <c r="C441" s="125"/>
      <c r="D441" s="125"/>
      <c r="E441" s="125"/>
      <c r="F441" s="125"/>
      <c r="G441" s="125"/>
    </row>
    <row r="442" spans="2:7" s="123" customFormat="1" x14ac:dyDescent="0.35">
      <c r="B442" s="125"/>
      <c r="C442" s="125"/>
      <c r="D442" s="125"/>
      <c r="E442" s="125"/>
      <c r="F442" s="125"/>
      <c r="G442" s="125"/>
    </row>
    <row r="443" spans="2:7" s="123" customFormat="1" x14ac:dyDescent="0.35">
      <c r="B443" s="125"/>
      <c r="C443" s="125"/>
      <c r="D443" s="125"/>
      <c r="E443" s="125"/>
      <c r="F443" s="125"/>
      <c r="G443" s="125"/>
    </row>
    <row r="444" spans="2:7" s="123" customFormat="1" x14ac:dyDescent="0.35">
      <c r="B444" s="125"/>
      <c r="C444" s="125"/>
      <c r="D444" s="125"/>
      <c r="E444" s="125"/>
      <c r="F444" s="125"/>
      <c r="G444" s="125"/>
    </row>
    <row r="445" spans="2:7" s="123" customFormat="1" x14ac:dyDescent="0.35">
      <c r="B445" s="125"/>
      <c r="C445" s="125"/>
      <c r="D445" s="125"/>
      <c r="E445" s="125"/>
      <c r="F445" s="125"/>
      <c r="G445" s="125"/>
    </row>
    <row r="446" spans="2:7" s="123" customFormat="1" x14ac:dyDescent="0.35">
      <c r="B446" s="125"/>
      <c r="C446" s="125"/>
      <c r="D446" s="125"/>
      <c r="E446" s="125"/>
      <c r="F446" s="125"/>
      <c r="G446" s="125"/>
    </row>
    <row r="447" spans="2:7" s="123" customFormat="1" x14ac:dyDescent="0.35">
      <c r="B447" s="125"/>
      <c r="C447" s="125"/>
      <c r="D447" s="125"/>
      <c r="E447" s="125"/>
      <c r="F447" s="125"/>
      <c r="G447" s="125"/>
    </row>
    <row r="448" spans="2:7" s="123" customFormat="1" x14ac:dyDescent="0.35">
      <c r="B448" s="125"/>
      <c r="C448" s="125"/>
      <c r="D448" s="125"/>
      <c r="E448" s="125"/>
      <c r="F448" s="125"/>
      <c r="G448" s="125"/>
    </row>
    <row r="449" spans="2:7" s="123" customFormat="1" x14ac:dyDescent="0.35">
      <c r="B449" s="125"/>
      <c r="C449" s="125"/>
      <c r="D449" s="125"/>
      <c r="E449" s="125"/>
      <c r="F449" s="125"/>
      <c r="G449" s="125"/>
    </row>
    <row r="450" spans="2:7" s="123" customFormat="1" x14ac:dyDescent="0.35">
      <c r="B450" s="125"/>
      <c r="C450" s="125"/>
      <c r="D450" s="125"/>
      <c r="E450" s="125"/>
      <c r="F450" s="125"/>
      <c r="G450" s="125"/>
    </row>
    <row r="451" spans="2:7" s="123" customFormat="1" x14ac:dyDescent="0.35">
      <c r="B451" s="125"/>
      <c r="C451" s="125"/>
      <c r="D451" s="125"/>
      <c r="E451" s="125"/>
      <c r="F451" s="125"/>
      <c r="G451" s="125"/>
    </row>
    <row r="452" spans="2:7" s="123" customFormat="1" x14ac:dyDescent="0.35">
      <c r="B452" s="125"/>
      <c r="C452" s="125"/>
      <c r="D452" s="125"/>
      <c r="E452" s="125"/>
      <c r="F452" s="125"/>
      <c r="G452" s="125"/>
    </row>
    <row r="453" spans="2:7" s="123" customFormat="1" x14ac:dyDescent="0.35">
      <c r="B453" s="125"/>
      <c r="C453" s="125"/>
      <c r="D453" s="125"/>
      <c r="E453" s="125"/>
      <c r="F453" s="125"/>
      <c r="G453" s="125"/>
    </row>
    <row r="454" spans="2:7" s="123" customFormat="1" x14ac:dyDescent="0.35">
      <c r="B454" s="125"/>
      <c r="C454" s="125"/>
      <c r="D454" s="125"/>
      <c r="E454" s="125"/>
      <c r="F454" s="125"/>
      <c r="G454" s="125"/>
    </row>
    <row r="455" spans="2:7" s="123" customFormat="1" x14ac:dyDescent="0.35">
      <c r="B455" s="125"/>
      <c r="C455" s="125"/>
      <c r="D455" s="125"/>
      <c r="E455" s="125"/>
      <c r="F455" s="125"/>
      <c r="G455" s="125"/>
    </row>
    <row r="456" spans="2:7" s="123" customFormat="1" x14ac:dyDescent="0.35">
      <c r="B456" s="125"/>
      <c r="C456" s="125"/>
      <c r="D456" s="125"/>
      <c r="E456" s="125"/>
      <c r="F456" s="125"/>
      <c r="G456" s="125"/>
    </row>
    <row r="457" spans="2:7" s="123" customFormat="1" x14ac:dyDescent="0.35">
      <c r="B457" s="125"/>
      <c r="C457" s="125"/>
      <c r="D457" s="125"/>
      <c r="E457" s="125"/>
      <c r="F457" s="125"/>
      <c r="G457" s="125"/>
    </row>
    <row r="458" spans="2:7" s="123" customFormat="1" x14ac:dyDescent="0.35">
      <c r="B458" s="125"/>
      <c r="C458" s="125"/>
      <c r="D458" s="125"/>
      <c r="E458" s="125"/>
      <c r="F458" s="125"/>
      <c r="G458" s="125"/>
    </row>
    <row r="459" spans="2:7" s="123" customFormat="1" x14ac:dyDescent="0.35">
      <c r="B459" s="125"/>
      <c r="C459" s="125"/>
      <c r="D459" s="125"/>
      <c r="E459" s="125"/>
      <c r="F459" s="125"/>
      <c r="G459" s="125"/>
    </row>
    <row r="460" spans="2:7" s="123" customFormat="1" x14ac:dyDescent="0.35">
      <c r="B460" s="125"/>
      <c r="C460" s="125"/>
      <c r="D460" s="125"/>
      <c r="E460" s="125"/>
      <c r="F460" s="125"/>
      <c r="G460" s="125"/>
    </row>
    <row r="461" spans="2:7" s="123" customFormat="1" x14ac:dyDescent="0.35">
      <c r="B461" s="125"/>
      <c r="C461" s="125"/>
      <c r="D461" s="125"/>
      <c r="E461" s="125"/>
      <c r="F461" s="125"/>
      <c r="G461" s="125"/>
    </row>
    <row r="462" spans="2:7" s="123" customFormat="1" x14ac:dyDescent="0.35">
      <c r="B462" s="125"/>
      <c r="C462" s="125"/>
      <c r="D462" s="125"/>
      <c r="E462" s="125"/>
      <c r="F462" s="125"/>
      <c r="G462" s="125"/>
    </row>
    <row r="463" spans="2:7" s="123" customFormat="1" x14ac:dyDescent="0.35">
      <c r="B463" s="125"/>
      <c r="C463" s="125"/>
      <c r="D463" s="125"/>
      <c r="E463" s="125"/>
      <c r="F463" s="125"/>
      <c r="G463" s="125"/>
    </row>
    <row r="464" spans="2:7" s="123" customFormat="1" x14ac:dyDescent="0.35">
      <c r="B464" s="125"/>
      <c r="C464" s="125"/>
      <c r="D464" s="125"/>
      <c r="E464" s="125"/>
      <c r="F464" s="125"/>
      <c r="G464" s="125"/>
    </row>
    <row r="465" spans="2:7" s="123" customFormat="1" x14ac:dyDescent="0.35">
      <c r="B465" s="125"/>
      <c r="C465" s="125"/>
      <c r="D465" s="125"/>
      <c r="E465" s="125"/>
      <c r="F465" s="125"/>
      <c r="G465" s="125"/>
    </row>
    <row r="466" spans="2:7" s="123" customFormat="1" x14ac:dyDescent="0.35">
      <c r="B466" s="125"/>
      <c r="C466" s="125"/>
      <c r="D466" s="125"/>
      <c r="E466" s="125"/>
      <c r="F466" s="125"/>
      <c r="G466" s="125"/>
    </row>
    <row r="467" spans="2:7" s="123" customFormat="1" x14ac:dyDescent="0.35">
      <c r="B467" s="125"/>
      <c r="C467" s="125"/>
      <c r="D467" s="125"/>
      <c r="E467" s="125"/>
      <c r="F467" s="125"/>
      <c r="G467" s="125"/>
    </row>
    <row r="468" spans="2:7" s="123" customFormat="1" x14ac:dyDescent="0.35">
      <c r="B468" s="125"/>
      <c r="C468" s="125"/>
      <c r="D468" s="125"/>
      <c r="E468" s="125"/>
      <c r="F468" s="125"/>
      <c r="G468" s="125"/>
    </row>
    <row r="469" spans="2:7" s="123" customFormat="1" x14ac:dyDescent="0.35">
      <c r="B469" s="125"/>
      <c r="C469" s="125"/>
      <c r="D469" s="125"/>
      <c r="E469" s="125"/>
      <c r="F469" s="125"/>
      <c r="G469" s="125"/>
    </row>
    <row r="470" spans="2:7" s="123" customFormat="1" x14ac:dyDescent="0.35">
      <c r="B470" s="125"/>
      <c r="C470" s="125"/>
      <c r="D470" s="125"/>
      <c r="E470" s="125"/>
      <c r="F470" s="125"/>
      <c r="G470" s="125"/>
    </row>
    <row r="471" spans="2:7" s="123" customFormat="1" x14ac:dyDescent="0.35">
      <c r="B471" s="125"/>
      <c r="C471" s="125"/>
      <c r="D471" s="125"/>
      <c r="E471" s="125"/>
      <c r="F471" s="125"/>
      <c r="G471" s="125"/>
    </row>
    <row r="472" spans="2:7" s="123" customFormat="1" x14ac:dyDescent="0.35">
      <c r="B472" s="125"/>
      <c r="C472" s="125"/>
      <c r="D472" s="125"/>
      <c r="E472" s="125"/>
      <c r="F472" s="125"/>
      <c r="G472" s="125"/>
    </row>
    <row r="473" spans="2:7" s="123" customFormat="1" x14ac:dyDescent="0.35">
      <c r="B473" s="125"/>
      <c r="C473" s="125"/>
      <c r="D473" s="125"/>
      <c r="E473" s="125"/>
      <c r="F473" s="125"/>
      <c r="G473" s="125"/>
    </row>
    <row r="474" spans="2:7" s="123" customFormat="1" x14ac:dyDescent="0.35">
      <c r="B474" s="125"/>
      <c r="C474" s="125"/>
      <c r="D474" s="125"/>
      <c r="E474" s="125"/>
      <c r="F474" s="125"/>
      <c r="G474" s="125"/>
    </row>
    <row r="475" spans="2:7" s="123" customFormat="1" x14ac:dyDescent="0.35">
      <c r="B475" s="125"/>
      <c r="C475" s="125"/>
      <c r="D475" s="125"/>
      <c r="E475" s="125"/>
      <c r="F475" s="125"/>
      <c r="G475" s="125"/>
    </row>
    <row r="476" spans="2:7" s="123" customFormat="1" x14ac:dyDescent="0.35">
      <c r="B476" s="125"/>
      <c r="C476" s="125"/>
      <c r="D476" s="125"/>
      <c r="E476" s="125"/>
      <c r="F476" s="125"/>
      <c r="G476" s="125"/>
    </row>
    <row r="477" spans="2:7" s="123" customFormat="1" x14ac:dyDescent="0.35">
      <c r="B477" s="125"/>
      <c r="C477" s="125"/>
      <c r="D477" s="125"/>
      <c r="E477" s="125"/>
      <c r="F477" s="125"/>
      <c r="G477" s="125"/>
    </row>
    <row r="478" spans="2:7" s="123" customFormat="1" x14ac:dyDescent="0.35">
      <c r="B478" s="125"/>
      <c r="C478" s="125"/>
      <c r="D478" s="125"/>
      <c r="E478" s="125"/>
      <c r="F478" s="125"/>
      <c r="G478" s="125"/>
    </row>
    <row r="479" spans="2:7" s="123" customFormat="1" x14ac:dyDescent="0.35">
      <c r="B479" s="125"/>
      <c r="C479" s="125"/>
      <c r="D479" s="125"/>
      <c r="E479" s="125"/>
      <c r="F479" s="125"/>
      <c r="G479" s="125"/>
    </row>
    <row r="480" spans="2:7" s="123" customFormat="1" x14ac:dyDescent="0.35">
      <c r="B480" s="125"/>
      <c r="C480" s="125"/>
      <c r="D480" s="125"/>
      <c r="E480" s="125"/>
      <c r="F480" s="125"/>
      <c r="G480" s="125"/>
    </row>
    <row r="481" spans="2:7" s="123" customFormat="1" x14ac:dyDescent="0.35">
      <c r="B481" s="125"/>
      <c r="C481" s="125"/>
      <c r="D481" s="125"/>
      <c r="E481" s="125"/>
      <c r="F481" s="125"/>
      <c r="G481" s="125"/>
    </row>
    <row r="482" spans="2:7" s="123" customFormat="1" x14ac:dyDescent="0.35">
      <c r="B482" s="125"/>
      <c r="C482" s="125"/>
      <c r="D482" s="125"/>
      <c r="E482" s="125"/>
      <c r="F482" s="125"/>
      <c r="G482" s="125"/>
    </row>
    <row r="483" spans="2:7" s="123" customFormat="1" x14ac:dyDescent="0.35">
      <c r="B483" s="125"/>
      <c r="C483" s="125"/>
      <c r="D483" s="125"/>
      <c r="E483" s="125"/>
      <c r="F483" s="125"/>
      <c r="G483" s="125"/>
    </row>
    <row r="484" spans="2:7" s="123" customFormat="1" x14ac:dyDescent="0.35">
      <c r="B484" s="125"/>
      <c r="C484" s="125"/>
      <c r="D484" s="125"/>
      <c r="E484" s="125"/>
      <c r="F484" s="125"/>
      <c r="G484" s="125"/>
    </row>
    <row r="485" spans="2:7" s="123" customFormat="1" x14ac:dyDescent="0.35">
      <c r="B485" s="125"/>
      <c r="C485" s="125"/>
      <c r="D485" s="125"/>
      <c r="E485" s="125"/>
      <c r="F485" s="125"/>
      <c r="G485" s="125"/>
    </row>
    <row r="486" spans="2:7" s="123" customFormat="1" x14ac:dyDescent="0.35">
      <c r="B486" s="125"/>
      <c r="C486" s="125"/>
      <c r="D486" s="125"/>
      <c r="E486" s="125"/>
      <c r="F486" s="125"/>
      <c r="G486" s="125"/>
    </row>
    <row r="487" spans="2:7" s="123" customFormat="1" x14ac:dyDescent="0.35">
      <c r="B487" s="125"/>
      <c r="C487" s="125"/>
      <c r="D487" s="125"/>
      <c r="E487" s="125"/>
      <c r="F487" s="125"/>
      <c r="G487" s="125"/>
    </row>
    <row r="488" spans="2:7" s="123" customFormat="1" x14ac:dyDescent="0.35">
      <c r="B488" s="125"/>
      <c r="C488" s="125"/>
      <c r="D488" s="125"/>
      <c r="E488" s="125"/>
      <c r="F488" s="125"/>
      <c r="G488" s="125"/>
    </row>
    <row r="489" spans="2:7" s="123" customFormat="1" x14ac:dyDescent="0.35">
      <c r="B489" s="125"/>
      <c r="C489" s="125"/>
      <c r="D489" s="125"/>
      <c r="E489" s="125"/>
      <c r="F489" s="125"/>
      <c r="G489" s="125"/>
    </row>
    <row r="490" spans="2:7" s="123" customFormat="1" x14ac:dyDescent="0.35">
      <c r="B490" s="125"/>
      <c r="C490" s="125"/>
      <c r="D490" s="125"/>
      <c r="E490" s="125"/>
      <c r="F490" s="125"/>
      <c r="G490" s="125"/>
    </row>
    <row r="491" spans="2:7" s="123" customFormat="1" x14ac:dyDescent="0.35">
      <c r="B491" s="125"/>
      <c r="C491" s="125"/>
      <c r="D491" s="125"/>
      <c r="E491" s="125"/>
      <c r="F491" s="125"/>
      <c r="G491" s="125"/>
    </row>
    <row r="492" spans="2:7" s="123" customFormat="1" x14ac:dyDescent="0.35">
      <c r="B492" s="125"/>
      <c r="C492" s="125"/>
      <c r="D492" s="125"/>
      <c r="E492" s="125"/>
      <c r="F492" s="125"/>
      <c r="G492" s="125"/>
    </row>
    <row r="493" spans="2:7" s="123" customFormat="1" x14ac:dyDescent="0.35">
      <c r="B493" s="125"/>
      <c r="C493" s="125"/>
      <c r="D493" s="125"/>
      <c r="E493" s="125"/>
      <c r="F493" s="125"/>
      <c r="G493" s="125"/>
    </row>
    <row r="494" spans="2:7" s="123" customFormat="1" x14ac:dyDescent="0.35">
      <c r="B494" s="125"/>
      <c r="C494" s="125"/>
      <c r="D494" s="125"/>
      <c r="E494" s="125"/>
      <c r="F494" s="125"/>
      <c r="G494" s="125"/>
    </row>
    <row r="495" spans="2:7" s="123" customFormat="1" x14ac:dyDescent="0.35">
      <c r="B495" s="125"/>
      <c r="C495" s="125"/>
      <c r="D495" s="125"/>
      <c r="E495" s="125"/>
      <c r="F495" s="125"/>
      <c r="G495" s="125"/>
    </row>
    <row r="496" spans="2:7" s="123" customFormat="1" x14ac:dyDescent="0.35">
      <c r="B496" s="125"/>
      <c r="C496" s="125"/>
      <c r="D496" s="125"/>
      <c r="E496" s="125"/>
      <c r="F496" s="125"/>
      <c r="G496" s="125"/>
    </row>
    <row r="497" spans="2:7" s="123" customFormat="1" x14ac:dyDescent="0.35">
      <c r="B497" s="125"/>
      <c r="C497" s="125"/>
      <c r="D497" s="125"/>
      <c r="E497" s="125"/>
      <c r="F497" s="125"/>
      <c r="G497" s="125"/>
    </row>
    <row r="498" spans="2:7" s="123" customFormat="1" x14ac:dyDescent="0.35">
      <c r="B498" s="125"/>
      <c r="C498" s="125"/>
      <c r="D498" s="125"/>
      <c r="E498" s="125"/>
      <c r="F498" s="125"/>
      <c r="G498" s="125"/>
    </row>
    <row r="499" spans="2:7" s="123" customFormat="1" x14ac:dyDescent="0.35">
      <c r="B499" s="125"/>
      <c r="C499" s="125"/>
      <c r="D499" s="125"/>
      <c r="E499" s="125"/>
      <c r="F499" s="125"/>
      <c r="G499" s="125"/>
    </row>
    <row r="500" spans="2:7" s="123" customFormat="1" x14ac:dyDescent="0.35">
      <c r="B500" s="125"/>
      <c r="C500" s="125"/>
      <c r="D500" s="125"/>
      <c r="E500" s="125"/>
      <c r="F500" s="125"/>
      <c r="G500" s="125"/>
    </row>
    <row r="501" spans="2:7" s="123" customFormat="1" x14ac:dyDescent="0.35">
      <c r="B501" s="125"/>
      <c r="C501" s="125"/>
      <c r="D501" s="125"/>
      <c r="E501" s="125"/>
      <c r="F501" s="125"/>
      <c r="G501" s="125"/>
    </row>
    <row r="502" spans="2:7" s="123" customFormat="1" x14ac:dyDescent="0.35">
      <c r="B502" s="125"/>
      <c r="C502" s="125"/>
      <c r="D502" s="125"/>
      <c r="E502" s="125"/>
      <c r="F502" s="125"/>
      <c r="G502" s="125"/>
    </row>
    <row r="503" spans="2:7" s="123" customFormat="1" x14ac:dyDescent="0.35">
      <c r="B503" s="125"/>
      <c r="C503" s="125"/>
      <c r="D503" s="125"/>
      <c r="E503" s="125"/>
      <c r="F503" s="125"/>
      <c r="G503" s="125"/>
    </row>
    <row r="504" spans="2:7" s="123" customFormat="1" x14ac:dyDescent="0.35">
      <c r="B504" s="125"/>
      <c r="C504" s="125"/>
      <c r="D504" s="125"/>
      <c r="E504" s="125"/>
      <c r="F504" s="125"/>
      <c r="G504" s="125"/>
    </row>
    <row r="505" spans="2:7" s="123" customFormat="1" x14ac:dyDescent="0.35">
      <c r="B505" s="125"/>
      <c r="C505" s="125"/>
      <c r="D505" s="125"/>
      <c r="E505" s="125"/>
      <c r="F505" s="125"/>
      <c r="G505" s="125"/>
    </row>
    <row r="506" spans="2:7" s="123" customFormat="1" x14ac:dyDescent="0.35">
      <c r="B506" s="125"/>
      <c r="C506" s="125"/>
      <c r="D506" s="125"/>
      <c r="E506" s="125"/>
      <c r="F506" s="125"/>
      <c r="G506" s="125"/>
    </row>
    <row r="507" spans="2:7" s="123" customFormat="1" x14ac:dyDescent="0.35">
      <c r="B507" s="125"/>
      <c r="C507" s="125"/>
      <c r="D507" s="125"/>
      <c r="E507" s="125"/>
      <c r="F507" s="125"/>
      <c r="G507" s="125"/>
    </row>
    <row r="508" spans="2:7" s="123" customFormat="1" x14ac:dyDescent="0.35">
      <c r="B508" s="125"/>
      <c r="C508" s="125"/>
      <c r="D508" s="125"/>
      <c r="E508" s="125"/>
      <c r="F508" s="125"/>
      <c r="G508" s="125"/>
    </row>
    <row r="509" spans="2:7" s="123" customFormat="1" x14ac:dyDescent="0.35">
      <c r="B509" s="125"/>
      <c r="C509" s="125"/>
      <c r="D509" s="125"/>
      <c r="E509" s="125"/>
      <c r="F509" s="125"/>
      <c r="G509" s="125"/>
    </row>
    <row r="510" spans="2:7" s="123" customFormat="1" x14ac:dyDescent="0.35">
      <c r="B510" s="125"/>
      <c r="C510" s="125"/>
      <c r="D510" s="125"/>
      <c r="E510" s="125"/>
      <c r="F510" s="125"/>
      <c r="G510" s="125"/>
    </row>
    <row r="511" spans="2:7" s="123" customFormat="1" x14ac:dyDescent="0.35">
      <c r="B511" s="125"/>
      <c r="C511" s="125"/>
      <c r="D511" s="125"/>
      <c r="E511" s="125"/>
      <c r="F511" s="125"/>
      <c r="G511" s="125"/>
    </row>
    <row r="512" spans="2:7" s="123" customFormat="1" x14ac:dyDescent="0.35">
      <c r="B512" s="125"/>
      <c r="C512" s="125"/>
      <c r="D512" s="125"/>
      <c r="E512" s="125"/>
      <c r="F512" s="125"/>
      <c r="G512" s="125"/>
    </row>
    <row r="513" spans="2:7" s="123" customFormat="1" x14ac:dyDescent="0.35">
      <c r="B513" s="125"/>
      <c r="C513" s="125"/>
      <c r="D513" s="125"/>
      <c r="E513" s="125"/>
      <c r="F513" s="125"/>
      <c r="G513" s="125"/>
    </row>
    <row r="514" spans="2:7" s="123" customFormat="1" x14ac:dyDescent="0.35">
      <c r="B514" s="125"/>
      <c r="C514" s="125"/>
      <c r="D514" s="125"/>
      <c r="E514" s="125"/>
      <c r="F514" s="125"/>
      <c r="G514" s="125"/>
    </row>
    <row r="515" spans="2:7" s="123" customFormat="1" x14ac:dyDescent="0.35">
      <c r="B515" s="125"/>
      <c r="C515" s="125"/>
      <c r="D515" s="125"/>
      <c r="E515" s="125"/>
      <c r="F515" s="125"/>
      <c r="G515" s="125"/>
    </row>
    <row r="516" spans="2:7" s="123" customFormat="1" x14ac:dyDescent="0.35">
      <c r="B516" s="125"/>
      <c r="C516" s="125"/>
      <c r="D516" s="125"/>
      <c r="E516" s="125"/>
      <c r="F516" s="125"/>
      <c r="G516" s="125"/>
    </row>
    <row r="517" spans="2:7" s="123" customFormat="1" x14ac:dyDescent="0.35">
      <c r="B517" s="125"/>
      <c r="C517" s="125"/>
      <c r="D517" s="125"/>
      <c r="E517" s="125"/>
      <c r="F517" s="125"/>
      <c r="G517" s="125"/>
    </row>
    <row r="518" spans="2:7" s="123" customFormat="1" x14ac:dyDescent="0.35">
      <c r="B518" s="125"/>
      <c r="C518" s="125"/>
      <c r="D518" s="125"/>
      <c r="E518" s="125"/>
      <c r="F518" s="125"/>
      <c r="G518" s="125"/>
    </row>
    <row r="519" spans="2:7" s="123" customFormat="1" x14ac:dyDescent="0.35">
      <c r="B519" s="125"/>
      <c r="C519" s="125"/>
      <c r="D519" s="125"/>
      <c r="E519" s="125"/>
      <c r="F519" s="125"/>
      <c r="G519" s="125"/>
    </row>
    <row r="520" spans="2:7" s="123" customFormat="1" x14ac:dyDescent="0.35">
      <c r="B520" s="125"/>
      <c r="C520" s="125"/>
      <c r="D520" s="125"/>
      <c r="E520" s="125"/>
      <c r="F520" s="125"/>
      <c r="G520" s="125"/>
    </row>
    <row r="521" spans="2:7" s="123" customFormat="1" x14ac:dyDescent="0.35">
      <c r="B521" s="125"/>
      <c r="C521" s="125"/>
      <c r="D521" s="125"/>
      <c r="E521" s="125"/>
      <c r="F521" s="125"/>
      <c r="G521" s="125"/>
    </row>
    <row r="522" spans="2:7" s="123" customFormat="1" x14ac:dyDescent="0.35">
      <c r="B522" s="125"/>
      <c r="C522" s="125"/>
      <c r="D522" s="125"/>
      <c r="E522" s="125"/>
      <c r="F522" s="125"/>
      <c r="G522" s="125"/>
    </row>
    <row r="523" spans="2:7" s="123" customFormat="1" x14ac:dyDescent="0.35">
      <c r="B523" s="125"/>
      <c r="C523" s="125"/>
      <c r="D523" s="125"/>
      <c r="E523" s="125"/>
      <c r="F523" s="125"/>
      <c r="G523" s="125"/>
    </row>
    <row r="524" spans="2:7" s="123" customFormat="1" x14ac:dyDescent="0.35">
      <c r="B524" s="125"/>
      <c r="C524" s="125"/>
      <c r="D524" s="125"/>
      <c r="E524" s="125"/>
      <c r="F524" s="125"/>
      <c r="G524" s="125"/>
    </row>
    <row r="525" spans="2:7" s="123" customFormat="1" x14ac:dyDescent="0.35">
      <c r="B525" s="125"/>
      <c r="C525" s="125"/>
      <c r="D525" s="125"/>
      <c r="E525" s="125"/>
      <c r="F525" s="125"/>
      <c r="G525" s="125"/>
    </row>
    <row r="526" spans="2:7" s="123" customFormat="1" x14ac:dyDescent="0.35">
      <c r="B526" s="125"/>
      <c r="C526" s="125"/>
      <c r="D526" s="125"/>
      <c r="E526" s="125"/>
      <c r="F526" s="125"/>
      <c r="G526" s="125"/>
    </row>
    <row r="527" spans="2:7" s="123" customFormat="1" x14ac:dyDescent="0.35">
      <c r="B527" s="125"/>
      <c r="C527" s="125"/>
      <c r="D527" s="125"/>
      <c r="E527" s="125"/>
      <c r="F527" s="125"/>
      <c r="G527" s="125"/>
    </row>
    <row r="528" spans="2:7" s="123" customFormat="1" x14ac:dyDescent="0.35">
      <c r="B528" s="125"/>
      <c r="C528" s="125"/>
      <c r="D528" s="125"/>
      <c r="E528" s="125"/>
      <c r="F528" s="125"/>
      <c r="G528" s="125"/>
    </row>
    <row r="529" spans="2:7" s="123" customFormat="1" x14ac:dyDescent="0.35">
      <c r="B529" s="125"/>
      <c r="C529" s="125"/>
      <c r="D529" s="125"/>
      <c r="E529" s="125"/>
      <c r="F529" s="125"/>
      <c r="G529" s="125"/>
    </row>
  </sheetData>
  <sheetProtection algorithmName="SHA-512" hashValue="fjzecCUP6rw25XKlVJFP2qA9fqCDFM6lmnHXNlkKwUd8Fov1QP1LBeX2dHLg0LtIARvWlgom+JQNjNi0yuMcpQ==" saltValue="dOwyXJCr3GqrDpECXaW5HQ==" spinCount="100000" sheet="1" objects="1" scenarios="1" selectLockedCells="1" selectUnlockedCells="1"/>
  <mergeCells count="5">
    <mergeCell ref="D3:E3"/>
    <mergeCell ref="B18:B19"/>
    <mergeCell ref="C18:C19"/>
    <mergeCell ref="D18:E18"/>
    <mergeCell ref="F18:G18"/>
  </mergeCells>
  <phoneticPr fontId="22" type="noConversion"/>
  <pageMargins left="0.7" right="0.7" top="0.75" bottom="0.75" header="0.3" footer="0.3"/>
  <pageSetup orientation="portrait" horizontalDpi="1200" verticalDpi="1200" r:id="rId1"/>
  <legacy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E3B5F-56C3-4897-8F11-4BED38B53680}">
  <sheetPr codeName="Sheet52">
    <tabColor rgb="FF7030A0"/>
  </sheetPr>
  <dimension ref="B2:J13"/>
  <sheetViews>
    <sheetView workbookViewId="0"/>
  </sheetViews>
  <sheetFormatPr defaultRowHeight="14.5" x14ac:dyDescent="0.35"/>
  <sheetData>
    <row r="2" spans="2:10" x14ac:dyDescent="0.35">
      <c r="B2" s="123"/>
      <c r="C2" s="123"/>
      <c r="D2" s="123"/>
      <c r="E2" s="123"/>
      <c r="F2" s="123"/>
      <c r="G2" s="123"/>
      <c r="H2" s="123"/>
      <c r="I2" s="123"/>
      <c r="J2" s="123"/>
    </row>
    <row r="3" spans="2:10" x14ac:dyDescent="0.35">
      <c r="B3" s="123"/>
      <c r="C3" s="123"/>
      <c r="D3" s="123"/>
      <c r="E3" s="123"/>
      <c r="F3" s="123"/>
      <c r="G3" s="123"/>
      <c r="H3" s="123"/>
      <c r="I3" s="123"/>
      <c r="J3" s="123"/>
    </row>
    <row r="4" spans="2:10" x14ac:dyDescent="0.35">
      <c r="B4" s="123"/>
      <c r="C4" s="123"/>
      <c r="D4" s="123"/>
      <c r="E4" s="2100" t="s">
        <v>2828</v>
      </c>
      <c r="F4" s="2101"/>
      <c r="G4" s="2101"/>
      <c r="H4" s="2101"/>
      <c r="I4" s="2102"/>
      <c r="J4" s="123"/>
    </row>
    <row r="5" spans="2:10" ht="65" x14ac:dyDescent="0.35">
      <c r="B5" s="123"/>
      <c r="C5" s="360" t="s">
        <v>2829</v>
      </c>
      <c r="D5" s="238" t="s">
        <v>2830</v>
      </c>
      <c r="E5" s="361" t="s">
        <v>2831</v>
      </c>
      <c r="F5" s="362" t="s">
        <v>2832</v>
      </c>
      <c r="G5" s="362" t="s">
        <v>2833</v>
      </c>
      <c r="H5" s="362" t="s">
        <v>2834</v>
      </c>
      <c r="I5" s="362" t="s">
        <v>2835</v>
      </c>
      <c r="J5" s="123"/>
    </row>
    <row r="6" spans="2:10" ht="26" x14ac:dyDescent="0.35">
      <c r="B6" s="123"/>
      <c r="C6" s="317" t="s">
        <v>2836</v>
      </c>
      <c r="D6" s="363">
        <v>5352</v>
      </c>
      <c r="E6" s="364">
        <v>26.3</v>
      </c>
      <c r="F6" s="365">
        <v>28.8</v>
      </c>
      <c r="G6" s="365">
        <v>31.6</v>
      </c>
      <c r="H6" s="365">
        <v>34.200000000000003</v>
      </c>
      <c r="I6" s="365">
        <v>37.299999999999997</v>
      </c>
      <c r="J6" s="123"/>
    </row>
    <row r="7" spans="2:10" ht="26" x14ac:dyDescent="0.35">
      <c r="B7" s="123"/>
      <c r="C7" s="317" t="s">
        <v>2837</v>
      </c>
      <c r="D7" s="363">
        <v>5113</v>
      </c>
      <c r="E7" s="364">
        <v>29.4</v>
      </c>
      <c r="F7" s="365">
        <v>31.2</v>
      </c>
      <c r="G7" s="365">
        <v>34</v>
      </c>
      <c r="H7" s="365">
        <v>36.799999999999997</v>
      </c>
      <c r="I7" s="365">
        <v>40.299999999999997</v>
      </c>
      <c r="J7" s="123"/>
    </row>
    <row r="8" spans="2:10" ht="39" x14ac:dyDescent="0.35">
      <c r="B8" s="123"/>
      <c r="C8" s="317" t="s">
        <v>2838</v>
      </c>
      <c r="D8" s="363">
        <v>4379</v>
      </c>
      <c r="E8" s="364">
        <v>29.4</v>
      </c>
      <c r="F8" s="365">
        <v>31.5</v>
      </c>
      <c r="G8" s="365">
        <v>34.6</v>
      </c>
      <c r="H8" s="365">
        <v>37.700000000000003</v>
      </c>
      <c r="I8" s="365">
        <v>41.6</v>
      </c>
      <c r="J8" s="123"/>
    </row>
    <row r="9" spans="2:10" ht="26" x14ac:dyDescent="0.35">
      <c r="B9" s="123"/>
      <c r="C9" s="317" t="s">
        <v>2839</v>
      </c>
      <c r="D9" s="363">
        <v>3378</v>
      </c>
      <c r="E9" s="364">
        <v>31.7</v>
      </c>
      <c r="F9" s="365">
        <v>33.6</v>
      </c>
      <c r="G9" s="365">
        <v>36.200000000000003</v>
      </c>
      <c r="H9" s="365">
        <v>39.200000000000003</v>
      </c>
      <c r="I9" s="365">
        <v>42.3</v>
      </c>
      <c r="J9" s="123"/>
    </row>
    <row r="10" spans="2:10" ht="26" x14ac:dyDescent="0.35">
      <c r="B10" s="123"/>
      <c r="C10" s="317" t="s">
        <v>2840</v>
      </c>
      <c r="D10" s="363">
        <v>3438</v>
      </c>
      <c r="E10" s="364">
        <v>32.5</v>
      </c>
      <c r="F10" s="365">
        <v>34.9</v>
      </c>
      <c r="G10" s="365">
        <v>37.799999999999997</v>
      </c>
      <c r="H10" s="365">
        <v>40.700000000000003</v>
      </c>
      <c r="I10" s="365">
        <v>44</v>
      </c>
      <c r="J10" s="123"/>
    </row>
    <row r="11" spans="2:10" x14ac:dyDescent="0.35">
      <c r="B11" s="123"/>
      <c r="C11" s="123"/>
      <c r="D11" s="123"/>
      <c r="E11" s="123"/>
      <c r="F11" s="123"/>
      <c r="G11" s="123"/>
      <c r="H11" s="123"/>
      <c r="I11" s="123"/>
      <c r="J11" s="123"/>
    </row>
    <row r="12" spans="2:10" x14ac:dyDescent="0.35">
      <c r="B12" s="123"/>
      <c r="C12" s="123"/>
      <c r="D12" s="204" t="s">
        <v>2841</v>
      </c>
      <c r="E12" s="123"/>
      <c r="F12" s="123"/>
      <c r="G12" s="123"/>
      <c r="H12" s="123">
        <f>(I6-I10)/(D6-D10)</f>
        <v>-3.5005224660397088E-3</v>
      </c>
      <c r="I12" s="123"/>
      <c r="J12" s="123"/>
    </row>
    <row r="13" spans="2:10" x14ac:dyDescent="0.35">
      <c r="B13" s="123"/>
      <c r="C13" s="123"/>
      <c r="D13" s="123"/>
      <c r="E13" s="123"/>
      <c r="F13" s="123"/>
      <c r="G13" s="123"/>
      <c r="H13" s="123"/>
      <c r="I13" s="123"/>
      <c r="J13" s="123"/>
    </row>
  </sheetData>
  <sheetProtection algorithmName="SHA-512" hashValue="up9p2ZZgZ7/6g2EUkbo7Kgo8s7ik1SXAjoSqbldbQWxEJtZg7LI9A42DYMXA0i73bf2QadPRlrMTVHem/m82/w==" saltValue="RUw9RTJT1sn6jZF5NEOp7Q==" spinCount="100000" sheet="1" objects="1" scenarios="1" selectLockedCells="1" selectUnlockedCells="1"/>
  <mergeCells count="1">
    <mergeCell ref="E4:I4"/>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FB027-2298-4A88-9C4E-2936A15B4BB6}">
  <sheetPr codeName="Sheet60">
    <tabColor rgb="FFFF0000"/>
  </sheetPr>
  <dimension ref="A1"/>
  <sheetViews>
    <sheetView workbookViewId="0"/>
  </sheetViews>
  <sheetFormatPr defaultRowHeight="14.5" x14ac:dyDescent="0.35"/>
  <sheetData/>
  <sheetProtection algorithmName="SHA-512" hashValue="qaUtOPnDA/6lI3Uyxd4X9PiJNWNu8x2afHIfe/hhzjkGm6lnXz4+312CW3BW6RPbuMhLYc8S61sX7cMvztNVhQ==" saltValue="2uqCN8tJFvKqaD4WSRPZYA==" spinCount="100000" sheet="1" objects="1" scenarios="1" selectLockedCells="1" selectUnlockedCells="1"/>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68494-41C3-4575-9D3C-E759F81DFFD0}">
  <sheetPr codeName="Sheet43">
    <tabColor rgb="FFFF0000"/>
  </sheetPr>
  <dimension ref="A1:L1"/>
  <sheetViews>
    <sheetView workbookViewId="0">
      <selection activeCell="D10" sqref="D10"/>
    </sheetView>
  </sheetViews>
  <sheetFormatPr defaultColWidth="9.08984375" defaultRowHeight="14.5" x14ac:dyDescent="0.35"/>
  <cols>
    <col min="1" max="2" width="16.26953125" style="123" customWidth="1"/>
    <col min="3" max="3" width="16.08984375" style="123" customWidth="1"/>
    <col min="4" max="6" width="18.36328125" style="123" customWidth="1"/>
    <col min="7" max="7" width="21.6328125" style="123" customWidth="1"/>
    <col min="8" max="8" width="20.81640625" style="123" customWidth="1"/>
    <col min="9" max="12" width="18.36328125" style="123" customWidth="1"/>
    <col min="13" max="16384" width="9.08984375" style="123"/>
  </cols>
  <sheetData>
    <row r="1" spans="1:12" s="204" customFormat="1" ht="29" x14ac:dyDescent="0.35">
      <c r="A1" s="264" t="s">
        <v>2842</v>
      </c>
      <c r="B1" s="264" t="s">
        <v>47</v>
      </c>
      <c r="C1" s="264" t="s">
        <v>48</v>
      </c>
      <c r="D1" s="264" t="s">
        <v>49</v>
      </c>
      <c r="E1" s="264" t="s">
        <v>54</v>
      </c>
      <c r="F1" s="264" t="s">
        <v>9</v>
      </c>
      <c r="G1" s="264" t="s">
        <v>33</v>
      </c>
      <c r="H1" s="264" t="s">
        <v>35</v>
      </c>
      <c r="I1" s="264" t="s">
        <v>55</v>
      </c>
      <c r="J1" s="264" t="s">
        <v>2843</v>
      </c>
      <c r="K1" s="264" t="s">
        <v>2844</v>
      </c>
      <c r="L1" s="204" t="s">
        <v>11</v>
      </c>
    </row>
  </sheetData>
  <sheetProtection algorithmName="SHA-512" hashValue="LHw6QtstxweIfShYhZ3WJfyz9NOrOYEdyACISp4/TsLLGQqfOSdcuOhgkFgscCJX4PcRpSlw5PSbqrhUjRXjOA==" saltValue="bzVwqDCy/D6p4TkttyQXXQ==" spinCount="100000" sheet="1" objects="1" scenarios="1" selectLockedCells="1" selectUnlockedCells="1"/>
  <dataConsolidate/>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051715489A73A49A70E492EBB28A859" ma:contentTypeVersion="7" ma:contentTypeDescription="Create a new document." ma:contentTypeScope="" ma:versionID="4eb2f6fbc41b053befdc6cf43b2c7e3a">
  <xsd:schema xmlns:xsd="http://www.w3.org/2001/XMLSchema" xmlns:xs="http://www.w3.org/2001/XMLSchema" xmlns:p="http://schemas.microsoft.com/office/2006/metadata/properties" xmlns:ns2="80c1df0b-af84-40ec-ba53-de366ec823fd" xmlns:ns3="0f81c7a9-d276-4b3c-acaa-0dabf6894dd9" targetNamespace="http://schemas.microsoft.com/office/2006/metadata/properties" ma:root="true" ma:fieldsID="01e55bfd87ebbb4ef93369bd0034d6dd" ns2:_="" ns3:_="">
    <xsd:import namespace="80c1df0b-af84-40ec-ba53-de366ec823fd"/>
    <xsd:import namespace="0f81c7a9-d276-4b3c-acaa-0dabf6894dd9"/>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2:SharedWithUsers" minOccurs="0"/>
                <xsd:element ref="ns2:SharedWithDetail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c1df0b-af84-40ec-ba53-de366ec823f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f81c7a9-d276-4b3c-acaa-0dabf6894dd9"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80c1df0b-af84-40ec-ba53-de366ec823fd">EEAINT-233314011-15349</_dlc_DocId>
    <_dlc_DocIdUrl xmlns="80c1df0b-af84-40ec-ba53-de366ec823fd">
      <Url>https://energyefficiencyalberta.sharepoint.com/sites/int/_layouts/15/DocIdRedir.aspx?ID=EEAINT-233314011-15349</Url>
      <Description>EEAINT-233314011-15349</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W o r k b o o k S t a t e   x m l n s : i = " h t t p : / / w w w . w 3 . o r g / 2 0 0 1 / X M L S c h e m a - i n s t a n c e "   x m l n s = " h t t p : / / s c h e m a s . m i c r o s o f t . c o m / P o w e r B I A d d I n " > < L a s t P r o v i d e d R a n g e N a m e I d > 0 < / L a s t P r o v i d e d R a n g e N a m e I d > < L a s t U s e d G r o u p O b j e c t I d > < / L a s t U s e d G r o u p O b j e c t I d > < T i l e s L i s t > < T i l e s / > < / T i l e s L i s t > < / W o r k b o o k S t a t e > 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C38D828-BC80-40D3-B448-FA10F74AD4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c1df0b-af84-40ec-ba53-de366ec823fd"/>
    <ds:schemaRef ds:uri="0f81c7a9-d276-4b3c-acaa-0dabf6894d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36FBC4-9EB8-4C76-9FF0-40962B31CDA2}">
  <ds:schemaRefs>
    <ds:schemaRef ds:uri="http://purl.org/dc/terms/"/>
    <ds:schemaRef ds:uri="http://purl.org/dc/dcmitype/"/>
    <ds:schemaRef ds:uri="http://schemas.microsoft.com/office/2006/documentManagement/types"/>
    <ds:schemaRef ds:uri="0f81c7a9-d276-4b3c-acaa-0dabf6894dd9"/>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80c1df0b-af84-40ec-ba53-de366ec823fd"/>
    <ds:schemaRef ds:uri="http://www.w3.org/XML/1998/namespace"/>
  </ds:schemaRefs>
</ds:datastoreItem>
</file>

<file path=customXml/itemProps3.xml><?xml version="1.0" encoding="utf-8"?>
<ds:datastoreItem xmlns:ds="http://schemas.openxmlformats.org/officeDocument/2006/customXml" ds:itemID="{B0FE4385-4121-453B-A4B5-52189C300293}">
  <ds:schemaRefs>
    <ds:schemaRef ds:uri="http://schemas.microsoft.com/sharepoint/v3/contenttype/forms"/>
  </ds:schemaRefs>
</ds:datastoreItem>
</file>

<file path=customXml/itemProps4.xml><?xml version="1.0" encoding="utf-8"?>
<ds:datastoreItem xmlns:ds="http://schemas.openxmlformats.org/officeDocument/2006/customXml" ds:itemID="{AE248CD9-C55F-4355-89CB-56F1E8067F25}">
  <ds:schemaRefs>
    <ds:schemaRef ds:uri="http://schemas.microsoft.com/PowerBIAddIn"/>
  </ds:schemaRefs>
</ds:datastoreItem>
</file>

<file path=customXml/itemProps5.xml><?xml version="1.0" encoding="utf-8"?>
<ds:datastoreItem xmlns:ds="http://schemas.openxmlformats.org/officeDocument/2006/customXml" ds:itemID="{FB29352D-B589-46BC-AFF6-91F85C473A55}">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100</vt:i4>
      </vt:variant>
      <vt:variant>
        <vt:lpstr>Named Ranges</vt:lpstr>
      </vt:variant>
      <vt:variant>
        <vt:i4>93</vt:i4>
      </vt:variant>
    </vt:vector>
  </HeadingPairs>
  <TitlesOfParts>
    <vt:vector size="193" baseType="lpstr">
      <vt:lpstr>Introduction</vt:lpstr>
      <vt:lpstr>Dashboard</vt:lpstr>
      <vt:lpstr>Beta (HIDE)</vt:lpstr>
      <vt:lpstr>Measure Summary</vt:lpstr>
      <vt:lpstr>Definitions</vt:lpstr>
      <vt:lpstr>Protocol Template</vt:lpstr>
      <vt:lpstr>Residential --&gt;</vt:lpstr>
      <vt:lpstr>R-HC-001</vt:lpstr>
      <vt:lpstr>R-HC-002</vt:lpstr>
      <vt:lpstr>R-HC-003</vt:lpstr>
      <vt:lpstr>R-HC-004</vt:lpstr>
      <vt:lpstr>R-HC-005</vt:lpstr>
      <vt:lpstr>R-HC-006</vt:lpstr>
      <vt:lpstr>R-HC-007</vt:lpstr>
      <vt:lpstr>R-HC-008</vt:lpstr>
      <vt:lpstr>R-HC-009</vt:lpstr>
      <vt:lpstr>R-L-001</vt:lpstr>
      <vt:lpstr>R-L-002</vt:lpstr>
      <vt:lpstr>R-L-003</vt:lpstr>
      <vt:lpstr>R-W-001</vt:lpstr>
      <vt:lpstr>R-W-002</vt:lpstr>
      <vt:lpstr>R-W-003</vt:lpstr>
      <vt:lpstr>R-WB-001</vt:lpstr>
      <vt:lpstr>R-WB-002</vt:lpstr>
      <vt:lpstr>R-WB-003</vt:lpstr>
      <vt:lpstr>R-WB-004</vt:lpstr>
      <vt:lpstr>R-WB-005</vt:lpstr>
      <vt:lpstr>R-WB-006</vt:lpstr>
      <vt:lpstr>R-WB-007</vt:lpstr>
      <vt:lpstr>Commercial --&gt;</vt:lpstr>
      <vt:lpstr>C-K-001</vt:lpstr>
      <vt:lpstr>C-K-002</vt:lpstr>
      <vt:lpstr>C-HC-001</vt:lpstr>
      <vt:lpstr>C-HC-002</vt:lpstr>
      <vt:lpstr>C-HC-003</vt:lpstr>
      <vt:lpstr>C-HC-004</vt:lpstr>
      <vt:lpstr>C-HC-005</vt:lpstr>
      <vt:lpstr>C-HC-006</vt:lpstr>
      <vt:lpstr>C-HC-007</vt:lpstr>
      <vt:lpstr>C-HC-008</vt:lpstr>
      <vt:lpstr>C-HC-009</vt:lpstr>
      <vt:lpstr>C-HC-010</vt:lpstr>
      <vt:lpstr>C-HC-011</vt:lpstr>
      <vt:lpstr>C-HC-012</vt:lpstr>
      <vt:lpstr>C-HC-013</vt:lpstr>
      <vt:lpstr>C-HC-014</vt:lpstr>
      <vt:lpstr>C-HC-015</vt:lpstr>
      <vt:lpstr>C-HC-016</vt:lpstr>
      <vt:lpstr>C-L-001</vt:lpstr>
      <vt:lpstr>C-L-002</vt:lpstr>
      <vt:lpstr>C-L-003</vt:lpstr>
      <vt:lpstr>C-L-004</vt:lpstr>
      <vt:lpstr>C-L-005</vt:lpstr>
      <vt:lpstr>C-L-006</vt:lpstr>
      <vt:lpstr>C-L-007</vt:lpstr>
      <vt:lpstr>C-L-008</vt:lpstr>
      <vt:lpstr>C-L-009</vt:lpstr>
      <vt:lpstr>C-R-001</vt:lpstr>
      <vt:lpstr>C-R-002</vt:lpstr>
      <vt:lpstr>C-R-003</vt:lpstr>
      <vt:lpstr>C-R-004</vt:lpstr>
      <vt:lpstr>C-R-005</vt:lpstr>
      <vt:lpstr>C-R-006</vt:lpstr>
      <vt:lpstr>C-R-007</vt:lpstr>
      <vt:lpstr>C-R-008</vt:lpstr>
      <vt:lpstr>C-R-009</vt:lpstr>
      <vt:lpstr>C-R-010</vt:lpstr>
      <vt:lpstr>C-R-011</vt:lpstr>
      <vt:lpstr>C-W-001</vt:lpstr>
      <vt:lpstr>C-W-002</vt:lpstr>
      <vt:lpstr>C-W-003</vt:lpstr>
      <vt:lpstr>C-W-004</vt:lpstr>
      <vt:lpstr>C-WB-001</vt:lpstr>
      <vt:lpstr>C-WB-002</vt:lpstr>
      <vt:lpstr>C-WB-003</vt:lpstr>
      <vt:lpstr>C-WB-004</vt:lpstr>
      <vt:lpstr>C-WB-005</vt:lpstr>
      <vt:lpstr>DER-001</vt:lpstr>
      <vt:lpstr>DER-002</vt:lpstr>
      <vt:lpstr>DER-003</vt:lpstr>
      <vt:lpstr>DER-004</vt:lpstr>
      <vt:lpstr>Global Data --&gt;</vt:lpstr>
      <vt:lpstr>Variables</vt:lpstr>
      <vt:lpstr>Value of Savings</vt:lpstr>
      <vt:lpstr>Climate Data</vt:lpstr>
      <vt:lpstr>Building Data</vt:lpstr>
      <vt:lpstr>Validation</vt:lpstr>
      <vt:lpstr>Sources --&gt;</vt:lpstr>
      <vt:lpstr>Savings_AC</vt:lpstr>
      <vt:lpstr>Savings_BS</vt:lpstr>
      <vt:lpstr>Commercial_Baseline</vt:lpstr>
      <vt:lpstr>Electric_Space_Heat</vt:lpstr>
      <vt:lpstr>Motors</vt:lpstr>
      <vt:lpstr>Lighting</vt:lpstr>
      <vt:lpstr>Water_Consumption</vt:lpstr>
      <vt:lpstr>HDD_CDD</vt:lpstr>
      <vt:lpstr>Setpoint Temperature</vt:lpstr>
      <vt:lpstr>Export --&gt;</vt:lpstr>
      <vt:lpstr>LOOKUP</vt:lpstr>
      <vt:lpstr>TRM_INDEX</vt:lpstr>
      <vt:lpstr>Air.HeatCapacity.IMP</vt:lpstr>
      <vt:lpstr>Air.T.Ambient.K</vt:lpstr>
      <vt:lpstr>Air.T.Indoor.IMP</vt:lpstr>
      <vt:lpstr>Air.T.Indoor.SI</vt:lpstr>
      <vt:lpstr>BTU_per_kWh</vt:lpstr>
      <vt:lpstr>CAD_per_USD</vt:lpstr>
      <vt:lpstr>Consumption.R</vt:lpstr>
      <vt:lpstr>Consumption.R.E</vt:lpstr>
      <vt:lpstr>Consumption.R.NG</vt:lpstr>
      <vt:lpstr>Days_per_Year</vt:lpstr>
      <vt:lpstr>Default.BuildingType.C</vt:lpstr>
      <vt:lpstr>Default.BuildingType.R</vt:lpstr>
      <vt:lpstr>Default.Region</vt:lpstr>
      <vt:lpstr>Default.ReplacementType</vt:lpstr>
      <vt:lpstr>Default.SpaceHeatingFuel</vt:lpstr>
      <vt:lpstr>Default.WaterHeatingFuel</vt:lpstr>
      <vt:lpstr>DeltaC_per_DeltaF</vt:lpstr>
      <vt:lpstr>Discount.Rate.Nominal</vt:lpstr>
      <vt:lpstr>Discount.Rate.Real</vt:lpstr>
      <vt:lpstr>Equivalent.Cars</vt:lpstr>
      <vt:lpstr>Equivalent.Homes</vt:lpstr>
      <vt:lpstr>Equivalent.Pools</vt:lpstr>
      <vt:lpstr>FPM_per_MPH</vt:lpstr>
      <vt:lpstr>GDPFactor.E</vt:lpstr>
      <vt:lpstr>GDPFactor.NG</vt:lpstr>
      <vt:lpstr>GDPFactor.Solar</vt:lpstr>
      <vt:lpstr>GHG.E</vt:lpstr>
      <vt:lpstr>GHG.E.FY17</vt:lpstr>
      <vt:lpstr>GHG.NG</vt:lpstr>
      <vt:lpstr>GJ_per_BTU</vt:lpstr>
      <vt:lpstr>GJ_per_kWh</vt:lpstr>
      <vt:lpstr>GJ_per_m3</vt:lpstr>
      <vt:lpstr>GJ_per_MCF</vt:lpstr>
      <vt:lpstr>GJ_per_MWh</vt:lpstr>
      <vt:lpstr>GJ_per_Therm</vt:lpstr>
      <vt:lpstr>Gravity.IMP</vt:lpstr>
      <vt:lpstr>Hours_per_Day</vt:lpstr>
      <vt:lpstr>Hours_per_Year</vt:lpstr>
      <vt:lpstr>Inflation</vt:lpstr>
      <vt:lpstr>JobFactor.E</vt:lpstr>
      <vt:lpstr>JobFactor.NG</vt:lpstr>
      <vt:lpstr>JobFactor.Solar</vt:lpstr>
      <vt:lpstr>JobFactor.Solar.C</vt:lpstr>
      <vt:lpstr>JobFactor.Solar.R</vt:lpstr>
      <vt:lpstr>kW_per_HP</vt:lpstr>
      <vt:lpstr>kWh_per_BTU</vt:lpstr>
      <vt:lpstr>kWh_per_GJ</vt:lpstr>
      <vt:lpstr>LightingUseDay.R</vt:lpstr>
      <vt:lpstr>LineLoss.E</vt:lpstr>
      <vt:lpstr>LineLoss.NG</vt:lpstr>
      <vt:lpstr>Litre_per_Gallon</vt:lpstr>
      <vt:lpstr>Litre_per_m3</vt:lpstr>
      <vt:lpstr>m3_per_Gallon</vt:lpstr>
      <vt:lpstr>Minutes_per_Hour</vt:lpstr>
      <vt:lpstr>SavingsType</vt:lpstr>
      <vt:lpstr>Seconds_per_Minute</vt:lpstr>
      <vt:lpstr>SpaceCoolingEfficiency.CI.SEER</vt:lpstr>
      <vt:lpstr>SpaceCoolingEfficiency.R.COP</vt:lpstr>
      <vt:lpstr>SpaceCoolingEfficiency.R.SEER</vt:lpstr>
      <vt:lpstr>SpaceCoolingShare.R.E</vt:lpstr>
      <vt:lpstr>SpaceHeatingDerating.R.HP</vt:lpstr>
      <vt:lpstr>SpaceHeatingDerating.R.NG</vt:lpstr>
      <vt:lpstr>SpaceHeatingEfficiency.CI.COP</vt:lpstr>
      <vt:lpstr>SpaceHeatingEfficiency.CI.E</vt:lpstr>
      <vt:lpstr>SpaceHeatingEfficiency.CI.HSPF</vt:lpstr>
      <vt:lpstr>SpaceHeatingEfficiency.CI.NG</vt:lpstr>
      <vt:lpstr>SpaceHeatingEfficiency.R.COP</vt:lpstr>
      <vt:lpstr>SpaceHeatingEfficiency.R.E</vt:lpstr>
      <vt:lpstr>SpaceHeatingEfficiency.R.NG</vt:lpstr>
      <vt:lpstr>SpaceHeatingShare.R.E</vt:lpstr>
      <vt:lpstr>SpaceHeatingShare.R.NG</vt:lpstr>
      <vt:lpstr>Water.Density.IMP</vt:lpstr>
      <vt:lpstr>Water.Density.SI</vt:lpstr>
      <vt:lpstr>Water.HeatCapacity.IMP</vt:lpstr>
      <vt:lpstr>Water.HeatCapacity.SI</vt:lpstr>
      <vt:lpstr>Water.T.DHW.IMP</vt:lpstr>
      <vt:lpstr>Water.T.DHW.SI</vt:lpstr>
      <vt:lpstr>WaterHeating.CI.Faucet.SI</vt:lpstr>
      <vt:lpstr>WaterHeating.CI.Shower.SI</vt:lpstr>
      <vt:lpstr>WaterHeating.R.Faucet.SI</vt:lpstr>
      <vt:lpstr>WaterHeating.R.Shower.SI</vt:lpstr>
      <vt:lpstr>WaterHeatingEfficiency.CI.E</vt:lpstr>
      <vt:lpstr>WaterHeatingEfficiency.CI.NG</vt:lpstr>
      <vt:lpstr>WaterHeatingEfficiency.R.E</vt:lpstr>
      <vt:lpstr>WaterHeatingEfficiency.R.NG</vt:lpstr>
      <vt:lpstr>WaterHeatingRE.R.E</vt:lpstr>
      <vt:lpstr>WaterHeatingShare.CI.E</vt:lpstr>
      <vt:lpstr>WaterHeatingShare.CI.NG</vt:lpstr>
      <vt:lpstr>WaterHeatingShare.R.E</vt:lpstr>
      <vt:lpstr>WaterHeatingShare.R.NG</vt:lpstr>
      <vt:lpstr>WaterUsePersonDay.R</vt:lpstr>
      <vt:lpstr>WindspeedCorrectionFactor</vt:lpstr>
      <vt:lpstr>Year</vt:lpstr>
    </vt:vector>
  </TitlesOfParts>
  <Manager/>
  <Company>ICFI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barend.dronkers@efficiencyalberta.ca</dc:creator>
  <cp:keywords/>
  <dc:description/>
  <cp:lastModifiedBy>Jesse Row</cp:lastModifiedBy>
  <cp:revision/>
  <dcterms:created xsi:type="dcterms:W3CDTF">2017-04-10T16:26:06Z</dcterms:created>
  <dcterms:modified xsi:type="dcterms:W3CDTF">2020-08-19T14:35:49Z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0x0101003051715489A73A49A70E492EBB28A859</vt:lpwstr>
  </property>
  <property fmtid="{D5CDD505-2E9C-101B-9397-08002B2CF9AE}" pid="3" name="_dlc_DocIdItemGuid">
    <vt:lpwstr>bd1bfc70-879e-491e-9e98-529c91c48c3d</vt:lpwstr>
  </property>
  <property fmtid="{D5CDD505-2E9C-101B-9397-08002B2CF9AE}" pid="4" name="AuthorIds_UIVersion_1024">
    <vt:lpwstr>76</vt:lpwstr>
  </property>
  <property fmtid="{D5CDD505-2E9C-101B-9397-08002B2CF9AE}" pid="5" name="AuthorIds_UIVersion_49664">
    <vt:lpwstr>76</vt:lpwstr>
  </property>
  <property fmtid="{D5CDD505-2E9C-101B-9397-08002B2CF9AE}" pid="6" name="AuthorIds_UIVersion_512">
    <vt:lpwstr>76</vt:lpwstr>
  </property>
  <property fmtid="{D5CDD505-2E9C-101B-9397-08002B2CF9AE}" pid="7" name="AuthorIds_UIVersion_268800">
    <vt:lpwstr>2390</vt:lpwstr>
  </property>
</Properties>
</file>